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30675" windowHeight="9510" tabRatio="690"/>
  </bookViews>
  <sheets>
    <sheet name="Output" sheetId="1" r:id="rId1"/>
    <sheet name="Filter-new" sheetId="2" r:id="rId2"/>
    <sheet name="peak-new" sheetId="3" r:id="rId3"/>
    <sheet name="offpeak-new" sheetId="4" r:id="rId4"/>
    <sheet name="delta-new" sheetId="5" r:id="rId5"/>
    <sheet name="gas-new" sheetId="6" r:id="rId6"/>
    <sheet name="price-new" sheetId="7" r:id="rId7"/>
    <sheet name="Cash" sheetId="8" r:id="rId8"/>
    <sheet name="cash adhoc" sheetId="9" r:id="rId9"/>
    <sheet name="calendar" sheetId="10" r:id="rId10"/>
    <sheet name="nymex-new" sheetId="11" r:id="rId11"/>
    <sheet name="price-old" sheetId="12" r:id="rId12"/>
    <sheet name="nymex-old" sheetId="13" r:id="rId13"/>
    <sheet name="peak-old" sheetId="14" r:id="rId14"/>
    <sheet name="delta-old" sheetId="15" r:id="rId15"/>
    <sheet name="offpeak-old" sheetId="16" r:id="rId16"/>
    <sheet name="gas-old" sheetId="17" r:id="rId17"/>
    <sheet name="Filter-old" sheetId="18" r:id="rId18"/>
    <sheet name="Swap Positions" sheetId="19" r:id="rId19"/>
  </sheets>
  <externalReferences>
    <externalReference r:id="rId20"/>
    <externalReference r:id="rId21"/>
  </externalReferences>
  <definedNames>
    <definedName name="_xlnm._FilterDatabase" localSheetId="0" hidden="1">Output!$A$5:$A$801</definedName>
    <definedName name="adhoc_directory">Output!$CJ$2</definedName>
    <definedName name="_xlnm.Print_Area" localSheetId="7">Output!$CH$406:$CR$416</definedName>
    <definedName name="_xlnm.Print_Area" localSheetId="0">Output!$B$2:$CF$418</definedName>
    <definedName name="_xlnm.Print_Area" localSheetId="2">'peak-new'!$A$1:$AC$13</definedName>
    <definedName name="_xlnm.Print_Titles" localSheetId="0">Output!$B:$B</definedName>
    <definedName name="_xlnm.Print_Titles" localSheetId="2">'peak-new'!$A:$A</definedName>
  </definedNames>
  <calcPr calcId="152511" fullCalcOnLoad="1"/>
</workbook>
</file>

<file path=xl/calcChain.xml><?xml version="1.0" encoding="utf-8"?>
<calcChain xmlns="http://schemas.openxmlformats.org/spreadsheetml/2006/main">
  <c r="D14" i="10" l="1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A1" i="8"/>
  <c r="D1" i="8"/>
  <c r="D2" i="8" s="1"/>
  <c r="A2" i="8"/>
  <c r="A3" i="8"/>
  <c r="A4" i="8"/>
  <c r="A5" i="8"/>
  <c r="A6" i="8"/>
  <c r="C6" i="8"/>
  <c r="A7" i="8"/>
  <c r="A8" i="8"/>
  <c r="A9" i="8"/>
  <c r="A10" i="8"/>
  <c r="A11" i="8"/>
  <c r="A12" i="8"/>
  <c r="A13" i="8"/>
  <c r="A14" i="8"/>
  <c r="A15" i="8"/>
  <c r="A16" i="8"/>
  <c r="A17" i="8"/>
  <c r="B17" i="8"/>
  <c r="A18" i="8"/>
  <c r="B18" i="8"/>
  <c r="A19" i="8"/>
  <c r="B19" i="8"/>
  <c r="B31" i="8" s="1"/>
  <c r="A20" i="8"/>
  <c r="B20" i="8"/>
  <c r="A21" i="8"/>
  <c r="B21" i="8"/>
  <c r="A22" i="8"/>
  <c r="B22" i="8"/>
  <c r="A23" i="8"/>
  <c r="B23" i="8"/>
  <c r="A24" i="8"/>
  <c r="B24" i="8"/>
  <c r="B36" i="8" s="1"/>
  <c r="A25" i="8"/>
  <c r="B25" i="8"/>
  <c r="A26" i="8"/>
  <c r="B26" i="8"/>
  <c r="A27" i="8"/>
  <c r="A28" i="8"/>
  <c r="A29" i="8"/>
  <c r="B29" i="8"/>
  <c r="A30" i="8"/>
  <c r="B30" i="8"/>
  <c r="A31" i="8"/>
  <c r="A32" i="8"/>
  <c r="B32" i="8"/>
  <c r="A33" i="8"/>
  <c r="B33" i="8"/>
  <c r="A34" i="8"/>
  <c r="B34" i="8"/>
  <c r="A35" i="8"/>
  <c r="B35" i="8"/>
  <c r="A36" i="8"/>
  <c r="A37" i="8"/>
  <c r="B37" i="8"/>
  <c r="A38" i="8"/>
  <c r="B38" i="8"/>
  <c r="A39" i="8"/>
  <c r="BM4" i="9"/>
  <c r="C7" i="8" s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B3" i="2"/>
  <c r="C3" i="2" s="1"/>
  <c r="B4" i="2"/>
  <c r="F11" i="2"/>
  <c r="G11" i="2"/>
  <c r="F13" i="2"/>
  <c r="G13" i="2"/>
  <c r="J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D15" i="2"/>
  <c r="F15" i="2"/>
  <c r="G15" i="2"/>
  <c r="J15" i="2"/>
  <c r="K15" i="2"/>
  <c r="L15" i="2"/>
  <c r="F16" i="2"/>
  <c r="G16" i="2"/>
  <c r="J16" i="2"/>
  <c r="F17" i="2"/>
  <c r="G17" i="2"/>
  <c r="J17" i="2"/>
  <c r="F18" i="2"/>
  <c r="G18" i="2"/>
  <c r="J18" i="2"/>
  <c r="F19" i="2"/>
  <c r="G19" i="2"/>
  <c r="J19" i="2"/>
  <c r="F20" i="2"/>
  <c r="G20" i="2"/>
  <c r="J20" i="2"/>
  <c r="F21" i="2"/>
  <c r="G21" i="2"/>
  <c r="J21" i="2"/>
  <c r="F22" i="2"/>
  <c r="G22" i="2"/>
  <c r="J22" i="2"/>
  <c r="F23" i="2"/>
  <c r="G23" i="2"/>
  <c r="J23" i="2"/>
  <c r="F24" i="2"/>
  <c r="G24" i="2"/>
  <c r="J24" i="2"/>
  <c r="F25" i="2"/>
  <c r="G25" i="2"/>
  <c r="J25" i="2"/>
  <c r="F26" i="2"/>
  <c r="G26" i="2"/>
  <c r="J26" i="2"/>
  <c r="F27" i="2"/>
  <c r="G27" i="2"/>
  <c r="J27" i="2"/>
  <c r="F28" i="2"/>
  <c r="G28" i="2"/>
  <c r="J28" i="2"/>
  <c r="F29" i="2"/>
  <c r="G29" i="2"/>
  <c r="J29" i="2"/>
  <c r="F30" i="2"/>
  <c r="G30" i="2"/>
  <c r="J30" i="2"/>
  <c r="F31" i="2"/>
  <c r="G31" i="2"/>
  <c r="J31" i="2"/>
  <c r="F32" i="2"/>
  <c r="G32" i="2"/>
  <c r="J32" i="2"/>
  <c r="F33" i="2"/>
  <c r="G33" i="2"/>
  <c r="J33" i="2"/>
  <c r="F34" i="2"/>
  <c r="G34" i="2"/>
  <c r="J34" i="2"/>
  <c r="F35" i="2"/>
  <c r="G35" i="2"/>
  <c r="J35" i="2"/>
  <c r="F36" i="2"/>
  <c r="G36" i="2"/>
  <c r="J36" i="2"/>
  <c r="F37" i="2"/>
  <c r="G37" i="2"/>
  <c r="J37" i="2"/>
  <c r="F38" i="2"/>
  <c r="G38" i="2"/>
  <c r="J38" i="2"/>
  <c r="F39" i="2"/>
  <c r="G39" i="2"/>
  <c r="J39" i="2"/>
  <c r="F40" i="2"/>
  <c r="G40" i="2"/>
  <c r="J40" i="2"/>
  <c r="F41" i="2"/>
  <c r="G41" i="2"/>
  <c r="J41" i="2"/>
  <c r="F42" i="2"/>
  <c r="G42" i="2"/>
  <c r="J42" i="2"/>
  <c r="F43" i="2"/>
  <c r="G43" i="2"/>
  <c r="J43" i="2"/>
  <c r="F44" i="2"/>
  <c r="G44" i="2"/>
  <c r="J44" i="2"/>
  <c r="F45" i="2"/>
  <c r="G45" i="2"/>
  <c r="J45" i="2"/>
  <c r="F46" i="2"/>
  <c r="G46" i="2"/>
  <c r="J46" i="2"/>
  <c r="F47" i="2"/>
  <c r="G47" i="2"/>
  <c r="J47" i="2"/>
  <c r="F48" i="2"/>
  <c r="G48" i="2"/>
  <c r="J48" i="2"/>
  <c r="F49" i="2"/>
  <c r="G49" i="2"/>
  <c r="J49" i="2"/>
  <c r="F50" i="2"/>
  <c r="G50" i="2"/>
  <c r="J50" i="2"/>
  <c r="F51" i="2"/>
  <c r="G51" i="2"/>
  <c r="J51" i="2"/>
  <c r="T51" i="2"/>
  <c r="F52" i="2"/>
  <c r="G52" i="2"/>
  <c r="J52" i="2"/>
  <c r="T52" i="2"/>
  <c r="F53" i="2"/>
  <c r="G53" i="2"/>
  <c r="J53" i="2"/>
  <c r="T53" i="2"/>
  <c r="F54" i="2"/>
  <c r="G54" i="2"/>
  <c r="J54" i="2"/>
  <c r="T54" i="2"/>
  <c r="F55" i="2"/>
  <c r="G55" i="2"/>
  <c r="J55" i="2"/>
  <c r="T55" i="2"/>
  <c r="F56" i="2"/>
  <c r="G56" i="2"/>
  <c r="J56" i="2"/>
  <c r="T56" i="2"/>
  <c r="F57" i="2"/>
  <c r="G57" i="2"/>
  <c r="J57" i="2"/>
  <c r="T57" i="2"/>
  <c r="F58" i="2"/>
  <c r="G58" i="2"/>
  <c r="J58" i="2"/>
  <c r="T58" i="2"/>
  <c r="F59" i="2"/>
  <c r="G59" i="2"/>
  <c r="J59" i="2"/>
  <c r="T59" i="2"/>
  <c r="F60" i="2"/>
  <c r="G60" i="2"/>
  <c r="J60" i="2"/>
  <c r="T60" i="2"/>
  <c r="F61" i="2"/>
  <c r="G61" i="2"/>
  <c r="J61" i="2"/>
  <c r="T61" i="2"/>
  <c r="F62" i="2"/>
  <c r="G62" i="2"/>
  <c r="J62" i="2"/>
  <c r="T62" i="2"/>
  <c r="F63" i="2"/>
  <c r="G63" i="2"/>
  <c r="J63" i="2"/>
  <c r="F64" i="2"/>
  <c r="G64" i="2"/>
  <c r="J64" i="2"/>
  <c r="F65" i="2"/>
  <c r="G65" i="2"/>
  <c r="J65" i="2"/>
  <c r="F66" i="2"/>
  <c r="G66" i="2"/>
  <c r="J66" i="2"/>
  <c r="F67" i="2"/>
  <c r="G67" i="2"/>
  <c r="J67" i="2"/>
  <c r="F68" i="2"/>
  <c r="G68" i="2"/>
  <c r="J68" i="2"/>
  <c r="F69" i="2"/>
  <c r="G69" i="2"/>
  <c r="J69" i="2"/>
  <c r="F70" i="2"/>
  <c r="G70" i="2"/>
  <c r="J70" i="2"/>
  <c r="F71" i="2"/>
  <c r="G71" i="2"/>
  <c r="J71" i="2"/>
  <c r="F72" i="2"/>
  <c r="G72" i="2"/>
  <c r="J72" i="2"/>
  <c r="F73" i="2"/>
  <c r="G73" i="2"/>
  <c r="J73" i="2"/>
  <c r="F74" i="2"/>
  <c r="G74" i="2"/>
  <c r="J74" i="2"/>
  <c r="F75" i="2"/>
  <c r="G75" i="2"/>
  <c r="J75" i="2"/>
  <c r="F76" i="2"/>
  <c r="G76" i="2"/>
  <c r="J76" i="2"/>
  <c r="F77" i="2"/>
  <c r="G77" i="2"/>
  <c r="J77" i="2"/>
  <c r="F78" i="2"/>
  <c r="G78" i="2"/>
  <c r="J78" i="2"/>
  <c r="F79" i="2"/>
  <c r="G79" i="2"/>
  <c r="J79" i="2"/>
  <c r="F80" i="2"/>
  <c r="G80" i="2"/>
  <c r="J80" i="2"/>
  <c r="F81" i="2"/>
  <c r="G81" i="2"/>
  <c r="J81" i="2"/>
  <c r="F82" i="2"/>
  <c r="G82" i="2"/>
  <c r="J82" i="2"/>
  <c r="F83" i="2"/>
  <c r="G83" i="2"/>
  <c r="J83" i="2"/>
  <c r="F84" i="2"/>
  <c r="G84" i="2"/>
  <c r="J84" i="2"/>
  <c r="F85" i="2"/>
  <c r="G85" i="2"/>
  <c r="J85" i="2"/>
  <c r="F86" i="2"/>
  <c r="G86" i="2"/>
  <c r="J86" i="2"/>
  <c r="F87" i="2"/>
  <c r="G87" i="2"/>
  <c r="J87" i="2"/>
  <c r="F88" i="2"/>
  <c r="G88" i="2"/>
  <c r="J88" i="2"/>
  <c r="F89" i="2"/>
  <c r="G89" i="2"/>
  <c r="J89" i="2"/>
  <c r="F90" i="2"/>
  <c r="G90" i="2"/>
  <c r="J90" i="2"/>
  <c r="F91" i="2"/>
  <c r="G91" i="2"/>
  <c r="J91" i="2"/>
  <c r="F92" i="2"/>
  <c r="G92" i="2"/>
  <c r="J92" i="2"/>
  <c r="F93" i="2"/>
  <c r="G93" i="2"/>
  <c r="J93" i="2"/>
  <c r="F94" i="2"/>
  <c r="G94" i="2"/>
  <c r="J94" i="2"/>
  <c r="F95" i="2"/>
  <c r="G95" i="2"/>
  <c r="J95" i="2"/>
  <c r="F96" i="2"/>
  <c r="G96" i="2"/>
  <c r="J96" i="2"/>
  <c r="F97" i="2"/>
  <c r="G97" i="2"/>
  <c r="J97" i="2"/>
  <c r="F98" i="2"/>
  <c r="G98" i="2"/>
  <c r="J98" i="2"/>
  <c r="F99" i="2"/>
  <c r="G99" i="2"/>
  <c r="J99" i="2"/>
  <c r="F100" i="2"/>
  <c r="G100" i="2"/>
  <c r="J100" i="2"/>
  <c r="F101" i="2"/>
  <c r="G101" i="2"/>
  <c r="J101" i="2"/>
  <c r="F102" i="2"/>
  <c r="G102" i="2"/>
  <c r="J102" i="2"/>
  <c r="F103" i="2"/>
  <c r="G103" i="2"/>
  <c r="J103" i="2"/>
  <c r="F104" i="2"/>
  <c r="G104" i="2"/>
  <c r="J104" i="2"/>
  <c r="F105" i="2"/>
  <c r="G105" i="2"/>
  <c r="J105" i="2"/>
  <c r="F106" i="2"/>
  <c r="G106" i="2"/>
  <c r="J106" i="2"/>
  <c r="F107" i="2"/>
  <c r="G107" i="2"/>
  <c r="J107" i="2"/>
  <c r="F108" i="2"/>
  <c r="G108" i="2"/>
  <c r="J108" i="2"/>
  <c r="F109" i="2"/>
  <c r="G109" i="2"/>
  <c r="J109" i="2"/>
  <c r="F110" i="2"/>
  <c r="G110" i="2"/>
  <c r="J110" i="2"/>
  <c r="F111" i="2"/>
  <c r="G111" i="2"/>
  <c r="J111" i="2"/>
  <c r="F112" i="2"/>
  <c r="G112" i="2"/>
  <c r="J112" i="2"/>
  <c r="F113" i="2"/>
  <c r="G113" i="2"/>
  <c r="J113" i="2"/>
  <c r="F114" i="2"/>
  <c r="G114" i="2"/>
  <c r="J114" i="2"/>
  <c r="F115" i="2"/>
  <c r="G115" i="2"/>
  <c r="J115" i="2"/>
  <c r="F116" i="2"/>
  <c r="G116" i="2"/>
  <c r="J116" i="2"/>
  <c r="F117" i="2"/>
  <c r="G117" i="2"/>
  <c r="J117" i="2"/>
  <c r="F118" i="2"/>
  <c r="G118" i="2"/>
  <c r="J118" i="2"/>
  <c r="F119" i="2"/>
  <c r="G119" i="2"/>
  <c r="J119" i="2"/>
  <c r="F120" i="2"/>
  <c r="G120" i="2"/>
  <c r="J120" i="2"/>
  <c r="F121" i="2"/>
  <c r="G121" i="2"/>
  <c r="J121" i="2"/>
  <c r="F122" i="2"/>
  <c r="G122" i="2"/>
  <c r="J122" i="2"/>
  <c r="E124" i="2"/>
  <c r="F124" i="2"/>
  <c r="G124" i="2"/>
  <c r="H124" i="2"/>
  <c r="I124" i="2"/>
  <c r="J124" i="2"/>
  <c r="K124" i="2"/>
  <c r="L124" i="2"/>
  <c r="M124" i="2"/>
  <c r="O124" i="2"/>
  <c r="P124" i="2"/>
  <c r="Q124" i="2"/>
  <c r="R124" i="2"/>
  <c r="C125" i="2"/>
  <c r="E247" i="2"/>
  <c r="F247" i="2"/>
  <c r="G247" i="2"/>
  <c r="H247" i="2"/>
  <c r="I247" i="2"/>
  <c r="J247" i="2"/>
  <c r="K247" i="2"/>
  <c r="L247" i="2"/>
  <c r="M247" i="2"/>
  <c r="O247" i="2"/>
  <c r="P247" i="2"/>
  <c r="Q247" i="2"/>
  <c r="R247" i="2"/>
  <c r="C248" i="2"/>
  <c r="E369" i="2"/>
  <c r="F369" i="2"/>
  <c r="G369" i="2"/>
  <c r="H369" i="2"/>
  <c r="I369" i="2"/>
  <c r="J369" i="2"/>
  <c r="K369" i="2"/>
  <c r="L369" i="2"/>
  <c r="M369" i="2"/>
  <c r="O369" i="2"/>
  <c r="P369" i="2"/>
  <c r="Q369" i="2"/>
  <c r="R369" i="2"/>
  <c r="C370" i="2"/>
  <c r="E491" i="2"/>
  <c r="F491" i="2"/>
  <c r="G491" i="2"/>
  <c r="H491" i="2"/>
  <c r="I491" i="2"/>
  <c r="J491" i="2"/>
  <c r="K491" i="2"/>
  <c r="L491" i="2"/>
  <c r="M491" i="2"/>
  <c r="O491" i="2"/>
  <c r="P491" i="2"/>
  <c r="Q491" i="2"/>
  <c r="R491" i="2"/>
  <c r="B492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D502" i="2"/>
  <c r="K502" i="2" s="1"/>
  <c r="E502" i="2"/>
  <c r="F502" i="2"/>
  <c r="G502" i="2"/>
  <c r="H502" i="2"/>
  <c r="I502" i="2"/>
  <c r="J502" i="2"/>
  <c r="L502" i="2"/>
  <c r="M502" i="2"/>
  <c r="N502" i="2"/>
  <c r="O502" i="2"/>
  <c r="P502" i="2"/>
  <c r="Q502" i="2"/>
  <c r="R502" i="2"/>
  <c r="D503" i="2"/>
  <c r="K503" i="2" s="1"/>
  <c r="F503" i="2"/>
  <c r="G503" i="2"/>
  <c r="H503" i="2"/>
  <c r="J503" i="2"/>
  <c r="M503" i="2"/>
  <c r="N503" i="2"/>
  <c r="O503" i="2"/>
  <c r="P503" i="2"/>
  <c r="F504" i="2"/>
  <c r="G504" i="2"/>
  <c r="J504" i="2"/>
  <c r="M504" i="2"/>
  <c r="N504" i="2"/>
  <c r="O504" i="2"/>
  <c r="P504" i="2"/>
  <c r="F505" i="2"/>
  <c r="G505" i="2"/>
  <c r="J505" i="2"/>
  <c r="M505" i="2"/>
  <c r="N505" i="2"/>
  <c r="O505" i="2"/>
  <c r="P505" i="2"/>
  <c r="F506" i="2"/>
  <c r="G506" i="2"/>
  <c r="J506" i="2"/>
  <c r="M506" i="2"/>
  <c r="N506" i="2"/>
  <c r="O506" i="2"/>
  <c r="P506" i="2"/>
  <c r="F507" i="2"/>
  <c r="G507" i="2"/>
  <c r="J507" i="2"/>
  <c r="M507" i="2"/>
  <c r="N507" i="2"/>
  <c r="O507" i="2"/>
  <c r="P507" i="2"/>
  <c r="F508" i="2"/>
  <c r="G508" i="2"/>
  <c r="J508" i="2"/>
  <c r="M508" i="2"/>
  <c r="N508" i="2"/>
  <c r="O508" i="2"/>
  <c r="P508" i="2"/>
  <c r="F509" i="2"/>
  <c r="G509" i="2"/>
  <c r="J509" i="2"/>
  <c r="M509" i="2"/>
  <c r="N509" i="2"/>
  <c r="O509" i="2"/>
  <c r="P509" i="2"/>
  <c r="F510" i="2"/>
  <c r="G510" i="2"/>
  <c r="J510" i="2"/>
  <c r="M510" i="2"/>
  <c r="N510" i="2"/>
  <c r="O510" i="2"/>
  <c r="P510" i="2"/>
  <c r="F511" i="2"/>
  <c r="G511" i="2"/>
  <c r="J511" i="2"/>
  <c r="M511" i="2"/>
  <c r="N511" i="2"/>
  <c r="O511" i="2"/>
  <c r="P511" i="2"/>
  <c r="F512" i="2"/>
  <c r="G512" i="2"/>
  <c r="J512" i="2"/>
  <c r="M512" i="2"/>
  <c r="N512" i="2"/>
  <c r="O512" i="2"/>
  <c r="P512" i="2"/>
  <c r="F513" i="2"/>
  <c r="G513" i="2"/>
  <c r="J513" i="2"/>
  <c r="M513" i="2"/>
  <c r="N513" i="2"/>
  <c r="O513" i="2"/>
  <c r="P513" i="2"/>
  <c r="F514" i="2"/>
  <c r="G514" i="2"/>
  <c r="J514" i="2"/>
  <c r="M514" i="2"/>
  <c r="N514" i="2"/>
  <c r="O514" i="2"/>
  <c r="P514" i="2"/>
  <c r="F515" i="2"/>
  <c r="G515" i="2"/>
  <c r="J515" i="2"/>
  <c r="M515" i="2"/>
  <c r="N515" i="2"/>
  <c r="O515" i="2"/>
  <c r="P515" i="2"/>
  <c r="F516" i="2"/>
  <c r="G516" i="2"/>
  <c r="J516" i="2"/>
  <c r="M516" i="2"/>
  <c r="N516" i="2"/>
  <c r="O516" i="2"/>
  <c r="P516" i="2"/>
  <c r="F517" i="2"/>
  <c r="G517" i="2"/>
  <c r="J517" i="2"/>
  <c r="M517" i="2"/>
  <c r="N517" i="2"/>
  <c r="O517" i="2"/>
  <c r="P517" i="2"/>
  <c r="F518" i="2"/>
  <c r="G518" i="2"/>
  <c r="J518" i="2"/>
  <c r="M518" i="2"/>
  <c r="N518" i="2"/>
  <c r="O518" i="2"/>
  <c r="P518" i="2"/>
  <c r="F519" i="2"/>
  <c r="G519" i="2"/>
  <c r="J519" i="2"/>
  <c r="M519" i="2"/>
  <c r="N519" i="2"/>
  <c r="O519" i="2"/>
  <c r="P519" i="2"/>
  <c r="F520" i="2"/>
  <c r="G520" i="2"/>
  <c r="J520" i="2"/>
  <c r="M520" i="2"/>
  <c r="N520" i="2"/>
  <c r="O520" i="2"/>
  <c r="P520" i="2"/>
  <c r="F521" i="2"/>
  <c r="G521" i="2"/>
  <c r="J521" i="2"/>
  <c r="M521" i="2"/>
  <c r="N521" i="2"/>
  <c r="O521" i="2"/>
  <c r="P521" i="2"/>
  <c r="F522" i="2"/>
  <c r="G522" i="2"/>
  <c r="J522" i="2"/>
  <c r="M522" i="2"/>
  <c r="N522" i="2"/>
  <c r="O522" i="2"/>
  <c r="P522" i="2"/>
  <c r="F523" i="2"/>
  <c r="G523" i="2"/>
  <c r="J523" i="2"/>
  <c r="M523" i="2"/>
  <c r="N523" i="2"/>
  <c r="O523" i="2"/>
  <c r="P523" i="2"/>
  <c r="F524" i="2"/>
  <c r="G524" i="2"/>
  <c r="J524" i="2"/>
  <c r="M524" i="2"/>
  <c r="N524" i="2"/>
  <c r="O524" i="2"/>
  <c r="P524" i="2"/>
  <c r="F525" i="2"/>
  <c r="G525" i="2"/>
  <c r="J525" i="2"/>
  <c r="M525" i="2"/>
  <c r="N525" i="2"/>
  <c r="O525" i="2"/>
  <c r="P525" i="2"/>
  <c r="F526" i="2"/>
  <c r="G526" i="2"/>
  <c r="J526" i="2"/>
  <c r="M526" i="2"/>
  <c r="N526" i="2"/>
  <c r="O526" i="2"/>
  <c r="P526" i="2"/>
  <c r="F527" i="2"/>
  <c r="G527" i="2"/>
  <c r="J527" i="2"/>
  <c r="M527" i="2"/>
  <c r="N527" i="2"/>
  <c r="O527" i="2"/>
  <c r="P527" i="2"/>
  <c r="F528" i="2"/>
  <c r="G528" i="2"/>
  <c r="J528" i="2"/>
  <c r="M528" i="2"/>
  <c r="N528" i="2"/>
  <c r="O528" i="2"/>
  <c r="P528" i="2"/>
  <c r="F529" i="2"/>
  <c r="G529" i="2"/>
  <c r="J529" i="2"/>
  <c r="M529" i="2"/>
  <c r="N529" i="2"/>
  <c r="O529" i="2"/>
  <c r="P529" i="2"/>
  <c r="F530" i="2"/>
  <c r="G530" i="2"/>
  <c r="J530" i="2"/>
  <c r="M530" i="2"/>
  <c r="N530" i="2"/>
  <c r="O530" i="2"/>
  <c r="P530" i="2"/>
  <c r="F531" i="2"/>
  <c r="G531" i="2"/>
  <c r="J531" i="2"/>
  <c r="M531" i="2"/>
  <c r="N531" i="2"/>
  <c r="O531" i="2"/>
  <c r="P531" i="2"/>
  <c r="F532" i="2"/>
  <c r="G532" i="2"/>
  <c r="J532" i="2"/>
  <c r="M532" i="2"/>
  <c r="N532" i="2"/>
  <c r="O532" i="2"/>
  <c r="P532" i="2"/>
  <c r="F533" i="2"/>
  <c r="G533" i="2"/>
  <c r="J533" i="2"/>
  <c r="M533" i="2"/>
  <c r="N533" i="2"/>
  <c r="O533" i="2"/>
  <c r="P533" i="2"/>
  <c r="F534" i="2"/>
  <c r="G534" i="2"/>
  <c r="J534" i="2"/>
  <c r="M534" i="2"/>
  <c r="N534" i="2"/>
  <c r="O534" i="2"/>
  <c r="P534" i="2"/>
  <c r="F535" i="2"/>
  <c r="G535" i="2"/>
  <c r="J535" i="2"/>
  <c r="M535" i="2"/>
  <c r="N535" i="2"/>
  <c r="O535" i="2"/>
  <c r="P535" i="2"/>
  <c r="F536" i="2"/>
  <c r="G536" i="2"/>
  <c r="J536" i="2"/>
  <c r="M536" i="2"/>
  <c r="N536" i="2"/>
  <c r="O536" i="2"/>
  <c r="P536" i="2"/>
  <c r="F537" i="2"/>
  <c r="G537" i="2"/>
  <c r="J537" i="2"/>
  <c r="M537" i="2"/>
  <c r="N537" i="2"/>
  <c r="O537" i="2"/>
  <c r="P537" i="2"/>
  <c r="F538" i="2"/>
  <c r="G538" i="2"/>
  <c r="J538" i="2"/>
  <c r="M538" i="2"/>
  <c r="N538" i="2"/>
  <c r="O538" i="2"/>
  <c r="P538" i="2"/>
  <c r="F539" i="2"/>
  <c r="G539" i="2"/>
  <c r="J539" i="2"/>
  <c r="M539" i="2"/>
  <c r="N539" i="2"/>
  <c r="O539" i="2"/>
  <c r="P539" i="2"/>
  <c r="F540" i="2"/>
  <c r="G540" i="2"/>
  <c r="J540" i="2"/>
  <c r="M540" i="2"/>
  <c r="N540" i="2"/>
  <c r="O540" i="2"/>
  <c r="P540" i="2"/>
  <c r="F541" i="2"/>
  <c r="G541" i="2"/>
  <c r="J541" i="2"/>
  <c r="M541" i="2"/>
  <c r="N541" i="2"/>
  <c r="O541" i="2"/>
  <c r="P541" i="2"/>
  <c r="F542" i="2"/>
  <c r="G542" i="2"/>
  <c r="J542" i="2"/>
  <c r="M542" i="2"/>
  <c r="N542" i="2"/>
  <c r="O542" i="2"/>
  <c r="P542" i="2"/>
  <c r="F543" i="2"/>
  <c r="G543" i="2"/>
  <c r="J543" i="2"/>
  <c r="M543" i="2"/>
  <c r="N543" i="2"/>
  <c r="O543" i="2"/>
  <c r="P543" i="2"/>
  <c r="F544" i="2"/>
  <c r="G544" i="2"/>
  <c r="J544" i="2"/>
  <c r="M544" i="2"/>
  <c r="N544" i="2"/>
  <c r="O544" i="2"/>
  <c r="P544" i="2"/>
  <c r="F545" i="2"/>
  <c r="G545" i="2"/>
  <c r="J545" i="2"/>
  <c r="M545" i="2"/>
  <c r="N545" i="2"/>
  <c r="O545" i="2"/>
  <c r="P545" i="2"/>
  <c r="F546" i="2"/>
  <c r="G546" i="2"/>
  <c r="J546" i="2"/>
  <c r="M546" i="2"/>
  <c r="N546" i="2"/>
  <c r="O546" i="2"/>
  <c r="P546" i="2"/>
  <c r="F547" i="2"/>
  <c r="G547" i="2"/>
  <c r="J547" i="2"/>
  <c r="M547" i="2"/>
  <c r="N547" i="2"/>
  <c r="O547" i="2"/>
  <c r="P547" i="2"/>
  <c r="F548" i="2"/>
  <c r="G548" i="2"/>
  <c r="J548" i="2"/>
  <c r="M548" i="2"/>
  <c r="N548" i="2"/>
  <c r="O548" i="2"/>
  <c r="P548" i="2"/>
  <c r="F549" i="2"/>
  <c r="G549" i="2"/>
  <c r="J549" i="2"/>
  <c r="M549" i="2"/>
  <c r="N549" i="2"/>
  <c r="O549" i="2"/>
  <c r="P549" i="2"/>
  <c r="F550" i="2"/>
  <c r="G550" i="2"/>
  <c r="J550" i="2"/>
  <c r="M550" i="2"/>
  <c r="N550" i="2"/>
  <c r="O550" i="2"/>
  <c r="P550" i="2"/>
  <c r="F551" i="2"/>
  <c r="G551" i="2"/>
  <c r="J551" i="2"/>
  <c r="M551" i="2"/>
  <c r="N551" i="2"/>
  <c r="O551" i="2"/>
  <c r="P551" i="2"/>
  <c r="F552" i="2"/>
  <c r="G552" i="2"/>
  <c r="J552" i="2"/>
  <c r="M552" i="2"/>
  <c r="N552" i="2"/>
  <c r="O552" i="2"/>
  <c r="P552" i="2"/>
  <c r="F553" i="2"/>
  <c r="G553" i="2"/>
  <c r="J553" i="2"/>
  <c r="M553" i="2"/>
  <c r="N553" i="2"/>
  <c r="O553" i="2"/>
  <c r="P553" i="2"/>
  <c r="F554" i="2"/>
  <c r="G554" i="2"/>
  <c r="J554" i="2"/>
  <c r="M554" i="2"/>
  <c r="N554" i="2"/>
  <c r="O554" i="2"/>
  <c r="P554" i="2"/>
  <c r="F555" i="2"/>
  <c r="G555" i="2"/>
  <c r="J555" i="2"/>
  <c r="M555" i="2"/>
  <c r="N555" i="2"/>
  <c r="O555" i="2"/>
  <c r="P555" i="2"/>
  <c r="F556" i="2"/>
  <c r="G556" i="2"/>
  <c r="J556" i="2"/>
  <c r="M556" i="2"/>
  <c r="N556" i="2"/>
  <c r="O556" i="2"/>
  <c r="P556" i="2"/>
  <c r="F557" i="2"/>
  <c r="G557" i="2"/>
  <c r="J557" i="2"/>
  <c r="M557" i="2"/>
  <c r="N557" i="2"/>
  <c r="O557" i="2"/>
  <c r="P557" i="2"/>
  <c r="F558" i="2"/>
  <c r="G558" i="2"/>
  <c r="J558" i="2"/>
  <c r="M558" i="2"/>
  <c r="N558" i="2"/>
  <c r="O558" i="2"/>
  <c r="P558" i="2"/>
  <c r="F559" i="2"/>
  <c r="G559" i="2"/>
  <c r="J559" i="2"/>
  <c r="M559" i="2"/>
  <c r="N559" i="2"/>
  <c r="O559" i="2"/>
  <c r="P559" i="2"/>
  <c r="F560" i="2"/>
  <c r="G560" i="2"/>
  <c r="J560" i="2"/>
  <c r="M560" i="2"/>
  <c r="N560" i="2"/>
  <c r="O560" i="2"/>
  <c r="P560" i="2"/>
  <c r="F561" i="2"/>
  <c r="G561" i="2"/>
  <c r="J561" i="2"/>
  <c r="M561" i="2"/>
  <c r="N561" i="2"/>
  <c r="O561" i="2"/>
  <c r="P561" i="2"/>
  <c r="F562" i="2"/>
  <c r="G562" i="2"/>
  <c r="J562" i="2"/>
  <c r="M562" i="2"/>
  <c r="N562" i="2"/>
  <c r="O562" i="2"/>
  <c r="P562" i="2"/>
  <c r="F563" i="2"/>
  <c r="G563" i="2"/>
  <c r="J563" i="2"/>
  <c r="M563" i="2"/>
  <c r="N563" i="2"/>
  <c r="O563" i="2"/>
  <c r="P563" i="2"/>
  <c r="F564" i="2"/>
  <c r="G564" i="2"/>
  <c r="J564" i="2"/>
  <c r="M564" i="2"/>
  <c r="N564" i="2"/>
  <c r="O564" i="2"/>
  <c r="P564" i="2"/>
  <c r="F565" i="2"/>
  <c r="G565" i="2"/>
  <c r="J565" i="2"/>
  <c r="M565" i="2"/>
  <c r="N565" i="2"/>
  <c r="O565" i="2"/>
  <c r="P565" i="2"/>
  <c r="F566" i="2"/>
  <c r="G566" i="2"/>
  <c r="J566" i="2"/>
  <c r="M566" i="2"/>
  <c r="N566" i="2"/>
  <c r="O566" i="2"/>
  <c r="P566" i="2"/>
  <c r="F567" i="2"/>
  <c r="G567" i="2"/>
  <c r="J567" i="2"/>
  <c r="M567" i="2"/>
  <c r="N567" i="2"/>
  <c r="O567" i="2"/>
  <c r="P567" i="2"/>
  <c r="F568" i="2"/>
  <c r="G568" i="2"/>
  <c r="J568" i="2"/>
  <c r="M568" i="2"/>
  <c r="N568" i="2"/>
  <c r="O568" i="2"/>
  <c r="P568" i="2"/>
  <c r="F569" i="2"/>
  <c r="G569" i="2"/>
  <c r="J569" i="2"/>
  <c r="M569" i="2"/>
  <c r="N569" i="2"/>
  <c r="O569" i="2"/>
  <c r="P569" i="2"/>
  <c r="F570" i="2"/>
  <c r="G570" i="2"/>
  <c r="J570" i="2"/>
  <c r="M570" i="2"/>
  <c r="N570" i="2"/>
  <c r="O570" i="2"/>
  <c r="P570" i="2"/>
  <c r="F571" i="2"/>
  <c r="G571" i="2"/>
  <c r="J571" i="2"/>
  <c r="M571" i="2"/>
  <c r="N571" i="2"/>
  <c r="O571" i="2"/>
  <c r="P571" i="2"/>
  <c r="F572" i="2"/>
  <c r="G572" i="2"/>
  <c r="J572" i="2"/>
  <c r="M572" i="2"/>
  <c r="N572" i="2"/>
  <c r="O572" i="2"/>
  <c r="P572" i="2"/>
  <c r="F573" i="2"/>
  <c r="G573" i="2"/>
  <c r="J573" i="2"/>
  <c r="M573" i="2"/>
  <c r="N573" i="2"/>
  <c r="O573" i="2"/>
  <c r="P573" i="2"/>
  <c r="F574" i="2"/>
  <c r="G574" i="2"/>
  <c r="J574" i="2"/>
  <c r="M574" i="2"/>
  <c r="N574" i="2"/>
  <c r="O574" i="2"/>
  <c r="P574" i="2"/>
  <c r="F575" i="2"/>
  <c r="G575" i="2"/>
  <c r="J575" i="2"/>
  <c r="M575" i="2"/>
  <c r="N575" i="2"/>
  <c r="O575" i="2"/>
  <c r="P575" i="2"/>
  <c r="F576" i="2"/>
  <c r="G576" i="2"/>
  <c r="J576" i="2"/>
  <c r="M576" i="2"/>
  <c r="N576" i="2"/>
  <c r="O576" i="2"/>
  <c r="P576" i="2"/>
  <c r="F577" i="2"/>
  <c r="G577" i="2"/>
  <c r="J577" i="2"/>
  <c r="M577" i="2"/>
  <c r="N577" i="2"/>
  <c r="O577" i="2"/>
  <c r="P577" i="2"/>
  <c r="F578" i="2"/>
  <c r="G578" i="2"/>
  <c r="J578" i="2"/>
  <c r="M578" i="2"/>
  <c r="N578" i="2"/>
  <c r="O578" i="2"/>
  <c r="P578" i="2"/>
  <c r="F579" i="2"/>
  <c r="G579" i="2"/>
  <c r="J579" i="2"/>
  <c r="M579" i="2"/>
  <c r="N579" i="2"/>
  <c r="O579" i="2"/>
  <c r="P579" i="2"/>
  <c r="F580" i="2"/>
  <c r="G580" i="2"/>
  <c r="J580" i="2"/>
  <c r="M580" i="2"/>
  <c r="N580" i="2"/>
  <c r="O580" i="2"/>
  <c r="P580" i="2"/>
  <c r="F581" i="2"/>
  <c r="G581" i="2"/>
  <c r="J581" i="2"/>
  <c r="M581" i="2"/>
  <c r="N581" i="2"/>
  <c r="O581" i="2"/>
  <c r="P581" i="2"/>
  <c r="F582" i="2"/>
  <c r="G582" i="2"/>
  <c r="J582" i="2"/>
  <c r="M582" i="2"/>
  <c r="N582" i="2"/>
  <c r="O582" i="2"/>
  <c r="P582" i="2"/>
  <c r="F583" i="2"/>
  <c r="G583" i="2"/>
  <c r="J583" i="2"/>
  <c r="M583" i="2"/>
  <c r="N583" i="2"/>
  <c r="O583" i="2"/>
  <c r="P583" i="2"/>
  <c r="F584" i="2"/>
  <c r="G584" i="2"/>
  <c r="J584" i="2"/>
  <c r="M584" i="2"/>
  <c r="N584" i="2"/>
  <c r="O584" i="2"/>
  <c r="P584" i="2"/>
  <c r="F585" i="2"/>
  <c r="G585" i="2"/>
  <c r="J585" i="2"/>
  <c r="M585" i="2"/>
  <c r="N585" i="2"/>
  <c r="O585" i="2"/>
  <c r="P585" i="2"/>
  <c r="F586" i="2"/>
  <c r="G586" i="2"/>
  <c r="J586" i="2"/>
  <c r="M586" i="2"/>
  <c r="N586" i="2"/>
  <c r="O586" i="2"/>
  <c r="P586" i="2"/>
  <c r="F587" i="2"/>
  <c r="G587" i="2"/>
  <c r="J587" i="2"/>
  <c r="M587" i="2"/>
  <c r="N587" i="2"/>
  <c r="O587" i="2"/>
  <c r="P587" i="2"/>
  <c r="F588" i="2"/>
  <c r="G588" i="2"/>
  <c r="J588" i="2"/>
  <c r="M588" i="2"/>
  <c r="N588" i="2"/>
  <c r="O588" i="2"/>
  <c r="P588" i="2"/>
  <c r="F589" i="2"/>
  <c r="G589" i="2"/>
  <c r="J589" i="2"/>
  <c r="M589" i="2"/>
  <c r="N589" i="2"/>
  <c r="O589" i="2"/>
  <c r="P589" i="2"/>
  <c r="F590" i="2"/>
  <c r="G590" i="2"/>
  <c r="J590" i="2"/>
  <c r="M590" i="2"/>
  <c r="N590" i="2"/>
  <c r="O590" i="2"/>
  <c r="P590" i="2"/>
  <c r="F591" i="2"/>
  <c r="G591" i="2"/>
  <c r="J591" i="2"/>
  <c r="M591" i="2"/>
  <c r="N591" i="2"/>
  <c r="O591" i="2"/>
  <c r="P591" i="2"/>
  <c r="F592" i="2"/>
  <c r="G592" i="2"/>
  <c r="J592" i="2"/>
  <c r="M592" i="2"/>
  <c r="N592" i="2"/>
  <c r="O592" i="2"/>
  <c r="P592" i="2"/>
  <c r="F593" i="2"/>
  <c r="G593" i="2"/>
  <c r="J593" i="2"/>
  <c r="M593" i="2"/>
  <c r="N593" i="2"/>
  <c r="O593" i="2"/>
  <c r="P593" i="2"/>
  <c r="F594" i="2"/>
  <c r="G594" i="2"/>
  <c r="J594" i="2"/>
  <c r="M594" i="2"/>
  <c r="N594" i="2"/>
  <c r="O594" i="2"/>
  <c r="P594" i="2"/>
  <c r="F595" i="2"/>
  <c r="G595" i="2"/>
  <c r="J595" i="2"/>
  <c r="M595" i="2"/>
  <c r="N595" i="2"/>
  <c r="O595" i="2"/>
  <c r="P595" i="2"/>
  <c r="F596" i="2"/>
  <c r="G596" i="2"/>
  <c r="J596" i="2"/>
  <c r="M596" i="2"/>
  <c r="N596" i="2"/>
  <c r="O596" i="2"/>
  <c r="P596" i="2"/>
  <c r="F597" i="2"/>
  <c r="G597" i="2"/>
  <c r="J597" i="2"/>
  <c r="M597" i="2"/>
  <c r="N597" i="2"/>
  <c r="O597" i="2"/>
  <c r="P597" i="2"/>
  <c r="F598" i="2"/>
  <c r="G598" i="2"/>
  <c r="J598" i="2"/>
  <c r="M598" i="2"/>
  <c r="N598" i="2"/>
  <c r="O598" i="2"/>
  <c r="P598" i="2"/>
  <c r="F599" i="2"/>
  <c r="G599" i="2"/>
  <c r="J599" i="2"/>
  <c r="M599" i="2"/>
  <c r="N599" i="2"/>
  <c r="O599" i="2"/>
  <c r="P599" i="2"/>
  <c r="F600" i="2"/>
  <c r="G600" i="2"/>
  <c r="J600" i="2"/>
  <c r="M600" i="2"/>
  <c r="N600" i="2"/>
  <c r="O600" i="2"/>
  <c r="P600" i="2"/>
  <c r="F601" i="2"/>
  <c r="G601" i="2"/>
  <c r="J601" i="2"/>
  <c r="M601" i="2"/>
  <c r="N601" i="2"/>
  <c r="O601" i="2"/>
  <c r="P601" i="2"/>
  <c r="F602" i="2"/>
  <c r="G602" i="2"/>
  <c r="J602" i="2"/>
  <c r="M602" i="2"/>
  <c r="N602" i="2"/>
  <c r="O602" i="2"/>
  <c r="P602" i="2"/>
  <c r="F603" i="2"/>
  <c r="G603" i="2"/>
  <c r="J603" i="2"/>
  <c r="M603" i="2"/>
  <c r="N603" i="2"/>
  <c r="O603" i="2"/>
  <c r="P603" i="2"/>
  <c r="F604" i="2"/>
  <c r="G604" i="2"/>
  <c r="J604" i="2"/>
  <c r="M604" i="2"/>
  <c r="N604" i="2"/>
  <c r="O604" i="2"/>
  <c r="P604" i="2"/>
  <c r="F605" i="2"/>
  <c r="G605" i="2"/>
  <c r="J605" i="2"/>
  <c r="M605" i="2"/>
  <c r="N605" i="2"/>
  <c r="O605" i="2"/>
  <c r="P605" i="2"/>
  <c r="F606" i="2"/>
  <c r="G606" i="2"/>
  <c r="J606" i="2"/>
  <c r="M606" i="2"/>
  <c r="N606" i="2"/>
  <c r="O606" i="2"/>
  <c r="P606" i="2"/>
  <c r="F607" i="2"/>
  <c r="G607" i="2"/>
  <c r="J607" i="2"/>
  <c r="M607" i="2"/>
  <c r="N607" i="2"/>
  <c r="O607" i="2"/>
  <c r="P607" i="2"/>
  <c r="F608" i="2"/>
  <c r="G608" i="2"/>
  <c r="J608" i="2"/>
  <c r="M608" i="2"/>
  <c r="N608" i="2"/>
  <c r="O608" i="2"/>
  <c r="P608" i="2"/>
  <c r="F609" i="2"/>
  <c r="G609" i="2"/>
  <c r="J609" i="2"/>
  <c r="M609" i="2"/>
  <c r="N609" i="2"/>
  <c r="O609" i="2"/>
  <c r="P609" i="2"/>
  <c r="F610" i="2"/>
  <c r="G610" i="2"/>
  <c r="J610" i="2"/>
  <c r="M610" i="2"/>
  <c r="N610" i="2"/>
  <c r="O610" i="2"/>
  <c r="P610" i="2"/>
  <c r="F611" i="2"/>
  <c r="G611" i="2"/>
  <c r="J611" i="2"/>
  <c r="M611" i="2"/>
  <c r="N611" i="2"/>
  <c r="O611" i="2"/>
  <c r="P611" i="2"/>
  <c r="E613" i="2"/>
  <c r="F613" i="2"/>
  <c r="G613" i="2"/>
  <c r="H613" i="2"/>
  <c r="I613" i="2"/>
  <c r="J613" i="2"/>
  <c r="K613" i="2"/>
  <c r="L613" i="2"/>
  <c r="M613" i="2"/>
  <c r="O613" i="2"/>
  <c r="P613" i="2"/>
  <c r="Q613" i="2"/>
  <c r="R613" i="2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B3" i="18"/>
  <c r="C3" i="18"/>
  <c r="A2" i="10" s="1"/>
  <c r="A4" i="18"/>
  <c r="B4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D9" i="18"/>
  <c r="G9" i="18" s="1"/>
  <c r="E9" i="18"/>
  <c r="F9" i="18"/>
  <c r="H9" i="18"/>
  <c r="I9" i="18"/>
  <c r="K9" i="18"/>
  <c r="L9" i="18"/>
  <c r="M9" i="18"/>
  <c r="N9" i="18"/>
  <c r="O9" i="18"/>
  <c r="P9" i="18"/>
  <c r="Q9" i="18"/>
  <c r="D10" i="18"/>
  <c r="H10" i="18" s="1"/>
  <c r="E10" i="18"/>
  <c r="F10" i="18"/>
  <c r="I10" i="18"/>
  <c r="J10" i="18"/>
  <c r="K10" i="18"/>
  <c r="L10" i="18"/>
  <c r="M10" i="18"/>
  <c r="N10" i="18"/>
  <c r="O10" i="18"/>
  <c r="P10" i="18"/>
  <c r="Q10" i="18"/>
  <c r="R10" i="18"/>
  <c r="D11" i="18"/>
  <c r="D12" i="18" s="1"/>
  <c r="I12" i="18" s="1"/>
  <c r="E11" i="18"/>
  <c r="F11" i="18"/>
  <c r="G11" i="18"/>
  <c r="I11" i="18"/>
  <c r="L11" i="18"/>
  <c r="M11" i="18"/>
  <c r="N11" i="18"/>
  <c r="O11" i="18"/>
  <c r="P11" i="18"/>
  <c r="Q11" i="18"/>
  <c r="F12" i="18"/>
  <c r="G12" i="18"/>
  <c r="H12" i="18"/>
  <c r="K12" i="18"/>
  <c r="L12" i="18"/>
  <c r="M12" i="18"/>
  <c r="N12" i="18"/>
  <c r="O12" i="18"/>
  <c r="P12" i="18"/>
  <c r="F13" i="18"/>
  <c r="L13" i="18"/>
  <c r="M13" i="18"/>
  <c r="N13" i="18"/>
  <c r="O13" i="18"/>
  <c r="P13" i="18"/>
  <c r="F14" i="18"/>
  <c r="L14" i="18"/>
  <c r="M14" i="18"/>
  <c r="N14" i="18"/>
  <c r="O14" i="18"/>
  <c r="P14" i="18"/>
  <c r="F15" i="18"/>
  <c r="L15" i="18"/>
  <c r="M15" i="18"/>
  <c r="N15" i="18"/>
  <c r="O15" i="18"/>
  <c r="P15" i="18"/>
  <c r="F16" i="18"/>
  <c r="L16" i="18"/>
  <c r="M16" i="18"/>
  <c r="N16" i="18"/>
  <c r="O16" i="18"/>
  <c r="P16" i="18"/>
  <c r="F17" i="18"/>
  <c r="L17" i="18"/>
  <c r="M17" i="18"/>
  <c r="N17" i="18"/>
  <c r="O17" i="18"/>
  <c r="P17" i="18"/>
  <c r="F18" i="18"/>
  <c r="L18" i="18"/>
  <c r="M18" i="18"/>
  <c r="N18" i="18"/>
  <c r="O18" i="18"/>
  <c r="P18" i="18"/>
  <c r="F19" i="18"/>
  <c r="L19" i="18"/>
  <c r="M19" i="18"/>
  <c r="N19" i="18"/>
  <c r="O19" i="18"/>
  <c r="P19" i="18"/>
  <c r="F20" i="18"/>
  <c r="L20" i="18"/>
  <c r="M20" i="18"/>
  <c r="N20" i="18"/>
  <c r="O20" i="18"/>
  <c r="P20" i="18"/>
  <c r="F21" i="18"/>
  <c r="L21" i="18"/>
  <c r="M21" i="18"/>
  <c r="N21" i="18"/>
  <c r="O21" i="18"/>
  <c r="P21" i="18"/>
  <c r="F22" i="18"/>
  <c r="L22" i="18"/>
  <c r="M22" i="18"/>
  <c r="N22" i="18"/>
  <c r="O22" i="18"/>
  <c r="P22" i="18"/>
  <c r="F23" i="18"/>
  <c r="L23" i="18"/>
  <c r="M23" i="18"/>
  <c r="N23" i="18"/>
  <c r="O23" i="18"/>
  <c r="P23" i="18"/>
  <c r="F24" i="18"/>
  <c r="L24" i="18"/>
  <c r="M24" i="18"/>
  <c r="N24" i="18"/>
  <c r="O24" i="18"/>
  <c r="P24" i="18"/>
  <c r="F25" i="18"/>
  <c r="L25" i="18"/>
  <c r="M25" i="18"/>
  <c r="N25" i="18"/>
  <c r="O25" i="18"/>
  <c r="P25" i="18"/>
  <c r="F26" i="18"/>
  <c r="L26" i="18"/>
  <c r="M26" i="18"/>
  <c r="N26" i="18"/>
  <c r="O26" i="18"/>
  <c r="P26" i="18"/>
  <c r="F27" i="18"/>
  <c r="L27" i="18"/>
  <c r="M27" i="18"/>
  <c r="N27" i="18"/>
  <c r="O27" i="18"/>
  <c r="P27" i="18"/>
  <c r="F28" i="18"/>
  <c r="L28" i="18"/>
  <c r="M28" i="18"/>
  <c r="N28" i="18"/>
  <c r="O28" i="18"/>
  <c r="P28" i="18"/>
  <c r="F29" i="18"/>
  <c r="L29" i="18"/>
  <c r="M29" i="18"/>
  <c r="N29" i="18"/>
  <c r="O29" i="18"/>
  <c r="P29" i="18"/>
  <c r="F30" i="18"/>
  <c r="L30" i="18"/>
  <c r="M30" i="18"/>
  <c r="N30" i="18"/>
  <c r="O30" i="18"/>
  <c r="P30" i="18"/>
  <c r="F31" i="18"/>
  <c r="L31" i="18"/>
  <c r="M31" i="18"/>
  <c r="N31" i="18"/>
  <c r="O31" i="18"/>
  <c r="P31" i="18"/>
  <c r="F32" i="18"/>
  <c r="L32" i="18"/>
  <c r="M32" i="18"/>
  <c r="N32" i="18"/>
  <c r="O32" i="18"/>
  <c r="P32" i="18"/>
  <c r="F33" i="18"/>
  <c r="L33" i="18"/>
  <c r="M33" i="18"/>
  <c r="N33" i="18"/>
  <c r="O33" i="18"/>
  <c r="P33" i="18"/>
  <c r="F34" i="18"/>
  <c r="L34" i="18"/>
  <c r="M34" i="18"/>
  <c r="N34" i="18"/>
  <c r="O34" i="18"/>
  <c r="P34" i="18"/>
  <c r="F35" i="18"/>
  <c r="L35" i="18"/>
  <c r="M35" i="18"/>
  <c r="N35" i="18"/>
  <c r="O35" i="18"/>
  <c r="P35" i="18"/>
  <c r="F36" i="18"/>
  <c r="L36" i="18"/>
  <c r="M36" i="18"/>
  <c r="N36" i="18"/>
  <c r="O36" i="18"/>
  <c r="P36" i="18"/>
  <c r="F37" i="18"/>
  <c r="L37" i="18"/>
  <c r="M37" i="18"/>
  <c r="N37" i="18"/>
  <c r="O37" i="18"/>
  <c r="P37" i="18"/>
  <c r="F38" i="18"/>
  <c r="L38" i="18"/>
  <c r="M38" i="18"/>
  <c r="N38" i="18"/>
  <c r="O38" i="18"/>
  <c r="P38" i="18"/>
  <c r="F39" i="18"/>
  <c r="L39" i="18"/>
  <c r="M39" i="18"/>
  <c r="N39" i="18"/>
  <c r="O39" i="18"/>
  <c r="P39" i="18"/>
  <c r="F40" i="18"/>
  <c r="L40" i="18"/>
  <c r="M40" i="18"/>
  <c r="N40" i="18"/>
  <c r="O40" i="18"/>
  <c r="P40" i="18"/>
  <c r="F41" i="18"/>
  <c r="L41" i="18"/>
  <c r="M41" i="18"/>
  <c r="N41" i="18"/>
  <c r="O41" i="18"/>
  <c r="P41" i="18"/>
  <c r="F42" i="18"/>
  <c r="L42" i="18"/>
  <c r="M42" i="18"/>
  <c r="N42" i="18"/>
  <c r="O42" i="18"/>
  <c r="P42" i="18"/>
  <c r="F43" i="18"/>
  <c r="L43" i="18"/>
  <c r="M43" i="18"/>
  <c r="N43" i="18"/>
  <c r="O43" i="18"/>
  <c r="P43" i="18"/>
  <c r="F44" i="18"/>
  <c r="L44" i="18"/>
  <c r="M44" i="18"/>
  <c r="N44" i="18"/>
  <c r="O44" i="18"/>
  <c r="P44" i="18"/>
  <c r="F45" i="18"/>
  <c r="L45" i="18"/>
  <c r="M45" i="18"/>
  <c r="N45" i="18"/>
  <c r="O45" i="18"/>
  <c r="P45" i="18"/>
  <c r="F46" i="18"/>
  <c r="L46" i="18"/>
  <c r="M46" i="18"/>
  <c r="N46" i="18"/>
  <c r="O46" i="18"/>
  <c r="P46" i="18"/>
  <c r="F47" i="18"/>
  <c r="L47" i="18"/>
  <c r="M47" i="18"/>
  <c r="N47" i="18"/>
  <c r="O47" i="18"/>
  <c r="P47" i="18"/>
  <c r="F48" i="18"/>
  <c r="L48" i="18"/>
  <c r="M48" i="18"/>
  <c r="N48" i="18"/>
  <c r="O48" i="18"/>
  <c r="P48" i="18"/>
  <c r="F49" i="18"/>
  <c r="L49" i="18"/>
  <c r="M49" i="18"/>
  <c r="N49" i="18"/>
  <c r="O49" i="18"/>
  <c r="P49" i="18"/>
  <c r="F50" i="18"/>
  <c r="L50" i="18"/>
  <c r="M50" i="18"/>
  <c r="N50" i="18"/>
  <c r="O50" i="18"/>
  <c r="P50" i="18"/>
  <c r="F51" i="18"/>
  <c r="L51" i="18"/>
  <c r="M51" i="18"/>
  <c r="N51" i="18"/>
  <c r="O51" i="18"/>
  <c r="P51" i="18"/>
  <c r="F52" i="18"/>
  <c r="L52" i="18"/>
  <c r="M52" i="18"/>
  <c r="N52" i="18"/>
  <c r="O52" i="18"/>
  <c r="P52" i="18"/>
  <c r="F53" i="18"/>
  <c r="L53" i="18"/>
  <c r="M53" i="18"/>
  <c r="N53" i="18"/>
  <c r="O53" i="18"/>
  <c r="P53" i="18"/>
  <c r="F54" i="18"/>
  <c r="L54" i="18"/>
  <c r="M54" i="18"/>
  <c r="N54" i="18"/>
  <c r="O54" i="18"/>
  <c r="P54" i="18"/>
  <c r="F55" i="18"/>
  <c r="L55" i="18"/>
  <c r="M55" i="18"/>
  <c r="N55" i="18"/>
  <c r="O55" i="18"/>
  <c r="P55" i="18"/>
  <c r="F56" i="18"/>
  <c r="L56" i="18"/>
  <c r="M56" i="18"/>
  <c r="N56" i="18"/>
  <c r="O56" i="18"/>
  <c r="P56" i="18"/>
  <c r="F57" i="18"/>
  <c r="L57" i="18"/>
  <c r="M57" i="18"/>
  <c r="N57" i="18"/>
  <c r="O57" i="18"/>
  <c r="P57" i="18"/>
  <c r="F58" i="18"/>
  <c r="L58" i="18"/>
  <c r="M58" i="18"/>
  <c r="N58" i="18"/>
  <c r="O58" i="18"/>
  <c r="P58" i="18"/>
  <c r="F59" i="18"/>
  <c r="L59" i="18"/>
  <c r="M59" i="18"/>
  <c r="N59" i="18"/>
  <c r="O59" i="18"/>
  <c r="P59" i="18"/>
  <c r="F60" i="18"/>
  <c r="L60" i="18"/>
  <c r="M60" i="18"/>
  <c r="N60" i="18"/>
  <c r="O60" i="18"/>
  <c r="P60" i="18"/>
  <c r="F61" i="18"/>
  <c r="L61" i="18"/>
  <c r="M61" i="18"/>
  <c r="N61" i="18"/>
  <c r="O61" i="18"/>
  <c r="P61" i="18"/>
  <c r="F62" i="18"/>
  <c r="L62" i="18"/>
  <c r="M62" i="18"/>
  <c r="N62" i="18"/>
  <c r="O62" i="18"/>
  <c r="P62" i="18"/>
  <c r="F63" i="18"/>
  <c r="L63" i="18"/>
  <c r="M63" i="18"/>
  <c r="N63" i="18"/>
  <c r="O63" i="18"/>
  <c r="P63" i="18"/>
  <c r="F64" i="18"/>
  <c r="L64" i="18"/>
  <c r="M64" i="18"/>
  <c r="N64" i="18"/>
  <c r="O64" i="18"/>
  <c r="P64" i="18"/>
  <c r="F65" i="18"/>
  <c r="L65" i="18"/>
  <c r="M65" i="18"/>
  <c r="N65" i="18"/>
  <c r="O65" i="18"/>
  <c r="P65" i="18"/>
  <c r="F66" i="18"/>
  <c r="L66" i="18"/>
  <c r="M66" i="18"/>
  <c r="N66" i="18"/>
  <c r="O66" i="18"/>
  <c r="P66" i="18"/>
  <c r="F67" i="18"/>
  <c r="L67" i="18"/>
  <c r="M67" i="18"/>
  <c r="N67" i="18"/>
  <c r="O67" i="18"/>
  <c r="P67" i="18"/>
  <c r="F68" i="18"/>
  <c r="L68" i="18"/>
  <c r="M68" i="18"/>
  <c r="N68" i="18"/>
  <c r="O68" i="18"/>
  <c r="P68" i="18"/>
  <c r="F69" i="18"/>
  <c r="L69" i="18"/>
  <c r="M69" i="18"/>
  <c r="N69" i="18"/>
  <c r="O69" i="18"/>
  <c r="P69" i="18"/>
  <c r="F70" i="18"/>
  <c r="L70" i="18"/>
  <c r="M70" i="18"/>
  <c r="N70" i="18"/>
  <c r="O70" i="18"/>
  <c r="P70" i="18"/>
  <c r="F71" i="18"/>
  <c r="L71" i="18"/>
  <c r="M71" i="18"/>
  <c r="N71" i="18"/>
  <c r="O71" i="18"/>
  <c r="P71" i="18"/>
  <c r="F72" i="18"/>
  <c r="L72" i="18"/>
  <c r="M72" i="18"/>
  <c r="N72" i="18"/>
  <c r="O72" i="18"/>
  <c r="P72" i="18"/>
  <c r="F73" i="18"/>
  <c r="L73" i="18"/>
  <c r="M73" i="18"/>
  <c r="N73" i="18"/>
  <c r="O73" i="18"/>
  <c r="P73" i="18"/>
  <c r="F74" i="18"/>
  <c r="L74" i="18"/>
  <c r="M74" i="18"/>
  <c r="N74" i="18"/>
  <c r="O74" i="18"/>
  <c r="P74" i="18"/>
  <c r="F75" i="18"/>
  <c r="L75" i="18"/>
  <c r="M75" i="18"/>
  <c r="N75" i="18"/>
  <c r="O75" i="18"/>
  <c r="P75" i="18"/>
  <c r="F76" i="18"/>
  <c r="L76" i="18"/>
  <c r="M76" i="18"/>
  <c r="N76" i="18"/>
  <c r="O76" i="18"/>
  <c r="P76" i="18"/>
  <c r="F77" i="18"/>
  <c r="L77" i="18"/>
  <c r="M77" i="18"/>
  <c r="N77" i="18"/>
  <c r="O77" i="18"/>
  <c r="P77" i="18"/>
  <c r="F78" i="18"/>
  <c r="L78" i="18"/>
  <c r="M78" i="18"/>
  <c r="N78" i="18"/>
  <c r="O78" i="18"/>
  <c r="P78" i="18"/>
  <c r="F79" i="18"/>
  <c r="L79" i="18"/>
  <c r="M79" i="18"/>
  <c r="N79" i="18"/>
  <c r="O79" i="18"/>
  <c r="P79" i="18"/>
  <c r="F80" i="18"/>
  <c r="L80" i="18"/>
  <c r="M80" i="18"/>
  <c r="N80" i="18"/>
  <c r="O80" i="18"/>
  <c r="P80" i="18"/>
  <c r="F81" i="18"/>
  <c r="L81" i="18"/>
  <c r="M81" i="18"/>
  <c r="N81" i="18"/>
  <c r="O81" i="18"/>
  <c r="P81" i="18"/>
  <c r="F82" i="18"/>
  <c r="L82" i="18"/>
  <c r="M82" i="18"/>
  <c r="N82" i="18"/>
  <c r="O82" i="18"/>
  <c r="P82" i="18"/>
  <c r="F83" i="18"/>
  <c r="L83" i="18"/>
  <c r="M83" i="18"/>
  <c r="N83" i="18"/>
  <c r="O83" i="18"/>
  <c r="P83" i="18"/>
  <c r="F84" i="18"/>
  <c r="L84" i="18"/>
  <c r="M84" i="18"/>
  <c r="N84" i="18"/>
  <c r="O84" i="18"/>
  <c r="P84" i="18"/>
  <c r="F85" i="18"/>
  <c r="L85" i="18"/>
  <c r="M85" i="18"/>
  <c r="N85" i="18"/>
  <c r="O85" i="18"/>
  <c r="P85" i="18"/>
  <c r="F86" i="18"/>
  <c r="L86" i="18"/>
  <c r="M86" i="18"/>
  <c r="N86" i="18"/>
  <c r="O86" i="18"/>
  <c r="P86" i="18"/>
  <c r="F87" i="18"/>
  <c r="L87" i="18"/>
  <c r="M87" i="18"/>
  <c r="N87" i="18"/>
  <c r="O87" i="18"/>
  <c r="P87" i="18"/>
  <c r="F88" i="18"/>
  <c r="L88" i="18"/>
  <c r="M88" i="18"/>
  <c r="N88" i="18"/>
  <c r="O88" i="18"/>
  <c r="P88" i="18"/>
  <c r="F89" i="18"/>
  <c r="L89" i="18"/>
  <c r="M89" i="18"/>
  <c r="N89" i="18"/>
  <c r="O89" i="18"/>
  <c r="P89" i="18"/>
  <c r="F90" i="18"/>
  <c r="L90" i="18"/>
  <c r="M90" i="18"/>
  <c r="N90" i="18"/>
  <c r="O90" i="18"/>
  <c r="P90" i="18"/>
  <c r="F91" i="18"/>
  <c r="L91" i="18"/>
  <c r="M91" i="18"/>
  <c r="N91" i="18"/>
  <c r="O91" i="18"/>
  <c r="P91" i="18"/>
  <c r="F92" i="18"/>
  <c r="L92" i="18"/>
  <c r="M92" i="18"/>
  <c r="N92" i="18"/>
  <c r="O92" i="18"/>
  <c r="P92" i="18"/>
  <c r="F93" i="18"/>
  <c r="L93" i="18"/>
  <c r="M93" i="18"/>
  <c r="N93" i="18"/>
  <c r="O93" i="18"/>
  <c r="P93" i="18"/>
  <c r="F94" i="18"/>
  <c r="L94" i="18"/>
  <c r="M94" i="18"/>
  <c r="N94" i="18"/>
  <c r="O94" i="18"/>
  <c r="P94" i="18"/>
  <c r="F95" i="18"/>
  <c r="L95" i="18"/>
  <c r="M95" i="18"/>
  <c r="N95" i="18"/>
  <c r="O95" i="18"/>
  <c r="P95" i="18"/>
  <c r="F96" i="18"/>
  <c r="L96" i="18"/>
  <c r="M96" i="18"/>
  <c r="N96" i="18"/>
  <c r="O96" i="18"/>
  <c r="P96" i="18"/>
  <c r="F97" i="18"/>
  <c r="L97" i="18"/>
  <c r="M97" i="18"/>
  <c r="N97" i="18"/>
  <c r="O97" i="18"/>
  <c r="P97" i="18"/>
  <c r="F98" i="18"/>
  <c r="L98" i="18"/>
  <c r="M98" i="18"/>
  <c r="N98" i="18"/>
  <c r="O98" i="18"/>
  <c r="P98" i="18"/>
  <c r="F99" i="18"/>
  <c r="L99" i="18"/>
  <c r="M99" i="18"/>
  <c r="N99" i="18"/>
  <c r="O99" i="18"/>
  <c r="P99" i="18"/>
  <c r="F100" i="18"/>
  <c r="L100" i="18"/>
  <c r="M100" i="18"/>
  <c r="N100" i="18"/>
  <c r="O100" i="18"/>
  <c r="P100" i="18"/>
  <c r="F101" i="18"/>
  <c r="L101" i="18"/>
  <c r="M101" i="18"/>
  <c r="N101" i="18"/>
  <c r="O101" i="18"/>
  <c r="P101" i="18"/>
  <c r="F102" i="18"/>
  <c r="L102" i="18"/>
  <c r="M102" i="18"/>
  <c r="N102" i="18"/>
  <c r="O102" i="18"/>
  <c r="P102" i="18"/>
  <c r="F103" i="18"/>
  <c r="L103" i="18"/>
  <c r="M103" i="18"/>
  <c r="N103" i="18"/>
  <c r="O103" i="18"/>
  <c r="P103" i="18"/>
  <c r="F104" i="18"/>
  <c r="L104" i="18"/>
  <c r="M104" i="18"/>
  <c r="N104" i="18"/>
  <c r="O104" i="18"/>
  <c r="P104" i="18"/>
  <c r="F105" i="18"/>
  <c r="L105" i="18"/>
  <c r="M105" i="18"/>
  <c r="N105" i="18"/>
  <c r="O105" i="18"/>
  <c r="P105" i="18"/>
  <c r="F106" i="18"/>
  <c r="L106" i="18"/>
  <c r="M106" i="18"/>
  <c r="N106" i="18"/>
  <c r="O106" i="18"/>
  <c r="P106" i="18"/>
  <c r="F107" i="18"/>
  <c r="L107" i="18"/>
  <c r="M107" i="18"/>
  <c r="N107" i="18"/>
  <c r="O107" i="18"/>
  <c r="P107" i="18"/>
  <c r="F108" i="18"/>
  <c r="L108" i="18"/>
  <c r="M108" i="18"/>
  <c r="N108" i="18"/>
  <c r="O108" i="18"/>
  <c r="P108" i="18"/>
  <c r="F109" i="18"/>
  <c r="L109" i="18"/>
  <c r="M109" i="18"/>
  <c r="N109" i="18"/>
  <c r="O109" i="18"/>
  <c r="P109" i="18"/>
  <c r="F110" i="18"/>
  <c r="L110" i="18"/>
  <c r="M110" i="18"/>
  <c r="N110" i="18"/>
  <c r="O110" i="18"/>
  <c r="P110" i="18"/>
  <c r="F111" i="18"/>
  <c r="L111" i="18"/>
  <c r="M111" i="18"/>
  <c r="N111" i="18"/>
  <c r="O111" i="18"/>
  <c r="P111" i="18"/>
  <c r="F112" i="18"/>
  <c r="L112" i="18"/>
  <c r="M112" i="18"/>
  <c r="N112" i="18"/>
  <c r="O112" i="18"/>
  <c r="P112" i="18"/>
  <c r="F113" i="18"/>
  <c r="L113" i="18"/>
  <c r="M113" i="18"/>
  <c r="N113" i="18"/>
  <c r="O113" i="18"/>
  <c r="P113" i="18"/>
  <c r="F114" i="18"/>
  <c r="L114" i="18"/>
  <c r="M114" i="18"/>
  <c r="N114" i="18"/>
  <c r="O114" i="18"/>
  <c r="P114" i="18"/>
  <c r="F115" i="18"/>
  <c r="L115" i="18"/>
  <c r="M115" i="18"/>
  <c r="N115" i="18"/>
  <c r="O115" i="18"/>
  <c r="P115" i="18"/>
  <c r="F116" i="18"/>
  <c r="L116" i="18"/>
  <c r="M116" i="18"/>
  <c r="N116" i="18"/>
  <c r="O116" i="18"/>
  <c r="P116" i="18"/>
  <c r="F117" i="18"/>
  <c r="L117" i="18"/>
  <c r="M117" i="18"/>
  <c r="N117" i="18"/>
  <c r="O117" i="18"/>
  <c r="P117" i="18"/>
  <c r="F118" i="18"/>
  <c r="L118" i="18"/>
  <c r="M118" i="18"/>
  <c r="N118" i="18"/>
  <c r="O118" i="18"/>
  <c r="P118" i="18"/>
  <c r="F119" i="18"/>
  <c r="L119" i="18"/>
  <c r="M119" i="18"/>
  <c r="N119" i="18"/>
  <c r="O119" i="18"/>
  <c r="P119" i="18"/>
  <c r="F120" i="18"/>
  <c r="L120" i="18"/>
  <c r="M120" i="18"/>
  <c r="N120" i="18"/>
  <c r="O120" i="18"/>
  <c r="P120" i="18"/>
  <c r="F121" i="18"/>
  <c r="L121" i="18"/>
  <c r="M121" i="18"/>
  <c r="N121" i="18"/>
  <c r="O121" i="18"/>
  <c r="P121" i="18"/>
  <c r="F122" i="18"/>
  <c r="L122" i="18"/>
  <c r="M122" i="18"/>
  <c r="N122" i="18"/>
  <c r="O122" i="18"/>
  <c r="P122" i="18"/>
  <c r="E124" i="18"/>
  <c r="F124" i="18"/>
  <c r="G124" i="18"/>
  <c r="H124" i="18"/>
  <c r="I124" i="18"/>
  <c r="J124" i="18"/>
  <c r="K124" i="18"/>
  <c r="L124" i="18"/>
  <c r="M124" i="18"/>
  <c r="O124" i="18"/>
  <c r="P124" i="18"/>
  <c r="Q124" i="18"/>
  <c r="R124" i="18"/>
  <c r="C125" i="18"/>
  <c r="E247" i="18"/>
  <c r="F247" i="18"/>
  <c r="G247" i="18"/>
  <c r="H247" i="18"/>
  <c r="I247" i="18"/>
  <c r="J247" i="18"/>
  <c r="K247" i="18"/>
  <c r="L247" i="18"/>
  <c r="M247" i="18"/>
  <c r="O247" i="18"/>
  <c r="P247" i="18"/>
  <c r="Q247" i="18"/>
  <c r="R247" i="18"/>
  <c r="C248" i="18"/>
  <c r="E369" i="18"/>
  <c r="F369" i="18"/>
  <c r="G369" i="18"/>
  <c r="H369" i="18"/>
  <c r="I369" i="18"/>
  <c r="J369" i="18"/>
  <c r="K369" i="18"/>
  <c r="L369" i="18"/>
  <c r="M369" i="18"/>
  <c r="O369" i="18"/>
  <c r="P369" i="18"/>
  <c r="Q369" i="18"/>
  <c r="R369" i="18"/>
  <c r="C370" i="18"/>
  <c r="E491" i="18"/>
  <c r="F491" i="18"/>
  <c r="G491" i="18"/>
  <c r="H491" i="18"/>
  <c r="I491" i="18"/>
  <c r="J491" i="18"/>
  <c r="K491" i="18"/>
  <c r="L491" i="18"/>
  <c r="M491" i="18"/>
  <c r="O491" i="18"/>
  <c r="P491" i="18"/>
  <c r="Q491" i="18"/>
  <c r="R491" i="18"/>
  <c r="B492" i="18"/>
  <c r="E497" i="18"/>
  <c r="F497" i="18"/>
  <c r="G497" i="18"/>
  <c r="H497" i="18"/>
  <c r="I497" i="18"/>
  <c r="J497" i="18"/>
  <c r="K497" i="18"/>
  <c r="L497" i="18"/>
  <c r="M497" i="18"/>
  <c r="O497" i="18"/>
  <c r="P497" i="18"/>
  <c r="Q497" i="18"/>
  <c r="R497" i="18"/>
  <c r="D498" i="18"/>
  <c r="E498" i="18" s="1"/>
  <c r="F498" i="18"/>
  <c r="G498" i="18"/>
  <c r="H498" i="18"/>
  <c r="I498" i="18"/>
  <c r="J498" i="18"/>
  <c r="K498" i="18"/>
  <c r="L498" i="18"/>
  <c r="M498" i="18"/>
  <c r="O498" i="18"/>
  <c r="P498" i="18"/>
  <c r="Q498" i="18"/>
  <c r="R498" i="18"/>
  <c r="D499" i="18"/>
  <c r="E499" i="18"/>
  <c r="F499" i="18"/>
  <c r="G499" i="18"/>
  <c r="H499" i="18"/>
  <c r="I499" i="18"/>
  <c r="J499" i="18"/>
  <c r="K499" i="18"/>
  <c r="L499" i="18"/>
  <c r="M499" i="18"/>
  <c r="O499" i="18"/>
  <c r="P499" i="18"/>
  <c r="Q499" i="18"/>
  <c r="R499" i="18"/>
  <c r="D500" i="18"/>
  <c r="E500" i="18"/>
  <c r="F500" i="18"/>
  <c r="G500" i="18"/>
  <c r="H500" i="18"/>
  <c r="I500" i="18"/>
  <c r="J500" i="18"/>
  <c r="K500" i="18"/>
  <c r="L500" i="18"/>
  <c r="M500" i="18"/>
  <c r="O500" i="18"/>
  <c r="P500" i="18"/>
  <c r="Q500" i="18"/>
  <c r="R500" i="18"/>
  <c r="D501" i="18"/>
  <c r="J501" i="18" s="1"/>
  <c r="E501" i="18"/>
  <c r="F501" i="18"/>
  <c r="G501" i="18"/>
  <c r="H501" i="18"/>
  <c r="I501" i="18"/>
  <c r="K501" i="18"/>
  <c r="L501" i="18"/>
  <c r="M501" i="18"/>
  <c r="O501" i="18"/>
  <c r="P501" i="18"/>
  <c r="Q501" i="18"/>
  <c r="R501" i="18"/>
  <c r="D502" i="18"/>
  <c r="R502" i="18" s="1"/>
  <c r="E502" i="18"/>
  <c r="F502" i="18"/>
  <c r="G502" i="18"/>
  <c r="H502" i="18"/>
  <c r="I502" i="18"/>
  <c r="K502" i="18"/>
  <c r="L502" i="18"/>
  <c r="M502" i="18"/>
  <c r="O502" i="18"/>
  <c r="P502" i="18"/>
  <c r="Q502" i="18"/>
  <c r="D503" i="18"/>
  <c r="F503" i="18"/>
  <c r="G503" i="18"/>
  <c r="I503" i="18"/>
  <c r="K503" i="18"/>
  <c r="M503" i="18"/>
  <c r="O503" i="18"/>
  <c r="P503" i="18"/>
  <c r="F504" i="18"/>
  <c r="G504" i="18"/>
  <c r="I504" i="18"/>
  <c r="K504" i="18"/>
  <c r="M504" i="18"/>
  <c r="O504" i="18"/>
  <c r="P504" i="18"/>
  <c r="F505" i="18"/>
  <c r="G505" i="18"/>
  <c r="I505" i="18"/>
  <c r="K505" i="18"/>
  <c r="M505" i="18"/>
  <c r="O505" i="18"/>
  <c r="P505" i="18"/>
  <c r="F506" i="18"/>
  <c r="G506" i="18"/>
  <c r="I506" i="18"/>
  <c r="K506" i="18"/>
  <c r="M506" i="18"/>
  <c r="O506" i="18"/>
  <c r="P506" i="18"/>
  <c r="F507" i="18"/>
  <c r="G507" i="18"/>
  <c r="I507" i="18"/>
  <c r="K507" i="18"/>
  <c r="M507" i="18"/>
  <c r="O507" i="18"/>
  <c r="P507" i="18"/>
  <c r="F508" i="18"/>
  <c r="G508" i="18"/>
  <c r="I508" i="18"/>
  <c r="K508" i="18"/>
  <c r="M508" i="18"/>
  <c r="O508" i="18"/>
  <c r="P508" i="18"/>
  <c r="F509" i="18"/>
  <c r="G509" i="18"/>
  <c r="I509" i="18"/>
  <c r="K509" i="18"/>
  <c r="M509" i="18"/>
  <c r="O509" i="18"/>
  <c r="P509" i="18"/>
  <c r="F510" i="18"/>
  <c r="G510" i="18"/>
  <c r="I510" i="18"/>
  <c r="K510" i="18"/>
  <c r="M510" i="18"/>
  <c r="O510" i="18"/>
  <c r="P510" i="18"/>
  <c r="F511" i="18"/>
  <c r="G511" i="18"/>
  <c r="I511" i="18"/>
  <c r="K511" i="18"/>
  <c r="M511" i="18"/>
  <c r="O511" i="18"/>
  <c r="P511" i="18"/>
  <c r="F512" i="18"/>
  <c r="G512" i="18"/>
  <c r="I512" i="18"/>
  <c r="K512" i="18"/>
  <c r="M512" i="18"/>
  <c r="O512" i="18"/>
  <c r="P512" i="18"/>
  <c r="F513" i="18"/>
  <c r="G513" i="18"/>
  <c r="I513" i="18"/>
  <c r="K513" i="18"/>
  <c r="M513" i="18"/>
  <c r="O513" i="18"/>
  <c r="P513" i="18"/>
  <c r="F514" i="18"/>
  <c r="G514" i="18"/>
  <c r="I514" i="18"/>
  <c r="K514" i="18"/>
  <c r="M514" i="18"/>
  <c r="O514" i="18"/>
  <c r="P514" i="18"/>
  <c r="F515" i="18"/>
  <c r="G515" i="18"/>
  <c r="I515" i="18"/>
  <c r="K515" i="18"/>
  <c r="M515" i="18"/>
  <c r="O515" i="18"/>
  <c r="P515" i="18"/>
  <c r="F516" i="18"/>
  <c r="G516" i="18"/>
  <c r="I516" i="18"/>
  <c r="K516" i="18"/>
  <c r="M516" i="18"/>
  <c r="O516" i="18"/>
  <c r="P516" i="18"/>
  <c r="F517" i="18"/>
  <c r="G517" i="18"/>
  <c r="I517" i="18"/>
  <c r="K517" i="18"/>
  <c r="M517" i="18"/>
  <c r="O517" i="18"/>
  <c r="P517" i="18"/>
  <c r="F518" i="18"/>
  <c r="G518" i="18"/>
  <c r="I518" i="18"/>
  <c r="K518" i="18"/>
  <c r="M518" i="18"/>
  <c r="O518" i="18"/>
  <c r="P518" i="18"/>
  <c r="F519" i="18"/>
  <c r="G519" i="18"/>
  <c r="I519" i="18"/>
  <c r="K519" i="18"/>
  <c r="M519" i="18"/>
  <c r="O519" i="18"/>
  <c r="P519" i="18"/>
  <c r="F520" i="18"/>
  <c r="G520" i="18"/>
  <c r="I520" i="18"/>
  <c r="K520" i="18"/>
  <c r="M520" i="18"/>
  <c r="O520" i="18"/>
  <c r="P520" i="18"/>
  <c r="F521" i="18"/>
  <c r="G521" i="18"/>
  <c r="I521" i="18"/>
  <c r="K521" i="18"/>
  <c r="M521" i="18"/>
  <c r="O521" i="18"/>
  <c r="P521" i="18"/>
  <c r="F522" i="18"/>
  <c r="G522" i="18"/>
  <c r="I522" i="18"/>
  <c r="K522" i="18"/>
  <c r="M522" i="18"/>
  <c r="O522" i="18"/>
  <c r="P522" i="18"/>
  <c r="F523" i="18"/>
  <c r="G523" i="18"/>
  <c r="I523" i="18"/>
  <c r="K523" i="18"/>
  <c r="M523" i="18"/>
  <c r="O523" i="18"/>
  <c r="P523" i="18"/>
  <c r="F524" i="18"/>
  <c r="G524" i="18"/>
  <c r="I524" i="18"/>
  <c r="K524" i="18"/>
  <c r="M524" i="18"/>
  <c r="O524" i="18"/>
  <c r="P524" i="18"/>
  <c r="F525" i="18"/>
  <c r="G525" i="18"/>
  <c r="I525" i="18"/>
  <c r="K525" i="18"/>
  <c r="M525" i="18"/>
  <c r="O525" i="18"/>
  <c r="P525" i="18"/>
  <c r="F526" i="18"/>
  <c r="G526" i="18"/>
  <c r="I526" i="18"/>
  <c r="K526" i="18"/>
  <c r="M526" i="18"/>
  <c r="O526" i="18"/>
  <c r="P526" i="18"/>
  <c r="F527" i="18"/>
  <c r="G527" i="18"/>
  <c r="I527" i="18"/>
  <c r="K527" i="18"/>
  <c r="M527" i="18"/>
  <c r="O527" i="18"/>
  <c r="P527" i="18"/>
  <c r="F528" i="18"/>
  <c r="G528" i="18"/>
  <c r="I528" i="18"/>
  <c r="K528" i="18"/>
  <c r="M528" i="18"/>
  <c r="O528" i="18"/>
  <c r="P528" i="18"/>
  <c r="F529" i="18"/>
  <c r="G529" i="18"/>
  <c r="I529" i="18"/>
  <c r="K529" i="18"/>
  <c r="M529" i="18"/>
  <c r="O529" i="18"/>
  <c r="P529" i="18"/>
  <c r="F530" i="18"/>
  <c r="G530" i="18"/>
  <c r="I530" i="18"/>
  <c r="K530" i="18"/>
  <c r="M530" i="18"/>
  <c r="O530" i="18"/>
  <c r="P530" i="18"/>
  <c r="F531" i="18"/>
  <c r="G531" i="18"/>
  <c r="I531" i="18"/>
  <c r="K531" i="18"/>
  <c r="M531" i="18"/>
  <c r="O531" i="18"/>
  <c r="P531" i="18"/>
  <c r="F532" i="18"/>
  <c r="G532" i="18"/>
  <c r="I532" i="18"/>
  <c r="K532" i="18"/>
  <c r="M532" i="18"/>
  <c r="O532" i="18"/>
  <c r="P532" i="18"/>
  <c r="F533" i="18"/>
  <c r="G533" i="18"/>
  <c r="I533" i="18"/>
  <c r="K533" i="18"/>
  <c r="M533" i="18"/>
  <c r="O533" i="18"/>
  <c r="P533" i="18"/>
  <c r="F534" i="18"/>
  <c r="G534" i="18"/>
  <c r="I534" i="18"/>
  <c r="K534" i="18"/>
  <c r="M534" i="18"/>
  <c r="O534" i="18"/>
  <c r="P534" i="18"/>
  <c r="F535" i="18"/>
  <c r="G535" i="18"/>
  <c r="I535" i="18"/>
  <c r="K535" i="18"/>
  <c r="M535" i="18"/>
  <c r="O535" i="18"/>
  <c r="P535" i="18"/>
  <c r="F536" i="18"/>
  <c r="G536" i="18"/>
  <c r="I536" i="18"/>
  <c r="K536" i="18"/>
  <c r="M536" i="18"/>
  <c r="O536" i="18"/>
  <c r="P536" i="18"/>
  <c r="F537" i="18"/>
  <c r="G537" i="18"/>
  <c r="I537" i="18"/>
  <c r="K537" i="18"/>
  <c r="M537" i="18"/>
  <c r="O537" i="18"/>
  <c r="P537" i="18"/>
  <c r="F538" i="18"/>
  <c r="G538" i="18"/>
  <c r="I538" i="18"/>
  <c r="K538" i="18"/>
  <c r="M538" i="18"/>
  <c r="O538" i="18"/>
  <c r="P538" i="18"/>
  <c r="F539" i="18"/>
  <c r="G539" i="18"/>
  <c r="I539" i="18"/>
  <c r="K539" i="18"/>
  <c r="M539" i="18"/>
  <c r="O539" i="18"/>
  <c r="P539" i="18"/>
  <c r="F540" i="18"/>
  <c r="G540" i="18"/>
  <c r="I540" i="18"/>
  <c r="K540" i="18"/>
  <c r="M540" i="18"/>
  <c r="O540" i="18"/>
  <c r="P540" i="18"/>
  <c r="F541" i="18"/>
  <c r="G541" i="18"/>
  <c r="I541" i="18"/>
  <c r="K541" i="18"/>
  <c r="M541" i="18"/>
  <c r="O541" i="18"/>
  <c r="P541" i="18"/>
  <c r="F542" i="18"/>
  <c r="G542" i="18"/>
  <c r="I542" i="18"/>
  <c r="K542" i="18"/>
  <c r="M542" i="18"/>
  <c r="O542" i="18"/>
  <c r="P542" i="18"/>
  <c r="F543" i="18"/>
  <c r="G543" i="18"/>
  <c r="I543" i="18"/>
  <c r="K543" i="18"/>
  <c r="M543" i="18"/>
  <c r="O543" i="18"/>
  <c r="P543" i="18"/>
  <c r="F544" i="18"/>
  <c r="G544" i="18"/>
  <c r="I544" i="18"/>
  <c r="K544" i="18"/>
  <c r="M544" i="18"/>
  <c r="O544" i="18"/>
  <c r="P544" i="18"/>
  <c r="F545" i="18"/>
  <c r="G545" i="18"/>
  <c r="I545" i="18"/>
  <c r="K545" i="18"/>
  <c r="M545" i="18"/>
  <c r="O545" i="18"/>
  <c r="P545" i="18"/>
  <c r="F546" i="18"/>
  <c r="G546" i="18"/>
  <c r="I546" i="18"/>
  <c r="K546" i="18"/>
  <c r="M546" i="18"/>
  <c r="O546" i="18"/>
  <c r="P546" i="18"/>
  <c r="F547" i="18"/>
  <c r="G547" i="18"/>
  <c r="I547" i="18"/>
  <c r="K547" i="18"/>
  <c r="M547" i="18"/>
  <c r="O547" i="18"/>
  <c r="P547" i="18"/>
  <c r="F548" i="18"/>
  <c r="G548" i="18"/>
  <c r="I548" i="18"/>
  <c r="K548" i="18"/>
  <c r="M548" i="18"/>
  <c r="O548" i="18"/>
  <c r="P548" i="18"/>
  <c r="F549" i="18"/>
  <c r="G549" i="18"/>
  <c r="I549" i="18"/>
  <c r="K549" i="18"/>
  <c r="M549" i="18"/>
  <c r="O549" i="18"/>
  <c r="P549" i="18"/>
  <c r="F550" i="18"/>
  <c r="G550" i="18"/>
  <c r="I550" i="18"/>
  <c r="K550" i="18"/>
  <c r="M550" i="18"/>
  <c r="O550" i="18"/>
  <c r="P550" i="18"/>
  <c r="F551" i="18"/>
  <c r="G551" i="18"/>
  <c r="I551" i="18"/>
  <c r="K551" i="18"/>
  <c r="M551" i="18"/>
  <c r="O551" i="18"/>
  <c r="P551" i="18"/>
  <c r="F552" i="18"/>
  <c r="G552" i="18"/>
  <c r="I552" i="18"/>
  <c r="K552" i="18"/>
  <c r="M552" i="18"/>
  <c r="O552" i="18"/>
  <c r="P552" i="18"/>
  <c r="F553" i="18"/>
  <c r="G553" i="18"/>
  <c r="I553" i="18"/>
  <c r="K553" i="18"/>
  <c r="M553" i="18"/>
  <c r="O553" i="18"/>
  <c r="P553" i="18"/>
  <c r="F554" i="18"/>
  <c r="G554" i="18"/>
  <c r="I554" i="18"/>
  <c r="K554" i="18"/>
  <c r="M554" i="18"/>
  <c r="O554" i="18"/>
  <c r="P554" i="18"/>
  <c r="F555" i="18"/>
  <c r="G555" i="18"/>
  <c r="I555" i="18"/>
  <c r="K555" i="18"/>
  <c r="M555" i="18"/>
  <c r="O555" i="18"/>
  <c r="P555" i="18"/>
  <c r="F556" i="18"/>
  <c r="G556" i="18"/>
  <c r="I556" i="18"/>
  <c r="K556" i="18"/>
  <c r="M556" i="18"/>
  <c r="O556" i="18"/>
  <c r="P556" i="18"/>
  <c r="F557" i="18"/>
  <c r="G557" i="18"/>
  <c r="I557" i="18"/>
  <c r="K557" i="18"/>
  <c r="M557" i="18"/>
  <c r="O557" i="18"/>
  <c r="P557" i="18"/>
  <c r="F558" i="18"/>
  <c r="G558" i="18"/>
  <c r="I558" i="18"/>
  <c r="K558" i="18"/>
  <c r="M558" i="18"/>
  <c r="O558" i="18"/>
  <c r="P558" i="18"/>
  <c r="F559" i="18"/>
  <c r="G559" i="18"/>
  <c r="I559" i="18"/>
  <c r="K559" i="18"/>
  <c r="M559" i="18"/>
  <c r="O559" i="18"/>
  <c r="P559" i="18"/>
  <c r="F560" i="18"/>
  <c r="G560" i="18"/>
  <c r="I560" i="18"/>
  <c r="K560" i="18"/>
  <c r="M560" i="18"/>
  <c r="O560" i="18"/>
  <c r="P560" i="18"/>
  <c r="F561" i="18"/>
  <c r="G561" i="18"/>
  <c r="I561" i="18"/>
  <c r="K561" i="18"/>
  <c r="M561" i="18"/>
  <c r="O561" i="18"/>
  <c r="P561" i="18"/>
  <c r="F562" i="18"/>
  <c r="G562" i="18"/>
  <c r="I562" i="18"/>
  <c r="K562" i="18"/>
  <c r="M562" i="18"/>
  <c r="O562" i="18"/>
  <c r="P562" i="18"/>
  <c r="F563" i="18"/>
  <c r="G563" i="18"/>
  <c r="I563" i="18"/>
  <c r="K563" i="18"/>
  <c r="M563" i="18"/>
  <c r="O563" i="18"/>
  <c r="P563" i="18"/>
  <c r="F564" i="18"/>
  <c r="G564" i="18"/>
  <c r="I564" i="18"/>
  <c r="K564" i="18"/>
  <c r="M564" i="18"/>
  <c r="O564" i="18"/>
  <c r="P564" i="18"/>
  <c r="F565" i="18"/>
  <c r="G565" i="18"/>
  <c r="I565" i="18"/>
  <c r="K565" i="18"/>
  <c r="M565" i="18"/>
  <c r="O565" i="18"/>
  <c r="P565" i="18"/>
  <c r="F566" i="18"/>
  <c r="G566" i="18"/>
  <c r="I566" i="18"/>
  <c r="K566" i="18"/>
  <c r="M566" i="18"/>
  <c r="O566" i="18"/>
  <c r="P566" i="18"/>
  <c r="F567" i="18"/>
  <c r="G567" i="18"/>
  <c r="I567" i="18"/>
  <c r="K567" i="18"/>
  <c r="M567" i="18"/>
  <c r="O567" i="18"/>
  <c r="P567" i="18"/>
  <c r="F568" i="18"/>
  <c r="G568" i="18"/>
  <c r="I568" i="18"/>
  <c r="K568" i="18"/>
  <c r="M568" i="18"/>
  <c r="O568" i="18"/>
  <c r="P568" i="18"/>
  <c r="F569" i="18"/>
  <c r="G569" i="18"/>
  <c r="I569" i="18"/>
  <c r="K569" i="18"/>
  <c r="M569" i="18"/>
  <c r="O569" i="18"/>
  <c r="P569" i="18"/>
  <c r="F570" i="18"/>
  <c r="G570" i="18"/>
  <c r="I570" i="18"/>
  <c r="K570" i="18"/>
  <c r="M570" i="18"/>
  <c r="O570" i="18"/>
  <c r="P570" i="18"/>
  <c r="F571" i="18"/>
  <c r="G571" i="18"/>
  <c r="I571" i="18"/>
  <c r="K571" i="18"/>
  <c r="M571" i="18"/>
  <c r="O571" i="18"/>
  <c r="P571" i="18"/>
  <c r="F572" i="18"/>
  <c r="G572" i="18"/>
  <c r="I572" i="18"/>
  <c r="K572" i="18"/>
  <c r="M572" i="18"/>
  <c r="O572" i="18"/>
  <c r="P572" i="18"/>
  <c r="F573" i="18"/>
  <c r="G573" i="18"/>
  <c r="I573" i="18"/>
  <c r="K573" i="18"/>
  <c r="M573" i="18"/>
  <c r="O573" i="18"/>
  <c r="P573" i="18"/>
  <c r="F574" i="18"/>
  <c r="G574" i="18"/>
  <c r="I574" i="18"/>
  <c r="K574" i="18"/>
  <c r="M574" i="18"/>
  <c r="O574" i="18"/>
  <c r="P574" i="18"/>
  <c r="F575" i="18"/>
  <c r="G575" i="18"/>
  <c r="I575" i="18"/>
  <c r="K575" i="18"/>
  <c r="M575" i="18"/>
  <c r="O575" i="18"/>
  <c r="P575" i="18"/>
  <c r="F576" i="18"/>
  <c r="G576" i="18"/>
  <c r="I576" i="18"/>
  <c r="K576" i="18"/>
  <c r="M576" i="18"/>
  <c r="O576" i="18"/>
  <c r="P576" i="18"/>
  <c r="F577" i="18"/>
  <c r="G577" i="18"/>
  <c r="I577" i="18"/>
  <c r="K577" i="18"/>
  <c r="M577" i="18"/>
  <c r="O577" i="18"/>
  <c r="P577" i="18"/>
  <c r="F578" i="18"/>
  <c r="G578" i="18"/>
  <c r="I578" i="18"/>
  <c r="K578" i="18"/>
  <c r="M578" i="18"/>
  <c r="O578" i="18"/>
  <c r="P578" i="18"/>
  <c r="F579" i="18"/>
  <c r="G579" i="18"/>
  <c r="I579" i="18"/>
  <c r="K579" i="18"/>
  <c r="M579" i="18"/>
  <c r="O579" i="18"/>
  <c r="P579" i="18"/>
  <c r="F580" i="18"/>
  <c r="G580" i="18"/>
  <c r="I580" i="18"/>
  <c r="K580" i="18"/>
  <c r="M580" i="18"/>
  <c r="O580" i="18"/>
  <c r="P580" i="18"/>
  <c r="F581" i="18"/>
  <c r="G581" i="18"/>
  <c r="I581" i="18"/>
  <c r="K581" i="18"/>
  <c r="M581" i="18"/>
  <c r="O581" i="18"/>
  <c r="P581" i="18"/>
  <c r="F582" i="18"/>
  <c r="G582" i="18"/>
  <c r="I582" i="18"/>
  <c r="K582" i="18"/>
  <c r="M582" i="18"/>
  <c r="O582" i="18"/>
  <c r="P582" i="18"/>
  <c r="F583" i="18"/>
  <c r="G583" i="18"/>
  <c r="I583" i="18"/>
  <c r="K583" i="18"/>
  <c r="M583" i="18"/>
  <c r="O583" i="18"/>
  <c r="P583" i="18"/>
  <c r="F584" i="18"/>
  <c r="G584" i="18"/>
  <c r="I584" i="18"/>
  <c r="K584" i="18"/>
  <c r="M584" i="18"/>
  <c r="O584" i="18"/>
  <c r="P584" i="18"/>
  <c r="F585" i="18"/>
  <c r="G585" i="18"/>
  <c r="I585" i="18"/>
  <c r="K585" i="18"/>
  <c r="M585" i="18"/>
  <c r="O585" i="18"/>
  <c r="P585" i="18"/>
  <c r="F586" i="18"/>
  <c r="G586" i="18"/>
  <c r="I586" i="18"/>
  <c r="K586" i="18"/>
  <c r="M586" i="18"/>
  <c r="O586" i="18"/>
  <c r="P586" i="18"/>
  <c r="F587" i="18"/>
  <c r="G587" i="18"/>
  <c r="I587" i="18"/>
  <c r="K587" i="18"/>
  <c r="M587" i="18"/>
  <c r="O587" i="18"/>
  <c r="P587" i="18"/>
  <c r="F588" i="18"/>
  <c r="G588" i="18"/>
  <c r="I588" i="18"/>
  <c r="K588" i="18"/>
  <c r="M588" i="18"/>
  <c r="O588" i="18"/>
  <c r="P588" i="18"/>
  <c r="F589" i="18"/>
  <c r="G589" i="18"/>
  <c r="I589" i="18"/>
  <c r="K589" i="18"/>
  <c r="M589" i="18"/>
  <c r="O589" i="18"/>
  <c r="P589" i="18"/>
  <c r="F590" i="18"/>
  <c r="G590" i="18"/>
  <c r="I590" i="18"/>
  <c r="K590" i="18"/>
  <c r="M590" i="18"/>
  <c r="O590" i="18"/>
  <c r="P590" i="18"/>
  <c r="F591" i="18"/>
  <c r="G591" i="18"/>
  <c r="I591" i="18"/>
  <c r="K591" i="18"/>
  <c r="M591" i="18"/>
  <c r="O591" i="18"/>
  <c r="P591" i="18"/>
  <c r="F592" i="18"/>
  <c r="G592" i="18"/>
  <c r="I592" i="18"/>
  <c r="K592" i="18"/>
  <c r="M592" i="18"/>
  <c r="O592" i="18"/>
  <c r="P592" i="18"/>
  <c r="F593" i="18"/>
  <c r="G593" i="18"/>
  <c r="I593" i="18"/>
  <c r="K593" i="18"/>
  <c r="M593" i="18"/>
  <c r="O593" i="18"/>
  <c r="P593" i="18"/>
  <c r="F594" i="18"/>
  <c r="G594" i="18"/>
  <c r="I594" i="18"/>
  <c r="K594" i="18"/>
  <c r="M594" i="18"/>
  <c r="O594" i="18"/>
  <c r="P594" i="18"/>
  <c r="F595" i="18"/>
  <c r="G595" i="18"/>
  <c r="I595" i="18"/>
  <c r="K595" i="18"/>
  <c r="M595" i="18"/>
  <c r="O595" i="18"/>
  <c r="P595" i="18"/>
  <c r="F596" i="18"/>
  <c r="G596" i="18"/>
  <c r="I596" i="18"/>
  <c r="K596" i="18"/>
  <c r="M596" i="18"/>
  <c r="O596" i="18"/>
  <c r="P596" i="18"/>
  <c r="F597" i="18"/>
  <c r="G597" i="18"/>
  <c r="I597" i="18"/>
  <c r="K597" i="18"/>
  <c r="M597" i="18"/>
  <c r="O597" i="18"/>
  <c r="P597" i="18"/>
  <c r="F598" i="18"/>
  <c r="G598" i="18"/>
  <c r="I598" i="18"/>
  <c r="K598" i="18"/>
  <c r="M598" i="18"/>
  <c r="O598" i="18"/>
  <c r="P598" i="18"/>
  <c r="F599" i="18"/>
  <c r="G599" i="18"/>
  <c r="I599" i="18"/>
  <c r="K599" i="18"/>
  <c r="M599" i="18"/>
  <c r="O599" i="18"/>
  <c r="P599" i="18"/>
  <c r="F600" i="18"/>
  <c r="G600" i="18"/>
  <c r="I600" i="18"/>
  <c r="K600" i="18"/>
  <c r="M600" i="18"/>
  <c r="O600" i="18"/>
  <c r="P600" i="18"/>
  <c r="F601" i="18"/>
  <c r="G601" i="18"/>
  <c r="I601" i="18"/>
  <c r="K601" i="18"/>
  <c r="M601" i="18"/>
  <c r="O601" i="18"/>
  <c r="P601" i="18"/>
  <c r="F602" i="18"/>
  <c r="G602" i="18"/>
  <c r="I602" i="18"/>
  <c r="K602" i="18"/>
  <c r="M602" i="18"/>
  <c r="O602" i="18"/>
  <c r="P602" i="18"/>
  <c r="F603" i="18"/>
  <c r="G603" i="18"/>
  <c r="I603" i="18"/>
  <c r="K603" i="18"/>
  <c r="M603" i="18"/>
  <c r="O603" i="18"/>
  <c r="P603" i="18"/>
  <c r="F604" i="18"/>
  <c r="G604" i="18"/>
  <c r="I604" i="18"/>
  <c r="K604" i="18"/>
  <c r="M604" i="18"/>
  <c r="O604" i="18"/>
  <c r="P604" i="18"/>
  <c r="F605" i="18"/>
  <c r="G605" i="18"/>
  <c r="I605" i="18"/>
  <c r="K605" i="18"/>
  <c r="M605" i="18"/>
  <c r="O605" i="18"/>
  <c r="P605" i="18"/>
  <c r="F606" i="18"/>
  <c r="G606" i="18"/>
  <c r="I606" i="18"/>
  <c r="K606" i="18"/>
  <c r="M606" i="18"/>
  <c r="O606" i="18"/>
  <c r="P606" i="18"/>
  <c r="F607" i="18"/>
  <c r="G607" i="18"/>
  <c r="I607" i="18"/>
  <c r="K607" i="18"/>
  <c r="M607" i="18"/>
  <c r="O607" i="18"/>
  <c r="P607" i="18"/>
  <c r="F608" i="18"/>
  <c r="G608" i="18"/>
  <c r="I608" i="18"/>
  <c r="K608" i="18"/>
  <c r="M608" i="18"/>
  <c r="O608" i="18"/>
  <c r="P608" i="18"/>
  <c r="F609" i="18"/>
  <c r="G609" i="18"/>
  <c r="I609" i="18"/>
  <c r="K609" i="18"/>
  <c r="M609" i="18"/>
  <c r="O609" i="18"/>
  <c r="P609" i="18"/>
  <c r="F610" i="18"/>
  <c r="G610" i="18"/>
  <c r="I610" i="18"/>
  <c r="K610" i="18"/>
  <c r="M610" i="18"/>
  <c r="O610" i="18"/>
  <c r="P610" i="18"/>
  <c r="F611" i="18"/>
  <c r="G611" i="18"/>
  <c r="I611" i="18"/>
  <c r="K611" i="18"/>
  <c r="M611" i="18"/>
  <c r="O611" i="18"/>
  <c r="P611" i="18"/>
  <c r="E613" i="18"/>
  <c r="F613" i="18"/>
  <c r="G613" i="18"/>
  <c r="H613" i="18"/>
  <c r="I613" i="18"/>
  <c r="J613" i="18"/>
  <c r="K613" i="18"/>
  <c r="L613" i="18"/>
  <c r="M613" i="18"/>
  <c r="O613" i="18"/>
  <c r="P613" i="18"/>
  <c r="Q613" i="18"/>
  <c r="R613" i="18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DJ18" i="6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BQ17" i="17"/>
  <c r="BR17" i="17"/>
  <c r="BS17" i="17"/>
  <c r="BT17" i="17"/>
  <c r="BU17" i="17"/>
  <c r="BV17" i="17"/>
  <c r="BW17" i="17"/>
  <c r="BX17" i="17"/>
  <c r="BY17" i="17"/>
  <c r="BZ17" i="17"/>
  <c r="CA17" i="17"/>
  <c r="CB17" i="17"/>
  <c r="CC17" i="17"/>
  <c r="CD17" i="17"/>
  <c r="CE17" i="17"/>
  <c r="CF17" i="17"/>
  <c r="CG17" i="17"/>
  <c r="CH17" i="17"/>
  <c r="CI17" i="17"/>
  <c r="CJ17" i="17"/>
  <c r="CK17" i="17"/>
  <c r="CL17" i="17"/>
  <c r="CM17" i="17"/>
  <c r="CN17" i="17"/>
  <c r="CO17" i="17"/>
  <c r="CP17" i="17"/>
  <c r="CQ17" i="17"/>
  <c r="CR17" i="17"/>
  <c r="CS17" i="17"/>
  <c r="CT17" i="17"/>
  <c r="CU17" i="17"/>
  <c r="CV17" i="17"/>
  <c r="CW17" i="17"/>
  <c r="CX17" i="17"/>
  <c r="CY17" i="17"/>
  <c r="CZ17" i="17"/>
  <c r="DA17" i="17"/>
  <c r="DB17" i="17"/>
  <c r="DC17" i="17"/>
  <c r="DD17" i="17"/>
  <c r="DE17" i="17"/>
  <c r="DF17" i="17"/>
  <c r="DG17" i="17"/>
  <c r="DH17" i="17"/>
  <c r="DI17" i="17"/>
  <c r="DJ17" i="17"/>
  <c r="DK17" i="17"/>
  <c r="DL17" i="17"/>
  <c r="D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BW18" i="17"/>
  <c r="BX18" i="17"/>
  <c r="BY18" i="17"/>
  <c r="BZ18" i="17"/>
  <c r="CA18" i="17"/>
  <c r="CB18" i="17"/>
  <c r="CC18" i="17"/>
  <c r="CD18" i="17"/>
  <c r="CE18" i="17"/>
  <c r="CF18" i="17"/>
  <c r="CG18" i="17"/>
  <c r="CH18" i="17"/>
  <c r="CI18" i="17"/>
  <c r="CJ18" i="17"/>
  <c r="CK18" i="17"/>
  <c r="CL18" i="17"/>
  <c r="CM18" i="17"/>
  <c r="CN18" i="17"/>
  <c r="CO18" i="17"/>
  <c r="CP18" i="17"/>
  <c r="CQ18" i="17"/>
  <c r="CR18" i="17"/>
  <c r="CS18" i="17"/>
  <c r="CT18" i="17"/>
  <c r="CU18" i="17"/>
  <c r="CV18" i="17"/>
  <c r="CW18" i="17"/>
  <c r="CX18" i="17"/>
  <c r="CY18" i="17"/>
  <c r="CZ18" i="17"/>
  <c r="DA18" i="17"/>
  <c r="DB18" i="17"/>
  <c r="DC18" i="17"/>
  <c r="DD18" i="17"/>
  <c r="DE18" i="17"/>
  <c r="DF18" i="17"/>
  <c r="DG18" i="17"/>
  <c r="DH18" i="17"/>
  <c r="DI18" i="17"/>
  <c r="DJ18" i="17"/>
  <c r="DK18" i="17"/>
  <c r="DL18" i="17"/>
  <c r="DM18" i="17"/>
  <c r="B2" i="11"/>
  <c r="C2" i="11"/>
  <c r="B3" i="11"/>
  <c r="C3" i="11"/>
  <c r="B4" i="11"/>
  <c r="C4" i="11"/>
  <c r="B5" i="11"/>
  <c r="C5" i="11"/>
  <c r="B6" i="11"/>
  <c r="C6" i="11"/>
  <c r="C7" i="11"/>
  <c r="B8" i="11"/>
  <c r="B7" i="11" s="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B98" i="11"/>
  <c r="C98" i="11"/>
  <c r="B99" i="11"/>
  <c r="C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111" i="11"/>
  <c r="C111" i="11"/>
  <c r="B112" i="11"/>
  <c r="C112" i="11"/>
  <c r="B113" i="11"/>
  <c r="C113" i="11"/>
  <c r="B114" i="11"/>
  <c r="C114" i="11"/>
  <c r="B115" i="11"/>
  <c r="C115" i="11"/>
  <c r="B116" i="11"/>
  <c r="C116" i="11"/>
  <c r="B117" i="11"/>
  <c r="C117" i="11"/>
  <c r="B118" i="11"/>
  <c r="C118" i="11"/>
  <c r="B119" i="11"/>
  <c r="C119" i="11"/>
  <c r="B120" i="11"/>
  <c r="C120" i="11"/>
  <c r="B121" i="11"/>
  <c r="C121" i="11"/>
  <c r="B122" i="11"/>
  <c r="C122" i="11"/>
  <c r="B123" i="11"/>
  <c r="C123" i="11"/>
  <c r="B124" i="11"/>
  <c r="C124" i="11"/>
  <c r="B125" i="11"/>
  <c r="C125" i="11"/>
  <c r="B126" i="11"/>
  <c r="C126" i="11"/>
  <c r="B127" i="11"/>
  <c r="C127" i="11"/>
  <c r="B128" i="11"/>
  <c r="C128" i="11"/>
  <c r="B129" i="11"/>
  <c r="C129" i="11"/>
  <c r="B130" i="11"/>
  <c r="C130" i="11"/>
  <c r="B131" i="11"/>
  <c r="C131" i="11"/>
  <c r="B132" i="11"/>
  <c r="C132" i="11"/>
  <c r="B133" i="11"/>
  <c r="C133" i="11"/>
  <c r="B134" i="11"/>
  <c r="C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B145" i="11"/>
  <c r="C145" i="11"/>
  <c r="B146" i="11"/>
  <c r="C146" i="11"/>
  <c r="B147" i="11"/>
  <c r="C147" i="11"/>
  <c r="B148" i="11"/>
  <c r="C148" i="11"/>
  <c r="B149" i="11"/>
  <c r="C149" i="11"/>
  <c r="B150" i="11"/>
  <c r="C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B161" i="11"/>
  <c r="C161" i="11"/>
  <c r="B162" i="11"/>
  <c r="C162" i="11"/>
  <c r="B163" i="11"/>
  <c r="C163" i="11"/>
  <c r="B164" i="11"/>
  <c r="C164" i="11"/>
  <c r="B165" i="11"/>
  <c r="C165" i="11"/>
  <c r="B166" i="11"/>
  <c r="C166" i="11"/>
  <c r="B167" i="11"/>
  <c r="C167" i="11"/>
  <c r="B168" i="11"/>
  <c r="C168" i="11"/>
  <c r="B169" i="11"/>
  <c r="C169" i="11"/>
  <c r="B170" i="11"/>
  <c r="C170" i="11"/>
  <c r="B171" i="11"/>
  <c r="C171" i="11"/>
  <c r="B172" i="11"/>
  <c r="C172" i="11"/>
  <c r="B173" i="11"/>
  <c r="C173" i="11"/>
  <c r="B174" i="11"/>
  <c r="C174" i="11"/>
  <c r="B175" i="11"/>
  <c r="C175" i="11"/>
  <c r="B176" i="11"/>
  <c r="C176" i="11"/>
  <c r="B177" i="11"/>
  <c r="C177" i="11"/>
  <c r="B178" i="11"/>
  <c r="C178" i="11"/>
  <c r="B179" i="11"/>
  <c r="C179" i="11"/>
  <c r="B180" i="11"/>
  <c r="C180" i="11"/>
  <c r="B181" i="11"/>
  <c r="C181" i="11"/>
  <c r="B182" i="11"/>
  <c r="C182" i="11"/>
  <c r="B183" i="11"/>
  <c r="C183" i="11"/>
  <c r="B184" i="11"/>
  <c r="C184" i="11"/>
  <c r="B185" i="11"/>
  <c r="C185" i="11"/>
  <c r="B186" i="11"/>
  <c r="C186" i="11"/>
  <c r="B187" i="11"/>
  <c r="C187" i="11"/>
  <c r="B188" i="11"/>
  <c r="C188" i="11"/>
  <c r="B189" i="11"/>
  <c r="C189" i="11"/>
  <c r="B190" i="11"/>
  <c r="C190" i="11"/>
  <c r="B191" i="11"/>
  <c r="C191" i="11"/>
  <c r="B192" i="11"/>
  <c r="C192" i="11"/>
  <c r="B193" i="11"/>
  <c r="C193" i="11"/>
  <c r="B194" i="11"/>
  <c r="C194" i="11"/>
  <c r="B195" i="11"/>
  <c r="C195" i="11"/>
  <c r="B196" i="11"/>
  <c r="C196" i="11"/>
  <c r="B197" i="11"/>
  <c r="C197" i="11"/>
  <c r="B198" i="11"/>
  <c r="C198" i="11"/>
  <c r="B199" i="11"/>
  <c r="C199" i="11"/>
  <c r="B200" i="11"/>
  <c r="C200" i="11"/>
  <c r="B201" i="11"/>
  <c r="C201" i="11"/>
  <c r="B202" i="11"/>
  <c r="C202" i="11"/>
  <c r="B203" i="11"/>
  <c r="C203" i="11"/>
  <c r="B204" i="11"/>
  <c r="C204" i="11"/>
  <c r="B205" i="11"/>
  <c r="C205" i="11"/>
  <c r="B206" i="11"/>
  <c r="C206" i="11"/>
  <c r="B207" i="11"/>
  <c r="C207" i="11"/>
  <c r="B208" i="11"/>
  <c r="C208" i="11"/>
  <c r="B209" i="11"/>
  <c r="C209" i="11"/>
  <c r="B210" i="11"/>
  <c r="C210" i="11"/>
  <c r="B211" i="11"/>
  <c r="C211" i="11"/>
  <c r="B212" i="11"/>
  <c r="C212" i="11"/>
  <c r="B213" i="11"/>
  <c r="C213" i="11"/>
  <c r="B214" i="11"/>
  <c r="C214" i="11"/>
  <c r="B215" i="11"/>
  <c r="C215" i="11"/>
  <c r="B216" i="11"/>
  <c r="C216" i="11"/>
  <c r="B217" i="11"/>
  <c r="C217" i="11"/>
  <c r="B218" i="11"/>
  <c r="C218" i="11"/>
  <c r="B219" i="11"/>
  <c r="C219" i="11"/>
  <c r="B220" i="11"/>
  <c r="C220" i="11"/>
  <c r="B221" i="11"/>
  <c r="C221" i="11"/>
  <c r="B222" i="11"/>
  <c r="C222" i="11"/>
  <c r="B223" i="11"/>
  <c r="C223" i="11"/>
  <c r="B224" i="11"/>
  <c r="C224" i="11"/>
  <c r="B225" i="11"/>
  <c r="C225" i="11"/>
  <c r="B226" i="11"/>
  <c r="C226" i="11"/>
  <c r="B227" i="11"/>
  <c r="C227" i="11"/>
  <c r="B228" i="11"/>
  <c r="C228" i="11"/>
  <c r="B229" i="11"/>
  <c r="C229" i="11"/>
  <c r="B230" i="11"/>
  <c r="C230" i="11"/>
  <c r="B231" i="11"/>
  <c r="C231" i="11"/>
  <c r="B232" i="11"/>
  <c r="C232" i="11"/>
  <c r="B233" i="11"/>
  <c r="C233" i="11"/>
  <c r="B234" i="11"/>
  <c r="C234" i="11"/>
  <c r="B235" i="11"/>
  <c r="C235" i="11"/>
  <c r="B236" i="11"/>
  <c r="C236" i="11"/>
  <c r="B237" i="11"/>
  <c r="C237" i="11"/>
  <c r="B238" i="11"/>
  <c r="C238" i="11"/>
  <c r="B239" i="11"/>
  <c r="C239" i="11"/>
  <c r="B240" i="11"/>
  <c r="C240" i="11"/>
  <c r="B241" i="11"/>
  <c r="C241" i="11"/>
  <c r="B242" i="11"/>
  <c r="C242" i="11"/>
  <c r="B243" i="11"/>
  <c r="C243" i="11"/>
  <c r="A2" i="13"/>
  <c r="C2" i="13" s="1"/>
  <c r="A122" i="13"/>
  <c r="C122" i="13"/>
  <c r="A123" i="13"/>
  <c r="C123" i="13"/>
  <c r="A124" i="13"/>
  <c r="C124" i="13" s="1"/>
  <c r="B2" i="1"/>
  <c r="K2" i="1"/>
  <c r="Q2" i="1"/>
  <c r="W2" i="1"/>
  <c r="AA2" i="1"/>
  <c r="AE2" i="1"/>
  <c r="AI2" i="1"/>
  <c r="AO2" i="1"/>
  <c r="AW2" i="1"/>
  <c r="BC2" i="1"/>
  <c r="CA2" i="1"/>
  <c r="B4" i="1"/>
  <c r="C6" i="1"/>
  <c r="D6" i="1"/>
  <c r="K6" i="1"/>
  <c r="L6" i="1"/>
  <c r="O6" i="1"/>
  <c r="I6" i="1" s="1"/>
  <c r="F6" i="1" s="1"/>
  <c r="Q6" i="1"/>
  <c r="R6" i="1"/>
  <c r="H6" i="1" s="1"/>
  <c r="U6" i="1"/>
  <c r="W6" i="1"/>
  <c r="G6" i="1" s="1"/>
  <c r="X6" i="1"/>
  <c r="AA6" i="1"/>
  <c r="AB6" i="1"/>
  <c r="AE6" i="1"/>
  <c r="AF6" i="1"/>
  <c r="AI6" i="1"/>
  <c r="AJ6" i="1"/>
  <c r="AM6" i="1"/>
  <c r="AO6" i="1"/>
  <c r="AP6" i="1"/>
  <c r="AW6" i="1"/>
  <c r="AX6" i="1"/>
  <c r="BA6" i="1"/>
  <c r="BC6" i="1"/>
  <c r="BD6" i="1"/>
  <c r="BG6" i="1"/>
  <c r="BH6" i="1"/>
  <c r="BJ6" i="1"/>
  <c r="BN6" i="1"/>
  <c r="BQ6" i="1"/>
  <c r="BR6" i="1"/>
  <c r="BU6" i="1"/>
  <c r="BV6" i="1"/>
  <c r="BY6" i="1"/>
  <c r="CA6" i="1"/>
  <c r="CB6" i="1"/>
  <c r="CE6" i="1"/>
  <c r="K7" i="1"/>
  <c r="L7" i="1"/>
  <c r="O7" i="1"/>
  <c r="Q7" i="1"/>
  <c r="G7" i="1" s="1"/>
  <c r="R7" i="1"/>
  <c r="U7" i="1"/>
  <c r="W7" i="1"/>
  <c r="X7" i="1"/>
  <c r="AA7" i="1"/>
  <c r="AB7" i="1"/>
  <c r="AE7" i="1"/>
  <c r="AF7" i="1"/>
  <c r="AI7" i="1"/>
  <c r="AJ7" i="1"/>
  <c r="AM7" i="1"/>
  <c r="AO7" i="1"/>
  <c r="AP7" i="1"/>
  <c r="AW7" i="1"/>
  <c r="AX7" i="1"/>
  <c r="BA7" i="1"/>
  <c r="BC7" i="1"/>
  <c r="BD7" i="1"/>
  <c r="BG7" i="1"/>
  <c r="BH7" i="1"/>
  <c r="BJ7" i="1"/>
  <c r="BN7" i="1"/>
  <c r="BQ7" i="1"/>
  <c r="BR7" i="1"/>
  <c r="BU7" i="1"/>
  <c r="BV7" i="1"/>
  <c r="BY7" i="1"/>
  <c r="CA7" i="1"/>
  <c r="CB7" i="1"/>
  <c r="CE7" i="1"/>
  <c r="K8" i="1"/>
  <c r="L8" i="1"/>
  <c r="O8" i="1"/>
  <c r="Q8" i="1"/>
  <c r="R8" i="1"/>
  <c r="H8" i="1" s="1"/>
  <c r="U8" i="1"/>
  <c r="W8" i="1"/>
  <c r="X8" i="1"/>
  <c r="AA8" i="1"/>
  <c r="AB8" i="1"/>
  <c r="AE8" i="1"/>
  <c r="AF8" i="1"/>
  <c r="AI8" i="1"/>
  <c r="AJ8" i="1"/>
  <c r="AM8" i="1"/>
  <c r="AO8" i="1"/>
  <c r="AP8" i="1"/>
  <c r="AW8" i="1"/>
  <c r="AX8" i="1"/>
  <c r="BA8" i="1"/>
  <c r="BC8" i="1"/>
  <c r="BD8" i="1"/>
  <c r="BG8" i="1"/>
  <c r="BH8" i="1"/>
  <c r="BJ8" i="1"/>
  <c r="BN8" i="1"/>
  <c r="BQ8" i="1"/>
  <c r="BR8" i="1"/>
  <c r="BU8" i="1"/>
  <c r="BV8" i="1"/>
  <c r="BY8" i="1"/>
  <c r="CA8" i="1"/>
  <c r="CB8" i="1"/>
  <c r="CE8" i="1"/>
  <c r="G9" i="1"/>
  <c r="K9" i="1"/>
  <c r="L9" i="1"/>
  <c r="O9" i="1"/>
  <c r="Q9" i="1"/>
  <c r="R9" i="1"/>
  <c r="U9" i="1"/>
  <c r="I9" i="1" s="1"/>
  <c r="W9" i="1"/>
  <c r="X9" i="1"/>
  <c r="AA9" i="1"/>
  <c r="AB9" i="1"/>
  <c r="AE9" i="1"/>
  <c r="AF9" i="1"/>
  <c r="AI9" i="1"/>
  <c r="AJ9" i="1"/>
  <c r="AM9" i="1"/>
  <c r="AO9" i="1"/>
  <c r="AP9" i="1"/>
  <c r="AW9" i="1"/>
  <c r="AX9" i="1"/>
  <c r="BA9" i="1"/>
  <c r="BC9" i="1"/>
  <c r="BD9" i="1"/>
  <c r="BG9" i="1"/>
  <c r="BH9" i="1"/>
  <c r="BJ9" i="1"/>
  <c r="BN9" i="1"/>
  <c r="BQ9" i="1"/>
  <c r="BR9" i="1"/>
  <c r="BU9" i="1"/>
  <c r="BV9" i="1"/>
  <c r="BY9" i="1"/>
  <c r="CA9" i="1"/>
  <c r="CB9" i="1"/>
  <c r="CE9" i="1"/>
  <c r="G10" i="1"/>
  <c r="K10" i="1"/>
  <c r="L10" i="1"/>
  <c r="O10" i="1"/>
  <c r="Q10" i="1"/>
  <c r="R10" i="1"/>
  <c r="U10" i="1"/>
  <c r="W10" i="1"/>
  <c r="X10" i="1"/>
  <c r="AA10" i="1"/>
  <c r="AB10" i="1"/>
  <c r="AE10" i="1"/>
  <c r="AF10" i="1"/>
  <c r="AI10" i="1"/>
  <c r="AJ10" i="1"/>
  <c r="AM10" i="1"/>
  <c r="AO10" i="1"/>
  <c r="AP10" i="1"/>
  <c r="AW10" i="1"/>
  <c r="AX10" i="1"/>
  <c r="BA10" i="1"/>
  <c r="BC10" i="1"/>
  <c r="BD10" i="1"/>
  <c r="BG10" i="1"/>
  <c r="BH10" i="1"/>
  <c r="BJ10" i="1"/>
  <c r="BN10" i="1"/>
  <c r="BQ10" i="1"/>
  <c r="BR10" i="1"/>
  <c r="BU10" i="1"/>
  <c r="BV10" i="1"/>
  <c r="BY10" i="1"/>
  <c r="CA10" i="1"/>
  <c r="CB10" i="1"/>
  <c r="CE10" i="1"/>
  <c r="I11" i="1"/>
  <c r="K11" i="1"/>
  <c r="L11" i="1"/>
  <c r="O11" i="1"/>
  <c r="Q11" i="1"/>
  <c r="R11" i="1"/>
  <c r="U11" i="1"/>
  <c r="W11" i="1"/>
  <c r="X11" i="1"/>
  <c r="AA11" i="1"/>
  <c r="AB11" i="1"/>
  <c r="AE11" i="1"/>
  <c r="AF11" i="1"/>
  <c r="AI11" i="1"/>
  <c r="AJ11" i="1"/>
  <c r="AM11" i="1"/>
  <c r="AO11" i="1"/>
  <c r="G11" i="1" s="1"/>
  <c r="AP11" i="1"/>
  <c r="AW11" i="1"/>
  <c r="AX11" i="1"/>
  <c r="BA11" i="1"/>
  <c r="BC11" i="1"/>
  <c r="BD11" i="1"/>
  <c r="BG11" i="1"/>
  <c r="BH11" i="1"/>
  <c r="BJ11" i="1"/>
  <c r="BN11" i="1"/>
  <c r="BQ11" i="1"/>
  <c r="BR11" i="1"/>
  <c r="BU11" i="1"/>
  <c r="BV11" i="1"/>
  <c r="BY11" i="1"/>
  <c r="CA11" i="1"/>
  <c r="CB11" i="1"/>
  <c r="CE11" i="1"/>
  <c r="I12" i="1"/>
  <c r="K12" i="1"/>
  <c r="L12" i="1"/>
  <c r="O12" i="1"/>
  <c r="Q12" i="1"/>
  <c r="R12" i="1"/>
  <c r="U12" i="1"/>
  <c r="X12" i="1"/>
  <c r="AA12" i="1"/>
  <c r="AB12" i="1"/>
  <c r="AE12" i="1"/>
  <c r="AF12" i="1"/>
  <c r="AI12" i="1"/>
  <c r="AJ12" i="1"/>
  <c r="AM12" i="1"/>
  <c r="AO12" i="1"/>
  <c r="AP12" i="1"/>
  <c r="AW12" i="1"/>
  <c r="AX12" i="1"/>
  <c r="BA12" i="1"/>
  <c r="BC12" i="1"/>
  <c r="BD12" i="1"/>
  <c r="BG12" i="1"/>
  <c r="BH12" i="1"/>
  <c r="BJ12" i="1"/>
  <c r="BN12" i="1"/>
  <c r="BQ12" i="1"/>
  <c r="BR12" i="1"/>
  <c r="BU12" i="1"/>
  <c r="BV12" i="1"/>
  <c r="BY12" i="1"/>
  <c r="CB12" i="1"/>
  <c r="CE12" i="1"/>
  <c r="I13" i="1"/>
  <c r="K13" i="1"/>
  <c r="L13" i="1"/>
  <c r="O13" i="1"/>
  <c r="Q13" i="1"/>
  <c r="R13" i="1"/>
  <c r="U13" i="1"/>
  <c r="W13" i="1"/>
  <c r="X13" i="1"/>
  <c r="AA13" i="1"/>
  <c r="AB13" i="1"/>
  <c r="AE13" i="1"/>
  <c r="AF13" i="1"/>
  <c r="AI13" i="1"/>
  <c r="AJ13" i="1"/>
  <c r="AM13" i="1"/>
  <c r="AP13" i="1"/>
  <c r="AW13" i="1"/>
  <c r="AX13" i="1"/>
  <c r="BA13" i="1"/>
  <c r="BC13" i="1"/>
  <c r="BD13" i="1"/>
  <c r="BG13" i="1"/>
  <c r="BH13" i="1"/>
  <c r="BJ13" i="1"/>
  <c r="BN13" i="1"/>
  <c r="BQ13" i="1"/>
  <c r="BR13" i="1"/>
  <c r="BU13" i="1"/>
  <c r="BV13" i="1"/>
  <c r="BY13" i="1"/>
  <c r="CA13" i="1"/>
  <c r="CB13" i="1"/>
  <c r="CE13" i="1"/>
  <c r="K14" i="1"/>
  <c r="L14" i="1"/>
  <c r="H14" i="1" s="1"/>
  <c r="O14" i="1"/>
  <c r="I14" i="1" s="1"/>
  <c r="R14" i="1"/>
  <c r="U14" i="1"/>
  <c r="X14" i="1"/>
  <c r="AA14" i="1"/>
  <c r="AB14" i="1"/>
  <c r="AE14" i="1"/>
  <c r="AF14" i="1"/>
  <c r="AI14" i="1"/>
  <c r="AJ14" i="1"/>
  <c r="AM14" i="1"/>
  <c r="AO14" i="1"/>
  <c r="AP14" i="1"/>
  <c r="AW14" i="1"/>
  <c r="AX14" i="1"/>
  <c r="BA14" i="1"/>
  <c r="BD14" i="1"/>
  <c r="BG14" i="1"/>
  <c r="BH14" i="1"/>
  <c r="BJ14" i="1"/>
  <c r="BN14" i="1"/>
  <c r="BQ14" i="1"/>
  <c r="BR14" i="1"/>
  <c r="BU14" i="1"/>
  <c r="BV14" i="1"/>
  <c r="BY14" i="1"/>
  <c r="CB14" i="1"/>
  <c r="CE14" i="1"/>
  <c r="L15" i="1"/>
  <c r="O15" i="1"/>
  <c r="Q15" i="1"/>
  <c r="R15" i="1"/>
  <c r="U15" i="1"/>
  <c r="I15" i="1" s="1"/>
  <c r="X15" i="1"/>
  <c r="AA15" i="1"/>
  <c r="AB15" i="1"/>
  <c r="AE15" i="1"/>
  <c r="AF15" i="1"/>
  <c r="AI15" i="1"/>
  <c r="AJ15" i="1"/>
  <c r="AM15" i="1"/>
  <c r="AO15" i="1"/>
  <c r="AP15" i="1"/>
  <c r="AW15" i="1"/>
  <c r="AX15" i="1"/>
  <c r="BA15" i="1"/>
  <c r="BC15" i="1"/>
  <c r="BD15" i="1"/>
  <c r="BG15" i="1"/>
  <c r="BH15" i="1"/>
  <c r="BJ15" i="1"/>
  <c r="BN15" i="1"/>
  <c r="BQ15" i="1"/>
  <c r="BR15" i="1"/>
  <c r="BV15" i="1"/>
  <c r="BY15" i="1"/>
  <c r="CB15" i="1"/>
  <c r="CE15" i="1"/>
  <c r="H16" i="1"/>
  <c r="L16" i="1"/>
  <c r="O16" i="1"/>
  <c r="R16" i="1"/>
  <c r="U16" i="1"/>
  <c r="X16" i="1"/>
  <c r="AA16" i="1"/>
  <c r="AB16" i="1"/>
  <c r="AE16" i="1"/>
  <c r="AF16" i="1"/>
  <c r="AI16" i="1"/>
  <c r="AJ16" i="1"/>
  <c r="AM16" i="1"/>
  <c r="AP16" i="1"/>
  <c r="AX16" i="1"/>
  <c r="BA16" i="1"/>
  <c r="BD16" i="1"/>
  <c r="BG16" i="1"/>
  <c r="BH16" i="1"/>
  <c r="BJ16" i="1"/>
  <c r="BN16" i="1"/>
  <c r="BQ16" i="1"/>
  <c r="BR16" i="1"/>
  <c r="BV16" i="1"/>
  <c r="BY16" i="1"/>
  <c r="I16" i="1" s="1"/>
  <c r="CB16" i="1"/>
  <c r="CE16" i="1"/>
  <c r="L17" i="1"/>
  <c r="R17" i="1"/>
  <c r="U17" i="1"/>
  <c r="X17" i="1"/>
  <c r="AA17" i="1"/>
  <c r="AB17" i="1"/>
  <c r="AE17" i="1"/>
  <c r="AF17" i="1"/>
  <c r="AI17" i="1"/>
  <c r="AJ17" i="1"/>
  <c r="AP17" i="1"/>
  <c r="AX17" i="1"/>
  <c r="BD17" i="1"/>
  <c r="BG17" i="1"/>
  <c r="BH17" i="1"/>
  <c r="BJ17" i="1"/>
  <c r="BN17" i="1"/>
  <c r="BQ17" i="1"/>
  <c r="BR17" i="1"/>
  <c r="BV17" i="1"/>
  <c r="CB17" i="1"/>
  <c r="X18" i="1"/>
  <c r="AA18" i="1"/>
  <c r="AB18" i="1"/>
  <c r="AE18" i="1"/>
  <c r="AI18" i="1"/>
  <c r="AJ18" i="1"/>
  <c r="AP18" i="1"/>
  <c r="BD18" i="1"/>
  <c r="BG18" i="1"/>
  <c r="BQ18" i="1"/>
  <c r="X19" i="1"/>
  <c r="AA19" i="1"/>
  <c r="AB19" i="1"/>
  <c r="AE19" i="1"/>
  <c r="AI19" i="1"/>
  <c r="AP19" i="1"/>
  <c r="BG19" i="1"/>
  <c r="BQ19" i="1"/>
  <c r="X20" i="1"/>
  <c r="AA20" i="1"/>
  <c r="AB20" i="1"/>
  <c r="AE20" i="1"/>
  <c r="AI20" i="1"/>
  <c r="AP20" i="1"/>
  <c r="BG20" i="1"/>
  <c r="BQ20" i="1"/>
  <c r="X21" i="1"/>
  <c r="AA21" i="1"/>
  <c r="AB21" i="1"/>
  <c r="AE21" i="1"/>
  <c r="AI21" i="1"/>
  <c r="AP21" i="1"/>
  <c r="BG21" i="1"/>
  <c r="BQ21" i="1"/>
  <c r="X22" i="1"/>
  <c r="AA22" i="1"/>
  <c r="AB22" i="1"/>
  <c r="AE22" i="1"/>
  <c r="AI22" i="1"/>
  <c r="AP22" i="1"/>
  <c r="BG22" i="1"/>
  <c r="BQ22" i="1"/>
  <c r="X23" i="1"/>
  <c r="AA23" i="1"/>
  <c r="AB23" i="1"/>
  <c r="AE23" i="1"/>
  <c r="AI23" i="1"/>
  <c r="AP23" i="1"/>
  <c r="BG23" i="1"/>
  <c r="BQ23" i="1"/>
  <c r="X24" i="1"/>
  <c r="AA24" i="1"/>
  <c r="AB24" i="1"/>
  <c r="AE24" i="1"/>
  <c r="AI24" i="1"/>
  <c r="AP24" i="1"/>
  <c r="BG24" i="1"/>
  <c r="BQ24" i="1"/>
  <c r="X25" i="1"/>
  <c r="AA25" i="1"/>
  <c r="AB25" i="1"/>
  <c r="AE25" i="1"/>
  <c r="AI25" i="1"/>
  <c r="AP25" i="1"/>
  <c r="BG25" i="1"/>
  <c r="BQ25" i="1"/>
  <c r="X26" i="1"/>
  <c r="AA26" i="1"/>
  <c r="AB26" i="1"/>
  <c r="AE26" i="1"/>
  <c r="AI26" i="1"/>
  <c r="AP26" i="1"/>
  <c r="BG26" i="1"/>
  <c r="BQ26" i="1"/>
  <c r="X27" i="1"/>
  <c r="AA27" i="1"/>
  <c r="AB27" i="1"/>
  <c r="AE27" i="1"/>
  <c r="AI27" i="1"/>
  <c r="AP27" i="1"/>
  <c r="BG27" i="1"/>
  <c r="BQ27" i="1"/>
  <c r="X28" i="1"/>
  <c r="AA28" i="1"/>
  <c r="AB28" i="1"/>
  <c r="AE28" i="1"/>
  <c r="AI28" i="1"/>
  <c r="AP28" i="1"/>
  <c r="BG28" i="1"/>
  <c r="BQ28" i="1"/>
  <c r="X29" i="1"/>
  <c r="AA29" i="1"/>
  <c r="AB29" i="1"/>
  <c r="AE29" i="1"/>
  <c r="AI29" i="1"/>
  <c r="AP29" i="1"/>
  <c r="BG29" i="1"/>
  <c r="BQ29" i="1"/>
  <c r="X30" i="1"/>
  <c r="AA30" i="1"/>
  <c r="AB30" i="1"/>
  <c r="AE30" i="1"/>
  <c r="AI30" i="1"/>
  <c r="AP30" i="1"/>
  <c r="BG30" i="1"/>
  <c r="BQ30" i="1"/>
  <c r="X31" i="1"/>
  <c r="AA31" i="1"/>
  <c r="AB31" i="1"/>
  <c r="AE31" i="1"/>
  <c r="AI31" i="1"/>
  <c r="AP31" i="1"/>
  <c r="BG31" i="1"/>
  <c r="BQ31" i="1"/>
  <c r="X32" i="1"/>
  <c r="AA32" i="1"/>
  <c r="AB32" i="1"/>
  <c r="AE32" i="1"/>
  <c r="AI32" i="1"/>
  <c r="AP32" i="1"/>
  <c r="BG32" i="1"/>
  <c r="BQ32" i="1"/>
  <c r="X33" i="1"/>
  <c r="AA33" i="1"/>
  <c r="AB33" i="1"/>
  <c r="AE33" i="1"/>
  <c r="AI33" i="1"/>
  <c r="AP33" i="1"/>
  <c r="BG33" i="1"/>
  <c r="BQ33" i="1"/>
  <c r="X34" i="1"/>
  <c r="AA34" i="1"/>
  <c r="AB34" i="1"/>
  <c r="AE34" i="1"/>
  <c r="AI34" i="1"/>
  <c r="AP34" i="1"/>
  <c r="BG34" i="1"/>
  <c r="BQ34" i="1"/>
  <c r="X35" i="1"/>
  <c r="AA35" i="1"/>
  <c r="AB35" i="1"/>
  <c r="AE35" i="1"/>
  <c r="AI35" i="1"/>
  <c r="AP35" i="1"/>
  <c r="BG35" i="1"/>
  <c r="BQ35" i="1"/>
  <c r="X36" i="1"/>
  <c r="AA36" i="1"/>
  <c r="AB36" i="1"/>
  <c r="AE36" i="1"/>
  <c r="AI36" i="1"/>
  <c r="AP36" i="1"/>
  <c r="BG36" i="1"/>
  <c r="BQ36" i="1"/>
  <c r="X37" i="1"/>
  <c r="AA37" i="1"/>
  <c r="AB37" i="1"/>
  <c r="AE37" i="1"/>
  <c r="AI37" i="1"/>
  <c r="AP37" i="1"/>
  <c r="BG37" i="1"/>
  <c r="BQ37" i="1"/>
  <c r="X38" i="1"/>
  <c r="AA38" i="1"/>
  <c r="AB38" i="1"/>
  <c r="AE38" i="1"/>
  <c r="AI38" i="1"/>
  <c r="AP38" i="1"/>
  <c r="BG38" i="1"/>
  <c r="BQ38" i="1"/>
  <c r="X39" i="1"/>
  <c r="AA39" i="1"/>
  <c r="AB39" i="1"/>
  <c r="AE39" i="1"/>
  <c r="AI39" i="1"/>
  <c r="AP39" i="1"/>
  <c r="BG39" i="1"/>
  <c r="BQ39" i="1"/>
  <c r="X40" i="1"/>
  <c r="AA40" i="1"/>
  <c r="AB40" i="1"/>
  <c r="AE40" i="1"/>
  <c r="AI40" i="1"/>
  <c r="AP40" i="1"/>
  <c r="BG40" i="1"/>
  <c r="BQ40" i="1"/>
  <c r="X41" i="1"/>
  <c r="AA41" i="1"/>
  <c r="AB41" i="1"/>
  <c r="AE41" i="1"/>
  <c r="AI41" i="1"/>
  <c r="AP41" i="1"/>
  <c r="BG41" i="1"/>
  <c r="BQ41" i="1"/>
  <c r="X42" i="1"/>
  <c r="AA42" i="1"/>
  <c r="AB42" i="1"/>
  <c r="AE42" i="1"/>
  <c r="AI42" i="1"/>
  <c r="AP42" i="1"/>
  <c r="BG42" i="1"/>
  <c r="BQ42" i="1"/>
  <c r="X43" i="1"/>
  <c r="AA43" i="1"/>
  <c r="AB43" i="1"/>
  <c r="AE43" i="1"/>
  <c r="AI43" i="1"/>
  <c r="AP43" i="1"/>
  <c r="BG43" i="1"/>
  <c r="BQ43" i="1"/>
  <c r="X44" i="1"/>
  <c r="AA44" i="1"/>
  <c r="AB44" i="1"/>
  <c r="AE44" i="1"/>
  <c r="AI44" i="1"/>
  <c r="AP44" i="1"/>
  <c r="BG44" i="1"/>
  <c r="BQ44" i="1"/>
  <c r="X45" i="1"/>
  <c r="AA45" i="1"/>
  <c r="AB45" i="1"/>
  <c r="AE45" i="1"/>
  <c r="AI45" i="1"/>
  <c r="AP45" i="1"/>
  <c r="BG45" i="1"/>
  <c r="BQ45" i="1"/>
  <c r="X46" i="1"/>
  <c r="AA46" i="1"/>
  <c r="AB46" i="1"/>
  <c r="AE46" i="1"/>
  <c r="AI46" i="1"/>
  <c r="AP46" i="1"/>
  <c r="BG46" i="1"/>
  <c r="BQ46" i="1"/>
  <c r="X47" i="1"/>
  <c r="AA47" i="1"/>
  <c r="AB47" i="1"/>
  <c r="AE47" i="1"/>
  <c r="AI47" i="1"/>
  <c r="AP47" i="1"/>
  <c r="BG47" i="1"/>
  <c r="BQ47" i="1"/>
  <c r="X48" i="1"/>
  <c r="AA48" i="1"/>
  <c r="AB48" i="1"/>
  <c r="AE48" i="1"/>
  <c r="AI48" i="1"/>
  <c r="AP48" i="1"/>
  <c r="BG48" i="1"/>
  <c r="BQ48" i="1"/>
  <c r="X49" i="1"/>
  <c r="AA49" i="1"/>
  <c r="AB49" i="1"/>
  <c r="AE49" i="1"/>
  <c r="AI49" i="1"/>
  <c r="AP49" i="1"/>
  <c r="BG49" i="1"/>
  <c r="BQ49" i="1"/>
  <c r="X50" i="1"/>
  <c r="AA50" i="1"/>
  <c r="AB50" i="1"/>
  <c r="AE50" i="1"/>
  <c r="AI50" i="1"/>
  <c r="AP50" i="1"/>
  <c r="BG50" i="1"/>
  <c r="BQ50" i="1"/>
  <c r="X51" i="1"/>
  <c r="AA51" i="1"/>
  <c r="AB51" i="1"/>
  <c r="AE51" i="1"/>
  <c r="AI51" i="1"/>
  <c r="AP51" i="1"/>
  <c r="BG51" i="1"/>
  <c r="BQ51" i="1"/>
  <c r="X52" i="1"/>
  <c r="AA52" i="1"/>
  <c r="AB52" i="1"/>
  <c r="AE52" i="1"/>
  <c r="AI52" i="1"/>
  <c r="AP52" i="1"/>
  <c r="BG52" i="1"/>
  <c r="BQ52" i="1"/>
  <c r="X53" i="1"/>
  <c r="AA53" i="1"/>
  <c r="AB53" i="1"/>
  <c r="AE53" i="1"/>
  <c r="AI53" i="1"/>
  <c r="AP53" i="1"/>
  <c r="BG53" i="1"/>
  <c r="BQ53" i="1"/>
  <c r="X54" i="1"/>
  <c r="AA54" i="1"/>
  <c r="AB54" i="1"/>
  <c r="AE54" i="1"/>
  <c r="AI54" i="1"/>
  <c r="AP54" i="1"/>
  <c r="BG54" i="1"/>
  <c r="BQ54" i="1"/>
  <c r="X55" i="1"/>
  <c r="AA55" i="1"/>
  <c r="AB55" i="1"/>
  <c r="AE55" i="1"/>
  <c r="AI55" i="1"/>
  <c r="AP55" i="1"/>
  <c r="BG55" i="1"/>
  <c r="BQ55" i="1"/>
  <c r="X56" i="1"/>
  <c r="AA56" i="1"/>
  <c r="AB56" i="1"/>
  <c r="AE56" i="1"/>
  <c r="AI56" i="1"/>
  <c r="AP56" i="1"/>
  <c r="BG56" i="1"/>
  <c r="BQ56" i="1"/>
  <c r="X57" i="1"/>
  <c r="AA57" i="1"/>
  <c r="AB57" i="1"/>
  <c r="AE57" i="1"/>
  <c r="AI57" i="1"/>
  <c r="AP57" i="1"/>
  <c r="BG57" i="1"/>
  <c r="BQ57" i="1"/>
  <c r="X58" i="1"/>
  <c r="AA58" i="1"/>
  <c r="AB58" i="1"/>
  <c r="AE58" i="1"/>
  <c r="AI58" i="1"/>
  <c r="AP58" i="1"/>
  <c r="BG58" i="1"/>
  <c r="BQ58" i="1"/>
  <c r="X59" i="1"/>
  <c r="AA59" i="1"/>
  <c r="AB59" i="1"/>
  <c r="AE59" i="1"/>
  <c r="AI59" i="1"/>
  <c r="AP59" i="1"/>
  <c r="BG59" i="1"/>
  <c r="BQ59" i="1"/>
  <c r="X60" i="1"/>
  <c r="AA60" i="1"/>
  <c r="AB60" i="1"/>
  <c r="AE60" i="1"/>
  <c r="AI60" i="1"/>
  <c r="AP60" i="1"/>
  <c r="BG60" i="1"/>
  <c r="BQ60" i="1"/>
  <c r="X61" i="1"/>
  <c r="AA61" i="1"/>
  <c r="AB61" i="1"/>
  <c r="AE61" i="1"/>
  <c r="AI61" i="1"/>
  <c r="AP61" i="1"/>
  <c r="BG61" i="1"/>
  <c r="BQ61" i="1"/>
  <c r="X62" i="1"/>
  <c r="AA62" i="1"/>
  <c r="AB62" i="1"/>
  <c r="AE62" i="1"/>
  <c r="AI62" i="1"/>
  <c r="AP62" i="1"/>
  <c r="BG62" i="1"/>
  <c r="BQ62" i="1"/>
  <c r="X63" i="1"/>
  <c r="AA63" i="1"/>
  <c r="AB63" i="1"/>
  <c r="AE63" i="1"/>
  <c r="AI63" i="1"/>
  <c r="AP63" i="1"/>
  <c r="BG63" i="1"/>
  <c r="BQ63" i="1"/>
  <c r="X64" i="1"/>
  <c r="AA64" i="1"/>
  <c r="AB64" i="1"/>
  <c r="AE64" i="1"/>
  <c r="AI64" i="1"/>
  <c r="AP64" i="1"/>
  <c r="BG64" i="1"/>
  <c r="BQ64" i="1"/>
  <c r="X65" i="1"/>
  <c r="AA65" i="1"/>
  <c r="AB65" i="1"/>
  <c r="AE65" i="1"/>
  <c r="AI65" i="1"/>
  <c r="AP65" i="1"/>
  <c r="BG65" i="1"/>
  <c r="BQ65" i="1"/>
  <c r="X66" i="1"/>
  <c r="AA66" i="1"/>
  <c r="AB66" i="1"/>
  <c r="AE66" i="1"/>
  <c r="AI66" i="1"/>
  <c r="AP66" i="1"/>
  <c r="BG66" i="1"/>
  <c r="BQ66" i="1"/>
  <c r="X67" i="1"/>
  <c r="AA67" i="1"/>
  <c r="AB67" i="1"/>
  <c r="AE67" i="1"/>
  <c r="AI67" i="1"/>
  <c r="AP67" i="1"/>
  <c r="BG67" i="1"/>
  <c r="BQ67" i="1"/>
  <c r="X68" i="1"/>
  <c r="AA68" i="1"/>
  <c r="AB68" i="1"/>
  <c r="AE68" i="1"/>
  <c r="AI68" i="1"/>
  <c r="AP68" i="1"/>
  <c r="BG68" i="1"/>
  <c r="BQ68" i="1"/>
  <c r="X69" i="1"/>
  <c r="AA69" i="1"/>
  <c r="AB69" i="1"/>
  <c r="AE69" i="1"/>
  <c r="AI69" i="1"/>
  <c r="AP69" i="1"/>
  <c r="BG69" i="1"/>
  <c r="BQ69" i="1"/>
  <c r="X70" i="1"/>
  <c r="AA70" i="1"/>
  <c r="AB70" i="1"/>
  <c r="AE70" i="1"/>
  <c r="AI70" i="1"/>
  <c r="AP70" i="1"/>
  <c r="BG70" i="1"/>
  <c r="BQ70" i="1"/>
  <c r="X71" i="1"/>
  <c r="AA71" i="1"/>
  <c r="AB71" i="1"/>
  <c r="AE71" i="1"/>
  <c r="AI71" i="1"/>
  <c r="AP71" i="1"/>
  <c r="BG71" i="1"/>
  <c r="BQ71" i="1"/>
  <c r="X72" i="1"/>
  <c r="AA72" i="1"/>
  <c r="AB72" i="1"/>
  <c r="AE72" i="1"/>
  <c r="AI72" i="1"/>
  <c r="AP72" i="1"/>
  <c r="BG72" i="1"/>
  <c r="BQ72" i="1"/>
  <c r="X73" i="1"/>
  <c r="AA73" i="1"/>
  <c r="AB73" i="1"/>
  <c r="AE73" i="1"/>
  <c r="AI73" i="1"/>
  <c r="AP73" i="1"/>
  <c r="BG73" i="1"/>
  <c r="BQ73" i="1"/>
  <c r="X74" i="1"/>
  <c r="AA74" i="1"/>
  <c r="AB74" i="1"/>
  <c r="AE74" i="1"/>
  <c r="AI74" i="1"/>
  <c r="AP74" i="1"/>
  <c r="BG74" i="1"/>
  <c r="BQ74" i="1"/>
  <c r="X75" i="1"/>
  <c r="AA75" i="1"/>
  <c r="AB75" i="1"/>
  <c r="AE75" i="1"/>
  <c r="AI75" i="1"/>
  <c r="AP75" i="1"/>
  <c r="BG75" i="1"/>
  <c r="BQ75" i="1"/>
  <c r="X76" i="1"/>
  <c r="AA76" i="1"/>
  <c r="AB76" i="1"/>
  <c r="AE76" i="1"/>
  <c r="AI76" i="1"/>
  <c r="AP76" i="1"/>
  <c r="BG76" i="1"/>
  <c r="BQ76" i="1"/>
  <c r="X77" i="1"/>
  <c r="AA77" i="1"/>
  <c r="AB77" i="1"/>
  <c r="AE77" i="1"/>
  <c r="AI77" i="1"/>
  <c r="AP77" i="1"/>
  <c r="BG77" i="1"/>
  <c r="BQ77" i="1"/>
  <c r="X78" i="1"/>
  <c r="AA78" i="1"/>
  <c r="AB78" i="1"/>
  <c r="AE78" i="1"/>
  <c r="AI78" i="1"/>
  <c r="AP78" i="1"/>
  <c r="BG78" i="1"/>
  <c r="BQ78" i="1"/>
  <c r="X79" i="1"/>
  <c r="AA79" i="1"/>
  <c r="AB79" i="1"/>
  <c r="AE79" i="1"/>
  <c r="AI79" i="1"/>
  <c r="AP79" i="1"/>
  <c r="BG79" i="1"/>
  <c r="BQ79" i="1"/>
  <c r="X80" i="1"/>
  <c r="AA80" i="1"/>
  <c r="AB80" i="1"/>
  <c r="AE80" i="1"/>
  <c r="AI80" i="1"/>
  <c r="AP80" i="1"/>
  <c r="BG80" i="1"/>
  <c r="BQ80" i="1"/>
  <c r="X81" i="1"/>
  <c r="AA81" i="1"/>
  <c r="AB81" i="1"/>
  <c r="AE81" i="1"/>
  <c r="AI81" i="1"/>
  <c r="AP81" i="1"/>
  <c r="BG81" i="1"/>
  <c r="BQ81" i="1"/>
  <c r="X82" i="1"/>
  <c r="AA82" i="1"/>
  <c r="AB82" i="1"/>
  <c r="AE82" i="1"/>
  <c r="AI82" i="1"/>
  <c r="AP82" i="1"/>
  <c r="BG82" i="1"/>
  <c r="BQ82" i="1"/>
  <c r="X83" i="1"/>
  <c r="AA83" i="1"/>
  <c r="AB83" i="1"/>
  <c r="AE83" i="1"/>
  <c r="AI83" i="1"/>
  <c r="AP83" i="1"/>
  <c r="BG83" i="1"/>
  <c r="BQ83" i="1"/>
  <c r="X84" i="1"/>
  <c r="AA84" i="1"/>
  <c r="AB84" i="1"/>
  <c r="AE84" i="1"/>
  <c r="AI84" i="1"/>
  <c r="AP84" i="1"/>
  <c r="BG84" i="1"/>
  <c r="BQ84" i="1"/>
  <c r="X85" i="1"/>
  <c r="AA85" i="1"/>
  <c r="AB85" i="1"/>
  <c r="AE85" i="1"/>
  <c r="AI85" i="1"/>
  <c r="AP85" i="1"/>
  <c r="BG85" i="1"/>
  <c r="BQ85" i="1"/>
  <c r="X86" i="1"/>
  <c r="AA86" i="1"/>
  <c r="AB86" i="1"/>
  <c r="AE86" i="1"/>
  <c r="AI86" i="1"/>
  <c r="AP86" i="1"/>
  <c r="BG86" i="1"/>
  <c r="BQ86" i="1"/>
  <c r="X87" i="1"/>
  <c r="AA87" i="1"/>
  <c r="AB87" i="1"/>
  <c r="AE87" i="1"/>
  <c r="AI87" i="1"/>
  <c r="AP87" i="1"/>
  <c r="BG87" i="1"/>
  <c r="BQ87" i="1"/>
  <c r="X88" i="1"/>
  <c r="AA88" i="1"/>
  <c r="AB88" i="1"/>
  <c r="AE88" i="1"/>
  <c r="AI88" i="1"/>
  <c r="AP88" i="1"/>
  <c r="BG88" i="1"/>
  <c r="BQ88" i="1"/>
  <c r="X89" i="1"/>
  <c r="AA89" i="1"/>
  <c r="AB89" i="1"/>
  <c r="AE89" i="1"/>
  <c r="AI89" i="1"/>
  <c r="AP89" i="1"/>
  <c r="BG89" i="1"/>
  <c r="BQ89" i="1"/>
  <c r="X90" i="1"/>
  <c r="AA90" i="1"/>
  <c r="AB90" i="1"/>
  <c r="AE90" i="1"/>
  <c r="AI90" i="1"/>
  <c r="AP90" i="1"/>
  <c r="BG90" i="1"/>
  <c r="BQ90" i="1"/>
  <c r="X91" i="1"/>
  <c r="AA91" i="1"/>
  <c r="AB91" i="1"/>
  <c r="AE91" i="1"/>
  <c r="AI91" i="1"/>
  <c r="AP91" i="1"/>
  <c r="BG91" i="1"/>
  <c r="BQ91" i="1"/>
  <c r="X92" i="1"/>
  <c r="AA92" i="1"/>
  <c r="AB92" i="1"/>
  <c r="AE92" i="1"/>
  <c r="AI92" i="1"/>
  <c r="AP92" i="1"/>
  <c r="BG92" i="1"/>
  <c r="BQ92" i="1"/>
  <c r="X93" i="1"/>
  <c r="AA93" i="1"/>
  <c r="AB93" i="1"/>
  <c r="AE93" i="1"/>
  <c r="AI93" i="1"/>
  <c r="AP93" i="1"/>
  <c r="BG93" i="1"/>
  <c r="BQ93" i="1"/>
  <c r="X94" i="1"/>
  <c r="AA94" i="1"/>
  <c r="AB94" i="1"/>
  <c r="AE94" i="1"/>
  <c r="AI94" i="1"/>
  <c r="AP94" i="1"/>
  <c r="BG94" i="1"/>
  <c r="BQ94" i="1"/>
  <c r="X95" i="1"/>
  <c r="AA95" i="1"/>
  <c r="AB95" i="1"/>
  <c r="AE95" i="1"/>
  <c r="AI95" i="1"/>
  <c r="AP95" i="1"/>
  <c r="BG95" i="1"/>
  <c r="BQ95" i="1"/>
  <c r="X96" i="1"/>
  <c r="AA96" i="1"/>
  <c r="AB96" i="1"/>
  <c r="AE96" i="1"/>
  <c r="AI96" i="1"/>
  <c r="AP96" i="1"/>
  <c r="BG96" i="1"/>
  <c r="BQ96" i="1"/>
  <c r="X97" i="1"/>
  <c r="AA97" i="1"/>
  <c r="AB97" i="1"/>
  <c r="AE97" i="1"/>
  <c r="AI97" i="1"/>
  <c r="AP97" i="1"/>
  <c r="BG97" i="1"/>
  <c r="BQ97" i="1"/>
  <c r="X98" i="1"/>
  <c r="AA98" i="1"/>
  <c r="AB98" i="1"/>
  <c r="AE98" i="1"/>
  <c r="AI98" i="1"/>
  <c r="AP98" i="1"/>
  <c r="BG98" i="1"/>
  <c r="BQ98" i="1"/>
  <c r="X99" i="1"/>
  <c r="AA99" i="1"/>
  <c r="AB99" i="1"/>
  <c r="AE99" i="1"/>
  <c r="AI99" i="1"/>
  <c r="AP99" i="1"/>
  <c r="BG99" i="1"/>
  <c r="BQ99" i="1"/>
  <c r="X100" i="1"/>
  <c r="AA100" i="1"/>
  <c r="AB100" i="1"/>
  <c r="AE100" i="1"/>
  <c r="AI100" i="1"/>
  <c r="AP100" i="1"/>
  <c r="BG100" i="1"/>
  <c r="BQ100" i="1"/>
  <c r="X101" i="1"/>
  <c r="AA101" i="1"/>
  <c r="AB101" i="1"/>
  <c r="AE101" i="1"/>
  <c r="AI101" i="1"/>
  <c r="AP101" i="1"/>
  <c r="BG101" i="1"/>
  <c r="BQ101" i="1"/>
  <c r="X102" i="1"/>
  <c r="AA102" i="1"/>
  <c r="AB102" i="1"/>
  <c r="AE102" i="1"/>
  <c r="AI102" i="1"/>
  <c r="AP102" i="1"/>
  <c r="BG102" i="1"/>
  <c r="BQ102" i="1"/>
  <c r="X103" i="1"/>
  <c r="AA103" i="1"/>
  <c r="AB103" i="1"/>
  <c r="AE103" i="1"/>
  <c r="AI103" i="1"/>
  <c r="AP103" i="1"/>
  <c r="BG103" i="1"/>
  <c r="BQ103" i="1"/>
  <c r="X104" i="1"/>
  <c r="AA104" i="1"/>
  <c r="AB104" i="1"/>
  <c r="AE104" i="1"/>
  <c r="AI104" i="1"/>
  <c r="AP104" i="1"/>
  <c r="BG104" i="1"/>
  <c r="BQ104" i="1"/>
  <c r="X105" i="1"/>
  <c r="AA105" i="1"/>
  <c r="AB105" i="1"/>
  <c r="AE105" i="1"/>
  <c r="AI105" i="1"/>
  <c r="AP105" i="1"/>
  <c r="BG105" i="1"/>
  <c r="BQ105" i="1"/>
  <c r="X106" i="1"/>
  <c r="AA106" i="1"/>
  <c r="AB106" i="1"/>
  <c r="AE106" i="1"/>
  <c r="AI106" i="1"/>
  <c r="AP106" i="1"/>
  <c r="BG106" i="1"/>
  <c r="BQ106" i="1"/>
  <c r="X107" i="1"/>
  <c r="AA107" i="1"/>
  <c r="AB107" i="1"/>
  <c r="AE107" i="1"/>
  <c r="AI107" i="1"/>
  <c r="AP107" i="1"/>
  <c r="BG107" i="1"/>
  <c r="BQ107" i="1"/>
  <c r="X108" i="1"/>
  <c r="AA108" i="1"/>
  <c r="AB108" i="1"/>
  <c r="AE108" i="1"/>
  <c r="AI108" i="1"/>
  <c r="AP108" i="1"/>
  <c r="BG108" i="1"/>
  <c r="BQ108" i="1"/>
  <c r="X109" i="1"/>
  <c r="AA109" i="1"/>
  <c r="AB109" i="1"/>
  <c r="AE109" i="1"/>
  <c r="AI109" i="1"/>
  <c r="AP109" i="1"/>
  <c r="BG109" i="1"/>
  <c r="BQ109" i="1"/>
  <c r="X110" i="1"/>
  <c r="AA110" i="1"/>
  <c r="AB110" i="1"/>
  <c r="AE110" i="1"/>
  <c r="AI110" i="1"/>
  <c r="AP110" i="1"/>
  <c r="BG110" i="1"/>
  <c r="BQ110" i="1"/>
  <c r="X111" i="1"/>
  <c r="AA111" i="1"/>
  <c r="AB111" i="1"/>
  <c r="AE111" i="1"/>
  <c r="AI111" i="1"/>
  <c r="AP111" i="1"/>
  <c r="BG111" i="1"/>
  <c r="BQ111" i="1"/>
  <c r="X112" i="1"/>
  <c r="AA112" i="1"/>
  <c r="AB112" i="1"/>
  <c r="AE112" i="1"/>
  <c r="AI112" i="1"/>
  <c r="AP112" i="1"/>
  <c r="BG112" i="1"/>
  <c r="BQ112" i="1"/>
  <c r="X113" i="1"/>
  <c r="AA113" i="1"/>
  <c r="AB113" i="1"/>
  <c r="AE113" i="1"/>
  <c r="AI113" i="1"/>
  <c r="AP113" i="1"/>
  <c r="BG113" i="1"/>
  <c r="BQ113" i="1"/>
  <c r="X114" i="1"/>
  <c r="AA114" i="1"/>
  <c r="AB114" i="1"/>
  <c r="AE114" i="1"/>
  <c r="AI114" i="1"/>
  <c r="AP114" i="1"/>
  <c r="BG114" i="1"/>
  <c r="BQ114" i="1"/>
  <c r="X115" i="1"/>
  <c r="AA115" i="1"/>
  <c r="AB115" i="1"/>
  <c r="AE115" i="1"/>
  <c r="AI115" i="1"/>
  <c r="AP115" i="1"/>
  <c r="BG115" i="1"/>
  <c r="BQ115" i="1"/>
  <c r="X116" i="1"/>
  <c r="AA116" i="1"/>
  <c r="AB116" i="1"/>
  <c r="AE116" i="1"/>
  <c r="AI116" i="1"/>
  <c r="AP116" i="1"/>
  <c r="BG116" i="1"/>
  <c r="BQ116" i="1"/>
  <c r="X117" i="1"/>
  <c r="AA117" i="1"/>
  <c r="AB117" i="1"/>
  <c r="AE117" i="1"/>
  <c r="AI117" i="1"/>
  <c r="AP117" i="1"/>
  <c r="BG117" i="1"/>
  <c r="BQ117" i="1"/>
  <c r="X118" i="1"/>
  <c r="AA118" i="1"/>
  <c r="AB118" i="1"/>
  <c r="AE118" i="1"/>
  <c r="AI118" i="1"/>
  <c r="AP118" i="1"/>
  <c r="BG118" i="1"/>
  <c r="BQ118" i="1"/>
  <c r="X119" i="1"/>
  <c r="AA119" i="1"/>
  <c r="AB119" i="1"/>
  <c r="AE119" i="1"/>
  <c r="AI119" i="1"/>
  <c r="AP119" i="1"/>
  <c r="BG119" i="1"/>
  <c r="BQ119" i="1"/>
  <c r="X120" i="1"/>
  <c r="AA120" i="1"/>
  <c r="AB120" i="1"/>
  <c r="AE120" i="1"/>
  <c r="AI120" i="1"/>
  <c r="AP120" i="1"/>
  <c r="BG120" i="1"/>
  <c r="BQ120" i="1"/>
  <c r="X121" i="1"/>
  <c r="AA121" i="1"/>
  <c r="AB121" i="1"/>
  <c r="AE121" i="1"/>
  <c r="AI121" i="1"/>
  <c r="AP121" i="1"/>
  <c r="BG121" i="1"/>
  <c r="BQ121" i="1"/>
  <c r="X122" i="1"/>
  <c r="AA122" i="1"/>
  <c r="AB122" i="1"/>
  <c r="AE122" i="1"/>
  <c r="AI122" i="1"/>
  <c r="AP122" i="1"/>
  <c r="BG122" i="1"/>
  <c r="BQ122" i="1"/>
  <c r="X123" i="1"/>
  <c r="AA123" i="1"/>
  <c r="AB123" i="1"/>
  <c r="AE123" i="1"/>
  <c r="AI123" i="1"/>
  <c r="AP123" i="1"/>
  <c r="BG123" i="1"/>
  <c r="BQ123" i="1"/>
  <c r="X124" i="1"/>
  <c r="AA124" i="1"/>
  <c r="AB124" i="1"/>
  <c r="AE124" i="1"/>
  <c r="AI124" i="1"/>
  <c r="AP124" i="1"/>
  <c r="BG124" i="1"/>
  <c r="BQ124" i="1"/>
  <c r="X125" i="1"/>
  <c r="AA125" i="1"/>
  <c r="AB125" i="1"/>
  <c r="AE125" i="1"/>
  <c r="AI125" i="1"/>
  <c r="AM125" i="1"/>
  <c r="AP125" i="1"/>
  <c r="BG125" i="1"/>
  <c r="BQ125" i="1"/>
  <c r="M127" i="1"/>
  <c r="S127" i="1"/>
  <c r="Y127" i="1"/>
  <c r="AC127" i="1"/>
  <c r="AG127" i="1"/>
  <c r="AK127" i="1"/>
  <c r="AL127" i="1"/>
  <c r="AQ127" i="1"/>
  <c r="AY127" i="1"/>
  <c r="BE127" i="1"/>
  <c r="BK127" i="1"/>
  <c r="BL127" i="1"/>
  <c r="BS127" i="1"/>
  <c r="BW127" i="1"/>
  <c r="CC127" i="1"/>
  <c r="M128" i="1"/>
  <c r="S128" i="1"/>
  <c r="Y128" i="1"/>
  <c r="AC128" i="1"/>
  <c r="AG128" i="1"/>
  <c r="AK128" i="1"/>
  <c r="AQ128" i="1"/>
  <c r="AY128" i="1"/>
  <c r="BE128" i="1"/>
  <c r="BK128" i="1"/>
  <c r="BS128" i="1"/>
  <c r="BW128" i="1"/>
  <c r="CC128" i="1"/>
  <c r="M129" i="1"/>
  <c r="S129" i="1"/>
  <c r="Y129" i="1"/>
  <c r="AC129" i="1"/>
  <c r="AG129" i="1"/>
  <c r="AK129" i="1"/>
  <c r="AQ129" i="1"/>
  <c r="AY129" i="1"/>
  <c r="BE129" i="1"/>
  <c r="BK129" i="1"/>
  <c r="BS129" i="1"/>
  <c r="BT129" i="1"/>
  <c r="BW129" i="1"/>
  <c r="BX129" i="1"/>
  <c r="CC129" i="1"/>
  <c r="L130" i="1"/>
  <c r="M130" i="1"/>
  <c r="R130" i="1"/>
  <c r="S130" i="1"/>
  <c r="X130" i="1"/>
  <c r="Y130" i="1"/>
  <c r="AC130" i="1"/>
  <c r="AF130" i="1"/>
  <c r="AG130" i="1"/>
  <c r="AJ130" i="1"/>
  <c r="AK130" i="1"/>
  <c r="AQ130" i="1"/>
  <c r="AX130" i="1"/>
  <c r="AY130" i="1"/>
  <c r="BA130" i="1"/>
  <c r="BD130" i="1"/>
  <c r="BE130" i="1"/>
  <c r="BK130" i="1"/>
  <c r="BR130" i="1"/>
  <c r="BS130" i="1"/>
  <c r="BV130" i="1"/>
  <c r="BW130" i="1"/>
  <c r="CB130" i="1"/>
  <c r="CC130" i="1"/>
  <c r="M131" i="1"/>
  <c r="P131" i="1"/>
  <c r="S131" i="1"/>
  <c r="V131" i="1"/>
  <c r="Y131" i="1"/>
  <c r="AC131" i="1"/>
  <c r="AG131" i="1"/>
  <c r="AK131" i="1"/>
  <c r="AN131" i="1"/>
  <c r="AQ131" i="1"/>
  <c r="AY131" i="1"/>
  <c r="BB131" i="1"/>
  <c r="BE131" i="1"/>
  <c r="BK131" i="1"/>
  <c r="BS131" i="1"/>
  <c r="BW131" i="1"/>
  <c r="BZ131" i="1"/>
  <c r="CC131" i="1"/>
  <c r="CF131" i="1"/>
  <c r="M132" i="1"/>
  <c r="N132" i="1"/>
  <c r="P132" i="1"/>
  <c r="S132" i="1"/>
  <c r="V132" i="1"/>
  <c r="Y132" i="1"/>
  <c r="AC132" i="1"/>
  <c r="AG132" i="1"/>
  <c r="AK132" i="1"/>
  <c r="AN132" i="1"/>
  <c r="AQ132" i="1"/>
  <c r="AY132" i="1"/>
  <c r="BB132" i="1"/>
  <c r="BE132" i="1"/>
  <c r="BI132" i="1"/>
  <c r="BK132" i="1"/>
  <c r="BS132" i="1"/>
  <c r="BW132" i="1"/>
  <c r="BZ132" i="1"/>
  <c r="CC132" i="1"/>
  <c r="CF132" i="1"/>
  <c r="M133" i="1"/>
  <c r="P133" i="1"/>
  <c r="S133" i="1"/>
  <c r="V133" i="1"/>
  <c r="Y133" i="1"/>
  <c r="AC133" i="1"/>
  <c r="AG133" i="1"/>
  <c r="AK133" i="1"/>
  <c r="AN133" i="1"/>
  <c r="AQ133" i="1"/>
  <c r="AY133" i="1"/>
  <c r="BB133" i="1"/>
  <c r="BE133" i="1"/>
  <c r="BI133" i="1"/>
  <c r="BK133" i="1"/>
  <c r="BS133" i="1"/>
  <c r="BW133" i="1"/>
  <c r="BZ133" i="1"/>
  <c r="CC133" i="1"/>
  <c r="CF133" i="1"/>
  <c r="M135" i="1"/>
  <c r="P135" i="1"/>
  <c r="S135" i="1"/>
  <c r="V135" i="1"/>
  <c r="Y135" i="1"/>
  <c r="AC135" i="1"/>
  <c r="AG135" i="1"/>
  <c r="AK135" i="1"/>
  <c r="AN135" i="1"/>
  <c r="AQ135" i="1"/>
  <c r="AY135" i="1"/>
  <c r="BB135" i="1"/>
  <c r="BE135" i="1"/>
  <c r="BI135" i="1"/>
  <c r="BK135" i="1"/>
  <c r="BS135" i="1"/>
  <c r="BW135" i="1"/>
  <c r="BZ135" i="1"/>
  <c r="CC135" i="1"/>
  <c r="CF135" i="1"/>
  <c r="M136" i="1"/>
  <c r="P136" i="1"/>
  <c r="S136" i="1"/>
  <c r="Y136" i="1"/>
  <c r="AC136" i="1"/>
  <c r="AG136" i="1"/>
  <c r="AK136" i="1"/>
  <c r="AQ136" i="1"/>
  <c r="AY136" i="1"/>
  <c r="BE136" i="1"/>
  <c r="BK136" i="1"/>
  <c r="BS136" i="1"/>
  <c r="BW136" i="1"/>
  <c r="CC136" i="1"/>
  <c r="M137" i="1"/>
  <c r="P137" i="1"/>
  <c r="S137" i="1"/>
  <c r="V137" i="1"/>
  <c r="Y137" i="1"/>
  <c r="AC137" i="1"/>
  <c r="AG137" i="1"/>
  <c r="AK137" i="1"/>
  <c r="AN137" i="1"/>
  <c r="AQ137" i="1"/>
  <c r="AY137" i="1"/>
  <c r="BB137" i="1"/>
  <c r="BE137" i="1"/>
  <c r="BI137" i="1"/>
  <c r="BK137" i="1"/>
  <c r="BS137" i="1"/>
  <c r="BW137" i="1"/>
  <c r="BZ137" i="1"/>
  <c r="CC137" i="1"/>
  <c r="CF137" i="1"/>
  <c r="M138" i="1"/>
  <c r="P138" i="1"/>
  <c r="S138" i="1"/>
  <c r="Y138" i="1"/>
  <c r="AC138" i="1"/>
  <c r="AG138" i="1"/>
  <c r="AK138" i="1"/>
  <c r="AQ138" i="1"/>
  <c r="AY138" i="1"/>
  <c r="BE138" i="1"/>
  <c r="BK138" i="1"/>
  <c r="BS138" i="1"/>
  <c r="BW138" i="1"/>
  <c r="CC138" i="1"/>
  <c r="M139" i="1"/>
  <c r="P139" i="1"/>
  <c r="S139" i="1"/>
  <c r="V139" i="1"/>
  <c r="Y139" i="1"/>
  <c r="AC139" i="1"/>
  <c r="AG139" i="1"/>
  <c r="AK139" i="1"/>
  <c r="AN139" i="1"/>
  <c r="AQ139" i="1"/>
  <c r="AY139" i="1"/>
  <c r="BB139" i="1"/>
  <c r="BE139" i="1"/>
  <c r="BI139" i="1"/>
  <c r="BK139" i="1"/>
  <c r="BS139" i="1"/>
  <c r="BW139" i="1"/>
  <c r="BZ139" i="1"/>
  <c r="CC139" i="1"/>
  <c r="CF139" i="1"/>
  <c r="M140" i="1"/>
  <c r="P140" i="1"/>
  <c r="S140" i="1"/>
  <c r="V140" i="1"/>
  <c r="Y140" i="1"/>
  <c r="AC140" i="1"/>
  <c r="AG140" i="1"/>
  <c r="AK140" i="1"/>
  <c r="AN140" i="1"/>
  <c r="AQ140" i="1"/>
  <c r="AY140" i="1"/>
  <c r="BB140" i="1"/>
  <c r="BE140" i="1"/>
  <c r="BI140" i="1"/>
  <c r="BK140" i="1"/>
  <c r="BS140" i="1"/>
  <c r="BW140" i="1"/>
  <c r="BZ140" i="1"/>
  <c r="CC140" i="1"/>
  <c r="CF140" i="1"/>
  <c r="M141" i="1"/>
  <c r="P141" i="1"/>
  <c r="S141" i="1"/>
  <c r="V141" i="1"/>
  <c r="Y141" i="1"/>
  <c r="AC141" i="1"/>
  <c r="AG141" i="1"/>
  <c r="AK141" i="1"/>
  <c r="AN141" i="1"/>
  <c r="AQ141" i="1"/>
  <c r="AY141" i="1"/>
  <c r="BB141" i="1"/>
  <c r="BE141" i="1"/>
  <c r="BI141" i="1"/>
  <c r="BK141" i="1"/>
  <c r="BS141" i="1"/>
  <c r="BW141" i="1"/>
  <c r="BZ141" i="1"/>
  <c r="CC141" i="1"/>
  <c r="CF141" i="1"/>
  <c r="M142" i="1"/>
  <c r="P142" i="1"/>
  <c r="S142" i="1"/>
  <c r="Y142" i="1"/>
  <c r="AC142" i="1"/>
  <c r="AG142" i="1"/>
  <c r="AK142" i="1"/>
  <c r="AQ142" i="1"/>
  <c r="AY142" i="1"/>
  <c r="BE142" i="1"/>
  <c r="BK142" i="1"/>
  <c r="BS142" i="1"/>
  <c r="BW142" i="1"/>
  <c r="CC142" i="1"/>
  <c r="M143" i="1"/>
  <c r="P143" i="1"/>
  <c r="S143" i="1"/>
  <c r="V143" i="1"/>
  <c r="Y143" i="1"/>
  <c r="AC143" i="1"/>
  <c r="AG143" i="1"/>
  <c r="AK143" i="1"/>
  <c r="AN143" i="1"/>
  <c r="AQ143" i="1"/>
  <c r="AY143" i="1"/>
  <c r="BB143" i="1"/>
  <c r="BE143" i="1"/>
  <c r="BI143" i="1"/>
  <c r="BK143" i="1"/>
  <c r="BS143" i="1"/>
  <c r="BW143" i="1"/>
  <c r="BZ143" i="1"/>
  <c r="CC143" i="1"/>
  <c r="CF143" i="1"/>
  <c r="M144" i="1"/>
  <c r="P144" i="1"/>
  <c r="S144" i="1"/>
  <c r="Y144" i="1"/>
  <c r="AC144" i="1"/>
  <c r="AG144" i="1"/>
  <c r="AK144" i="1"/>
  <c r="AQ144" i="1"/>
  <c r="AY144" i="1"/>
  <c r="BE144" i="1"/>
  <c r="BK144" i="1"/>
  <c r="BS144" i="1"/>
  <c r="BW144" i="1"/>
  <c r="CC144" i="1"/>
  <c r="M145" i="1"/>
  <c r="P145" i="1"/>
  <c r="S145" i="1"/>
  <c r="Y145" i="1"/>
  <c r="AC145" i="1"/>
  <c r="AG145" i="1"/>
  <c r="AK145" i="1"/>
  <c r="AQ145" i="1"/>
  <c r="AY145" i="1"/>
  <c r="BE145" i="1"/>
  <c r="BK145" i="1"/>
  <c r="BS145" i="1"/>
  <c r="BW145" i="1"/>
  <c r="CC145" i="1"/>
  <c r="M146" i="1"/>
  <c r="P146" i="1"/>
  <c r="S146" i="1"/>
  <c r="V146" i="1"/>
  <c r="Y146" i="1"/>
  <c r="AC146" i="1"/>
  <c r="AG146" i="1"/>
  <c r="AK146" i="1"/>
  <c r="AN146" i="1"/>
  <c r="AQ146" i="1"/>
  <c r="AY146" i="1"/>
  <c r="BB146" i="1"/>
  <c r="BE146" i="1"/>
  <c r="BI146" i="1"/>
  <c r="BK146" i="1"/>
  <c r="BS146" i="1"/>
  <c r="BW146" i="1"/>
  <c r="BZ146" i="1"/>
  <c r="CC146" i="1"/>
  <c r="CF146" i="1"/>
  <c r="M148" i="1"/>
  <c r="P148" i="1"/>
  <c r="S148" i="1"/>
  <c r="V148" i="1"/>
  <c r="Y148" i="1"/>
  <c r="AC148" i="1"/>
  <c r="AG148" i="1"/>
  <c r="AK148" i="1"/>
  <c r="AN148" i="1"/>
  <c r="AQ148" i="1"/>
  <c r="AY148" i="1"/>
  <c r="BB148" i="1"/>
  <c r="BE148" i="1"/>
  <c r="BI148" i="1"/>
  <c r="BK148" i="1"/>
  <c r="BS148" i="1"/>
  <c r="BW148" i="1"/>
  <c r="BZ148" i="1"/>
  <c r="CC148" i="1"/>
  <c r="CF148" i="1"/>
  <c r="M149" i="1"/>
  <c r="P149" i="1"/>
  <c r="S149" i="1"/>
  <c r="Y149" i="1"/>
  <c r="AC149" i="1"/>
  <c r="AG149" i="1"/>
  <c r="AK149" i="1"/>
  <c r="AQ149" i="1"/>
  <c r="AY149" i="1"/>
  <c r="BE149" i="1"/>
  <c r="BK149" i="1"/>
  <c r="BS149" i="1"/>
  <c r="BW149" i="1"/>
  <c r="CC149" i="1"/>
  <c r="M150" i="1"/>
  <c r="P150" i="1"/>
  <c r="S150" i="1"/>
  <c r="V150" i="1"/>
  <c r="Y150" i="1"/>
  <c r="AC150" i="1"/>
  <c r="AG150" i="1"/>
  <c r="AK150" i="1"/>
  <c r="AN150" i="1"/>
  <c r="AQ150" i="1"/>
  <c r="AY150" i="1"/>
  <c r="BB150" i="1"/>
  <c r="BE150" i="1"/>
  <c r="BI150" i="1"/>
  <c r="BK150" i="1"/>
  <c r="BS150" i="1"/>
  <c r="BW150" i="1"/>
  <c r="BZ150" i="1"/>
  <c r="CC150" i="1"/>
  <c r="CF150" i="1"/>
  <c r="M151" i="1"/>
  <c r="P151" i="1"/>
  <c r="S151" i="1"/>
  <c r="Y151" i="1"/>
  <c r="AC151" i="1"/>
  <c r="AG151" i="1"/>
  <c r="AK151" i="1"/>
  <c r="AQ151" i="1"/>
  <c r="AY151" i="1"/>
  <c r="BE151" i="1"/>
  <c r="BK151" i="1"/>
  <c r="BS151" i="1"/>
  <c r="BW151" i="1"/>
  <c r="CC151" i="1"/>
  <c r="M152" i="1"/>
  <c r="P152" i="1"/>
  <c r="S152" i="1"/>
  <c r="V152" i="1"/>
  <c r="Y152" i="1"/>
  <c r="AC152" i="1"/>
  <c r="AG152" i="1"/>
  <c r="AK152" i="1"/>
  <c r="AN152" i="1"/>
  <c r="AQ152" i="1"/>
  <c r="AY152" i="1"/>
  <c r="BB152" i="1"/>
  <c r="BE152" i="1"/>
  <c r="BI152" i="1"/>
  <c r="BK152" i="1"/>
  <c r="BS152" i="1"/>
  <c r="BW152" i="1"/>
  <c r="BZ152" i="1"/>
  <c r="CC152" i="1"/>
  <c r="CF152" i="1"/>
  <c r="M153" i="1"/>
  <c r="P153" i="1"/>
  <c r="S153" i="1"/>
  <c r="V153" i="1"/>
  <c r="Y153" i="1"/>
  <c r="AC153" i="1"/>
  <c r="AG153" i="1"/>
  <c r="AK153" i="1"/>
  <c r="AN153" i="1"/>
  <c r="AQ153" i="1"/>
  <c r="AY153" i="1"/>
  <c r="BB153" i="1"/>
  <c r="BE153" i="1"/>
  <c r="BI153" i="1"/>
  <c r="BK153" i="1"/>
  <c r="BS153" i="1"/>
  <c r="BW153" i="1"/>
  <c r="BZ153" i="1"/>
  <c r="CC153" i="1"/>
  <c r="CF153" i="1"/>
  <c r="M154" i="1"/>
  <c r="P154" i="1"/>
  <c r="S154" i="1"/>
  <c r="V154" i="1"/>
  <c r="Y154" i="1"/>
  <c r="AC154" i="1"/>
  <c r="AG154" i="1"/>
  <c r="AK154" i="1"/>
  <c r="AN154" i="1"/>
  <c r="AQ154" i="1"/>
  <c r="AY154" i="1"/>
  <c r="BB154" i="1"/>
  <c r="BE154" i="1"/>
  <c r="BI154" i="1"/>
  <c r="BK154" i="1"/>
  <c r="BS154" i="1"/>
  <c r="BW154" i="1"/>
  <c r="BZ154" i="1"/>
  <c r="CC154" i="1"/>
  <c r="CF154" i="1"/>
  <c r="M155" i="1"/>
  <c r="P155" i="1"/>
  <c r="S155" i="1"/>
  <c r="Y155" i="1"/>
  <c r="AC155" i="1"/>
  <c r="AG155" i="1"/>
  <c r="AK155" i="1"/>
  <c r="AQ155" i="1"/>
  <c r="AY155" i="1"/>
  <c r="BE155" i="1"/>
  <c r="BK155" i="1"/>
  <c r="BS155" i="1"/>
  <c r="BW155" i="1"/>
  <c r="CC155" i="1"/>
  <c r="M156" i="1"/>
  <c r="P156" i="1"/>
  <c r="S156" i="1"/>
  <c r="V156" i="1"/>
  <c r="Y156" i="1"/>
  <c r="AC156" i="1"/>
  <c r="AG156" i="1"/>
  <c r="AK156" i="1"/>
  <c r="AN156" i="1"/>
  <c r="AQ156" i="1"/>
  <c r="AY156" i="1"/>
  <c r="BB156" i="1"/>
  <c r="BE156" i="1"/>
  <c r="BI156" i="1"/>
  <c r="BK156" i="1"/>
  <c r="BS156" i="1"/>
  <c r="BW156" i="1"/>
  <c r="BZ156" i="1"/>
  <c r="CC156" i="1"/>
  <c r="CF156" i="1"/>
  <c r="M157" i="1"/>
  <c r="P157" i="1"/>
  <c r="S157" i="1"/>
  <c r="Y157" i="1"/>
  <c r="AC157" i="1"/>
  <c r="AG157" i="1"/>
  <c r="AK157" i="1"/>
  <c r="AQ157" i="1"/>
  <c r="AY157" i="1"/>
  <c r="BE157" i="1"/>
  <c r="BK157" i="1"/>
  <c r="BS157" i="1"/>
  <c r="BW157" i="1"/>
  <c r="CC157" i="1"/>
  <c r="M158" i="1"/>
  <c r="P158" i="1"/>
  <c r="S158" i="1"/>
  <c r="Y158" i="1"/>
  <c r="AC158" i="1"/>
  <c r="AG158" i="1"/>
  <c r="AK158" i="1"/>
  <c r="AQ158" i="1"/>
  <c r="AY158" i="1"/>
  <c r="BE158" i="1"/>
  <c r="BK158" i="1"/>
  <c r="BS158" i="1"/>
  <c r="BW158" i="1"/>
  <c r="CC158" i="1"/>
  <c r="M159" i="1"/>
  <c r="P159" i="1"/>
  <c r="S159" i="1"/>
  <c r="V159" i="1"/>
  <c r="Y159" i="1"/>
  <c r="AC159" i="1"/>
  <c r="AG159" i="1"/>
  <c r="AK159" i="1"/>
  <c r="AN159" i="1"/>
  <c r="AQ159" i="1"/>
  <c r="AY159" i="1"/>
  <c r="BB159" i="1"/>
  <c r="BE159" i="1"/>
  <c r="BI159" i="1"/>
  <c r="BK159" i="1"/>
  <c r="BS159" i="1"/>
  <c r="BW159" i="1"/>
  <c r="BZ159" i="1"/>
  <c r="CC159" i="1"/>
  <c r="CF159" i="1"/>
  <c r="M161" i="1"/>
  <c r="P161" i="1"/>
  <c r="S161" i="1"/>
  <c r="V161" i="1"/>
  <c r="V163" i="1" s="1"/>
  <c r="Y161" i="1"/>
  <c r="AC161" i="1"/>
  <c r="AG161" i="1"/>
  <c r="AK161" i="1"/>
  <c r="AN161" i="1"/>
  <c r="AQ161" i="1"/>
  <c r="AY161" i="1"/>
  <c r="BB161" i="1"/>
  <c r="BE161" i="1"/>
  <c r="BI161" i="1"/>
  <c r="BK161" i="1"/>
  <c r="BS161" i="1"/>
  <c r="BW161" i="1"/>
  <c r="BZ161" i="1"/>
  <c r="CC161" i="1"/>
  <c r="CF161" i="1"/>
  <c r="CF163" i="1" s="1"/>
  <c r="M162" i="1"/>
  <c r="P162" i="1"/>
  <c r="S162" i="1"/>
  <c r="V162" i="1"/>
  <c r="Y162" i="1"/>
  <c r="AC162" i="1"/>
  <c r="AG162" i="1"/>
  <c r="AK162" i="1"/>
  <c r="AN162" i="1"/>
  <c r="AQ162" i="1"/>
  <c r="AY162" i="1"/>
  <c r="BB162" i="1"/>
  <c r="BB163" i="1" s="1"/>
  <c r="BE162" i="1"/>
  <c r="BI162" i="1"/>
  <c r="BK162" i="1"/>
  <c r="BS162" i="1"/>
  <c r="BW162" i="1"/>
  <c r="BZ162" i="1"/>
  <c r="CC162" i="1"/>
  <c r="CF162" i="1"/>
  <c r="P163" i="1"/>
  <c r="AN163" i="1"/>
  <c r="BI163" i="1"/>
  <c r="BZ163" i="1"/>
  <c r="M164" i="1"/>
  <c r="P164" i="1"/>
  <c r="S164" i="1"/>
  <c r="V164" i="1"/>
  <c r="Y164" i="1"/>
  <c r="AC164" i="1"/>
  <c r="AG164" i="1"/>
  <c r="AK164" i="1"/>
  <c r="AN164" i="1"/>
  <c r="AQ164" i="1"/>
  <c r="AY164" i="1"/>
  <c r="BB164" i="1"/>
  <c r="BE164" i="1"/>
  <c r="BI164" i="1"/>
  <c r="BK164" i="1"/>
  <c r="BS164" i="1"/>
  <c r="BW164" i="1"/>
  <c r="BZ164" i="1"/>
  <c r="CC164" i="1"/>
  <c r="CF164" i="1"/>
  <c r="M165" i="1"/>
  <c r="P165" i="1"/>
  <c r="S165" i="1"/>
  <c r="V165" i="1"/>
  <c r="Y165" i="1"/>
  <c r="AC165" i="1"/>
  <c r="AG165" i="1"/>
  <c r="AK165" i="1"/>
  <c r="AN165" i="1"/>
  <c r="AQ165" i="1"/>
  <c r="AY165" i="1"/>
  <c r="BB165" i="1"/>
  <c r="BE165" i="1"/>
  <c r="BI165" i="1"/>
  <c r="BI166" i="1" s="1"/>
  <c r="BK165" i="1"/>
  <c r="BS165" i="1"/>
  <c r="BW165" i="1"/>
  <c r="BZ165" i="1"/>
  <c r="BZ166" i="1" s="1"/>
  <c r="CC165" i="1"/>
  <c r="CF165" i="1"/>
  <c r="CF166" i="1" s="1"/>
  <c r="P166" i="1"/>
  <c r="V166" i="1"/>
  <c r="AN166" i="1"/>
  <c r="BB166" i="1"/>
  <c r="M167" i="1"/>
  <c r="P167" i="1"/>
  <c r="P168" i="1" s="1"/>
  <c r="S167" i="1"/>
  <c r="V167" i="1"/>
  <c r="V168" i="1" s="1"/>
  <c r="Y167" i="1"/>
  <c r="AC167" i="1"/>
  <c r="AG167" i="1"/>
  <c r="AK167" i="1"/>
  <c r="AN167" i="1"/>
  <c r="AN168" i="1" s="1"/>
  <c r="AQ167" i="1"/>
  <c r="AY167" i="1"/>
  <c r="BB167" i="1"/>
  <c r="BB168" i="1" s="1"/>
  <c r="BE167" i="1"/>
  <c r="BI167" i="1"/>
  <c r="BI168" i="1" s="1"/>
  <c r="BK167" i="1"/>
  <c r="BS167" i="1"/>
  <c r="BW167" i="1"/>
  <c r="BZ167" i="1"/>
  <c r="BZ168" i="1" s="1"/>
  <c r="CC167" i="1"/>
  <c r="CF167" i="1"/>
  <c r="CF168" i="1" s="1"/>
  <c r="M169" i="1"/>
  <c r="P169" i="1"/>
  <c r="P170" i="1" s="1"/>
  <c r="S169" i="1"/>
  <c r="V169" i="1"/>
  <c r="Y169" i="1"/>
  <c r="AC169" i="1"/>
  <c r="AG169" i="1"/>
  <c r="AK169" i="1"/>
  <c r="AN169" i="1"/>
  <c r="AQ169" i="1"/>
  <c r="AY169" i="1"/>
  <c r="BB169" i="1"/>
  <c r="BE169" i="1"/>
  <c r="BI169" i="1"/>
  <c r="BK169" i="1"/>
  <c r="BS169" i="1"/>
  <c r="BW169" i="1"/>
  <c r="BZ169" i="1"/>
  <c r="BZ170" i="1" s="1"/>
  <c r="CC169" i="1"/>
  <c r="CF169" i="1"/>
  <c r="V170" i="1"/>
  <c r="AN170" i="1"/>
  <c r="BB170" i="1"/>
  <c r="BI170" i="1"/>
  <c r="CF170" i="1"/>
  <c r="M171" i="1"/>
  <c r="P171" i="1"/>
  <c r="S171" i="1"/>
  <c r="V171" i="1"/>
  <c r="V173" i="1" s="1"/>
  <c r="Y171" i="1"/>
  <c r="AC171" i="1"/>
  <c r="AG171" i="1"/>
  <c r="AK171" i="1"/>
  <c r="AN171" i="1"/>
  <c r="AN173" i="1" s="1"/>
  <c r="AQ171" i="1"/>
  <c r="AY171" i="1"/>
  <c r="BB171" i="1"/>
  <c r="BE171" i="1"/>
  <c r="BI171" i="1"/>
  <c r="BK171" i="1"/>
  <c r="BS171" i="1"/>
  <c r="BW171" i="1"/>
  <c r="BZ171" i="1"/>
  <c r="CC171" i="1"/>
  <c r="CF171" i="1"/>
  <c r="M172" i="1"/>
  <c r="P172" i="1"/>
  <c r="S172" i="1"/>
  <c r="V172" i="1"/>
  <c r="Y172" i="1"/>
  <c r="AC172" i="1"/>
  <c r="AG172" i="1"/>
  <c r="AK172" i="1"/>
  <c r="AN172" i="1"/>
  <c r="AQ172" i="1"/>
  <c r="AY172" i="1"/>
  <c r="BB172" i="1"/>
  <c r="BE172" i="1"/>
  <c r="BI172" i="1"/>
  <c r="BK172" i="1"/>
  <c r="BS172" i="1"/>
  <c r="BW172" i="1"/>
  <c r="BZ172" i="1"/>
  <c r="CC172" i="1"/>
  <c r="CF172" i="1"/>
  <c r="CF173" i="1" s="1"/>
  <c r="P173" i="1"/>
  <c r="BB173" i="1"/>
  <c r="BI173" i="1"/>
  <c r="BZ173" i="1"/>
  <c r="M174" i="1"/>
  <c r="P174" i="1"/>
  <c r="S174" i="1"/>
  <c r="V174" i="1"/>
  <c r="Y174" i="1"/>
  <c r="AC174" i="1"/>
  <c r="AG174" i="1"/>
  <c r="AK174" i="1"/>
  <c r="AN174" i="1"/>
  <c r="AN175" i="1" s="1"/>
  <c r="AQ174" i="1"/>
  <c r="AY174" i="1"/>
  <c r="BB174" i="1"/>
  <c r="BB175" i="1" s="1"/>
  <c r="BE174" i="1"/>
  <c r="BI174" i="1"/>
  <c r="BI175" i="1" s="1"/>
  <c r="BK174" i="1"/>
  <c r="BS174" i="1"/>
  <c r="BW174" i="1"/>
  <c r="BZ174" i="1"/>
  <c r="CC174" i="1"/>
  <c r="CF174" i="1"/>
  <c r="P175" i="1"/>
  <c r="V175" i="1"/>
  <c r="BZ175" i="1"/>
  <c r="CF175" i="1"/>
  <c r="M176" i="1"/>
  <c r="P176" i="1"/>
  <c r="S176" i="1"/>
  <c r="V176" i="1"/>
  <c r="V179" i="1" s="1"/>
  <c r="Y176" i="1"/>
  <c r="AC176" i="1"/>
  <c r="AG176" i="1"/>
  <c r="AK176" i="1"/>
  <c r="AN176" i="1"/>
  <c r="AQ176" i="1"/>
  <c r="AY176" i="1"/>
  <c r="BB176" i="1"/>
  <c r="BE176" i="1"/>
  <c r="BI176" i="1"/>
  <c r="BK176" i="1"/>
  <c r="BS176" i="1"/>
  <c r="BW176" i="1"/>
  <c r="BZ176" i="1"/>
  <c r="CC176" i="1"/>
  <c r="CF176" i="1"/>
  <c r="CF179" i="1" s="1"/>
  <c r="M177" i="1"/>
  <c r="P177" i="1"/>
  <c r="S177" i="1"/>
  <c r="V177" i="1"/>
  <c r="Y177" i="1"/>
  <c r="AC177" i="1"/>
  <c r="AG177" i="1"/>
  <c r="AK177" i="1"/>
  <c r="AN177" i="1"/>
  <c r="AN179" i="1" s="1"/>
  <c r="AQ177" i="1"/>
  <c r="AY177" i="1"/>
  <c r="BB177" i="1"/>
  <c r="BE177" i="1"/>
  <c r="BI177" i="1"/>
  <c r="BK177" i="1"/>
  <c r="BS177" i="1"/>
  <c r="BW177" i="1"/>
  <c r="BZ177" i="1"/>
  <c r="CC177" i="1"/>
  <c r="CF177" i="1"/>
  <c r="M178" i="1"/>
  <c r="P178" i="1"/>
  <c r="S178" i="1"/>
  <c r="V178" i="1"/>
  <c r="Y178" i="1"/>
  <c r="AC178" i="1"/>
  <c r="AG178" i="1"/>
  <c r="AK178" i="1"/>
  <c r="AN178" i="1"/>
  <c r="AQ178" i="1"/>
  <c r="AY178" i="1"/>
  <c r="BB178" i="1"/>
  <c r="BE178" i="1"/>
  <c r="BI178" i="1"/>
  <c r="BK178" i="1"/>
  <c r="BS178" i="1"/>
  <c r="BW178" i="1"/>
  <c r="BZ178" i="1"/>
  <c r="CC178" i="1"/>
  <c r="CF178" i="1"/>
  <c r="P179" i="1"/>
  <c r="BB179" i="1"/>
  <c r="BI179" i="1"/>
  <c r="BZ179" i="1"/>
  <c r="M181" i="1"/>
  <c r="P181" i="1"/>
  <c r="P183" i="1" s="1"/>
  <c r="S181" i="1"/>
  <c r="V181" i="1"/>
  <c r="Y181" i="1"/>
  <c r="AC181" i="1"/>
  <c r="AG181" i="1"/>
  <c r="AK181" i="1"/>
  <c r="AN181" i="1"/>
  <c r="AQ181" i="1"/>
  <c r="AY181" i="1"/>
  <c r="BB181" i="1"/>
  <c r="BB183" i="1" s="1"/>
  <c r="BE181" i="1"/>
  <c r="BI181" i="1"/>
  <c r="BI183" i="1" s="1"/>
  <c r="BK181" i="1"/>
  <c r="BS181" i="1"/>
  <c r="BW181" i="1"/>
  <c r="BZ181" i="1"/>
  <c r="BZ183" i="1" s="1"/>
  <c r="CC181" i="1"/>
  <c r="CF181" i="1"/>
  <c r="M182" i="1"/>
  <c r="P182" i="1"/>
  <c r="S182" i="1"/>
  <c r="V182" i="1"/>
  <c r="Y182" i="1"/>
  <c r="AC182" i="1"/>
  <c r="AG182" i="1"/>
  <c r="AK182" i="1"/>
  <c r="AN182" i="1"/>
  <c r="AQ182" i="1"/>
  <c r="AY182" i="1"/>
  <c r="BB182" i="1"/>
  <c r="BE182" i="1"/>
  <c r="BI182" i="1"/>
  <c r="BK182" i="1"/>
  <c r="BS182" i="1"/>
  <c r="BW182" i="1"/>
  <c r="BZ182" i="1"/>
  <c r="CC182" i="1"/>
  <c r="CF182" i="1"/>
  <c r="V183" i="1"/>
  <c r="AN183" i="1"/>
  <c r="CF183" i="1"/>
  <c r="M184" i="1"/>
  <c r="P184" i="1"/>
  <c r="S184" i="1"/>
  <c r="V184" i="1"/>
  <c r="V186" i="1" s="1"/>
  <c r="Y184" i="1"/>
  <c r="AC184" i="1"/>
  <c r="AG184" i="1"/>
  <c r="AK184" i="1"/>
  <c r="AN184" i="1"/>
  <c r="AN186" i="1" s="1"/>
  <c r="AQ184" i="1"/>
  <c r="AY184" i="1"/>
  <c r="BB184" i="1"/>
  <c r="BE184" i="1"/>
  <c r="BI184" i="1"/>
  <c r="BK184" i="1"/>
  <c r="BS184" i="1"/>
  <c r="BW184" i="1"/>
  <c r="BZ184" i="1"/>
  <c r="CC184" i="1"/>
  <c r="CF184" i="1"/>
  <c r="M185" i="1"/>
  <c r="P185" i="1"/>
  <c r="S185" i="1"/>
  <c r="V185" i="1"/>
  <c r="Y185" i="1"/>
  <c r="AC185" i="1"/>
  <c r="AG185" i="1"/>
  <c r="AK185" i="1"/>
  <c r="AN185" i="1"/>
  <c r="AQ185" i="1"/>
  <c r="AY185" i="1"/>
  <c r="BB185" i="1"/>
  <c r="BE185" i="1"/>
  <c r="BI185" i="1"/>
  <c r="BK185" i="1"/>
  <c r="BS185" i="1"/>
  <c r="BW185" i="1"/>
  <c r="BZ185" i="1"/>
  <c r="CC185" i="1"/>
  <c r="CF185" i="1"/>
  <c r="CF186" i="1" s="1"/>
  <c r="P186" i="1"/>
  <c r="BB186" i="1"/>
  <c r="BI186" i="1"/>
  <c r="BZ186" i="1"/>
  <c r="M187" i="1"/>
  <c r="P187" i="1"/>
  <c r="S187" i="1"/>
  <c r="V187" i="1"/>
  <c r="Y187" i="1"/>
  <c r="AC187" i="1"/>
  <c r="AG187" i="1"/>
  <c r="AK187" i="1"/>
  <c r="AN187" i="1"/>
  <c r="AN188" i="1" s="1"/>
  <c r="AQ187" i="1"/>
  <c r="AY187" i="1"/>
  <c r="BB187" i="1"/>
  <c r="BB188" i="1" s="1"/>
  <c r="BE187" i="1"/>
  <c r="BI187" i="1"/>
  <c r="BI188" i="1" s="1"/>
  <c r="BK187" i="1"/>
  <c r="BS187" i="1"/>
  <c r="BW187" i="1"/>
  <c r="BZ187" i="1"/>
  <c r="CC187" i="1"/>
  <c r="CF187" i="1"/>
  <c r="P188" i="1"/>
  <c r="V188" i="1"/>
  <c r="BZ188" i="1"/>
  <c r="CF188" i="1"/>
  <c r="M189" i="1"/>
  <c r="P189" i="1"/>
  <c r="S189" i="1"/>
  <c r="V189" i="1"/>
  <c r="Y189" i="1"/>
  <c r="AC189" i="1"/>
  <c r="AG189" i="1"/>
  <c r="AK189" i="1"/>
  <c r="AN189" i="1"/>
  <c r="AQ189" i="1"/>
  <c r="AY189" i="1"/>
  <c r="BB189" i="1"/>
  <c r="BE189" i="1"/>
  <c r="BI189" i="1"/>
  <c r="BI190" i="1" s="1"/>
  <c r="BK189" i="1"/>
  <c r="BS189" i="1"/>
  <c r="BW189" i="1"/>
  <c r="BZ189" i="1"/>
  <c r="BZ190" i="1" s="1"/>
  <c r="CC189" i="1"/>
  <c r="CF189" i="1"/>
  <c r="CF190" i="1" s="1"/>
  <c r="P190" i="1"/>
  <c r="V190" i="1"/>
  <c r="AN190" i="1"/>
  <c r="BB190" i="1"/>
  <c r="M191" i="1"/>
  <c r="P191" i="1"/>
  <c r="S191" i="1"/>
  <c r="V191" i="1"/>
  <c r="V193" i="1" s="1"/>
  <c r="Y191" i="1"/>
  <c r="AC191" i="1"/>
  <c r="AG191" i="1"/>
  <c r="AK191" i="1"/>
  <c r="AN191" i="1"/>
  <c r="AQ191" i="1"/>
  <c r="AY191" i="1"/>
  <c r="BB191" i="1"/>
  <c r="BB193" i="1" s="1"/>
  <c r="BE191" i="1"/>
  <c r="BI191" i="1"/>
  <c r="BK191" i="1"/>
  <c r="BS191" i="1"/>
  <c r="BW191" i="1"/>
  <c r="BZ191" i="1"/>
  <c r="CC191" i="1"/>
  <c r="CF191" i="1"/>
  <c r="M192" i="1"/>
  <c r="P192" i="1"/>
  <c r="S192" i="1"/>
  <c r="V192" i="1"/>
  <c r="Y192" i="1"/>
  <c r="AC192" i="1"/>
  <c r="AG192" i="1"/>
  <c r="AK192" i="1"/>
  <c r="AN192" i="1"/>
  <c r="AQ192" i="1"/>
  <c r="AY192" i="1"/>
  <c r="BB192" i="1"/>
  <c r="BE192" i="1"/>
  <c r="BI192" i="1"/>
  <c r="BK192" i="1"/>
  <c r="BS192" i="1"/>
  <c r="BW192" i="1"/>
  <c r="BZ192" i="1"/>
  <c r="CC192" i="1"/>
  <c r="CF192" i="1"/>
  <c r="P193" i="1"/>
  <c r="AN193" i="1"/>
  <c r="BI193" i="1"/>
  <c r="BZ193" i="1"/>
  <c r="CF193" i="1"/>
  <c r="M194" i="1"/>
  <c r="P194" i="1"/>
  <c r="P195" i="1" s="1"/>
  <c r="S194" i="1"/>
  <c r="V194" i="1"/>
  <c r="V195" i="1" s="1"/>
  <c r="Y194" i="1"/>
  <c r="AC194" i="1"/>
  <c r="AG194" i="1"/>
  <c r="AK194" i="1"/>
  <c r="AN194" i="1"/>
  <c r="AN195" i="1" s="1"/>
  <c r="AQ194" i="1"/>
  <c r="AY194" i="1"/>
  <c r="BB194" i="1"/>
  <c r="BE194" i="1"/>
  <c r="BI194" i="1"/>
  <c r="BI195" i="1" s="1"/>
  <c r="BK194" i="1"/>
  <c r="BS194" i="1"/>
  <c r="BW194" i="1"/>
  <c r="BZ194" i="1"/>
  <c r="CC194" i="1"/>
  <c r="CF194" i="1"/>
  <c r="CF195" i="1" s="1"/>
  <c r="BB195" i="1"/>
  <c r="BZ195" i="1"/>
  <c r="M196" i="1"/>
  <c r="P196" i="1"/>
  <c r="S196" i="1"/>
  <c r="V196" i="1"/>
  <c r="Y196" i="1"/>
  <c r="AC196" i="1"/>
  <c r="AG196" i="1"/>
  <c r="AK196" i="1"/>
  <c r="AN196" i="1"/>
  <c r="AQ196" i="1"/>
  <c r="AY196" i="1"/>
  <c r="BB196" i="1"/>
  <c r="BB199" i="1" s="1"/>
  <c r="BE196" i="1"/>
  <c r="BI196" i="1"/>
  <c r="BK196" i="1"/>
  <c r="BS196" i="1"/>
  <c r="BW196" i="1"/>
  <c r="BZ196" i="1"/>
  <c r="CC196" i="1"/>
  <c r="CF196" i="1"/>
  <c r="M197" i="1"/>
  <c r="P197" i="1"/>
  <c r="S197" i="1"/>
  <c r="V197" i="1"/>
  <c r="Y197" i="1"/>
  <c r="AC197" i="1"/>
  <c r="AG197" i="1"/>
  <c r="AK197" i="1"/>
  <c r="AN197" i="1"/>
  <c r="AQ197" i="1"/>
  <c r="AY197" i="1"/>
  <c r="BB197" i="1"/>
  <c r="BE197" i="1"/>
  <c r="BI197" i="1"/>
  <c r="BK197" i="1"/>
  <c r="BS197" i="1"/>
  <c r="BW197" i="1"/>
  <c r="BZ197" i="1"/>
  <c r="CC197" i="1"/>
  <c r="CF197" i="1"/>
  <c r="M198" i="1"/>
  <c r="P198" i="1"/>
  <c r="S198" i="1"/>
  <c r="V198" i="1"/>
  <c r="Y198" i="1"/>
  <c r="AC198" i="1"/>
  <c r="AG198" i="1"/>
  <c r="AK198" i="1"/>
  <c r="AN198" i="1"/>
  <c r="AQ198" i="1"/>
  <c r="AY198" i="1"/>
  <c r="BB198" i="1"/>
  <c r="BE198" i="1"/>
  <c r="BI198" i="1"/>
  <c r="BK198" i="1"/>
  <c r="BS198" i="1"/>
  <c r="BW198" i="1"/>
  <c r="BZ198" i="1"/>
  <c r="CC198" i="1"/>
  <c r="CF198" i="1"/>
  <c r="P199" i="1"/>
  <c r="V199" i="1"/>
  <c r="AN199" i="1"/>
  <c r="BI199" i="1"/>
  <c r="BZ199" i="1"/>
  <c r="CF199" i="1"/>
  <c r="M200" i="1"/>
  <c r="P200" i="1"/>
  <c r="S200" i="1"/>
  <c r="V200" i="1"/>
  <c r="Y200" i="1"/>
  <c r="AC200" i="1"/>
  <c r="AG200" i="1"/>
  <c r="AK200" i="1"/>
  <c r="AN200" i="1"/>
  <c r="AQ200" i="1"/>
  <c r="AY200" i="1"/>
  <c r="BB200" i="1"/>
  <c r="BE200" i="1"/>
  <c r="BK200" i="1"/>
  <c r="BS200" i="1"/>
  <c r="BW200" i="1"/>
  <c r="BZ200" i="1"/>
  <c r="CC200" i="1"/>
  <c r="CF200" i="1"/>
  <c r="M201" i="1"/>
  <c r="P201" i="1"/>
  <c r="S201" i="1"/>
  <c r="V201" i="1"/>
  <c r="Y201" i="1"/>
  <c r="AC201" i="1"/>
  <c r="AG201" i="1"/>
  <c r="AK201" i="1"/>
  <c r="AN201" i="1"/>
  <c r="AQ201" i="1"/>
  <c r="AY201" i="1"/>
  <c r="BB201" i="1"/>
  <c r="BE201" i="1"/>
  <c r="BK201" i="1"/>
  <c r="BS201" i="1"/>
  <c r="BW201" i="1"/>
  <c r="BZ201" i="1"/>
  <c r="CC201" i="1"/>
  <c r="CF201" i="1"/>
  <c r="M202" i="1"/>
  <c r="P202" i="1"/>
  <c r="S202" i="1"/>
  <c r="V202" i="1"/>
  <c r="Y202" i="1"/>
  <c r="AC202" i="1"/>
  <c r="AG202" i="1"/>
  <c r="AK202" i="1"/>
  <c r="AN202" i="1"/>
  <c r="AQ202" i="1"/>
  <c r="AY202" i="1"/>
  <c r="BB202" i="1"/>
  <c r="BE202" i="1"/>
  <c r="BK202" i="1"/>
  <c r="BS202" i="1"/>
  <c r="BW202" i="1"/>
  <c r="BZ202" i="1"/>
  <c r="CC202" i="1"/>
  <c r="CF202" i="1"/>
  <c r="M203" i="1"/>
  <c r="P203" i="1"/>
  <c r="S203" i="1"/>
  <c r="V203" i="1"/>
  <c r="Y203" i="1"/>
  <c r="AC203" i="1"/>
  <c r="AG203" i="1"/>
  <c r="AK203" i="1"/>
  <c r="AN203" i="1"/>
  <c r="AQ203" i="1"/>
  <c r="AY203" i="1"/>
  <c r="BB203" i="1"/>
  <c r="BE203" i="1"/>
  <c r="BK203" i="1"/>
  <c r="BS203" i="1"/>
  <c r="BW203" i="1"/>
  <c r="BZ203" i="1"/>
  <c r="CC203" i="1"/>
  <c r="CF203" i="1"/>
  <c r="M204" i="1"/>
  <c r="P204" i="1"/>
  <c r="S204" i="1"/>
  <c r="V204" i="1"/>
  <c r="Y204" i="1"/>
  <c r="AC204" i="1"/>
  <c r="AG204" i="1"/>
  <c r="AK204" i="1"/>
  <c r="AN204" i="1"/>
  <c r="AQ204" i="1"/>
  <c r="AY204" i="1"/>
  <c r="BB204" i="1"/>
  <c r="BE204" i="1"/>
  <c r="BK204" i="1"/>
  <c r="BS204" i="1"/>
  <c r="BW204" i="1"/>
  <c r="BZ204" i="1"/>
  <c r="CC204" i="1"/>
  <c r="CF204" i="1"/>
  <c r="M205" i="1"/>
  <c r="P205" i="1"/>
  <c r="S205" i="1"/>
  <c r="V205" i="1"/>
  <c r="Y205" i="1"/>
  <c r="AC205" i="1"/>
  <c r="AG205" i="1"/>
  <c r="AK205" i="1"/>
  <c r="AN205" i="1"/>
  <c r="AQ205" i="1"/>
  <c r="AY205" i="1"/>
  <c r="BB205" i="1"/>
  <c r="BE205" i="1"/>
  <c r="BK205" i="1"/>
  <c r="BS205" i="1"/>
  <c r="BW205" i="1"/>
  <c r="BZ205" i="1"/>
  <c r="CC205" i="1"/>
  <c r="CF205" i="1"/>
  <c r="M206" i="1"/>
  <c r="P206" i="1"/>
  <c r="S206" i="1"/>
  <c r="V206" i="1"/>
  <c r="Y206" i="1"/>
  <c r="AC206" i="1"/>
  <c r="AG206" i="1"/>
  <c r="AK206" i="1"/>
  <c r="AN206" i="1"/>
  <c r="AQ206" i="1"/>
  <c r="AY206" i="1"/>
  <c r="BB206" i="1"/>
  <c r="BE206" i="1"/>
  <c r="BK206" i="1"/>
  <c r="BS206" i="1"/>
  <c r="BW206" i="1"/>
  <c r="BZ206" i="1"/>
  <c r="CC206" i="1"/>
  <c r="CF206" i="1"/>
  <c r="M207" i="1"/>
  <c r="P207" i="1"/>
  <c r="S207" i="1"/>
  <c r="V207" i="1"/>
  <c r="Y207" i="1"/>
  <c r="AC207" i="1"/>
  <c r="AG207" i="1"/>
  <c r="AK207" i="1"/>
  <c r="AN207" i="1"/>
  <c r="AQ207" i="1"/>
  <c r="AY207" i="1"/>
  <c r="BB207" i="1"/>
  <c r="BE207" i="1"/>
  <c r="BK207" i="1"/>
  <c r="BS207" i="1"/>
  <c r="BW207" i="1"/>
  <c r="BZ207" i="1"/>
  <c r="CC207" i="1"/>
  <c r="CF207" i="1"/>
  <c r="M208" i="1"/>
  <c r="P208" i="1"/>
  <c r="S208" i="1"/>
  <c r="V208" i="1"/>
  <c r="Y208" i="1"/>
  <c r="AC208" i="1"/>
  <c r="AG208" i="1"/>
  <c r="AK208" i="1"/>
  <c r="AN208" i="1"/>
  <c r="AQ208" i="1"/>
  <c r="AY208" i="1"/>
  <c r="BB208" i="1"/>
  <c r="BE208" i="1"/>
  <c r="BK208" i="1"/>
  <c r="BS208" i="1"/>
  <c r="BW208" i="1"/>
  <c r="BZ208" i="1"/>
  <c r="CC208" i="1"/>
  <c r="CF208" i="1"/>
  <c r="M209" i="1"/>
  <c r="P209" i="1"/>
  <c r="S209" i="1"/>
  <c r="V209" i="1"/>
  <c r="Y209" i="1"/>
  <c r="AC209" i="1"/>
  <c r="AG209" i="1"/>
  <c r="AK209" i="1"/>
  <c r="AN209" i="1"/>
  <c r="AQ209" i="1"/>
  <c r="AY209" i="1"/>
  <c r="BB209" i="1"/>
  <c r="BE209" i="1"/>
  <c r="BK209" i="1"/>
  <c r="BS209" i="1"/>
  <c r="BW209" i="1"/>
  <c r="BZ209" i="1"/>
  <c r="CC209" i="1"/>
  <c r="CF209" i="1"/>
  <c r="M210" i="1"/>
  <c r="P210" i="1"/>
  <c r="S210" i="1"/>
  <c r="V210" i="1"/>
  <c r="Y210" i="1"/>
  <c r="AC210" i="1"/>
  <c r="AG210" i="1"/>
  <c r="AK210" i="1"/>
  <c r="AN210" i="1"/>
  <c r="AQ210" i="1"/>
  <c r="AY210" i="1"/>
  <c r="BB210" i="1"/>
  <c r="BE210" i="1"/>
  <c r="BK210" i="1"/>
  <c r="BS210" i="1"/>
  <c r="BW210" i="1"/>
  <c r="BZ210" i="1"/>
  <c r="CC210" i="1"/>
  <c r="CF210" i="1"/>
  <c r="M211" i="1"/>
  <c r="P211" i="1"/>
  <c r="S211" i="1"/>
  <c r="V211" i="1"/>
  <c r="Y211" i="1"/>
  <c r="AC211" i="1"/>
  <c r="AG211" i="1"/>
  <c r="AK211" i="1"/>
  <c r="AN211" i="1"/>
  <c r="AQ211" i="1"/>
  <c r="AY211" i="1"/>
  <c r="BB211" i="1"/>
  <c r="BE211" i="1"/>
  <c r="BK211" i="1"/>
  <c r="BS211" i="1"/>
  <c r="BW211" i="1"/>
  <c r="BZ211" i="1"/>
  <c r="CC211" i="1"/>
  <c r="CF211" i="1"/>
  <c r="M212" i="1"/>
  <c r="P212" i="1"/>
  <c r="S212" i="1"/>
  <c r="V212" i="1"/>
  <c r="Y212" i="1"/>
  <c r="AC212" i="1"/>
  <c r="AG212" i="1"/>
  <c r="AK212" i="1"/>
  <c r="AN212" i="1"/>
  <c r="AQ212" i="1"/>
  <c r="AY212" i="1"/>
  <c r="BB212" i="1"/>
  <c r="BE212" i="1"/>
  <c r="BK212" i="1"/>
  <c r="BS212" i="1"/>
  <c r="BW212" i="1"/>
  <c r="BZ212" i="1"/>
  <c r="CC212" i="1"/>
  <c r="CF212" i="1"/>
  <c r="M213" i="1"/>
  <c r="P213" i="1"/>
  <c r="S213" i="1"/>
  <c r="V213" i="1"/>
  <c r="Y213" i="1"/>
  <c r="AC213" i="1"/>
  <c r="AG213" i="1"/>
  <c r="AK213" i="1"/>
  <c r="AN213" i="1"/>
  <c r="AQ213" i="1"/>
  <c r="AY213" i="1"/>
  <c r="BB213" i="1"/>
  <c r="BE213" i="1"/>
  <c r="BK213" i="1"/>
  <c r="BS213" i="1"/>
  <c r="BW213" i="1"/>
  <c r="BZ213" i="1"/>
  <c r="CC213" i="1"/>
  <c r="CF213" i="1"/>
  <c r="M214" i="1"/>
  <c r="P214" i="1"/>
  <c r="S214" i="1"/>
  <c r="V214" i="1"/>
  <c r="Y214" i="1"/>
  <c r="AC214" i="1"/>
  <c r="AG214" i="1"/>
  <c r="AK214" i="1"/>
  <c r="AN214" i="1"/>
  <c r="AQ214" i="1"/>
  <c r="AY214" i="1"/>
  <c r="BB214" i="1"/>
  <c r="BE214" i="1"/>
  <c r="BK214" i="1"/>
  <c r="BS214" i="1"/>
  <c r="BW214" i="1"/>
  <c r="BZ214" i="1"/>
  <c r="CC214" i="1"/>
  <c r="CF214" i="1"/>
  <c r="M215" i="1"/>
  <c r="P215" i="1"/>
  <c r="S215" i="1"/>
  <c r="V215" i="1"/>
  <c r="Y215" i="1"/>
  <c r="AC215" i="1"/>
  <c r="AG215" i="1"/>
  <c r="AK215" i="1"/>
  <c r="AN215" i="1"/>
  <c r="AQ215" i="1"/>
  <c r="AY215" i="1"/>
  <c r="BB215" i="1"/>
  <c r="BE215" i="1"/>
  <c r="BK215" i="1"/>
  <c r="BS215" i="1"/>
  <c r="BW215" i="1"/>
  <c r="BZ215" i="1"/>
  <c r="CC215" i="1"/>
  <c r="CF215" i="1"/>
  <c r="M216" i="1"/>
  <c r="P216" i="1"/>
  <c r="S216" i="1"/>
  <c r="V216" i="1"/>
  <c r="Y216" i="1"/>
  <c r="AC216" i="1"/>
  <c r="AG216" i="1"/>
  <c r="AK216" i="1"/>
  <c r="AN216" i="1"/>
  <c r="AQ216" i="1"/>
  <c r="AY216" i="1"/>
  <c r="BB216" i="1"/>
  <c r="BE216" i="1"/>
  <c r="BK216" i="1"/>
  <c r="BS216" i="1"/>
  <c r="BW216" i="1"/>
  <c r="BZ216" i="1"/>
  <c r="CC216" i="1"/>
  <c r="CF216" i="1"/>
  <c r="M217" i="1"/>
  <c r="P217" i="1"/>
  <c r="S217" i="1"/>
  <c r="V217" i="1"/>
  <c r="Y217" i="1"/>
  <c r="AC217" i="1"/>
  <c r="AG217" i="1"/>
  <c r="AK217" i="1"/>
  <c r="AN217" i="1"/>
  <c r="AQ217" i="1"/>
  <c r="AY217" i="1"/>
  <c r="BB217" i="1"/>
  <c r="BE217" i="1"/>
  <c r="BK217" i="1"/>
  <c r="BS217" i="1"/>
  <c r="BW217" i="1"/>
  <c r="BZ217" i="1"/>
  <c r="CC217" i="1"/>
  <c r="CF217" i="1"/>
  <c r="M218" i="1"/>
  <c r="P218" i="1"/>
  <c r="S218" i="1"/>
  <c r="V218" i="1"/>
  <c r="Y218" i="1"/>
  <c r="AC218" i="1"/>
  <c r="AG218" i="1"/>
  <c r="AK218" i="1"/>
  <c r="AN218" i="1"/>
  <c r="AQ218" i="1"/>
  <c r="AY218" i="1"/>
  <c r="BB218" i="1"/>
  <c r="BE218" i="1"/>
  <c r="BK218" i="1"/>
  <c r="BS218" i="1"/>
  <c r="BW218" i="1"/>
  <c r="BZ218" i="1"/>
  <c r="CC218" i="1"/>
  <c r="CF218" i="1"/>
  <c r="M219" i="1"/>
  <c r="P219" i="1"/>
  <c r="S219" i="1"/>
  <c r="V219" i="1"/>
  <c r="Y219" i="1"/>
  <c r="AC219" i="1"/>
  <c r="AG219" i="1"/>
  <c r="AK219" i="1"/>
  <c r="AN219" i="1"/>
  <c r="AQ219" i="1"/>
  <c r="AY219" i="1"/>
  <c r="BB219" i="1"/>
  <c r="BE219" i="1"/>
  <c r="BK219" i="1"/>
  <c r="BS219" i="1"/>
  <c r="BW219" i="1"/>
  <c r="BZ219" i="1"/>
  <c r="CC219" i="1"/>
  <c r="CF219" i="1"/>
  <c r="M220" i="1"/>
  <c r="P220" i="1"/>
  <c r="S220" i="1"/>
  <c r="V220" i="1"/>
  <c r="Y220" i="1"/>
  <c r="AC220" i="1"/>
  <c r="AG220" i="1"/>
  <c r="AK220" i="1"/>
  <c r="AN220" i="1"/>
  <c r="AQ220" i="1"/>
  <c r="AY220" i="1"/>
  <c r="BB220" i="1"/>
  <c r="BE220" i="1"/>
  <c r="BK220" i="1"/>
  <c r="BS220" i="1"/>
  <c r="BW220" i="1"/>
  <c r="BZ220" i="1"/>
  <c r="CC220" i="1"/>
  <c r="CF220" i="1"/>
  <c r="M221" i="1"/>
  <c r="P221" i="1"/>
  <c r="S221" i="1"/>
  <c r="V221" i="1"/>
  <c r="Y221" i="1"/>
  <c r="AC221" i="1"/>
  <c r="AG221" i="1"/>
  <c r="AK221" i="1"/>
  <c r="AN221" i="1"/>
  <c r="AQ221" i="1"/>
  <c r="AY221" i="1"/>
  <c r="BB221" i="1"/>
  <c r="BE221" i="1"/>
  <c r="BK221" i="1"/>
  <c r="BS221" i="1"/>
  <c r="BW221" i="1"/>
  <c r="BZ221" i="1"/>
  <c r="CC221" i="1"/>
  <c r="CF221" i="1"/>
  <c r="M222" i="1"/>
  <c r="P222" i="1"/>
  <c r="S222" i="1"/>
  <c r="V222" i="1"/>
  <c r="Y222" i="1"/>
  <c r="AC222" i="1"/>
  <c r="AG222" i="1"/>
  <c r="AK222" i="1"/>
  <c r="AN222" i="1"/>
  <c r="AQ222" i="1"/>
  <c r="AY222" i="1"/>
  <c r="BB222" i="1"/>
  <c r="BE222" i="1"/>
  <c r="BK222" i="1"/>
  <c r="BS222" i="1"/>
  <c r="BW222" i="1"/>
  <c r="BZ222" i="1"/>
  <c r="CC222" i="1"/>
  <c r="CF222" i="1"/>
  <c r="M223" i="1"/>
  <c r="P223" i="1"/>
  <c r="S223" i="1"/>
  <c r="V223" i="1"/>
  <c r="Y223" i="1"/>
  <c r="AC223" i="1"/>
  <c r="AG223" i="1"/>
  <c r="AK223" i="1"/>
  <c r="AN223" i="1"/>
  <c r="AQ223" i="1"/>
  <c r="AY223" i="1"/>
  <c r="BB223" i="1"/>
  <c r="BE223" i="1"/>
  <c r="BK223" i="1"/>
  <c r="BS223" i="1"/>
  <c r="BW223" i="1"/>
  <c r="BZ223" i="1"/>
  <c r="CC223" i="1"/>
  <c r="CF223" i="1"/>
  <c r="M224" i="1"/>
  <c r="P224" i="1"/>
  <c r="S224" i="1"/>
  <c r="V224" i="1"/>
  <c r="Y224" i="1"/>
  <c r="AC224" i="1"/>
  <c r="AG224" i="1"/>
  <c r="AK224" i="1"/>
  <c r="AN224" i="1"/>
  <c r="AQ224" i="1"/>
  <c r="AY224" i="1"/>
  <c r="BB224" i="1"/>
  <c r="BE224" i="1"/>
  <c r="BK224" i="1"/>
  <c r="BS224" i="1"/>
  <c r="BW224" i="1"/>
  <c r="BZ224" i="1"/>
  <c r="CC224" i="1"/>
  <c r="CF224" i="1"/>
  <c r="M225" i="1"/>
  <c r="P225" i="1"/>
  <c r="S225" i="1"/>
  <c r="V225" i="1"/>
  <c r="Y225" i="1"/>
  <c r="AC225" i="1"/>
  <c r="AG225" i="1"/>
  <c r="AK225" i="1"/>
  <c r="AN225" i="1"/>
  <c r="AQ225" i="1"/>
  <c r="AY225" i="1"/>
  <c r="BB225" i="1"/>
  <c r="BE225" i="1"/>
  <c r="BK225" i="1"/>
  <c r="BS225" i="1"/>
  <c r="BW225" i="1"/>
  <c r="BZ225" i="1"/>
  <c r="CC225" i="1"/>
  <c r="CF225" i="1"/>
  <c r="M226" i="1"/>
  <c r="P226" i="1"/>
  <c r="S226" i="1"/>
  <c r="V226" i="1"/>
  <c r="Y226" i="1"/>
  <c r="AC226" i="1"/>
  <c r="AG226" i="1"/>
  <c r="AK226" i="1"/>
  <c r="AN226" i="1"/>
  <c r="AQ226" i="1"/>
  <c r="AY226" i="1"/>
  <c r="BB226" i="1"/>
  <c r="BE226" i="1"/>
  <c r="BK226" i="1"/>
  <c r="BS226" i="1"/>
  <c r="BW226" i="1"/>
  <c r="BZ226" i="1"/>
  <c r="CC226" i="1"/>
  <c r="CF226" i="1"/>
  <c r="M227" i="1"/>
  <c r="P227" i="1"/>
  <c r="S227" i="1"/>
  <c r="V227" i="1"/>
  <c r="Y227" i="1"/>
  <c r="AC227" i="1"/>
  <c r="AG227" i="1"/>
  <c r="AK227" i="1"/>
  <c r="AN227" i="1"/>
  <c r="AQ227" i="1"/>
  <c r="AY227" i="1"/>
  <c r="BB227" i="1"/>
  <c r="BE227" i="1"/>
  <c r="BK227" i="1"/>
  <c r="BS227" i="1"/>
  <c r="BW227" i="1"/>
  <c r="BZ227" i="1"/>
  <c r="CC227" i="1"/>
  <c r="CF227" i="1"/>
  <c r="M228" i="1"/>
  <c r="P228" i="1"/>
  <c r="S228" i="1"/>
  <c r="V228" i="1"/>
  <c r="Y228" i="1"/>
  <c r="AC228" i="1"/>
  <c r="AG228" i="1"/>
  <c r="AK228" i="1"/>
  <c r="AN228" i="1"/>
  <c r="AQ228" i="1"/>
  <c r="AY228" i="1"/>
  <c r="BB228" i="1"/>
  <c r="BE228" i="1"/>
  <c r="BK228" i="1"/>
  <c r="BS228" i="1"/>
  <c r="BW228" i="1"/>
  <c r="BZ228" i="1"/>
  <c r="CC228" i="1"/>
  <c r="CF228" i="1"/>
  <c r="M229" i="1"/>
  <c r="P229" i="1"/>
  <c r="S229" i="1"/>
  <c r="V229" i="1"/>
  <c r="Y229" i="1"/>
  <c r="AC229" i="1"/>
  <c r="AG229" i="1"/>
  <c r="AK229" i="1"/>
  <c r="AN229" i="1"/>
  <c r="AQ229" i="1"/>
  <c r="AY229" i="1"/>
  <c r="BB229" i="1"/>
  <c r="BE229" i="1"/>
  <c r="BK229" i="1"/>
  <c r="BS229" i="1"/>
  <c r="BW229" i="1"/>
  <c r="BZ229" i="1"/>
  <c r="CC229" i="1"/>
  <c r="CF229" i="1"/>
  <c r="M230" i="1"/>
  <c r="P230" i="1"/>
  <c r="S230" i="1"/>
  <c r="V230" i="1"/>
  <c r="Y230" i="1"/>
  <c r="AC230" i="1"/>
  <c r="AG230" i="1"/>
  <c r="AK230" i="1"/>
  <c r="AN230" i="1"/>
  <c r="AQ230" i="1"/>
  <c r="AY230" i="1"/>
  <c r="BB230" i="1"/>
  <c r="BE230" i="1"/>
  <c r="BK230" i="1"/>
  <c r="BS230" i="1"/>
  <c r="BW230" i="1"/>
  <c r="BZ230" i="1"/>
  <c r="CC230" i="1"/>
  <c r="CF230" i="1"/>
  <c r="M231" i="1"/>
  <c r="P231" i="1"/>
  <c r="S231" i="1"/>
  <c r="V231" i="1"/>
  <c r="Y231" i="1"/>
  <c r="AC231" i="1"/>
  <c r="AG231" i="1"/>
  <c r="AK231" i="1"/>
  <c r="AN231" i="1"/>
  <c r="AQ231" i="1"/>
  <c r="AY231" i="1"/>
  <c r="BB231" i="1"/>
  <c r="BE231" i="1"/>
  <c r="BK231" i="1"/>
  <c r="BP231" i="1"/>
  <c r="BS231" i="1"/>
  <c r="BW231" i="1"/>
  <c r="BZ231" i="1"/>
  <c r="CC231" i="1"/>
  <c r="CF231" i="1"/>
  <c r="M232" i="1"/>
  <c r="P232" i="1"/>
  <c r="S232" i="1"/>
  <c r="V232" i="1"/>
  <c r="Y232" i="1"/>
  <c r="AC232" i="1"/>
  <c r="AG232" i="1"/>
  <c r="AK232" i="1"/>
  <c r="AN232" i="1"/>
  <c r="AQ232" i="1"/>
  <c r="AY232" i="1"/>
  <c r="BB232" i="1"/>
  <c r="BE232" i="1"/>
  <c r="BK232" i="1"/>
  <c r="BS232" i="1"/>
  <c r="BW232" i="1"/>
  <c r="BZ232" i="1"/>
  <c r="CC232" i="1"/>
  <c r="CF232" i="1"/>
  <c r="M233" i="1"/>
  <c r="P233" i="1"/>
  <c r="S233" i="1"/>
  <c r="V233" i="1"/>
  <c r="Y233" i="1"/>
  <c r="AC233" i="1"/>
  <c r="AG233" i="1"/>
  <c r="AK233" i="1"/>
  <c r="AN233" i="1"/>
  <c r="AQ233" i="1"/>
  <c r="AY233" i="1"/>
  <c r="BB233" i="1"/>
  <c r="BE233" i="1"/>
  <c r="BK233" i="1"/>
  <c r="BS233" i="1"/>
  <c r="BW233" i="1"/>
  <c r="BZ233" i="1"/>
  <c r="CC233" i="1"/>
  <c r="CF233" i="1"/>
  <c r="M234" i="1"/>
  <c r="P234" i="1"/>
  <c r="S234" i="1"/>
  <c r="V234" i="1"/>
  <c r="Y234" i="1"/>
  <c r="AC234" i="1"/>
  <c r="AG234" i="1"/>
  <c r="AK234" i="1"/>
  <c r="AN234" i="1"/>
  <c r="AQ234" i="1"/>
  <c r="AY234" i="1"/>
  <c r="BB234" i="1"/>
  <c r="BE234" i="1"/>
  <c r="BK234" i="1"/>
  <c r="BS234" i="1"/>
  <c r="BW234" i="1"/>
  <c r="BZ234" i="1"/>
  <c r="CC234" i="1"/>
  <c r="CF234" i="1"/>
  <c r="M235" i="1"/>
  <c r="P235" i="1"/>
  <c r="S235" i="1"/>
  <c r="V235" i="1"/>
  <c r="Y235" i="1"/>
  <c r="AC235" i="1"/>
  <c r="AG235" i="1"/>
  <c r="AK235" i="1"/>
  <c r="AN235" i="1"/>
  <c r="AQ235" i="1"/>
  <c r="AY235" i="1"/>
  <c r="BB235" i="1"/>
  <c r="BE235" i="1"/>
  <c r="BK235" i="1"/>
  <c r="BS235" i="1"/>
  <c r="BW235" i="1"/>
  <c r="BZ235" i="1"/>
  <c r="CC235" i="1"/>
  <c r="CF235" i="1"/>
  <c r="M236" i="1"/>
  <c r="P236" i="1"/>
  <c r="S236" i="1"/>
  <c r="V236" i="1"/>
  <c r="Y236" i="1"/>
  <c r="AC236" i="1"/>
  <c r="AG236" i="1"/>
  <c r="AK236" i="1"/>
  <c r="AN236" i="1"/>
  <c r="AQ236" i="1"/>
  <c r="AY236" i="1"/>
  <c r="BB236" i="1"/>
  <c r="BE236" i="1"/>
  <c r="BK236" i="1"/>
  <c r="BS236" i="1"/>
  <c r="BW236" i="1"/>
  <c r="BZ236" i="1"/>
  <c r="CC236" i="1"/>
  <c r="CF236" i="1"/>
  <c r="M237" i="1"/>
  <c r="P237" i="1"/>
  <c r="S237" i="1"/>
  <c r="V237" i="1"/>
  <c r="Y237" i="1"/>
  <c r="AC237" i="1"/>
  <c r="AG237" i="1"/>
  <c r="AK237" i="1"/>
  <c r="AN237" i="1"/>
  <c r="AQ237" i="1"/>
  <c r="AY237" i="1"/>
  <c r="BB237" i="1"/>
  <c r="BE237" i="1"/>
  <c r="BK237" i="1"/>
  <c r="BS237" i="1"/>
  <c r="BW237" i="1"/>
  <c r="BZ237" i="1"/>
  <c r="CC237" i="1"/>
  <c r="CF237" i="1"/>
  <c r="M238" i="1"/>
  <c r="P238" i="1"/>
  <c r="S238" i="1"/>
  <c r="V238" i="1"/>
  <c r="Y238" i="1"/>
  <c r="AC238" i="1"/>
  <c r="AG238" i="1"/>
  <c r="AK238" i="1"/>
  <c r="AN238" i="1"/>
  <c r="AQ238" i="1"/>
  <c r="AY238" i="1"/>
  <c r="BB238" i="1"/>
  <c r="BE238" i="1"/>
  <c r="BK238" i="1"/>
  <c r="BS238" i="1"/>
  <c r="BW238" i="1"/>
  <c r="BZ238" i="1"/>
  <c r="CC238" i="1"/>
  <c r="CF238" i="1"/>
  <c r="M239" i="1"/>
  <c r="P239" i="1"/>
  <c r="S239" i="1"/>
  <c r="V239" i="1"/>
  <c r="Y239" i="1"/>
  <c r="AC239" i="1"/>
  <c r="AG239" i="1"/>
  <c r="AK239" i="1"/>
  <c r="AN239" i="1"/>
  <c r="AQ239" i="1"/>
  <c r="AY239" i="1"/>
  <c r="BB239" i="1"/>
  <c r="BE239" i="1"/>
  <c r="BK239" i="1"/>
  <c r="BS239" i="1"/>
  <c r="BW239" i="1"/>
  <c r="BZ239" i="1"/>
  <c r="CC239" i="1"/>
  <c r="CF239" i="1"/>
  <c r="M240" i="1"/>
  <c r="P240" i="1"/>
  <c r="S240" i="1"/>
  <c r="V240" i="1"/>
  <c r="Y240" i="1"/>
  <c r="AC240" i="1"/>
  <c r="AG240" i="1"/>
  <c r="AK240" i="1"/>
  <c r="AN240" i="1"/>
  <c r="AQ240" i="1"/>
  <c r="AY240" i="1"/>
  <c r="BB240" i="1"/>
  <c r="BE240" i="1"/>
  <c r="BK240" i="1"/>
  <c r="BS240" i="1"/>
  <c r="BW240" i="1"/>
  <c r="BZ240" i="1"/>
  <c r="CC240" i="1"/>
  <c r="CF240" i="1"/>
  <c r="M241" i="1"/>
  <c r="P241" i="1"/>
  <c r="S241" i="1"/>
  <c r="V241" i="1"/>
  <c r="Y241" i="1"/>
  <c r="AC241" i="1"/>
  <c r="AG241" i="1"/>
  <c r="AK241" i="1"/>
  <c r="AN241" i="1"/>
  <c r="AQ241" i="1"/>
  <c r="AY241" i="1"/>
  <c r="BB241" i="1"/>
  <c r="BE241" i="1"/>
  <c r="BK241" i="1"/>
  <c r="BS241" i="1"/>
  <c r="BW241" i="1"/>
  <c r="BZ241" i="1"/>
  <c r="CC241" i="1"/>
  <c r="CF241" i="1"/>
  <c r="M242" i="1"/>
  <c r="P242" i="1"/>
  <c r="S242" i="1"/>
  <c r="V242" i="1"/>
  <c r="Y242" i="1"/>
  <c r="AC242" i="1"/>
  <c r="AG242" i="1"/>
  <c r="AK242" i="1"/>
  <c r="AN242" i="1"/>
  <c r="AQ242" i="1"/>
  <c r="AY242" i="1"/>
  <c r="BB242" i="1"/>
  <c r="BE242" i="1"/>
  <c r="BK242" i="1"/>
  <c r="BS242" i="1"/>
  <c r="BW242" i="1"/>
  <c r="BZ242" i="1"/>
  <c r="CC242" i="1"/>
  <c r="CF242" i="1"/>
  <c r="M243" i="1"/>
  <c r="P243" i="1"/>
  <c r="S243" i="1"/>
  <c r="V243" i="1"/>
  <c r="Y243" i="1"/>
  <c r="AC243" i="1"/>
  <c r="AG243" i="1"/>
  <c r="AK243" i="1"/>
  <c r="AN243" i="1"/>
  <c r="AQ243" i="1"/>
  <c r="AY243" i="1"/>
  <c r="BB243" i="1"/>
  <c r="BE243" i="1"/>
  <c r="BK243" i="1"/>
  <c r="BS243" i="1"/>
  <c r="BW243" i="1"/>
  <c r="BZ243" i="1"/>
  <c r="CC243" i="1"/>
  <c r="CF243" i="1"/>
  <c r="M244" i="1"/>
  <c r="P244" i="1"/>
  <c r="S244" i="1"/>
  <c r="V244" i="1"/>
  <c r="Y244" i="1"/>
  <c r="AC244" i="1"/>
  <c r="AG244" i="1"/>
  <c r="AK244" i="1"/>
  <c r="AN244" i="1"/>
  <c r="AQ244" i="1"/>
  <c r="AY244" i="1"/>
  <c r="BB244" i="1"/>
  <c r="BE244" i="1"/>
  <c r="BK244" i="1"/>
  <c r="BS244" i="1"/>
  <c r="BW244" i="1"/>
  <c r="BZ244" i="1"/>
  <c r="CC244" i="1"/>
  <c r="CF244" i="1"/>
  <c r="M245" i="1"/>
  <c r="P245" i="1"/>
  <c r="S245" i="1"/>
  <c r="V245" i="1"/>
  <c r="Y245" i="1"/>
  <c r="AC245" i="1"/>
  <c r="AG245" i="1"/>
  <c r="AK245" i="1"/>
  <c r="AN245" i="1"/>
  <c r="AQ245" i="1"/>
  <c r="AY245" i="1"/>
  <c r="BB245" i="1"/>
  <c r="BE245" i="1"/>
  <c r="BK245" i="1"/>
  <c r="BS245" i="1"/>
  <c r="BW245" i="1"/>
  <c r="BZ245" i="1"/>
  <c r="CC245" i="1"/>
  <c r="CD245" i="1"/>
  <c r="CF245" i="1"/>
  <c r="M246" i="1"/>
  <c r="P246" i="1"/>
  <c r="S246" i="1"/>
  <c r="V246" i="1"/>
  <c r="Y246" i="1"/>
  <c r="AC246" i="1"/>
  <c r="AG246" i="1"/>
  <c r="AK246" i="1"/>
  <c r="AN246" i="1"/>
  <c r="AQ246" i="1"/>
  <c r="AY246" i="1"/>
  <c r="BB246" i="1"/>
  <c r="BE246" i="1"/>
  <c r="BK246" i="1"/>
  <c r="BS246" i="1"/>
  <c r="BW246" i="1"/>
  <c r="BZ246" i="1"/>
  <c r="CC246" i="1"/>
  <c r="CF246" i="1"/>
  <c r="M247" i="1"/>
  <c r="P247" i="1"/>
  <c r="S247" i="1"/>
  <c r="V247" i="1"/>
  <c r="Y247" i="1"/>
  <c r="AC247" i="1"/>
  <c r="AG247" i="1"/>
  <c r="AK247" i="1"/>
  <c r="AN247" i="1"/>
  <c r="AQ247" i="1"/>
  <c r="AY247" i="1"/>
  <c r="BB247" i="1"/>
  <c r="BE247" i="1"/>
  <c r="BK247" i="1"/>
  <c r="BS247" i="1"/>
  <c r="BW247" i="1"/>
  <c r="BZ247" i="1"/>
  <c r="CC247" i="1"/>
  <c r="CF247" i="1"/>
  <c r="M248" i="1"/>
  <c r="P248" i="1"/>
  <c r="S248" i="1"/>
  <c r="V248" i="1"/>
  <c r="Y248" i="1"/>
  <c r="AC248" i="1"/>
  <c r="AG248" i="1"/>
  <c r="AK248" i="1"/>
  <c r="AN248" i="1"/>
  <c r="AQ248" i="1"/>
  <c r="AY248" i="1"/>
  <c r="BB248" i="1"/>
  <c r="BE248" i="1"/>
  <c r="BK248" i="1"/>
  <c r="BS248" i="1"/>
  <c r="BW248" i="1"/>
  <c r="BZ248" i="1"/>
  <c r="CC248" i="1"/>
  <c r="CF248" i="1"/>
  <c r="M249" i="1"/>
  <c r="P249" i="1"/>
  <c r="S249" i="1"/>
  <c r="V249" i="1"/>
  <c r="Y249" i="1"/>
  <c r="AC249" i="1"/>
  <c r="AG249" i="1"/>
  <c r="AK249" i="1"/>
  <c r="AN249" i="1"/>
  <c r="AQ249" i="1"/>
  <c r="AY249" i="1"/>
  <c r="BB249" i="1"/>
  <c r="BE249" i="1"/>
  <c r="BK249" i="1"/>
  <c r="BS249" i="1"/>
  <c r="BW249" i="1"/>
  <c r="BZ249" i="1"/>
  <c r="CC249" i="1"/>
  <c r="CF249" i="1"/>
  <c r="M250" i="1"/>
  <c r="P250" i="1"/>
  <c r="S250" i="1"/>
  <c r="V250" i="1"/>
  <c r="Y250" i="1"/>
  <c r="AC250" i="1"/>
  <c r="AG250" i="1"/>
  <c r="AK250" i="1"/>
  <c r="AN250" i="1"/>
  <c r="AQ250" i="1"/>
  <c r="AY250" i="1"/>
  <c r="BB250" i="1"/>
  <c r="BE250" i="1"/>
  <c r="BK250" i="1"/>
  <c r="BS250" i="1"/>
  <c r="BW250" i="1"/>
  <c r="BZ250" i="1"/>
  <c r="CC250" i="1"/>
  <c r="CF250" i="1"/>
  <c r="M251" i="1"/>
  <c r="P251" i="1"/>
  <c r="S251" i="1"/>
  <c r="V251" i="1"/>
  <c r="Y251" i="1"/>
  <c r="AC251" i="1"/>
  <c r="AG251" i="1"/>
  <c r="AK251" i="1"/>
  <c r="AN251" i="1"/>
  <c r="AQ251" i="1"/>
  <c r="AY251" i="1"/>
  <c r="BB251" i="1"/>
  <c r="BE251" i="1"/>
  <c r="BK251" i="1"/>
  <c r="BS251" i="1"/>
  <c r="BW251" i="1"/>
  <c r="BZ251" i="1"/>
  <c r="CC251" i="1"/>
  <c r="CF251" i="1"/>
  <c r="M252" i="1"/>
  <c r="P252" i="1"/>
  <c r="S252" i="1"/>
  <c r="V252" i="1"/>
  <c r="Y252" i="1"/>
  <c r="AC252" i="1"/>
  <c r="AG252" i="1"/>
  <c r="AK252" i="1"/>
  <c r="AN252" i="1"/>
  <c r="AQ252" i="1"/>
  <c r="AY252" i="1"/>
  <c r="BB252" i="1"/>
  <c r="BE252" i="1"/>
  <c r="BK252" i="1"/>
  <c r="BS252" i="1"/>
  <c r="BW252" i="1"/>
  <c r="BZ252" i="1"/>
  <c r="CC252" i="1"/>
  <c r="CF252" i="1"/>
  <c r="M253" i="1"/>
  <c r="P253" i="1"/>
  <c r="S253" i="1"/>
  <c r="V253" i="1"/>
  <c r="Y253" i="1"/>
  <c r="AC253" i="1"/>
  <c r="AG253" i="1"/>
  <c r="AK253" i="1"/>
  <c r="AN253" i="1"/>
  <c r="AQ253" i="1"/>
  <c r="AY253" i="1"/>
  <c r="BB253" i="1"/>
  <c r="BE253" i="1"/>
  <c r="BK253" i="1"/>
  <c r="BS253" i="1"/>
  <c r="BW253" i="1"/>
  <c r="BZ253" i="1"/>
  <c r="CC253" i="1"/>
  <c r="CF253" i="1"/>
  <c r="M254" i="1"/>
  <c r="P254" i="1"/>
  <c r="S254" i="1"/>
  <c r="V254" i="1"/>
  <c r="Y254" i="1"/>
  <c r="AC254" i="1"/>
  <c r="AG254" i="1"/>
  <c r="AK254" i="1"/>
  <c r="AN254" i="1"/>
  <c r="AQ254" i="1"/>
  <c r="AY254" i="1"/>
  <c r="BB254" i="1"/>
  <c r="BE254" i="1"/>
  <c r="BK254" i="1"/>
  <c r="BS254" i="1"/>
  <c r="BW254" i="1"/>
  <c r="BZ254" i="1"/>
  <c r="CC254" i="1"/>
  <c r="CF254" i="1"/>
  <c r="M255" i="1"/>
  <c r="P255" i="1"/>
  <c r="S255" i="1"/>
  <c r="V255" i="1"/>
  <c r="Y255" i="1"/>
  <c r="AC255" i="1"/>
  <c r="AG255" i="1"/>
  <c r="AK255" i="1"/>
  <c r="AN255" i="1"/>
  <c r="AQ255" i="1"/>
  <c r="AY255" i="1"/>
  <c r="BB255" i="1"/>
  <c r="BE255" i="1"/>
  <c r="BK255" i="1"/>
  <c r="BS255" i="1"/>
  <c r="BW255" i="1"/>
  <c r="BZ255" i="1"/>
  <c r="CC255" i="1"/>
  <c r="CF255" i="1"/>
  <c r="M256" i="1"/>
  <c r="P256" i="1"/>
  <c r="S256" i="1"/>
  <c r="V256" i="1"/>
  <c r="Y256" i="1"/>
  <c r="AC256" i="1"/>
  <c r="AG256" i="1"/>
  <c r="AK256" i="1"/>
  <c r="AN256" i="1"/>
  <c r="AQ256" i="1"/>
  <c r="AY256" i="1"/>
  <c r="BB256" i="1"/>
  <c r="BE256" i="1"/>
  <c r="BK256" i="1"/>
  <c r="BS256" i="1"/>
  <c r="BW256" i="1"/>
  <c r="BZ256" i="1"/>
  <c r="CC256" i="1"/>
  <c r="CF256" i="1"/>
  <c r="M257" i="1"/>
  <c r="P257" i="1"/>
  <c r="S257" i="1"/>
  <c r="V257" i="1"/>
  <c r="Y257" i="1"/>
  <c r="AC257" i="1"/>
  <c r="AG257" i="1"/>
  <c r="AK257" i="1"/>
  <c r="AN257" i="1"/>
  <c r="AQ257" i="1"/>
  <c r="AY257" i="1"/>
  <c r="BB257" i="1"/>
  <c r="BE257" i="1"/>
  <c r="BK257" i="1"/>
  <c r="BS257" i="1"/>
  <c r="BW257" i="1"/>
  <c r="BZ257" i="1"/>
  <c r="CC257" i="1"/>
  <c r="CF257" i="1"/>
  <c r="M258" i="1"/>
  <c r="P258" i="1"/>
  <c r="S258" i="1"/>
  <c r="V258" i="1"/>
  <c r="Y258" i="1"/>
  <c r="AC258" i="1"/>
  <c r="AG258" i="1"/>
  <c r="AK258" i="1"/>
  <c r="AN258" i="1"/>
  <c r="AQ258" i="1"/>
  <c r="AY258" i="1"/>
  <c r="BB258" i="1"/>
  <c r="BE258" i="1"/>
  <c r="BK258" i="1"/>
  <c r="BS258" i="1"/>
  <c r="BW258" i="1"/>
  <c r="BZ258" i="1"/>
  <c r="CC258" i="1"/>
  <c r="CF258" i="1"/>
  <c r="M259" i="1"/>
  <c r="P259" i="1"/>
  <c r="S259" i="1"/>
  <c r="V259" i="1"/>
  <c r="Y259" i="1"/>
  <c r="AC259" i="1"/>
  <c r="AG259" i="1"/>
  <c r="AK259" i="1"/>
  <c r="AN259" i="1"/>
  <c r="AQ259" i="1"/>
  <c r="AY259" i="1"/>
  <c r="BB259" i="1"/>
  <c r="BE259" i="1"/>
  <c r="BK259" i="1"/>
  <c r="BS259" i="1"/>
  <c r="BW259" i="1"/>
  <c r="BZ259" i="1"/>
  <c r="CC259" i="1"/>
  <c r="CF259" i="1"/>
  <c r="L280" i="1"/>
  <c r="R280" i="1"/>
  <c r="AF280" i="1"/>
  <c r="AJ280" i="1"/>
  <c r="AX280" i="1"/>
  <c r="BD280" i="1"/>
  <c r="BR280" i="1"/>
  <c r="BV280" i="1"/>
  <c r="CB280" i="1"/>
  <c r="CO404" i="1"/>
  <c r="AB407" i="1" s="1"/>
  <c r="AM407" i="1" s="1"/>
  <c r="CP404" i="1"/>
  <c r="AD407" i="1" s="1"/>
  <c r="AN407" i="1" s="1"/>
  <c r="AM406" i="1"/>
  <c r="AN406" i="1"/>
  <c r="AT406" i="1"/>
  <c r="G407" i="1"/>
  <c r="G418" i="1" s="1"/>
  <c r="H407" i="1"/>
  <c r="AC407" i="1"/>
  <c r="AF407" i="1"/>
  <c r="AT407" i="1" s="1"/>
  <c r="CP407" i="1"/>
  <c r="CQ407" i="1"/>
  <c r="CQ404" i="1" s="1"/>
  <c r="G408" i="1"/>
  <c r="H408" i="1"/>
  <c r="AI408" i="1"/>
  <c r="AK408" i="1"/>
  <c r="AM408" i="1"/>
  <c r="AN408" i="1"/>
  <c r="N129" i="1" s="1"/>
  <c r="AU408" i="1"/>
  <c r="BK408" i="1"/>
  <c r="BQ408" i="1"/>
  <c r="CA408" i="1"/>
  <c r="CB408" i="1"/>
  <c r="CC408" i="1"/>
  <c r="CD408" i="1"/>
  <c r="CH408" i="1"/>
  <c r="G409" i="1"/>
  <c r="H409" i="1"/>
  <c r="H418" i="1" s="1"/>
  <c r="AI409" i="1"/>
  <c r="AI418" i="1" s="1"/>
  <c r="AK409" i="1"/>
  <c r="AM409" i="1"/>
  <c r="AN409" i="1"/>
  <c r="AT409" i="1"/>
  <c r="BK409" i="1"/>
  <c r="BQ409" i="1"/>
  <c r="CA409" i="1"/>
  <c r="CB409" i="1"/>
  <c r="CD409" i="1"/>
  <c r="G410" i="1"/>
  <c r="H410" i="1"/>
  <c r="AI410" i="1"/>
  <c r="AK410" i="1"/>
  <c r="AM410" i="1"/>
  <c r="AN410" i="1"/>
  <c r="T129" i="1" s="1"/>
  <c r="AT410" i="1"/>
  <c r="BK410" i="1"/>
  <c r="BQ410" i="1"/>
  <c r="CA410" i="1"/>
  <c r="CB410" i="1"/>
  <c r="CD410" i="1"/>
  <c r="CH410" i="1"/>
  <c r="G411" i="1"/>
  <c r="H411" i="1"/>
  <c r="AI411" i="1"/>
  <c r="AK411" i="1"/>
  <c r="AM411" i="1"/>
  <c r="AN411" i="1"/>
  <c r="AZ129" i="1" s="1"/>
  <c r="BK411" i="1"/>
  <c r="BQ411" i="1"/>
  <c r="CA411" i="1"/>
  <c r="CB411" i="1"/>
  <c r="CD411" i="1"/>
  <c r="CH411" i="1"/>
  <c r="G412" i="1"/>
  <c r="H412" i="1"/>
  <c r="AI412" i="1"/>
  <c r="AK412" i="1"/>
  <c r="AK418" i="1" s="1"/>
  <c r="AM412" i="1"/>
  <c r="AN412" i="1"/>
  <c r="BK412" i="1"/>
  <c r="BQ412" i="1"/>
  <c r="CA412" i="1"/>
  <c r="CB412" i="1"/>
  <c r="CD412" i="1"/>
  <c r="CH412" i="1"/>
  <c r="G413" i="1"/>
  <c r="H413" i="1"/>
  <c r="AI413" i="1"/>
  <c r="AK413" i="1"/>
  <c r="AM413" i="1"/>
  <c r="AN413" i="1"/>
  <c r="AH129" i="1" s="1"/>
  <c r="BK413" i="1"/>
  <c r="BQ413" i="1"/>
  <c r="CA413" i="1"/>
  <c r="CB413" i="1"/>
  <c r="CD413" i="1"/>
  <c r="G414" i="1"/>
  <c r="H414" i="1"/>
  <c r="AI414" i="1"/>
  <c r="AK414" i="1"/>
  <c r="AM414" i="1"/>
  <c r="AN414" i="1"/>
  <c r="AT414" i="1"/>
  <c r="BK414" i="1"/>
  <c r="BQ414" i="1"/>
  <c r="BQ418" i="1" s="1"/>
  <c r="CA414" i="1"/>
  <c r="CB414" i="1"/>
  <c r="CD414" i="1"/>
  <c r="G415" i="1"/>
  <c r="H415" i="1"/>
  <c r="AI415" i="1"/>
  <c r="AK415" i="1"/>
  <c r="AM415" i="1"/>
  <c r="AN415" i="1"/>
  <c r="AT415" i="1"/>
  <c r="BK415" i="1"/>
  <c r="BQ415" i="1"/>
  <c r="CA415" i="1"/>
  <c r="CB415" i="1"/>
  <c r="CD415" i="1"/>
  <c r="CH415" i="1"/>
  <c r="G416" i="1"/>
  <c r="H416" i="1"/>
  <c r="AI416" i="1"/>
  <c r="AK416" i="1"/>
  <c r="AM416" i="1"/>
  <c r="AN416" i="1"/>
  <c r="AT416" i="1"/>
  <c r="BK416" i="1"/>
  <c r="BQ416" i="1"/>
  <c r="CA416" i="1"/>
  <c r="CB416" i="1"/>
  <c r="CD416" i="1"/>
  <c r="CH416" i="1"/>
  <c r="AM417" i="1"/>
  <c r="AN417" i="1"/>
  <c r="CD129" i="1" s="1"/>
  <c r="AT417" i="1"/>
  <c r="CB417" i="1"/>
  <c r="CD417" i="1"/>
  <c r="CH417" i="1"/>
  <c r="BK418" i="1"/>
  <c r="C420" i="1"/>
  <c r="D420" i="1" s="1"/>
  <c r="E420" i="1"/>
  <c r="K420" i="1"/>
  <c r="L420" i="1"/>
  <c r="Q420" i="1"/>
  <c r="R420" i="1"/>
  <c r="W420" i="1"/>
  <c r="X420" i="1"/>
  <c r="AA420" i="1"/>
  <c r="G420" i="1" s="1"/>
  <c r="AB420" i="1"/>
  <c r="H420" i="1" s="1"/>
  <c r="AE420" i="1"/>
  <c r="AF420" i="1"/>
  <c r="AI420" i="1"/>
  <c r="AJ420" i="1"/>
  <c r="AO420" i="1"/>
  <c r="AP420" i="1"/>
  <c r="AW420" i="1"/>
  <c r="AX420" i="1"/>
  <c r="BC420" i="1"/>
  <c r="BD420" i="1"/>
  <c r="BG420" i="1"/>
  <c r="BJ420" i="1"/>
  <c r="BQ420" i="1"/>
  <c r="BR420" i="1"/>
  <c r="BU420" i="1"/>
  <c r="BV420" i="1"/>
  <c r="CA420" i="1"/>
  <c r="CB420" i="1"/>
  <c r="K421" i="1"/>
  <c r="L421" i="1"/>
  <c r="Q421" i="1"/>
  <c r="R421" i="1"/>
  <c r="W421" i="1"/>
  <c r="X421" i="1"/>
  <c r="AA421" i="1"/>
  <c r="AB421" i="1"/>
  <c r="H421" i="1" s="1"/>
  <c r="AE421" i="1"/>
  <c r="AF421" i="1"/>
  <c r="AI421" i="1"/>
  <c r="AJ421" i="1"/>
  <c r="AO421" i="1"/>
  <c r="AP421" i="1"/>
  <c r="AW421" i="1"/>
  <c r="AX421" i="1"/>
  <c r="BC421" i="1"/>
  <c r="BD421" i="1"/>
  <c r="BG421" i="1"/>
  <c r="BJ421" i="1"/>
  <c r="BQ421" i="1"/>
  <c r="BR421" i="1"/>
  <c r="BU421" i="1"/>
  <c r="BV421" i="1"/>
  <c r="CA421" i="1"/>
  <c r="CB421" i="1"/>
  <c r="K422" i="1"/>
  <c r="G422" i="1" s="1"/>
  <c r="L422" i="1"/>
  <c r="Q422" i="1"/>
  <c r="R422" i="1"/>
  <c r="W422" i="1"/>
  <c r="X422" i="1"/>
  <c r="AA422" i="1"/>
  <c r="AB422" i="1"/>
  <c r="AE422" i="1"/>
  <c r="AF422" i="1"/>
  <c r="AI422" i="1"/>
  <c r="AJ422" i="1"/>
  <c r="AO422" i="1"/>
  <c r="AP422" i="1"/>
  <c r="AW422" i="1"/>
  <c r="AX422" i="1"/>
  <c r="BC422" i="1"/>
  <c r="BD422" i="1"/>
  <c r="BG422" i="1"/>
  <c r="BJ422" i="1"/>
  <c r="BQ422" i="1"/>
  <c r="BR422" i="1"/>
  <c r="BU422" i="1"/>
  <c r="BV422" i="1"/>
  <c r="CA422" i="1"/>
  <c r="CB422" i="1"/>
  <c r="K423" i="1"/>
  <c r="L423" i="1"/>
  <c r="H423" i="1" s="1"/>
  <c r="Q423" i="1"/>
  <c r="R423" i="1"/>
  <c r="W423" i="1"/>
  <c r="X423" i="1"/>
  <c r="AA423" i="1"/>
  <c r="AB423" i="1"/>
  <c r="AE423" i="1"/>
  <c r="AF423" i="1"/>
  <c r="AI423" i="1"/>
  <c r="AJ423" i="1"/>
  <c r="AO423" i="1"/>
  <c r="AP423" i="1"/>
  <c r="AW423" i="1"/>
  <c r="AX423" i="1"/>
  <c r="BC423" i="1"/>
  <c r="BD423" i="1"/>
  <c r="BG423" i="1"/>
  <c r="BJ423" i="1"/>
  <c r="BQ423" i="1"/>
  <c r="BR423" i="1"/>
  <c r="BU423" i="1"/>
  <c r="BV423" i="1"/>
  <c r="CA423" i="1"/>
  <c r="CB423" i="1"/>
  <c r="K424" i="1"/>
  <c r="G424" i="1" s="1"/>
  <c r="L424" i="1"/>
  <c r="H424" i="1" s="1"/>
  <c r="Q424" i="1"/>
  <c r="R424" i="1"/>
  <c r="W424" i="1"/>
  <c r="X424" i="1"/>
  <c r="AA424" i="1"/>
  <c r="AB424" i="1"/>
  <c r="AE424" i="1"/>
  <c r="AF424" i="1"/>
  <c r="AI424" i="1"/>
  <c r="AJ424" i="1"/>
  <c r="AO424" i="1"/>
  <c r="AP424" i="1"/>
  <c r="AW424" i="1"/>
  <c r="AX424" i="1"/>
  <c r="BC424" i="1"/>
  <c r="BD424" i="1"/>
  <c r="BG424" i="1"/>
  <c r="BJ424" i="1"/>
  <c r="BQ424" i="1"/>
  <c r="BR424" i="1"/>
  <c r="BU424" i="1"/>
  <c r="BV424" i="1"/>
  <c r="CA424" i="1"/>
  <c r="CB424" i="1"/>
  <c r="K425" i="1"/>
  <c r="L425" i="1"/>
  <c r="H425" i="1" s="1"/>
  <c r="Q425" i="1"/>
  <c r="R425" i="1"/>
  <c r="W425" i="1"/>
  <c r="X425" i="1"/>
  <c r="AA425" i="1"/>
  <c r="AB425" i="1"/>
  <c r="AE425" i="1"/>
  <c r="AF425" i="1"/>
  <c r="AI425" i="1"/>
  <c r="AJ425" i="1"/>
  <c r="AO425" i="1"/>
  <c r="AP425" i="1"/>
  <c r="AW425" i="1"/>
  <c r="AX425" i="1"/>
  <c r="BC425" i="1"/>
  <c r="BD425" i="1"/>
  <c r="BG425" i="1"/>
  <c r="BJ425" i="1"/>
  <c r="BQ425" i="1"/>
  <c r="BR425" i="1"/>
  <c r="BU425" i="1"/>
  <c r="BV425" i="1"/>
  <c r="CA425" i="1"/>
  <c r="CB425" i="1"/>
  <c r="K426" i="1"/>
  <c r="G426" i="1" s="1"/>
  <c r="L426" i="1"/>
  <c r="Q426" i="1"/>
  <c r="R426" i="1"/>
  <c r="W426" i="1"/>
  <c r="X426" i="1"/>
  <c r="AA426" i="1"/>
  <c r="AB426" i="1"/>
  <c r="H426" i="1" s="1"/>
  <c r="AE426" i="1"/>
  <c r="AF426" i="1"/>
  <c r="AI426" i="1"/>
  <c r="AJ426" i="1"/>
  <c r="AO426" i="1"/>
  <c r="AP426" i="1"/>
  <c r="AW426" i="1"/>
  <c r="AX426" i="1"/>
  <c r="BC426" i="1"/>
  <c r="BD426" i="1"/>
  <c r="BG426" i="1"/>
  <c r="BJ426" i="1"/>
  <c r="BQ426" i="1"/>
  <c r="BR426" i="1"/>
  <c r="BU426" i="1"/>
  <c r="BV426" i="1"/>
  <c r="CA426" i="1"/>
  <c r="CB426" i="1"/>
  <c r="G427" i="1"/>
  <c r="K427" i="1"/>
  <c r="L427" i="1"/>
  <c r="H427" i="1" s="1"/>
  <c r="Q427" i="1"/>
  <c r="R427" i="1"/>
  <c r="W427" i="1"/>
  <c r="X427" i="1"/>
  <c r="AA427" i="1"/>
  <c r="AB427" i="1"/>
  <c r="AE427" i="1"/>
  <c r="AF427" i="1"/>
  <c r="AI427" i="1"/>
  <c r="AJ427" i="1"/>
  <c r="AO427" i="1"/>
  <c r="AP427" i="1"/>
  <c r="AW427" i="1"/>
  <c r="AX427" i="1"/>
  <c r="BC427" i="1"/>
  <c r="BD427" i="1"/>
  <c r="BG427" i="1"/>
  <c r="BJ427" i="1"/>
  <c r="BQ427" i="1"/>
  <c r="BR427" i="1"/>
  <c r="BU427" i="1"/>
  <c r="BV427" i="1"/>
  <c r="CA427" i="1"/>
  <c r="CB427" i="1"/>
  <c r="K428" i="1"/>
  <c r="L428" i="1"/>
  <c r="H428" i="1" s="1"/>
  <c r="Q428" i="1"/>
  <c r="R428" i="1"/>
  <c r="W428" i="1"/>
  <c r="X428" i="1"/>
  <c r="AA428" i="1"/>
  <c r="G428" i="1" s="1"/>
  <c r="AB428" i="1"/>
  <c r="AE428" i="1"/>
  <c r="AF428" i="1"/>
  <c r="AI428" i="1"/>
  <c r="AJ428" i="1"/>
  <c r="AO428" i="1"/>
  <c r="AP428" i="1"/>
  <c r="AW428" i="1"/>
  <c r="AX428" i="1"/>
  <c r="BC428" i="1"/>
  <c r="BD428" i="1"/>
  <c r="BG428" i="1"/>
  <c r="BJ428" i="1"/>
  <c r="BQ428" i="1"/>
  <c r="BR428" i="1"/>
  <c r="BU428" i="1"/>
  <c r="BV428" i="1"/>
  <c r="CA428" i="1"/>
  <c r="CB428" i="1"/>
  <c r="K429" i="1"/>
  <c r="L429" i="1"/>
  <c r="Q429" i="1"/>
  <c r="R429" i="1"/>
  <c r="W429" i="1"/>
  <c r="X429" i="1"/>
  <c r="AA429" i="1"/>
  <c r="AB429" i="1"/>
  <c r="H429" i="1" s="1"/>
  <c r="AE429" i="1"/>
  <c r="AF429" i="1"/>
  <c r="AI429" i="1"/>
  <c r="AJ429" i="1"/>
  <c r="AO429" i="1"/>
  <c r="AP429" i="1"/>
  <c r="AW429" i="1"/>
  <c r="AX429" i="1"/>
  <c r="BC429" i="1"/>
  <c r="BD429" i="1"/>
  <c r="BG429" i="1"/>
  <c r="BJ429" i="1"/>
  <c r="BQ429" i="1"/>
  <c r="BR429" i="1"/>
  <c r="BU429" i="1"/>
  <c r="BV429" i="1"/>
  <c r="CA429" i="1"/>
  <c r="CB429" i="1"/>
  <c r="K430" i="1"/>
  <c r="G430" i="1" s="1"/>
  <c r="L430" i="1"/>
  <c r="Q430" i="1"/>
  <c r="R430" i="1"/>
  <c r="W430" i="1"/>
  <c r="X430" i="1"/>
  <c r="AA430" i="1"/>
  <c r="AB430" i="1"/>
  <c r="AE430" i="1"/>
  <c r="AF430" i="1"/>
  <c r="AI430" i="1"/>
  <c r="AJ430" i="1"/>
  <c r="AO430" i="1"/>
  <c r="AP430" i="1"/>
  <c r="AW430" i="1"/>
  <c r="AX430" i="1"/>
  <c r="BC430" i="1"/>
  <c r="BD430" i="1"/>
  <c r="BG430" i="1"/>
  <c r="BJ430" i="1"/>
  <c r="BQ430" i="1"/>
  <c r="BR430" i="1"/>
  <c r="BU430" i="1"/>
  <c r="BV430" i="1"/>
  <c r="CA430" i="1"/>
  <c r="CB430" i="1"/>
  <c r="K431" i="1"/>
  <c r="Q431" i="1"/>
  <c r="R431" i="1"/>
  <c r="X431" i="1"/>
  <c r="AA431" i="1"/>
  <c r="AB431" i="1"/>
  <c r="AE431" i="1"/>
  <c r="AF431" i="1"/>
  <c r="AI431" i="1"/>
  <c r="AJ431" i="1"/>
  <c r="AO431" i="1"/>
  <c r="AP431" i="1"/>
  <c r="AW431" i="1"/>
  <c r="BC431" i="1"/>
  <c r="BD431" i="1"/>
  <c r="BG431" i="1"/>
  <c r="BJ431" i="1"/>
  <c r="BQ431" i="1"/>
  <c r="BR431" i="1"/>
  <c r="BU431" i="1"/>
  <c r="CA431" i="1"/>
  <c r="X432" i="1"/>
  <c r="AA432" i="1"/>
  <c r="AB432" i="1"/>
  <c r="AE432" i="1"/>
  <c r="AF432" i="1"/>
  <c r="AO432" i="1"/>
  <c r="AP432" i="1"/>
  <c r="AW432" i="1"/>
  <c r="BC432" i="1"/>
  <c r="BG432" i="1"/>
  <c r="BJ432" i="1"/>
  <c r="BQ432" i="1"/>
  <c r="BR432" i="1"/>
  <c r="X433" i="1"/>
  <c r="AA433" i="1"/>
  <c r="AB433" i="1"/>
  <c r="AE433" i="1"/>
  <c r="AF433" i="1"/>
  <c r="AO433" i="1"/>
  <c r="AP433" i="1"/>
  <c r="AW433" i="1"/>
  <c r="BC433" i="1"/>
  <c r="BG433" i="1"/>
  <c r="BJ433" i="1"/>
  <c r="BQ433" i="1"/>
  <c r="BR433" i="1"/>
  <c r="X434" i="1"/>
  <c r="AA434" i="1"/>
  <c r="AB434" i="1"/>
  <c r="AE434" i="1"/>
  <c r="AF434" i="1"/>
  <c r="AO434" i="1"/>
  <c r="AP434" i="1"/>
  <c r="AW434" i="1"/>
  <c r="BC434" i="1"/>
  <c r="BG434" i="1"/>
  <c r="BJ434" i="1"/>
  <c r="BQ434" i="1"/>
  <c r="BR434" i="1"/>
  <c r="X435" i="1"/>
  <c r="AA435" i="1"/>
  <c r="AB435" i="1"/>
  <c r="AE435" i="1"/>
  <c r="AF435" i="1"/>
  <c r="AO435" i="1"/>
  <c r="AP435" i="1"/>
  <c r="AW435" i="1"/>
  <c r="BC435" i="1"/>
  <c r="BG435" i="1"/>
  <c r="BJ435" i="1"/>
  <c r="BQ435" i="1"/>
  <c r="BR435" i="1"/>
  <c r="X436" i="1"/>
  <c r="AA436" i="1"/>
  <c r="AB436" i="1"/>
  <c r="AE436" i="1"/>
  <c r="AF436" i="1"/>
  <c r="AO436" i="1"/>
  <c r="AP436" i="1"/>
  <c r="AW436" i="1"/>
  <c r="BC436" i="1"/>
  <c r="BG436" i="1"/>
  <c r="BJ436" i="1"/>
  <c r="BQ436" i="1"/>
  <c r="BR436" i="1"/>
  <c r="X437" i="1"/>
  <c r="AA437" i="1"/>
  <c r="AB437" i="1"/>
  <c r="AE437" i="1"/>
  <c r="AF437" i="1"/>
  <c r="AO437" i="1"/>
  <c r="AP437" i="1"/>
  <c r="AW437" i="1"/>
  <c r="BC437" i="1"/>
  <c r="BG437" i="1"/>
  <c r="BJ437" i="1"/>
  <c r="BQ437" i="1"/>
  <c r="BR437" i="1"/>
  <c r="X438" i="1"/>
  <c r="AA438" i="1"/>
  <c r="AB438" i="1"/>
  <c r="AE438" i="1"/>
  <c r="AF438" i="1"/>
  <c r="AO438" i="1"/>
  <c r="AP438" i="1"/>
  <c r="AW438" i="1"/>
  <c r="BC438" i="1"/>
  <c r="BG438" i="1"/>
  <c r="BJ438" i="1"/>
  <c r="BQ438" i="1"/>
  <c r="BR438" i="1"/>
  <c r="X439" i="1"/>
  <c r="AA439" i="1"/>
  <c r="AB439" i="1"/>
  <c r="AE439" i="1"/>
  <c r="AF439" i="1"/>
  <c r="AO439" i="1"/>
  <c r="AP439" i="1"/>
  <c r="AW439" i="1"/>
  <c r="BC439" i="1"/>
  <c r="BG439" i="1"/>
  <c r="BJ439" i="1"/>
  <c r="BQ439" i="1"/>
  <c r="BR439" i="1"/>
  <c r="X440" i="1"/>
  <c r="AA440" i="1"/>
  <c r="AB440" i="1"/>
  <c r="AE440" i="1"/>
  <c r="AF440" i="1"/>
  <c r="AO440" i="1"/>
  <c r="AP440" i="1"/>
  <c r="AW440" i="1"/>
  <c r="BC440" i="1"/>
  <c r="BG440" i="1"/>
  <c r="BJ440" i="1"/>
  <c r="BQ440" i="1"/>
  <c r="BR440" i="1"/>
  <c r="X441" i="1"/>
  <c r="AA441" i="1"/>
  <c r="AB441" i="1"/>
  <c r="AE441" i="1"/>
  <c r="AF441" i="1"/>
  <c r="AO441" i="1"/>
  <c r="AP441" i="1"/>
  <c r="AW441" i="1"/>
  <c r="BC441" i="1"/>
  <c r="BG441" i="1"/>
  <c r="BJ441" i="1"/>
  <c r="BQ441" i="1"/>
  <c r="BR441" i="1"/>
  <c r="X442" i="1"/>
  <c r="AA442" i="1"/>
  <c r="AB442" i="1"/>
  <c r="AE442" i="1"/>
  <c r="AF442" i="1"/>
  <c r="AO442" i="1"/>
  <c r="AP442" i="1"/>
  <c r="AW442" i="1"/>
  <c r="BC442" i="1"/>
  <c r="BG442" i="1"/>
  <c r="BJ442" i="1"/>
  <c r="BQ442" i="1"/>
  <c r="BR442" i="1"/>
  <c r="X443" i="1"/>
  <c r="AA443" i="1"/>
  <c r="AB443" i="1"/>
  <c r="AE443" i="1"/>
  <c r="AF443" i="1"/>
  <c r="AO443" i="1"/>
  <c r="AP443" i="1"/>
  <c r="AW443" i="1"/>
  <c r="BC443" i="1"/>
  <c r="BG443" i="1"/>
  <c r="BJ443" i="1"/>
  <c r="BQ443" i="1"/>
  <c r="BR443" i="1"/>
  <c r="X444" i="1"/>
  <c r="AA444" i="1"/>
  <c r="AB444" i="1"/>
  <c r="AE444" i="1"/>
  <c r="AF444" i="1"/>
  <c r="AO444" i="1"/>
  <c r="AP444" i="1"/>
  <c r="AW444" i="1"/>
  <c r="BC444" i="1"/>
  <c r="BG444" i="1"/>
  <c r="BJ444" i="1"/>
  <c r="BQ444" i="1"/>
  <c r="BR444" i="1"/>
  <c r="X445" i="1"/>
  <c r="AA445" i="1"/>
  <c r="AB445" i="1"/>
  <c r="AE445" i="1"/>
  <c r="AF445" i="1"/>
  <c r="AO445" i="1"/>
  <c r="AP445" i="1"/>
  <c r="AW445" i="1"/>
  <c r="BC445" i="1"/>
  <c r="BG445" i="1"/>
  <c r="BJ445" i="1"/>
  <c r="BQ445" i="1"/>
  <c r="BR445" i="1"/>
  <c r="X446" i="1"/>
  <c r="AA446" i="1"/>
  <c r="AB446" i="1"/>
  <c r="AE446" i="1"/>
  <c r="AF446" i="1"/>
  <c r="AO446" i="1"/>
  <c r="AP446" i="1"/>
  <c r="AW446" i="1"/>
  <c r="BC446" i="1"/>
  <c r="BG446" i="1"/>
  <c r="BJ446" i="1"/>
  <c r="BQ446" i="1"/>
  <c r="BR446" i="1"/>
  <c r="X447" i="1"/>
  <c r="AA447" i="1"/>
  <c r="AB447" i="1"/>
  <c r="AE447" i="1"/>
  <c r="AF447" i="1"/>
  <c r="AO447" i="1"/>
  <c r="AP447" i="1"/>
  <c r="AW447" i="1"/>
  <c r="BC447" i="1"/>
  <c r="BG447" i="1"/>
  <c r="BJ447" i="1"/>
  <c r="BQ447" i="1"/>
  <c r="BR447" i="1"/>
  <c r="X448" i="1"/>
  <c r="AA448" i="1"/>
  <c r="AB448" i="1"/>
  <c r="AE448" i="1"/>
  <c r="AF448" i="1"/>
  <c r="AO448" i="1"/>
  <c r="AP448" i="1"/>
  <c r="AW448" i="1"/>
  <c r="BC448" i="1"/>
  <c r="BG448" i="1"/>
  <c r="BJ448" i="1"/>
  <c r="BQ448" i="1"/>
  <c r="BR448" i="1"/>
  <c r="X449" i="1"/>
  <c r="AA449" i="1"/>
  <c r="AB449" i="1"/>
  <c r="AE449" i="1"/>
  <c r="AF449" i="1"/>
  <c r="AO449" i="1"/>
  <c r="AP449" i="1"/>
  <c r="AW449" i="1"/>
  <c r="BC449" i="1"/>
  <c r="BG449" i="1"/>
  <c r="BJ449" i="1"/>
  <c r="BQ449" i="1"/>
  <c r="BR449" i="1"/>
  <c r="X450" i="1"/>
  <c r="AA450" i="1"/>
  <c r="AB450" i="1"/>
  <c r="AE450" i="1"/>
  <c r="AF450" i="1"/>
  <c r="AO450" i="1"/>
  <c r="AP450" i="1"/>
  <c r="AW450" i="1"/>
  <c r="BC450" i="1"/>
  <c r="BG450" i="1"/>
  <c r="BJ450" i="1"/>
  <c r="BQ450" i="1"/>
  <c r="BR450" i="1"/>
  <c r="X451" i="1"/>
  <c r="AA451" i="1"/>
  <c r="AB451" i="1"/>
  <c r="AE451" i="1"/>
  <c r="AF451" i="1"/>
  <c r="AO451" i="1"/>
  <c r="AP451" i="1"/>
  <c r="AW451" i="1"/>
  <c r="BC451" i="1"/>
  <c r="BG451" i="1"/>
  <c r="BJ451" i="1"/>
  <c r="BQ451" i="1"/>
  <c r="BR451" i="1"/>
  <c r="X452" i="1"/>
  <c r="AA452" i="1"/>
  <c r="AB452" i="1"/>
  <c r="AE452" i="1"/>
  <c r="AF452" i="1"/>
  <c r="AO452" i="1"/>
  <c r="AP452" i="1"/>
  <c r="AW452" i="1"/>
  <c r="BC452" i="1"/>
  <c r="BG452" i="1"/>
  <c r="BJ452" i="1"/>
  <c r="BQ452" i="1"/>
  <c r="BR452" i="1"/>
  <c r="X453" i="1"/>
  <c r="AA453" i="1"/>
  <c r="AB453" i="1"/>
  <c r="AE453" i="1"/>
  <c r="AF453" i="1"/>
  <c r="AO453" i="1"/>
  <c r="AP453" i="1"/>
  <c r="AW453" i="1"/>
  <c r="BC453" i="1"/>
  <c r="BG453" i="1"/>
  <c r="BJ453" i="1"/>
  <c r="BQ453" i="1"/>
  <c r="BR453" i="1"/>
  <c r="X454" i="1"/>
  <c r="AA454" i="1"/>
  <c r="AB454" i="1"/>
  <c r="AE454" i="1"/>
  <c r="AF454" i="1"/>
  <c r="AO454" i="1"/>
  <c r="AP454" i="1"/>
  <c r="AW454" i="1"/>
  <c r="BC454" i="1"/>
  <c r="BG454" i="1"/>
  <c r="BJ454" i="1"/>
  <c r="BQ454" i="1"/>
  <c r="BR454" i="1"/>
  <c r="X455" i="1"/>
  <c r="AA455" i="1"/>
  <c r="AB455" i="1"/>
  <c r="AE455" i="1"/>
  <c r="AF455" i="1"/>
  <c r="AO455" i="1"/>
  <c r="AP455" i="1"/>
  <c r="AW455" i="1"/>
  <c r="BC455" i="1"/>
  <c r="BG455" i="1"/>
  <c r="BJ455" i="1"/>
  <c r="BQ455" i="1"/>
  <c r="BR455" i="1"/>
  <c r="X456" i="1"/>
  <c r="AA456" i="1"/>
  <c r="AB456" i="1"/>
  <c r="AE456" i="1"/>
  <c r="AF456" i="1"/>
  <c r="AO456" i="1"/>
  <c r="AP456" i="1"/>
  <c r="AW456" i="1"/>
  <c r="BC456" i="1"/>
  <c r="BG456" i="1"/>
  <c r="BJ456" i="1"/>
  <c r="BQ456" i="1"/>
  <c r="BR456" i="1"/>
  <c r="X457" i="1"/>
  <c r="AA457" i="1"/>
  <c r="AB457" i="1"/>
  <c r="AE457" i="1"/>
  <c r="AF457" i="1"/>
  <c r="AO457" i="1"/>
  <c r="AP457" i="1"/>
  <c r="AW457" i="1"/>
  <c r="BC457" i="1"/>
  <c r="BG457" i="1"/>
  <c r="BJ457" i="1"/>
  <c r="BQ457" i="1"/>
  <c r="BR457" i="1"/>
  <c r="X458" i="1"/>
  <c r="AA458" i="1"/>
  <c r="AB458" i="1"/>
  <c r="AE458" i="1"/>
  <c r="AF458" i="1"/>
  <c r="AO458" i="1"/>
  <c r="AP458" i="1"/>
  <c r="AW458" i="1"/>
  <c r="BC458" i="1"/>
  <c r="BG458" i="1"/>
  <c r="BJ458" i="1"/>
  <c r="BQ458" i="1"/>
  <c r="BR458" i="1"/>
  <c r="X459" i="1"/>
  <c r="AA459" i="1"/>
  <c r="AB459" i="1"/>
  <c r="AE459" i="1"/>
  <c r="AF459" i="1"/>
  <c r="AO459" i="1"/>
  <c r="AP459" i="1"/>
  <c r="AW459" i="1"/>
  <c r="BC459" i="1"/>
  <c r="BG459" i="1"/>
  <c r="BJ459" i="1"/>
  <c r="BQ459" i="1"/>
  <c r="BR459" i="1"/>
  <c r="X460" i="1"/>
  <c r="AA460" i="1"/>
  <c r="AB460" i="1"/>
  <c r="AE460" i="1"/>
  <c r="AF460" i="1"/>
  <c r="AO460" i="1"/>
  <c r="AP460" i="1"/>
  <c r="AW460" i="1"/>
  <c r="BC460" i="1"/>
  <c r="BG460" i="1"/>
  <c r="BJ460" i="1"/>
  <c r="BQ460" i="1"/>
  <c r="BR460" i="1"/>
  <c r="X461" i="1"/>
  <c r="AA461" i="1"/>
  <c r="AB461" i="1"/>
  <c r="AE461" i="1"/>
  <c r="AF461" i="1"/>
  <c r="AO461" i="1"/>
  <c r="AP461" i="1"/>
  <c r="AW461" i="1"/>
  <c r="BC461" i="1"/>
  <c r="BG461" i="1"/>
  <c r="BJ461" i="1"/>
  <c r="BQ461" i="1"/>
  <c r="BR461" i="1"/>
  <c r="X462" i="1"/>
  <c r="AA462" i="1"/>
  <c r="AB462" i="1"/>
  <c r="AE462" i="1"/>
  <c r="AF462" i="1"/>
  <c r="AO462" i="1"/>
  <c r="AP462" i="1"/>
  <c r="AW462" i="1"/>
  <c r="BC462" i="1"/>
  <c r="BG462" i="1"/>
  <c r="BJ462" i="1"/>
  <c r="BQ462" i="1"/>
  <c r="BR462" i="1"/>
  <c r="X463" i="1"/>
  <c r="AA463" i="1"/>
  <c r="AB463" i="1"/>
  <c r="AE463" i="1"/>
  <c r="AF463" i="1"/>
  <c r="AO463" i="1"/>
  <c r="AP463" i="1"/>
  <c r="AW463" i="1"/>
  <c r="BC463" i="1"/>
  <c r="BG463" i="1"/>
  <c r="BJ463" i="1"/>
  <c r="BQ463" i="1"/>
  <c r="BR463" i="1"/>
  <c r="X464" i="1"/>
  <c r="AA464" i="1"/>
  <c r="AB464" i="1"/>
  <c r="AE464" i="1"/>
  <c r="AF464" i="1"/>
  <c r="AO464" i="1"/>
  <c r="AP464" i="1"/>
  <c r="AW464" i="1"/>
  <c r="BC464" i="1"/>
  <c r="BG464" i="1"/>
  <c r="BJ464" i="1"/>
  <c r="BQ464" i="1"/>
  <c r="BR464" i="1"/>
  <c r="X465" i="1"/>
  <c r="AA465" i="1"/>
  <c r="AB465" i="1"/>
  <c r="AE465" i="1"/>
  <c r="AF465" i="1"/>
  <c r="AO465" i="1"/>
  <c r="AP465" i="1"/>
  <c r="AW465" i="1"/>
  <c r="BC465" i="1"/>
  <c r="BG465" i="1"/>
  <c r="BJ465" i="1"/>
  <c r="BQ465" i="1"/>
  <c r="BR465" i="1"/>
  <c r="X466" i="1"/>
  <c r="AA466" i="1"/>
  <c r="AB466" i="1"/>
  <c r="AE466" i="1"/>
  <c r="AF466" i="1"/>
  <c r="AO466" i="1"/>
  <c r="AP466" i="1"/>
  <c r="AW466" i="1"/>
  <c r="BC466" i="1"/>
  <c r="BG466" i="1"/>
  <c r="BJ466" i="1"/>
  <c r="BQ466" i="1"/>
  <c r="BR466" i="1"/>
  <c r="X467" i="1"/>
  <c r="AA467" i="1"/>
  <c r="AB467" i="1"/>
  <c r="AE467" i="1"/>
  <c r="AF467" i="1"/>
  <c r="AO467" i="1"/>
  <c r="AP467" i="1"/>
  <c r="AW467" i="1"/>
  <c r="BC467" i="1"/>
  <c r="BG467" i="1"/>
  <c r="BJ467" i="1"/>
  <c r="BQ467" i="1"/>
  <c r="BR467" i="1"/>
  <c r="X468" i="1"/>
  <c r="AA468" i="1"/>
  <c r="AB468" i="1"/>
  <c r="AE468" i="1"/>
  <c r="AF468" i="1"/>
  <c r="AO468" i="1"/>
  <c r="AP468" i="1"/>
  <c r="AW468" i="1"/>
  <c r="BC468" i="1"/>
  <c r="BG468" i="1"/>
  <c r="BJ468" i="1"/>
  <c r="BQ468" i="1"/>
  <c r="BR468" i="1"/>
  <c r="X469" i="1"/>
  <c r="AA469" i="1"/>
  <c r="AB469" i="1"/>
  <c r="AE469" i="1"/>
  <c r="AF469" i="1"/>
  <c r="AO469" i="1"/>
  <c r="AP469" i="1"/>
  <c r="AW469" i="1"/>
  <c r="BC469" i="1"/>
  <c r="BG469" i="1"/>
  <c r="BJ469" i="1"/>
  <c r="BQ469" i="1"/>
  <c r="BR469" i="1"/>
  <c r="X470" i="1"/>
  <c r="AA470" i="1"/>
  <c r="AB470" i="1"/>
  <c r="AE470" i="1"/>
  <c r="AF470" i="1"/>
  <c r="AO470" i="1"/>
  <c r="AP470" i="1"/>
  <c r="AW470" i="1"/>
  <c r="BC470" i="1"/>
  <c r="BG470" i="1"/>
  <c r="BJ470" i="1"/>
  <c r="BQ470" i="1"/>
  <c r="BR470" i="1"/>
  <c r="X471" i="1"/>
  <c r="AA471" i="1"/>
  <c r="AB471" i="1"/>
  <c r="AE471" i="1"/>
  <c r="AF471" i="1"/>
  <c r="AO471" i="1"/>
  <c r="AP471" i="1"/>
  <c r="AW471" i="1"/>
  <c r="BC471" i="1"/>
  <c r="BG471" i="1"/>
  <c r="BJ471" i="1"/>
  <c r="BQ471" i="1"/>
  <c r="BR471" i="1"/>
  <c r="X472" i="1"/>
  <c r="AA472" i="1"/>
  <c r="AB472" i="1"/>
  <c r="AE472" i="1"/>
  <c r="AF472" i="1"/>
  <c r="AO472" i="1"/>
  <c r="AP472" i="1"/>
  <c r="AW472" i="1"/>
  <c r="BC472" i="1"/>
  <c r="BG472" i="1"/>
  <c r="BJ472" i="1"/>
  <c r="BQ472" i="1"/>
  <c r="BR472" i="1"/>
  <c r="X473" i="1"/>
  <c r="AA473" i="1"/>
  <c r="AB473" i="1"/>
  <c r="AE473" i="1"/>
  <c r="AF473" i="1"/>
  <c r="AO473" i="1"/>
  <c r="AP473" i="1"/>
  <c r="AW473" i="1"/>
  <c r="BC473" i="1"/>
  <c r="BG473" i="1"/>
  <c r="BJ473" i="1"/>
  <c r="BQ473" i="1"/>
  <c r="BR473" i="1"/>
  <c r="X474" i="1"/>
  <c r="AA474" i="1"/>
  <c r="AB474" i="1"/>
  <c r="AE474" i="1"/>
  <c r="AF474" i="1"/>
  <c r="AO474" i="1"/>
  <c r="AP474" i="1"/>
  <c r="AW474" i="1"/>
  <c r="BC474" i="1"/>
  <c r="BG474" i="1"/>
  <c r="BJ474" i="1"/>
  <c r="BQ474" i="1"/>
  <c r="BR474" i="1"/>
  <c r="X475" i="1"/>
  <c r="AA475" i="1"/>
  <c r="AB475" i="1"/>
  <c r="AE475" i="1"/>
  <c r="AF475" i="1"/>
  <c r="AO475" i="1"/>
  <c r="AP475" i="1"/>
  <c r="AW475" i="1"/>
  <c r="BC475" i="1"/>
  <c r="BG475" i="1"/>
  <c r="BJ475" i="1"/>
  <c r="BQ475" i="1"/>
  <c r="BR475" i="1"/>
  <c r="X476" i="1"/>
  <c r="AA476" i="1"/>
  <c r="AB476" i="1"/>
  <c r="AE476" i="1"/>
  <c r="AF476" i="1"/>
  <c r="AO476" i="1"/>
  <c r="AP476" i="1"/>
  <c r="AW476" i="1"/>
  <c r="BC476" i="1"/>
  <c r="BG476" i="1"/>
  <c r="BJ476" i="1"/>
  <c r="BQ476" i="1"/>
  <c r="BR476" i="1"/>
  <c r="X477" i="1"/>
  <c r="AA477" i="1"/>
  <c r="AB477" i="1"/>
  <c r="AE477" i="1"/>
  <c r="AF477" i="1"/>
  <c r="AO477" i="1"/>
  <c r="AP477" i="1"/>
  <c r="AW477" i="1"/>
  <c r="BC477" i="1"/>
  <c r="BG477" i="1"/>
  <c r="BJ477" i="1"/>
  <c r="BQ477" i="1"/>
  <c r="BR477" i="1"/>
  <c r="X478" i="1"/>
  <c r="AA478" i="1"/>
  <c r="AB478" i="1"/>
  <c r="AE478" i="1"/>
  <c r="AF478" i="1"/>
  <c r="AO478" i="1"/>
  <c r="AP478" i="1"/>
  <c r="AW478" i="1"/>
  <c r="BC478" i="1"/>
  <c r="BG478" i="1"/>
  <c r="BJ478" i="1"/>
  <c r="BQ478" i="1"/>
  <c r="BR478" i="1"/>
  <c r="X479" i="1"/>
  <c r="AA479" i="1"/>
  <c r="AB479" i="1"/>
  <c r="AE479" i="1"/>
  <c r="AF479" i="1"/>
  <c r="AO479" i="1"/>
  <c r="AP479" i="1"/>
  <c r="AW479" i="1"/>
  <c r="BC479" i="1"/>
  <c r="BG479" i="1"/>
  <c r="BJ479" i="1"/>
  <c r="BQ479" i="1"/>
  <c r="BR479" i="1"/>
  <c r="X480" i="1"/>
  <c r="AA480" i="1"/>
  <c r="AB480" i="1"/>
  <c r="AE480" i="1"/>
  <c r="AF480" i="1"/>
  <c r="AO480" i="1"/>
  <c r="AP480" i="1"/>
  <c r="AW480" i="1"/>
  <c r="BC480" i="1"/>
  <c r="BG480" i="1"/>
  <c r="BJ480" i="1"/>
  <c r="BQ480" i="1"/>
  <c r="BR480" i="1"/>
  <c r="X481" i="1"/>
  <c r="AA481" i="1"/>
  <c r="AB481" i="1"/>
  <c r="AE481" i="1"/>
  <c r="AF481" i="1"/>
  <c r="AO481" i="1"/>
  <c r="AP481" i="1"/>
  <c r="AW481" i="1"/>
  <c r="BC481" i="1"/>
  <c r="BG481" i="1"/>
  <c r="BJ481" i="1"/>
  <c r="BQ481" i="1"/>
  <c r="BR481" i="1"/>
  <c r="X482" i="1"/>
  <c r="AA482" i="1"/>
  <c r="AB482" i="1"/>
  <c r="AE482" i="1"/>
  <c r="AF482" i="1"/>
  <c r="AO482" i="1"/>
  <c r="AP482" i="1"/>
  <c r="AW482" i="1"/>
  <c r="BC482" i="1"/>
  <c r="BG482" i="1"/>
  <c r="BJ482" i="1"/>
  <c r="BQ482" i="1"/>
  <c r="BR482" i="1"/>
  <c r="X483" i="1"/>
  <c r="AA483" i="1"/>
  <c r="AB483" i="1"/>
  <c r="AE483" i="1"/>
  <c r="AF483" i="1"/>
  <c r="AO483" i="1"/>
  <c r="AP483" i="1"/>
  <c r="AW483" i="1"/>
  <c r="BC483" i="1"/>
  <c r="BG483" i="1"/>
  <c r="BJ483" i="1"/>
  <c r="BQ483" i="1"/>
  <c r="BR483" i="1"/>
  <c r="X484" i="1"/>
  <c r="AA484" i="1"/>
  <c r="AB484" i="1"/>
  <c r="AE484" i="1"/>
  <c r="AF484" i="1"/>
  <c r="AO484" i="1"/>
  <c r="AP484" i="1"/>
  <c r="AW484" i="1"/>
  <c r="BC484" i="1"/>
  <c r="BG484" i="1"/>
  <c r="BJ484" i="1"/>
  <c r="BQ484" i="1"/>
  <c r="BR484" i="1"/>
  <c r="X485" i="1"/>
  <c r="AA485" i="1"/>
  <c r="AB485" i="1"/>
  <c r="AE485" i="1"/>
  <c r="AF485" i="1"/>
  <c r="AO485" i="1"/>
  <c r="AP485" i="1"/>
  <c r="AW485" i="1"/>
  <c r="BC485" i="1"/>
  <c r="BG485" i="1"/>
  <c r="BJ485" i="1"/>
  <c r="BQ485" i="1"/>
  <c r="BR485" i="1"/>
  <c r="X486" i="1"/>
  <c r="AA486" i="1"/>
  <c r="AB486" i="1"/>
  <c r="AE486" i="1"/>
  <c r="AF486" i="1"/>
  <c r="AO486" i="1"/>
  <c r="AP486" i="1"/>
  <c r="AW486" i="1"/>
  <c r="BC486" i="1"/>
  <c r="BG486" i="1"/>
  <c r="BJ486" i="1"/>
  <c r="BQ486" i="1"/>
  <c r="BR486" i="1"/>
  <c r="X487" i="1"/>
  <c r="AA487" i="1"/>
  <c r="AB487" i="1"/>
  <c r="AE487" i="1"/>
  <c r="AF487" i="1"/>
  <c r="AO487" i="1"/>
  <c r="AP487" i="1"/>
  <c r="AW487" i="1"/>
  <c r="BC487" i="1"/>
  <c r="BG487" i="1"/>
  <c r="BJ487" i="1"/>
  <c r="BQ487" i="1"/>
  <c r="BR487" i="1"/>
  <c r="X488" i="1"/>
  <c r="AA488" i="1"/>
  <c r="AB488" i="1"/>
  <c r="AE488" i="1"/>
  <c r="AF488" i="1"/>
  <c r="AO488" i="1"/>
  <c r="AP488" i="1"/>
  <c r="AW488" i="1"/>
  <c r="BC488" i="1"/>
  <c r="BG488" i="1"/>
  <c r="BJ488" i="1"/>
  <c r="BQ488" i="1"/>
  <c r="BR488" i="1"/>
  <c r="X489" i="1"/>
  <c r="AA489" i="1"/>
  <c r="AB489" i="1"/>
  <c r="AE489" i="1"/>
  <c r="AF489" i="1"/>
  <c r="AO489" i="1"/>
  <c r="AP489" i="1"/>
  <c r="AW489" i="1"/>
  <c r="BC489" i="1"/>
  <c r="BG489" i="1"/>
  <c r="BJ489" i="1"/>
  <c r="BQ489" i="1"/>
  <c r="BR489" i="1"/>
  <c r="X490" i="1"/>
  <c r="AA490" i="1"/>
  <c r="AB490" i="1"/>
  <c r="AE490" i="1"/>
  <c r="AF490" i="1"/>
  <c r="AO490" i="1"/>
  <c r="AP490" i="1"/>
  <c r="AW490" i="1"/>
  <c r="BC490" i="1"/>
  <c r="BG490" i="1"/>
  <c r="BJ490" i="1"/>
  <c r="BQ490" i="1"/>
  <c r="BR490" i="1"/>
  <c r="X491" i="1"/>
  <c r="AA491" i="1"/>
  <c r="AB491" i="1"/>
  <c r="AE491" i="1"/>
  <c r="AF491" i="1"/>
  <c r="AO491" i="1"/>
  <c r="AP491" i="1"/>
  <c r="AW491" i="1"/>
  <c r="BC491" i="1"/>
  <c r="BG491" i="1"/>
  <c r="BJ491" i="1"/>
  <c r="BQ491" i="1"/>
  <c r="BR491" i="1"/>
  <c r="X492" i="1"/>
  <c r="AA492" i="1"/>
  <c r="AB492" i="1"/>
  <c r="AE492" i="1"/>
  <c r="AF492" i="1"/>
  <c r="AO492" i="1"/>
  <c r="AP492" i="1"/>
  <c r="AW492" i="1"/>
  <c r="BC492" i="1"/>
  <c r="BG492" i="1"/>
  <c r="BJ492" i="1"/>
  <c r="BQ492" i="1"/>
  <c r="BR492" i="1"/>
  <c r="X493" i="1"/>
  <c r="AA493" i="1"/>
  <c r="AB493" i="1"/>
  <c r="AE493" i="1"/>
  <c r="AF493" i="1"/>
  <c r="AO493" i="1"/>
  <c r="AP493" i="1"/>
  <c r="AW493" i="1"/>
  <c r="BC493" i="1"/>
  <c r="BG493" i="1"/>
  <c r="BJ493" i="1"/>
  <c r="BQ493" i="1"/>
  <c r="BR493" i="1"/>
  <c r="X494" i="1"/>
  <c r="AA494" i="1"/>
  <c r="AB494" i="1"/>
  <c r="AE494" i="1"/>
  <c r="AF494" i="1"/>
  <c r="AO494" i="1"/>
  <c r="AP494" i="1"/>
  <c r="AW494" i="1"/>
  <c r="BC494" i="1"/>
  <c r="BG494" i="1"/>
  <c r="BJ494" i="1"/>
  <c r="BQ494" i="1"/>
  <c r="BR494" i="1"/>
  <c r="X495" i="1"/>
  <c r="AA495" i="1"/>
  <c r="AB495" i="1"/>
  <c r="AE495" i="1"/>
  <c r="AF495" i="1"/>
  <c r="AO495" i="1"/>
  <c r="AP495" i="1"/>
  <c r="AW495" i="1"/>
  <c r="BC495" i="1"/>
  <c r="BG495" i="1"/>
  <c r="BJ495" i="1"/>
  <c r="BQ495" i="1"/>
  <c r="BR495" i="1"/>
  <c r="X496" i="1"/>
  <c r="AA496" i="1"/>
  <c r="AB496" i="1"/>
  <c r="AE496" i="1"/>
  <c r="AF496" i="1"/>
  <c r="AO496" i="1"/>
  <c r="AP496" i="1"/>
  <c r="AW496" i="1"/>
  <c r="BC496" i="1"/>
  <c r="BG496" i="1"/>
  <c r="BJ496" i="1"/>
  <c r="BQ496" i="1"/>
  <c r="BR496" i="1"/>
  <c r="X497" i="1"/>
  <c r="AA497" i="1"/>
  <c r="AB497" i="1"/>
  <c r="AE497" i="1"/>
  <c r="AF497" i="1"/>
  <c r="AO497" i="1"/>
  <c r="AP497" i="1"/>
  <c r="AW497" i="1"/>
  <c r="BC497" i="1"/>
  <c r="BG497" i="1"/>
  <c r="BJ497" i="1"/>
  <c r="BQ497" i="1"/>
  <c r="BR497" i="1"/>
  <c r="X498" i="1"/>
  <c r="AA498" i="1"/>
  <c r="AB498" i="1"/>
  <c r="AE498" i="1"/>
  <c r="AF498" i="1"/>
  <c r="AO498" i="1"/>
  <c r="AP498" i="1"/>
  <c r="AW498" i="1"/>
  <c r="BC498" i="1"/>
  <c r="BG498" i="1"/>
  <c r="BJ498" i="1"/>
  <c r="BQ498" i="1"/>
  <c r="BR498" i="1"/>
  <c r="X499" i="1"/>
  <c r="AA499" i="1"/>
  <c r="AB499" i="1"/>
  <c r="AE499" i="1"/>
  <c r="AF499" i="1"/>
  <c r="AO499" i="1"/>
  <c r="AP499" i="1"/>
  <c r="AW499" i="1"/>
  <c r="BC499" i="1"/>
  <c r="BG499" i="1"/>
  <c r="BJ499" i="1"/>
  <c r="BQ499" i="1"/>
  <c r="BR499" i="1"/>
  <c r="X500" i="1"/>
  <c r="AA500" i="1"/>
  <c r="AB500" i="1"/>
  <c r="AE500" i="1"/>
  <c r="AF500" i="1"/>
  <c r="AO500" i="1"/>
  <c r="AP500" i="1"/>
  <c r="AW500" i="1"/>
  <c r="BC500" i="1"/>
  <c r="BG500" i="1"/>
  <c r="BJ500" i="1"/>
  <c r="BQ500" i="1"/>
  <c r="BR500" i="1"/>
  <c r="X501" i="1"/>
  <c r="AA501" i="1"/>
  <c r="AB501" i="1"/>
  <c r="AE501" i="1"/>
  <c r="AF501" i="1"/>
  <c r="AO501" i="1"/>
  <c r="AP501" i="1"/>
  <c r="AW501" i="1"/>
  <c r="BC501" i="1"/>
  <c r="BG501" i="1"/>
  <c r="BJ501" i="1"/>
  <c r="BQ501" i="1"/>
  <c r="BR501" i="1"/>
  <c r="X502" i="1"/>
  <c r="AA502" i="1"/>
  <c r="AB502" i="1"/>
  <c r="AE502" i="1"/>
  <c r="AF502" i="1"/>
  <c r="AO502" i="1"/>
  <c r="AP502" i="1"/>
  <c r="AW502" i="1"/>
  <c r="BC502" i="1"/>
  <c r="BG502" i="1"/>
  <c r="BJ502" i="1"/>
  <c r="BQ502" i="1"/>
  <c r="BR502" i="1"/>
  <c r="X503" i="1"/>
  <c r="AA503" i="1"/>
  <c r="AB503" i="1"/>
  <c r="AE503" i="1"/>
  <c r="AF503" i="1"/>
  <c r="AO503" i="1"/>
  <c r="AP503" i="1"/>
  <c r="AW503" i="1"/>
  <c r="BC503" i="1"/>
  <c r="BG503" i="1"/>
  <c r="BJ503" i="1"/>
  <c r="BQ503" i="1"/>
  <c r="BR503" i="1"/>
  <c r="X504" i="1"/>
  <c r="AA504" i="1"/>
  <c r="AB504" i="1"/>
  <c r="AE504" i="1"/>
  <c r="AF504" i="1"/>
  <c r="AO504" i="1"/>
  <c r="AP504" i="1"/>
  <c r="AW504" i="1"/>
  <c r="BC504" i="1"/>
  <c r="BG504" i="1"/>
  <c r="BJ504" i="1"/>
  <c r="BQ504" i="1"/>
  <c r="BR504" i="1"/>
  <c r="X505" i="1"/>
  <c r="AA505" i="1"/>
  <c r="AB505" i="1"/>
  <c r="AE505" i="1"/>
  <c r="AF505" i="1"/>
  <c r="AO505" i="1"/>
  <c r="AP505" i="1"/>
  <c r="AW505" i="1"/>
  <c r="BC505" i="1"/>
  <c r="BG505" i="1"/>
  <c r="BJ505" i="1"/>
  <c r="BQ505" i="1"/>
  <c r="BR505" i="1"/>
  <c r="X506" i="1"/>
  <c r="AA506" i="1"/>
  <c r="AB506" i="1"/>
  <c r="AE506" i="1"/>
  <c r="AF506" i="1"/>
  <c r="AO506" i="1"/>
  <c r="AP506" i="1"/>
  <c r="AW506" i="1"/>
  <c r="BC506" i="1"/>
  <c r="BG506" i="1"/>
  <c r="BJ506" i="1"/>
  <c r="BQ506" i="1"/>
  <c r="BR506" i="1"/>
  <c r="X507" i="1"/>
  <c r="AA507" i="1"/>
  <c r="AB507" i="1"/>
  <c r="AE507" i="1"/>
  <c r="AF507" i="1"/>
  <c r="AO507" i="1"/>
  <c r="AP507" i="1"/>
  <c r="AW507" i="1"/>
  <c r="BC507" i="1"/>
  <c r="BG507" i="1"/>
  <c r="BJ507" i="1"/>
  <c r="BQ507" i="1"/>
  <c r="BR507" i="1"/>
  <c r="X508" i="1"/>
  <c r="AA508" i="1"/>
  <c r="AB508" i="1"/>
  <c r="AE508" i="1"/>
  <c r="AF508" i="1"/>
  <c r="AO508" i="1"/>
  <c r="AP508" i="1"/>
  <c r="AW508" i="1"/>
  <c r="BC508" i="1"/>
  <c r="BG508" i="1"/>
  <c r="BJ508" i="1"/>
  <c r="BQ508" i="1"/>
  <c r="BR508" i="1"/>
  <c r="X509" i="1"/>
  <c r="AA509" i="1"/>
  <c r="AB509" i="1"/>
  <c r="AE509" i="1"/>
  <c r="AF509" i="1"/>
  <c r="AO509" i="1"/>
  <c r="AP509" i="1"/>
  <c r="AW509" i="1"/>
  <c r="BC509" i="1"/>
  <c r="BG509" i="1"/>
  <c r="BJ509" i="1"/>
  <c r="BQ509" i="1"/>
  <c r="BR509" i="1"/>
  <c r="X510" i="1"/>
  <c r="AA510" i="1"/>
  <c r="AB510" i="1"/>
  <c r="AE510" i="1"/>
  <c r="AF510" i="1"/>
  <c r="AO510" i="1"/>
  <c r="AP510" i="1"/>
  <c r="AW510" i="1"/>
  <c r="BC510" i="1"/>
  <c r="BG510" i="1"/>
  <c r="BJ510" i="1"/>
  <c r="BQ510" i="1"/>
  <c r="BR510" i="1"/>
  <c r="X511" i="1"/>
  <c r="AA511" i="1"/>
  <c r="AB511" i="1"/>
  <c r="AE511" i="1"/>
  <c r="AF511" i="1"/>
  <c r="AO511" i="1"/>
  <c r="AP511" i="1"/>
  <c r="AW511" i="1"/>
  <c r="BC511" i="1"/>
  <c r="BG511" i="1"/>
  <c r="BJ511" i="1"/>
  <c r="BQ511" i="1"/>
  <c r="BR511" i="1"/>
  <c r="X512" i="1"/>
  <c r="AA512" i="1"/>
  <c r="AB512" i="1"/>
  <c r="AE512" i="1"/>
  <c r="AF512" i="1"/>
  <c r="AO512" i="1"/>
  <c r="AP512" i="1"/>
  <c r="AW512" i="1"/>
  <c r="BC512" i="1"/>
  <c r="BG512" i="1"/>
  <c r="BJ512" i="1"/>
  <c r="BQ512" i="1"/>
  <c r="BR512" i="1"/>
  <c r="X513" i="1"/>
  <c r="AA513" i="1"/>
  <c r="AB513" i="1"/>
  <c r="AE513" i="1"/>
  <c r="AF513" i="1"/>
  <c r="AO513" i="1"/>
  <c r="AP513" i="1"/>
  <c r="AW513" i="1"/>
  <c r="BC513" i="1"/>
  <c r="BG513" i="1"/>
  <c r="BJ513" i="1"/>
  <c r="BQ513" i="1"/>
  <c r="BR513" i="1"/>
  <c r="X514" i="1"/>
  <c r="AA514" i="1"/>
  <c r="AB514" i="1"/>
  <c r="AE514" i="1"/>
  <c r="AF514" i="1"/>
  <c r="AO514" i="1"/>
  <c r="AP514" i="1"/>
  <c r="AW514" i="1"/>
  <c r="BC514" i="1"/>
  <c r="BG514" i="1"/>
  <c r="BJ514" i="1"/>
  <c r="BQ514" i="1"/>
  <c r="BR514" i="1"/>
  <c r="X515" i="1"/>
  <c r="AA515" i="1"/>
  <c r="AB515" i="1"/>
  <c r="AE515" i="1"/>
  <c r="AF515" i="1"/>
  <c r="AO515" i="1"/>
  <c r="AP515" i="1"/>
  <c r="AW515" i="1"/>
  <c r="BC515" i="1"/>
  <c r="BG515" i="1"/>
  <c r="BJ515" i="1"/>
  <c r="BQ515" i="1"/>
  <c r="BR515" i="1"/>
  <c r="X516" i="1"/>
  <c r="AA516" i="1"/>
  <c r="AB516" i="1"/>
  <c r="AE516" i="1"/>
  <c r="AF516" i="1"/>
  <c r="AO516" i="1"/>
  <c r="AP516" i="1"/>
  <c r="AW516" i="1"/>
  <c r="BC516" i="1"/>
  <c r="BG516" i="1"/>
  <c r="BJ516" i="1"/>
  <c r="BQ516" i="1"/>
  <c r="BR516" i="1"/>
  <c r="X517" i="1"/>
  <c r="AA517" i="1"/>
  <c r="AB517" i="1"/>
  <c r="AE517" i="1"/>
  <c r="AF517" i="1"/>
  <c r="AO517" i="1"/>
  <c r="AP517" i="1"/>
  <c r="AW517" i="1"/>
  <c r="BC517" i="1"/>
  <c r="BG517" i="1"/>
  <c r="BJ517" i="1"/>
  <c r="BQ517" i="1"/>
  <c r="BR517" i="1"/>
  <c r="X518" i="1"/>
  <c r="AA518" i="1"/>
  <c r="AB518" i="1"/>
  <c r="AE518" i="1"/>
  <c r="AF518" i="1"/>
  <c r="AO518" i="1"/>
  <c r="AP518" i="1"/>
  <c r="AW518" i="1"/>
  <c r="BC518" i="1"/>
  <c r="BG518" i="1"/>
  <c r="BJ518" i="1"/>
  <c r="BQ518" i="1"/>
  <c r="BR518" i="1"/>
  <c r="X519" i="1"/>
  <c r="AA519" i="1"/>
  <c r="AB519" i="1"/>
  <c r="AE519" i="1"/>
  <c r="AF519" i="1"/>
  <c r="AO519" i="1"/>
  <c r="AP519" i="1"/>
  <c r="AW519" i="1"/>
  <c r="BC519" i="1"/>
  <c r="BG519" i="1"/>
  <c r="BJ519" i="1"/>
  <c r="BQ519" i="1"/>
  <c r="BR519" i="1"/>
  <c r="X520" i="1"/>
  <c r="AA520" i="1"/>
  <c r="AB520" i="1"/>
  <c r="AE520" i="1"/>
  <c r="AF520" i="1"/>
  <c r="AO520" i="1"/>
  <c r="AP520" i="1"/>
  <c r="AW520" i="1"/>
  <c r="BC520" i="1"/>
  <c r="BG520" i="1"/>
  <c r="BJ520" i="1"/>
  <c r="BQ520" i="1"/>
  <c r="BR520" i="1"/>
  <c r="X521" i="1"/>
  <c r="AA521" i="1"/>
  <c r="AB521" i="1"/>
  <c r="AE521" i="1"/>
  <c r="AF521" i="1"/>
  <c r="AO521" i="1"/>
  <c r="AP521" i="1"/>
  <c r="AW521" i="1"/>
  <c r="BC521" i="1"/>
  <c r="BG521" i="1"/>
  <c r="BJ521" i="1"/>
  <c r="BQ521" i="1"/>
  <c r="BR521" i="1"/>
  <c r="X522" i="1"/>
  <c r="AA522" i="1"/>
  <c r="AB522" i="1"/>
  <c r="AE522" i="1"/>
  <c r="AF522" i="1"/>
  <c r="AO522" i="1"/>
  <c r="AP522" i="1"/>
  <c r="AW522" i="1"/>
  <c r="BC522" i="1"/>
  <c r="BG522" i="1"/>
  <c r="BJ522" i="1"/>
  <c r="BQ522" i="1"/>
  <c r="BR522" i="1"/>
  <c r="X523" i="1"/>
  <c r="AA523" i="1"/>
  <c r="AB523" i="1"/>
  <c r="AE523" i="1"/>
  <c r="AF523" i="1"/>
  <c r="AO523" i="1"/>
  <c r="AP523" i="1"/>
  <c r="AW523" i="1"/>
  <c r="BC523" i="1"/>
  <c r="BG523" i="1"/>
  <c r="BJ523" i="1"/>
  <c r="BQ523" i="1"/>
  <c r="BR523" i="1"/>
  <c r="X524" i="1"/>
  <c r="AA524" i="1"/>
  <c r="AB524" i="1"/>
  <c r="AE524" i="1"/>
  <c r="AF524" i="1"/>
  <c r="AO524" i="1"/>
  <c r="AP524" i="1"/>
  <c r="AW524" i="1"/>
  <c r="BC524" i="1"/>
  <c r="BG524" i="1"/>
  <c r="BJ524" i="1"/>
  <c r="BQ524" i="1"/>
  <c r="BR524" i="1"/>
  <c r="X525" i="1"/>
  <c r="AA525" i="1"/>
  <c r="AB525" i="1"/>
  <c r="AE525" i="1"/>
  <c r="AF525" i="1"/>
  <c r="AO525" i="1"/>
  <c r="AP525" i="1"/>
  <c r="AW525" i="1"/>
  <c r="BC525" i="1"/>
  <c r="BG525" i="1"/>
  <c r="BJ525" i="1"/>
  <c r="BQ525" i="1"/>
  <c r="BR525" i="1"/>
  <c r="X526" i="1"/>
  <c r="AA526" i="1"/>
  <c r="AB526" i="1"/>
  <c r="AE526" i="1"/>
  <c r="AF526" i="1"/>
  <c r="AO526" i="1"/>
  <c r="AP526" i="1"/>
  <c r="AW526" i="1"/>
  <c r="BC526" i="1"/>
  <c r="BG526" i="1"/>
  <c r="BJ526" i="1"/>
  <c r="BQ526" i="1"/>
  <c r="BR526" i="1"/>
  <c r="X527" i="1"/>
  <c r="AA527" i="1"/>
  <c r="AB527" i="1"/>
  <c r="AE527" i="1"/>
  <c r="AF527" i="1"/>
  <c r="AO527" i="1"/>
  <c r="AP527" i="1"/>
  <c r="AW527" i="1"/>
  <c r="BC527" i="1"/>
  <c r="BG527" i="1"/>
  <c r="BJ527" i="1"/>
  <c r="BQ527" i="1"/>
  <c r="BR527" i="1"/>
  <c r="X528" i="1"/>
  <c r="AA528" i="1"/>
  <c r="AB528" i="1"/>
  <c r="AE528" i="1"/>
  <c r="AF528" i="1"/>
  <c r="AO528" i="1"/>
  <c r="AP528" i="1"/>
  <c r="AW528" i="1"/>
  <c r="BC528" i="1"/>
  <c r="BG528" i="1"/>
  <c r="BJ528" i="1"/>
  <c r="BQ528" i="1"/>
  <c r="BR528" i="1"/>
  <c r="X529" i="1"/>
  <c r="AA529" i="1"/>
  <c r="AB529" i="1"/>
  <c r="AE529" i="1"/>
  <c r="AF529" i="1"/>
  <c r="AO529" i="1"/>
  <c r="AP529" i="1"/>
  <c r="AW529" i="1"/>
  <c r="BC529" i="1"/>
  <c r="BG529" i="1"/>
  <c r="BJ529" i="1"/>
  <c r="BQ529" i="1"/>
  <c r="BR529" i="1"/>
  <c r="X530" i="1"/>
  <c r="AA530" i="1"/>
  <c r="AB530" i="1"/>
  <c r="AE530" i="1"/>
  <c r="AF530" i="1"/>
  <c r="AO530" i="1"/>
  <c r="AP530" i="1"/>
  <c r="AW530" i="1"/>
  <c r="BC530" i="1"/>
  <c r="BG530" i="1"/>
  <c r="BJ530" i="1"/>
  <c r="BQ530" i="1"/>
  <c r="BR530" i="1"/>
  <c r="X531" i="1"/>
  <c r="AA531" i="1"/>
  <c r="AB531" i="1"/>
  <c r="AE531" i="1"/>
  <c r="AF531" i="1"/>
  <c r="AO531" i="1"/>
  <c r="AP531" i="1"/>
  <c r="AW531" i="1"/>
  <c r="BC531" i="1"/>
  <c r="BG531" i="1"/>
  <c r="BJ531" i="1"/>
  <c r="BQ531" i="1"/>
  <c r="BR531" i="1"/>
  <c r="X532" i="1"/>
  <c r="AA532" i="1"/>
  <c r="AB532" i="1"/>
  <c r="AE532" i="1"/>
  <c r="AF532" i="1"/>
  <c r="AO532" i="1"/>
  <c r="AP532" i="1"/>
  <c r="AW532" i="1"/>
  <c r="BC532" i="1"/>
  <c r="BG532" i="1"/>
  <c r="BJ532" i="1"/>
  <c r="BQ532" i="1"/>
  <c r="BR532" i="1"/>
  <c r="X533" i="1"/>
  <c r="AA533" i="1"/>
  <c r="AB533" i="1"/>
  <c r="AE533" i="1"/>
  <c r="AF533" i="1"/>
  <c r="AO533" i="1"/>
  <c r="AP533" i="1"/>
  <c r="AW533" i="1"/>
  <c r="BC533" i="1"/>
  <c r="BG533" i="1"/>
  <c r="BJ533" i="1"/>
  <c r="BQ533" i="1"/>
  <c r="BR533" i="1"/>
  <c r="X534" i="1"/>
  <c r="AA534" i="1"/>
  <c r="AB534" i="1"/>
  <c r="AE534" i="1"/>
  <c r="AF534" i="1"/>
  <c r="AO534" i="1"/>
  <c r="AP534" i="1"/>
  <c r="AW534" i="1"/>
  <c r="BC534" i="1"/>
  <c r="BG534" i="1"/>
  <c r="BJ534" i="1"/>
  <c r="BQ534" i="1"/>
  <c r="BR534" i="1"/>
  <c r="X535" i="1"/>
  <c r="AA535" i="1"/>
  <c r="AB535" i="1"/>
  <c r="AE535" i="1"/>
  <c r="AF535" i="1"/>
  <c r="AO535" i="1"/>
  <c r="AP535" i="1"/>
  <c r="AW535" i="1"/>
  <c r="BC535" i="1"/>
  <c r="BG535" i="1"/>
  <c r="BJ535" i="1"/>
  <c r="BQ535" i="1"/>
  <c r="BR535" i="1"/>
  <c r="X536" i="1"/>
  <c r="AA536" i="1"/>
  <c r="AB536" i="1"/>
  <c r="AE536" i="1"/>
  <c r="AF536" i="1"/>
  <c r="AO536" i="1"/>
  <c r="AP536" i="1"/>
  <c r="AW536" i="1"/>
  <c r="BC536" i="1"/>
  <c r="BG536" i="1"/>
  <c r="BJ536" i="1"/>
  <c r="BQ536" i="1"/>
  <c r="BR536" i="1"/>
  <c r="X537" i="1"/>
  <c r="AA537" i="1"/>
  <c r="AB537" i="1"/>
  <c r="AE537" i="1"/>
  <c r="AF537" i="1"/>
  <c r="AO537" i="1"/>
  <c r="AP537" i="1"/>
  <c r="AW537" i="1"/>
  <c r="BC537" i="1"/>
  <c r="BG537" i="1"/>
  <c r="BJ537" i="1"/>
  <c r="BQ537" i="1"/>
  <c r="BR537" i="1"/>
  <c r="X538" i="1"/>
  <c r="AA538" i="1"/>
  <c r="AB538" i="1"/>
  <c r="AE538" i="1"/>
  <c r="AF538" i="1"/>
  <c r="AO538" i="1"/>
  <c r="AP538" i="1"/>
  <c r="AW538" i="1"/>
  <c r="BC538" i="1"/>
  <c r="BG538" i="1"/>
  <c r="BJ538" i="1"/>
  <c r="BQ538" i="1"/>
  <c r="BR538" i="1"/>
  <c r="X539" i="1"/>
  <c r="AA539" i="1"/>
  <c r="AB539" i="1"/>
  <c r="AE539" i="1"/>
  <c r="AF539" i="1"/>
  <c r="AO539" i="1"/>
  <c r="AP539" i="1"/>
  <c r="AW539" i="1"/>
  <c r="BC539" i="1"/>
  <c r="BG539" i="1"/>
  <c r="BJ539" i="1"/>
  <c r="BQ539" i="1"/>
  <c r="BR539" i="1"/>
  <c r="C569" i="1"/>
  <c r="C658" i="1"/>
  <c r="K658" i="1"/>
  <c r="L658" i="1"/>
  <c r="Q658" i="1"/>
  <c r="R658" i="1"/>
  <c r="W658" i="1"/>
  <c r="X658" i="1"/>
  <c r="AA658" i="1"/>
  <c r="AB658" i="1"/>
  <c r="AE658" i="1"/>
  <c r="AF658" i="1"/>
  <c r="AI658" i="1"/>
  <c r="AJ658" i="1"/>
  <c r="AO658" i="1"/>
  <c r="AP658" i="1"/>
  <c r="AW658" i="1"/>
  <c r="AX658" i="1"/>
  <c r="BC658" i="1"/>
  <c r="BD658" i="1"/>
  <c r="BG658" i="1"/>
  <c r="BJ658" i="1"/>
  <c r="BQ658" i="1"/>
  <c r="BR658" i="1"/>
  <c r="BU658" i="1"/>
  <c r="BV658" i="1"/>
  <c r="CA658" i="1"/>
  <c r="CB658" i="1"/>
  <c r="K659" i="1"/>
  <c r="L659" i="1"/>
  <c r="Q659" i="1"/>
  <c r="R659" i="1"/>
  <c r="W659" i="1"/>
  <c r="X659" i="1"/>
  <c r="AA659" i="1"/>
  <c r="AB659" i="1"/>
  <c r="AE659" i="1"/>
  <c r="AF659" i="1"/>
  <c r="AI659" i="1"/>
  <c r="AJ659" i="1"/>
  <c r="AO659" i="1"/>
  <c r="AP659" i="1"/>
  <c r="AW659" i="1"/>
  <c r="AX659" i="1"/>
  <c r="BC659" i="1"/>
  <c r="BD659" i="1"/>
  <c r="BG659" i="1"/>
  <c r="BJ659" i="1"/>
  <c r="BQ659" i="1"/>
  <c r="BR659" i="1"/>
  <c r="BU659" i="1"/>
  <c r="BV659" i="1"/>
  <c r="CA659" i="1"/>
  <c r="CB659" i="1"/>
  <c r="K660" i="1"/>
  <c r="L660" i="1"/>
  <c r="Q660" i="1"/>
  <c r="R660" i="1"/>
  <c r="W660" i="1"/>
  <c r="X660" i="1"/>
  <c r="AA660" i="1"/>
  <c r="AB660" i="1"/>
  <c r="AE660" i="1"/>
  <c r="AF660" i="1"/>
  <c r="AI660" i="1"/>
  <c r="AJ660" i="1"/>
  <c r="AO660" i="1"/>
  <c r="AP660" i="1"/>
  <c r="AW660" i="1"/>
  <c r="AX660" i="1"/>
  <c r="BC660" i="1"/>
  <c r="BD660" i="1"/>
  <c r="BG660" i="1"/>
  <c r="BJ660" i="1"/>
  <c r="BQ660" i="1"/>
  <c r="BR660" i="1"/>
  <c r="BU660" i="1"/>
  <c r="BV660" i="1"/>
  <c r="CA660" i="1"/>
  <c r="CB660" i="1"/>
  <c r="K661" i="1"/>
  <c r="L661" i="1"/>
  <c r="Q661" i="1"/>
  <c r="R661" i="1"/>
  <c r="W661" i="1"/>
  <c r="X661" i="1"/>
  <c r="AA661" i="1"/>
  <c r="AB661" i="1"/>
  <c r="AE661" i="1"/>
  <c r="AF661" i="1"/>
  <c r="AI661" i="1"/>
  <c r="AJ661" i="1"/>
  <c r="AO661" i="1"/>
  <c r="AP661" i="1"/>
  <c r="AW661" i="1"/>
  <c r="AX661" i="1"/>
  <c r="BC661" i="1"/>
  <c r="BD661" i="1"/>
  <c r="BG661" i="1"/>
  <c r="BJ661" i="1"/>
  <c r="BQ661" i="1"/>
  <c r="BR661" i="1"/>
  <c r="BU661" i="1"/>
  <c r="BV661" i="1"/>
  <c r="CA661" i="1"/>
  <c r="CB661" i="1"/>
  <c r="K662" i="1"/>
  <c r="L662" i="1"/>
  <c r="Q662" i="1"/>
  <c r="R662" i="1"/>
  <c r="W662" i="1"/>
  <c r="X662" i="1"/>
  <c r="AA662" i="1"/>
  <c r="AB662" i="1"/>
  <c r="AE662" i="1"/>
  <c r="AF662" i="1"/>
  <c r="AI662" i="1"/>
  <c r="AJ662" i="1"/>
  <c r="AO662" i="1"/>
  <c r="AP662" i="1"/>
  <c r="AW662" i="1"/>
  <c r="AX662" i="1"/>
  <c r="BC662" i="1"/>
  <c r="BD662" i="1"/>
  <c r="BG662" i="1"/>
  <c r="BJ662" i="1"/>
  <c r="BQ662" i="1"/>
  <c r="BR662" i="1"/>
  <c r="BU662" i="1"/>
  <c r="BV662" i="1"/>
  <c r="CA662" i="1"/>
  <c r="CB662" i="1"/>
  <c r="R778" i="1"/>
  <c r="AT778" i="1" s="1"/>
  <c r="AV778" i="1" s="1"/>
  <c r="AX778" i="1" s="1"/>
  <c r="AZ778" i="1" s="1"/>
  <c r="BD778" i="1" s="1"/>
  <c r="BF778" i="1" s="1"/>
  <c r="AJ778" i="1" s="1"/>
  <c r="AL778" i="1" s="1"/>
  <c r="BJ778" i="1" s="1"/>
  <c r="BL778" i="1" s="1"/>
  <c r="BR778" i="1" s="1"/>
  <c r="BT778" i="1" s="1"/>
  <c r="BV778" i="1" s="1"/>
  <c r="BX778" i="1" s="1"/>
  <c r="AY778" i="1"/>
  <c r="BC778" i="1"/>
  <c r="BE778" i="1" s="1"/>
  <c r="AI778" i="1" s="1"/>
  <c r="AK778" i="1" s="1"/>
  <c r="BG778" i="1" s="1"/>
  <c r="BK778" i="1" s="1"/>
  <c r="BQ778" i="1" s="1"/>
  <c r="BS778" i="1" s="1"/>
  <c r="BU778" i="1" s="1"/>
  <c r="BW778" i="1" s="1"/>
  <c r="BY778" i="1" s="1"/>
  <c r="R779" i="1"/>
  <c r="AT779" i="1"/>
  <c r="AV779" i="1" s="1"/>
  <c r="AX779" i="1" s="1"/>
  <c r="AZ779" i="1" s="1"/>
  <c r="BD779" i="1" s="1"/>
  <c r="BF779" i="1" s="1"/>
  <c r="AJ779" i="1" s="1"/>
  <c r="AL779" i="1" s="1"/>
  <c r="BJ779" i="1" s="1"/>
  <c r="BL779" i="1" s="1"/>
  <c r="BR779" i="1" s="1"/>
  <c r="BT779" i="1" s="1"/>
  <c r="BV779" i="1" s="1"/>
  <c r="BX779" i="1" s="1"/>
  <c r="AY779" i="1"/>
  <c r="BC779" i="1" s="1"/>
  <c r="BE779" i="1" s="1"/>
  <c r="AI779" i="1" s="1"/>
  <c r="AK779" i="1" s="1"/>
  <c r="BG779" i="1"/>
  <c r="BK779" i="1" s="1"/>
  <c r="BQ779" i="1" s="1"/>
  <c r="BS779" i="1" s="1"/>
  <c r="BU779" i="1" s="1"/>
  <c r="BW779" i="1" s="1"/>
  <c r="R780" i="1"/>
  <c r="AT780" i="1" s="1"/>
  <c r="AV780" i="1" s="1"/>
  <c r="AX780" i="1" s="1"/>
  <c r="AZ780" i="1" s="1"/>
  <c r="BD780" i="1" s="1"/>
  <c r="BF780" i="1" s="1"/>
  <c r="AJ780" i="1" s="1"/>
  <c r="AL780" i="1" s="1"/>
  <c r="BJ780" i="1" s="1"/>
  <c r="BL780" i="1" s="1"/>
  <c r="BR780" i="1" s="1"/>
  <c r="BT780" i="1" s="1"/>
  <c r="BV780" i="1" s="1"/>
  <c r="BX780" i="1" s="1"/>
  <c r="AY780" i="1"/>
  <c r="BC780" i="1"/>
  <c r="BE780" i="1" s="1"/>
  <c r="AI780" i="1" s="1"/>
  <c r="AK780" i="1" s="1"/>
  <c r="BG780" i="1" s="1"/>
  <c r="BK780" i="1" s="1"/>
  <c r="BQ780" i="1" s="1"/>
  <c r="BS780" i="1" s="1"/>
  <c r="BU780" i="1" s="1"/>
  <c r="BW780" i="1" s="1"/>
  <c r="BY780" i="1" s="1"/>
  <c r="CA780" i="1"/>
  <c r="CC780" i="1" s="1"/>
  <c r="R781" i="1"/>
  <c r="AT781" i="1"/>
  <c r="AV781" i="1" s="1"/>
  <c r="AX781" i="1" s="1"/>
  <c r="AZ781" i="1" s="1"/>
  <c r="BD781" i="1" s="1"/>
  <c r="BF781" i="1" s="1"/>
  <c r="AJ781" i="1" s="1"/>
  <c r="AL781" i="1" s="1"/>
  <c r="BJ781" i="1" s="1"/>
  <c r="BL781" i="1" s="1"/>
  <c r="BR781" i="1" s="1"/>
  <c r="BT781" i="1" s="1"/>
  <c r="BV781" i="1" s="1"/>
  <c r="BX781" i="1" s="1"/>
  <c r="AY781" i="1"/>
  <c r="BC781" i="1"/>
  <c r="BE781" i="1" s="1"/>
  <c r="AI781" i="1" s="1"/>
  <c r="AK781" i="1" s="1"/>
  <c r="BG781" i="1"/>
  <c r="BK781" i="1" s="1"/>
  <c r="BQ781" i="1" s="1"/>
  <c r="BS781" i="1" s="1"/>
  <c r="BU781" i="1" s="1"/>
  <c r="BW781" i="1" s="1"/>
  <c r="R782" i="1"/>
  <c r="AT782" i="1" s="1"/>
  <c r="AV782" i="1" s="1"/>
  <c r="AX782" i="1" s="1"/>
  <c r="AZ782" i="1" s="1"/>
  <c r="BD782" i="1" s="1"/>
  <c r="BF782" i="1" s="1"/>
  <c r="AJ782" i="1" s="1"/>
  <c r="AL782" i="1" s="1"/>
  <c r="BJ782" i="1" s="1"/>
  <c r="BL782" i="1" s="1"/>
  <c r="AY782" i="1"/>
  <c r="BC782" i="1"/>
  <c r="BE782" i="1" s="1"/>
  <c r="AI782" i="1" s="1"/>
  <c r="AK782" i="1" s="1"/>
  <c r="BG782" i="1" s="1"/>
  <c r="BK782" i="1" s="1"/>
  <c r="BQ782" i="1" s="1"/>
  <c r="BS782" i="1" s="1"/>
  <c r="BU782" i="1" s="1"/>
  <c r="BW782" i="1" s="1"/>
  <c r="BY782" i="1" s="1"/>
  <c r="BR782" i="1"/>
  <c r="BT782" i="1" s="1"/>
  <c r="BV782" i="1" s="1"/>
  <c r="BX782" i="1" s="1"/>
  <c r="R783" i="1"/>
  <c r="AT783" i="1"/>
  <c r="AV783" i="1" s="1"/>
  <c r="AX783" i="1" s="1"/>
  <c r="AZ783" i="1" s="1"/>
  <c r="BD783" i="1" s="1"/>
  <c r="BF783" i="1" s="1"/>
  <c r="AJ783" i="1" s="1"/>
  <c r="AL783" i="1" s="1"/>
  <c r="BJ783" i="1" s="1"/>
  <c r="BL783" i="1" s="1"/>
  <c r="BR783" i="1" s="1"/>
  <c r="BT783" i="1" s="1"/>
  <c r="BV783" i="1" s="1"/>
  <c r="BX783" i="1" s="1"/>
  <c r="AY783" i="1"/>
  <c r="BC783" i="1"/>
  <c r="BE783" i="1" s="1"/>
  <c r="AI783" i="1" s="1"/>
  <c r="AK783" i="1" s="1"/>
  <c r="BG783" i="1"/>
  <c r="BK783" i="1" s="1"/>
  <c r="BQ783" i="1" s="1"/>
  <c r="BS783" i="1" s="1"/>
  <c r="BU783" i="1" s="1"/>
  <c r="BW783" i="1" s="1"/>
  <c r="R784" i="1"/>
  <c r="AT784" i="1" s="1"/>
  <c r="AV784" i="1" s="1"/>
  <c r="AX784" i="1" s="1"/>
  <c r="AZ784" i="1" s="1"/>
  <c r="BD784" i="1" s="1"/>
  <c r="BF784" i="1" s="1"/>
  <c r="AJ784" i="1" s="1"/>
  <c r="AL784" i="1" s="1"/>
  <c r="BJ784" i="1" s="1"/>
  <c r="BL784" i="1" s="1"/>
  <c r="BR784" i="1" s="1"/>
  <c r="BT784" i="1" s="1"/>
  <c r="BV784" i="1" s="1"/>
  <c r="BX784" i="1" s="1"/>
  <c r="AY784" i="1"/>
  <c r="BC784" i="1"/>
  <c r="BE784" i="1" s="1"/>
  <c r="AI784" i="1" s="1"/>
  <c r="AK784" i="1" s="1"/>
  <c r="BG784" i="1" s="1"/>
  <c r="BK784" i="1" s="1"/>
  <c r="BQ784" i="1" s="1"/>
  <c r="BS784" i="1" s="1"/>
  <c r="BU784" i="1" s="1"/>
  <c r="BW784" i="1" s="1"/>
  <c r="BY784" i="1" s="1"/>
  <c r="R785" i="1"/>
  <c r="AT785" i="1"/>
  <c r="AV785" i="1" s="1"/>
  <c r="AX785" i="1" s="1"/>
  <c r="AZ785" i="1" s="1"/>
  <c r="BD785" i="1" s="1"/>
  <c r="BF785" i="1" s="1"/>
  <c r="AJ785" i="1" s="1"/>
  <c r="AL785" i="1" s="1"/>
  <c r="BJ785" i="1" s="1"/>
  <c r="BL785" i="1" s="1"/>
  <c r="BR785" i="1" s="1"/>
  <c r="BT785" i="1" s="1"/>
  <c r="BV785" i="1" s="1"/>
  <c r="BX785" i="1" s="1"/>
  <c r="AY785" i="1"/>
  <c r="BC785" i="1"/>
  <c r="BE785" i="1" s="1"/>
  <c r="AI785" i="1" s="1"/>
  <c r="AK785" i="1" s="1"/>
  <c r="BG785" i="1" s="1"/>
  <c r="BK785" i="1" s="1"/>
  <c r="BQ785" i="1" s="1"/>
  <c r="BS785" i="1" s="1"/>
  <c r="BU785" i="1" s="1"/>
  <c r="BW785" i="1" s="1"/>
  <c r="R786" i="1"/>
  <c r="AT786" i="1" s="1"/>
  <c r="AV786" i="1" s="1"/>
  <c r="AX786" i="1" s="1"/>
  <c r="AZ786" i="1" s="1"/>
  <c r="BD786" i="1" s="1"/>
  <c r="BF786" i="1" s="1"/>
  <c r="AJ786" i="1" s="1"/>
  <c r="AL786" i="1" s="1"/>
  <c r="BJ786" i="1" s="1"/>
  <c r="BL786" i="1" s="1"/>
  <c r="BR786" i="1" s="1"/>
  <c r="BT786" i="1" s="1"/>
  <c r="BV786" i="1" s="1"/>
  <c r="BX786" i="1" s="1"/>
  <c r="AY786" i="1"/>
  <c r="BC786" i="1"/>
  <c r="BE786" i="1" s="1"/>
  <c r="AI786" i="1" s="1"/>
  <c r="AK786" i="1" s="1"/>
  <c r="BG786" i="1" s="1"/>
  <c r="BK786" i="1" s="1"/>
  <c r="BQ786" i="1" s="1"/>
  <c r="BS786" i="1" s="1"/>
  <c r="BU786" i="1" s="1"/>
  <c r="BW786" i="1" s="1"/>
  <c r="BY786" i="1" s="1"/>
  <c r="R787" i="1"/>
  <c r="AK787" i="1"/>
  <c r="AQ787" i="1"/>
  <c r="AS787" i="1"/>
  <c r="AU787" i="1" s="1"/>
  <c r="AW787" i="1" s="1"/>
  <c r="AY787" i="1" s="1"/>
  <c r="BC787" i="1" s="1"/>
  <c r="AT787" i="1"/>
  <c r="AV787" i="1" s="1"/>
  <c r="AX787" i="1" s="1"/>
  <c r="AZ787" i="1" s="1"/>
  <c r="BD787" i="1"/>
  <c r="BF787" i="1" s="1"/>
  <c r="BY787" i="1"/>
  <c r="J790" i="1"/>
  <c r="K790" i="1"/>
  <c r="M790" i="1"/>
  <c r="Q790" i="1"/>
  <c r="S790" i="1"/>
  <c r="W790" i="1"/>
  <c r="X790" i="1"/>
  <c r="Y790" i="1"/>
  <c r="Z790" i="1"/>
  <c r="AA790" i="1"/>
  <c r="E1" i="7"/>
  <c r="E3" i="7" s="1"/>
  <c r="F1" i="7"/>
  <c r="F3" i="7" s="1"/>
  <c r="G1" i="7"/>
  <c r="H1" i="7"/>
  <c r="I1" i="7"/>
  <c r="I3" i="7" s="1"/>
  <c r="J1" i="7"/>
  <c r="J3" i="7" s="1"/>
  <c r="K1" i="7"/>
  <c r="K3" i="7" s="1"/>
  <c r="L1" i="7"/>
  <c r="M1" i="7"/>
  <c r="M3" i="7" s="1"/>
  <c r="O1" i="7"/>
  <c r="O3" i="7" s="1"/>
  <c r="P1" i="7"/>
  <c r="Q1" i="7"/>
  <c r="R1" i="7"/>
  <c r="R3" i="7" s="1"/>
  <c r="S1" i="7"/>
  <c r="S3" i="7" s="1"/>
  <c r="T1" i="7"/>
  <c r="T3" i="7" s="1"/>
  <c r="G3" i="7"/>
  <c r="H3" i="7"/>
  <c r="L3" i="7"/>
  <c r="N3" i="7"/>
  <c r="P3" i="7"/>
  <c r="Q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N9" i="7"/>
  <c r="G10" i="7"/>
  <c r="I10" i="7"/>
  <c r="J10" i="7"/>
  <c r="K10" i="7"/>
  <c r="L10" i="7"/>
  <c r="M10" i="7"/>
  <c r="N10" i="7"/>
  <c r="O10" i="7"/>
  <c r="P10" i="7"/>
  <c r="Q10" i="7"/>
  <c r="R10" i="7"/>
  <c r="S10" i="7"/>
  <c r="T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CD229" i="1" s="1"/>
  <c r="S93" i="7"/>
  <c r="T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CD241" i="1" s="1"/>
  <c r="S105" i="7"/>
  <c r="T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F126" i="12"/>
  <c r="F127" i="12"/>
  <c r="C128" i="12"/>
  <c r="E128" i="12" s="1"/>
  <c r="D9" i="8" l="1"/>
  <c r="D13" i="8"/>
  <c r="D39" i="8"/>
  <c r="D11" i="8"/>
  <c r="D15" i="8"/>
  <c r="CB785" i="1"/>
  <c r="CD785" i="1" s="1"/>
  <c r="BZ785" i="1"/>
  <c r="CB783" i="1"/>
  <c r="CD783" i="1" s="1"/>
  <c r="BZ783" i="1"/>
  <c r="CB781" i="1"/>
  <c r="CD781" i="1" s="1"/>
  <c r="BZ781" i="1"/>
  <c r="CB779" i="1"/>
  <c r="CD779" i="1" s="1"/>
  <c r="BZ779" i="1"/>
  <c r="BZ784" i="1"/>
  <c r="CB784" i="1"/>
  <c r="CD784" i="1" s="1"/>
  <c r="BZ786" i="1"/>
  <c r="CB786" i="1"/>
  <c r="CD786" i="1" s="1"/>
  <c r="BZ778" i="1"/>
  <c r="CB778" i="1"/>
  <c r="CD778" i="1" s="1"/>
  <c r="BY785" i="1"/>
  <c r="CA785" i="1"/>
  <c r="CC785" i="1" s="1"/>
  <c r="BZ780" i="1"/>
  <c r="CB780" i="1"/>
  <c r="CD780" i="1" s="1"/>
  <c r="AL253" i="1"/>
  <c r="AL250" i="1"/>
  <c r="AL247" i="1"/>
  <c r="AL240" i="1"/>
  <c r="AL237" i="1"/>
  <c r="AL234" i="1"/>
  <c r="AL226" i="1"/>
  <c r="AL222" i="1"/>
  <c r="S128" i="12"/>
  <c r="BF257" i="1"/>
  <c r="BF256" i="1"/>
  <c r="BF255" i="1"/>
  <c r="BF242" i="1"/>
  <c r="M128" i="12"/>
  <c r="BX259" i="1"/>
  <c r="AZ259" i="1"/>
  <c r="BX258" i="1"/>
  <c r="AZ258" i="1"/>
  <c r="BX257" i="1"/>
  <c r="CA782" i="1"/>
  <c r="CC782" i="1" s="1"/>
  <c r="AL259" i="1"/>
  <c r="AL256" i="1"/>
  <c r="AL249" i="1"/>
  <c r="AL246" i="1"/>
  <c r="AL243" i="1"/>
  <c r="AL228" i="1"/>
  <c r="AL225" i="1"/>
  <c r="L128" i="12"/>
  <c r="BZ782" i="1"/>
  <c r="CB782" i="1"/>
  <c r="CD782" i="1" s="1"/>
  <c r="BY779" i="1"/>
  <c r="CA779" i="1"/>
  <c r="CC779" i="1" s="1"/>
  <c r="K128" i="12"/>
  <c r="BP127" i="1"/>
  <c r="CA786" i="1"/>
  <c r="CC786" i="1" s="1"/>
  <c r="AL255" i="1"/>
  <c r="AL254" i="1"/>
  <c r="AL248" i="1"/>
  <c r="AL238" i="1"/>
  <c r="AL235" i="1"/>
  <c r="I128" i="12"/>
  <c r="BY783" i="1"/>
  <c r="CA783" i="1"/>
  <c r="CC783" i="1" s="1"/>
  <c r="BL259" i="1"/>
  <c r="N259" i="1"/>
  <c r="BL258" i="1"/>
  <c r="N258" i="1"/>
  <c r="BL257" i="1"/>
  <c r="N257" i="1"/>
  <c r="BL256" i="1"/>
  <c r="N256" i="1"/>
  <c r="BL255" i="1"/>
  <c r="N255" i="1"/>
  <c r="BL254" i="1"/>
  <c r="N254" i="1"/>
  <c r="BL253" i="1"/>
  <c r="N253" i="1"/>
  <c r="BL252" i="1"/>
  <c r="N252" i="1"/>
  <c r="BL251" i="1"/>
  <c r="N251" i="1"/>
  <c r="BL250" i="1"/>
  <c r="N250" i="1"/>
  <c r="BL249" i="1"/>
  <c r="N249" i="1"/>
  <c r="BL248" i="1"/>
  <c r="N248" i="1"/>
  <c r="BL247" i="1"/>
  <c r="N247" i="1"/>
  <c r="BL246" i="1"/>
  <c r="N246" i="1"/>
  <c r="BL245" i="1"/>
  <c r="N245" i="1"/>
  <c r="BL244" i="1"/>
  <c r="N244" i="1"/>
  <c r="BL243" i="1"/>
  <c r="N243" i="1"/>
  <c r="BL242" i="1"/>
  <c r="N242" i="1"/>
  <c r="BL241" i="1"/>
  <c r="N241" i="1"/>
  <c r="BL240" i="1"/>
  <c r="N240" i="1"/>
  <c r="BL239" i="1"/>
  <c r="N239" i="1"/>
  <c r="BL238" i="1"/>
  <c r="N238" i="1"/>
  <c r="BL237" i="1"/>
  <c r="N237" i="1"/>
  <c r="BL236" i="1"/>
  <c r="N236" i="1"/>
  <c r="BL235" i="1"/>
  <c r="N235" i="1"/>
  <c r="BL234" i="1"/>
  <c r="N234" i="1"/>
  <c r="BL233" i="1"/>
  <c r="N233" i="1"/>
  <c r="BL232" i="1"/>
  <c r="N232" i="1"/>
  <c r="BL231" i="1"/>
  <c r="N231" i="1"/>
  <c r="BL230" i="1"/>
  <c r="N230" i="1"/>
  <c r="BL229" i="1"/>
  <c r="N229" i="1"/>
  <c r="BL228" i="1"/>
  <c r="N228" i="1"/>
  <c r="BL227" i="1"/>
  <c r="N227" i="1"/>
  <c r="BL226" i="1"/>
  <c r="N226" i="1"/>
  <c r="BL225" i="1"/>
  <c r="N225" i="1"/>
  <c r="BL224" i="1"/>
  <c r="N224" i="1"/>
  <c r="BL223" i="1"/>
  <c r="N223" i="1"/>
  <c r="BL222" i="1"/>
  <c r="N222" i="1"/>
  <c r="BL221" i="1"/>
  <c r="N221" i="1"/>
  <c r="BL220" i="1"/>
  <c r="N220" i="1"/>
  <c r="BL219" i="1"/>
  <c r="N219" i="1"/>
  <c r="BL218" i="1"/>
  <c r="AJ787" i="1"/>
  <c r="AL787" i="1" s="1"/>
  <c r="BR787" i="1"/>
  <c r="BT787" i="1" s="1"/>
  <c r="BV787" i="1" s="1"/>
  <c r="BX787" i="1" s="1"/>
  <c r="J128" i="12"/>
  <c r="R128" i="12"/>
  <c r="F128" i="12"/>
  <c r="N128" i="12"/>
  <c r="G128" i="12"/>
  <c r="O128" i="12"/>
  <c r="H128" i="12"/>
  <c r="P128" i="12"/>
  <c r="AL257" i="1"/>
  <c r="AL239" i="1"/>
  <c r="AL230" i="1"/>
  <c r="AL227" i="1"/>
  <c r="AL224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8" i="1"/>
  <c r="AL197" i="1"/>
  <c r="AL196" i="1"/>
  <c r="AL194" i="1"/>
  <c r="AL195" i="1" s="1"/>
  <c r="AL192" i="1"/>
  <c r="AL191" i="1"/>
  <c r="AL193" i="1" s="1"/>
  <c r="AL189" i="1"/>
  <c r="AL190" i="1" s="1"/>
  <c r="AL187" i="1"/>
  <c r="AL188" i="1" s="1"/>
  <c r="AL185" i="1"/>
  <c r="AL184" i="1"/>
  <c r="AL186" i="1" s="1"/>
  <c r="AL182" i="1"/>
  <c r="AL181" i="1"/>
  <c r="AL183" i="1" s="1"/>
  <c r="AL178" i="1"/>
  <c r="AL177" i="1"/>
  <c r="AL176" i="1"/>
  <c r="AL174" i="1"/>
  <c r="AL175" i="1" s="1"/>
  <c r="AL172" i="1"/>
  <c r="AL171" i="1"/>
  <c r="AL173" i="1" s="1"/>
  <c r="AL169" i="1"/>
  <c r="AL170" i="1" s="1"/>
  <c r="AL167" i="1"/>
  <c r="AL168" i="1" s="1"/>
  <c r="AL165" i="1"/>
  <c r="AL164" i="1"/>
  <c r="AL166" i="1" s="1"/>
  <c r="AL162" i="1"/>
  <c r="AL161" i="1"/>
  <c r="AL163" i="1" s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6" i="1"/>
  <c r="AL143" i="1"/>
  <c r="AL142" i="1"/>
  <c r="AL141" i="1"/>
  <c r="AL140" i="1"/>
  <c r="AL139" i="1"/>
  <c r="AL138" i="1"/>
  <c r="AL137" i="1"/>
  <c r="AL136" i="1"/>
  <c r="AL135" i="1"/>
  <c r="AL133" i="1"/>
  <c r="AL132" i="1"/>
  <c r="AL131" i="1"/>
  <c r="AL130" i="1"/>
  <c r="AL128" i="1"/>
  <c r="CA784" i="1"/>
  <c r="CC784" i="1" s="1"/>
  <c r="CA778" i="1"/>
  <c r="CC778" i="1" s="1"/>
  <c r="H422" i="1"/>
  <c r="AL252" i="1"/>
  <c r="AL245" i="1"/>
  <c r="AL242" i="1"/>
  <c r="AL236" i="1"/>
  <c r="AL233" i="1"/>
  <c r="BF258" i="1"/>
  <c r="BF254" i="1"/>
  <c r="AL258" i="1"/>
  <c r="AL251" i="1"/>
  <c r="AL244" i="1"/>
  <c r="AL241" i="1"/>
  <c r="AL232" i="1"/>
  <c r="AL229" i="1"/>
  <c r="AL223" i="1"/>
  <c r="BF259" i="1"/>
  <c r="BF253" i="1"/>
  <c r="BF252" i="1"/>
  <c r="BF251" i="1"/>
  <c r="BF250" i="1"/>
  <c r="BF249" i="1"/>
  <c r="BF248" i="1"/>
  <c r="BF247" i="1"/>
  <c r="BF246" i="1"/>
  <c r="BF245" i="1"/>
  <c r="BF244" i="1"/>
  <c r="BF243" i="1"/>
  <c r="BY781" i="1"/>
  <c r="CA781" i="1"/>
  <c r="CC781" i="1" s="1"/>
  <c r="AL231" i="1"/>
  <c r="Q128" i="12"/>
  <c r="AH259" i="1"/>
  <c r="T259" i="1"/>
  <c r="AH258" i="1"/>
  <c r="T258" i="1"/>
  <c r="AH257" i="1"/>
  <c r="T257" i="1"/>
  <c r="AH256" i="1"/>
  <c r="T256" i="1"/>
  <c r="AH255" i="1"/>
  <c r="AH254" i="1"/>
  <c r="T254" i="1"/>
  <c r="AH253" i="1"/>
  <c r="T253" i="1"/>
  <c r="AH252" i="1"/>
  <c r="T252" i="1"/>
  <c r="AH251" i="1"/>
  <c r="T251" i="1"/>
  <c r="AH250" i="1"/>
  <c r="T250" i="1"/>
  <c r="AH249" i="1"/>
  <c r="T249" i="1"/>
  <c r="AH248" i="1"/>
  <c r="T248" i="1"/>
  <c r="AH247" i="1"/>
  <c r="T247" i="1"/>
  <c r="AH246" i="1"/>
  <c r="T246" i="1"/>
  <c r="AH245" i="1"/>
  <c r="T245" i="1"/>
  <c r="AH244" i="1"/>
  <c r="T244" i="1"/>
  <c r="AH243" i="1"/>
  <c r="T243" i="1"/>
  <c r="AH242" i="1"/>
  <c r="T242" i="1"/>
  <c r="AH241" i="1"/>
  <c r="T241" i="1"/>
  <c r="AH240" i="1"/>
  <c r="T240" i="1"/>
  <c r="AH239" i="1"/>
  <c r="T239" i="1"/>
  <c r="AH238" i="1"/>
  <c r="T238" i="1"/>
  <c r="AH237" i="1"/>
  <c r="T237" i="1"/>
  <c r="AH236" i="1"/>
  <c r="T236" i="1"/>
  <c r="AH235" i="1"/>
  <c r="T235" i="1"/>
  <c r="T234" i="1"/>
  <c r="AH233" i="1"/>
  <c r="T233" i="1"/>
  <c r="AH232" i="1"/>
  <c r="T232" i="1"/>
  <c r="AH231" i="1"/>
  <c r="T231" i="1"/>
  <c r="AH230" i="1"/>
  <c r="T230" i="1"/>
  <c r="AH229" i="1"/>
  <c r="T229" i="1"/>
  <c r="AH228" i="1"/>
  <c r="T228" i="1"/>
  <c r="AH227" i="1"/>
  <c r="T227" i="1"/>
  <c r="AH226" i="1"/>
  <c r="T226" i="1"/>
  <c r="AH225" i="1"/>
  <c r="T225" i="1"/>
  <c r="AH224" i="1"/>
  <c r="T224" i="1"/>
  <c r="AH223" i="1"/>
  <c r="T223" i="1"/>
  <c r="AH222" i="1"/>
  <c r="T222" i="1"/>
  <c r="AH221" i="1"/>
  <c r="T221" i="1"/>
  <c r="AH220" i="1"/>
  <c r="T220" i="1"/>
  <c r="AH219" i="1"/>
  <c r="T219" i="1"/>
  <c r="AH218" i="1"/>
  <c r="T218" i="1"/>
  <c r="AH217" i="1"/>
  <c r="T217" i="1"/>
  <c r="AH216" i="1"/>
  <c r="T216" i="1"/>
  <c r="AH215" i="1"/>
  <c r="T215" i="1"/>
  <c r="AH214" i="1"/>
  <c r="T214" i="1"/>
  <c r="AH213" i="1"/>
  <c r="T213" i="1"/>
  <c r="AH212" i="1"/>
  <c r="T212" i="1"/>
  <c r="AH211" i="1"/>
  <c r="T211" i="1"/>
  <c r="AH210" i="1"/>
  <c r="T210" i="1"/>
  <c r="AH209" i="1"/>
  <c r="T209" i="1"/>
  <c r="AH208" i="1"/>
  <c r="T208" i="1"/>
  <c r="AH207" i="1"/>
  <c r="T207" i="1"/>
  <c r="AH206" i="1"/>
  <c r="T206" i="1"/>
  <c r="AH205" i="1"/>
  <c r="T205" i="1"/>
  <c r="AH204" i="1"/>
  <c r="T204" i="1"/>
  <c r="AH203" i="1"/>
  <c r="T203" i="1"/>
  <c r="AH202" i="1"/>
  <c r="T202" i="1"/>
  <c r="AH201" i="1"/>
  <c r="T201" i="1"/>
  <c r="AH200" i="1"/>
  <c r="T200" i="1"/>
  <c r="AH198" i="1"/>
  <c r="T198" i="1"/>
  <c r="AH197" i="1"/>
  <c r="T197" i="1"/>
  <c r="AH196" i="1"/>
  <c r="T196" i="1"/>
  <c r="AH194" i="1"/>
  <c r="AH195" i="1" s="1"/>
  <c r="T194" i="1"/>
  <c r="T195" i="1" s="1"/>
  <c r="AH192" i="1"/>
  <c r="T192" i="1"/>
  <c r="AH191" i="1"/>
  <c r="AH193" i="1" s="1"/>
  <c r="T191" i="1"/>
  <c r="T193" i="1" s="1"/>
  <c r="AH189" i="1"/>
  <c r="AH190" i="1" s="1"/>
  <c r="T189" i="1"/>
  <c r="T190" i="1" s="1"/>
  <c r="AH187" i="1"/>
  <c r="AH188" i="1" s="1"/>
  <c r="T187" i="1"/>
  <c r="T188" i="1" s="1"/>
  <c r="AH185" i="1"/>
  <c r="T185" i="1"/>
  <c r="AH184" i="1"/>
  <c r="AH186" i="1" s="1"/>
  <c r="T184" i="1"/>
  <c r="T186" i="1" s="1"/>
  <c r="AH182" i="1"/>
  <c r="T182" i="1"/>
  <c r="AH181" i="1"/>
  <c r="AH183" i="1" s="1"/>
  <c r="T181" i="1"/>
  <c r="T183" i="1" s="1"/>
  <c r="AH178" i="1"/>
  <c r="T178" i="1"/>
  <c r="AH177" i="1"/>
  <c r="T177" i="1"/>
  <c r="AH176" i="1"/>
  <c r="T176" i="1"/>
  <c r="AH174" i="1"/>
  <c r="AH175" i="1" s="1"/>
  <c r="T174" i="1"/>
  <c r="T175" i="1" s="1"/>
  <c r="AH172" i="1"/>
  <c r="T172" i="1"/>
  <c r="AH171" i="1"/>
  <c r="AH173" i="1" s="1"/>
  <c r="T171" i="1"/>
  <c r="T173" i="1" s="1"/>
  <c r="AH169" i="1"/>
  <c r="AH170" i="1" s="1"/>
  <c r="T169" i="1"/>
  <c r="T170" i="1" s="1"/>
  <c r="AH167" i="1"/>
  <c r="AH168" i="1" s="1"/>
  <c r="T167" i="1"/>
  <c r="T168" i="1" s="1"/>
  <c r="AH165" i="1"/>
  <c r="T165" i="1"/>
  <c r="AH164" i="1"/>
  <c r="AH166" i="1" s="1"/>
  <c r="T164" i="1"/>
  <c r="T166" i="1" s="1"/>
  <c r="AH162" i="1"/>
  <c r="T162" i="1"/>
  <c r="AH161" i="1"/>
  <c r="AH163" i="1" s="1"/>
  <c r="T161" i="1"/>
  <c r="T163" i="1" s="1"/>
  <c r="AH159" i="1"/>
  <c r="T159" i="1"/>
  <c r="AH158" i="1"/>
  <c r="T158" i="1"/>
  <c r="AH157" i="1"/>
  <c r="T157" i="1"/>
  <c r="AH156" i="1"/>
  <c r="T156" i="1"/>
  <c r="AH155" i="1"/>
  <c r="T155" i="1"/>
  <c r="AH154" i="1"/>
  <c r="T154" i="1"/>
  <c r="AH153" i="1"/>
  <c r="T153" i="1"/>
  <c r="AH152" i="1"/>
  <c r="T152" i="1"/>
  <c r="AH151" i="1"/>
  <c r="T151" i="1"/>
  <c r="AH150" i="1"/>
  <c r="T150" i="1"/>
  <c r="AH149" i="1"/>
  <c r="T149" i="1"/>
  <c r="AH148" i="1"/>
  <c r="T148" i="1"/>
  <c r="AH145" i="1"/>
  <c r="T145" i="1"/>
  <c r="AH146" i="1"/>
  <c r="AH144" i="1"/>
  <c r="T146" i="1"/>
  <c r="T144" i="1"/>
  <c r="AH143" i="1"/>
  <c r="T143" i="1"/>
  <c r="AH142" i="1"/>
  <c r="T142" i="1"/>
  <c r="AH141" i="1"/>
  <c r="T141" i="1"/>
  <c r="AH140" i="1"/>
  <c r="T140" i="1"/>
  <c r="AH139" i="1"/>
  <c r="T139" i="1"/>
  <c r="AH138" i="1"/>
  <c r="T138" i="1"/>
  <c r="AH137" i="1"/>
  <c r="T137" i="1"/>
  <c r="AH136" i="1"/>
  <c r="T136" i="1"/>
  <c r="AH135" i="1"/>
  <c r="T135" i="1"/>
  <c r="AH133" i="1"/>
  <c r="T133" i="1"/>
  <c r="AH132" i="1"/>
  <c r="T132" i="1"/>
  <c r="AH131" i="1"/>
  <c r="T131" i="1"/>
  <c r="AH130" i="1"/>
  <c r="T130" i="1"/>
  <c r="G421" i="1"/>
  <c r="AH234" i="1"/>
  <c r="BT259" i="1"/>
  <c r="AR259" i="1"/>
  <c r="BT258" i="1"/>
  <c r="AR258" i="1"/>
  <c r="BT257" i="1"/>
  <c r="AR257" i="1"/>
  <c r="BT256" i="1"/>
  <c r="AR256" i="1"/>
  <c r="BT255" i="1"/>
  <c r="AR255" i="1"/>
  <c r="BT254" i="1"/>
  <c r="AR254" i="1"/>
  <c r="BT253" i="1"/>
  <c r="AR253" i="1"/>
  <c r="BT252" i="1"/>
  <c r="AR252" i="1"/>
  <c r="BT251" i="1"/>
  <c r="AR251" i="1"/>
  <c r="BT250" i="1"/>
  <c r="AR250" i="1"/>
  <c r="BT249" i="1"/>
  <c r="AR249" i="1"/>
  <c r="BT248" i="1"/>
  <c r="AR248" i="1"/>
  <c r="BT247" i="1"/>
  <c r="AR247" i="1"/>
  <c r="BT246" i="1"/>
  <c r="AR246" i="1"/>
  <c r="BT245" i="1"/>
  <c r="AR245" i="1"/>
  <c r="BT244" i="1"/>
  <c r="AR244" i="1"/>
  <c r="BT243" i="1"/>
  <c r="AR243" i="1"/>
  <c r="BT242" i="1"/>
  <c r="AR242" i="1"/>
  <c r="BT241" i="1"/>
  <c r="AR241" i="1"/>
  <c r="BT240" i="1"/>
  <c r="AR240" i="1"/>
  <c r="BT239" i="1"/>
  <c r="AR239" i="1"/>
  <c r="BT238" i="1"/>
  <c r="AR238" i="1"/>
  <c r="BT237" i="1"/>
  <c r="AR237" i="1"/>
  <c r="BT236" i="1"/>
  <c r="AR236" i="1"/>
  <c r="BT235" i="1"/>
  <c r="AR235" i="1"/>
  <c r="BT234" i="1"/>
  <c r="AR234" i="1"/>
  <c r="BT233" i="1"/>
  <c r="AR233" i="1"/>
  <c r="BT232" i="1"/>
  <c r="AR232" i="1"/>
  <c r="BT231" i="1"/>
  <c r="AR231" i="1"/>
  <c r="BT230" i="1"/>
  <c r="AR230" i="1"/>
  <c r="BT229" i="1"/>
  <c r="AR229" i="1"/>
  <c r="BT228" i="1"/>
  <c r="AR228" i="1"/>
  <c r="BT227" i="1"/>
  <c r="AR227" i="1"/>
  <c r="BT226" i="1"/>
  <c r="AR226" i="1"/>
  <c r="BT225" i="1"/>
  <c r="AR225" i="1"/>
  <c r="BT224" i="1"/>
  <c r="AR224" i="1"/>
  <c r="BT223" i="1"/>
  <c r="AR223" i="1"/>
  <c r="BT222" i="1"/>
  <c r="AR222" i="1"/>
  <c r="BT221" i="1"/>
  <c r="AR221" i="1"/>
  <c r="BT220" i="1"/>
  <c r="AR220" i="1"/>
  <c r="BT219" i="1"/>
  <c r="AR219" i="1"/>
  <c r="BT218" i="1"/>
  <c r="AR218" i="1"/>
  <c r="BT217" i="1"/>
  <c r="AR217" i="1"/>
  <c r="BT216" i="1"/>
  <c r="AR216" i="1"/>
  <c r="BT215" i="1"/>
  <c r="AR215" i="1"/>
  <c r="BT214" i="1"/>
  <c r="AR214" i="1"/>
  <c r="BT213" i="1"/>
  <c r="AR213" i="1"/>
  <c r="BT212" i="1"/>
  <c r="AR212" i="1"/>
  <c r="BT211" i="1"/>
  <c r="AR211" i="1"/>
  <c r="BT210" i="1"/>
  <c r="AR210" i="1"/>
  <c r="BT209" i="1"/>
  <c r="AR209" i="1"/>
  <c r="BT208" i="1"/>
  <c r="AR208" i="1"/>
  <c r="BT207" i="1"/>
  <c r="AR207" i="1"/>
  <c r="BT206" i="1"/>
  <c r="AR206" i="1"/>
  <c r="BT205" i="1"/>
  <c r="AR205" i="1"/>
  <c r="BT204" i="1"/>
  <c r="AR204" i="1"/>
  <c r="BT203" i="1"/>
  <c r="AR203" i="1"/>
  <c r="BT202" i="1"/>
  <c r="AR202" i="1"/>
  <c r="BT201" i="1"/>
  <c r="AR201" i="1"/>
  <c r="BT200" i="1"/>
  <c r="AR200" i="1"/>
  <c r="BT198" i="1"/>
  <c r="AR198" i="1"/>
  <c r="BT197" i="1"/>
  <c r="AR197" i="1"/>
  <c r="BT196" i="1"/>
  <c r="BT199" i="1" s="1"/>
  <c r="AR196" i="1"/>
  <c r="BT194" i="1"/>
  <c r="BT195" i="1" s="1"/>
  <c r="AR194" i="1"/>
  <c r="BT192" i="1"/>
  <c r="AR192" i="1"/>
  <c r="BT191" i="1"/>
  <c r="AR191" i="1"/>
  <c r="BT189" i="1"/>
  <c r="BT190" i="1" s="1"/>
  <c r="AR189" i="1"/>
  <c r="BT187" i="1"/>
  <c r="BT188" i="1" s="1"/>
  <c r="AR187" i="1"/>
  <c r="BT185" i="1"/>
  <c r="AR185" i="1"/>
  <c r="BT184" i="1"/>
  <c r="AR184" i="1"/>
  <c r="BT182" i="1"/>
  <c r="AR182" i="1"/>
  <c r="BT181" i="1"/>
  <c r="AR181" i="1"/>
  <c r="BT178" i="1"/>
  <c r="AR178" i="1"/>
  <c r="BT177" i="1"/>
  <c r="AR177" i="1"/>
  <c r="BT176" i="1"/>
  <c r="BT179" i="1" s="1"/>
  <c r="AR176" i="1"/>
  <c r="BT174" i="1"/>
  <c r="BT175" i="1" s="1"/>
  <c r="AR174" i="1"/>
  <c r="BT172" i="1"/>
  <c r="AR172" i="1"/>
  <c r="BT171" i="1"/>
  <c r="AR171" i="1"/>
  <c r="BT169" i="1"/>
  <c r="BT170" i="1" s="1"/>
  <c r="AR169" i="1"/>
  <c r="BT167" i="1"/>
  <c r="BT168" i="1" s="1"/>
  <c r="AR167" i="1"/>
  <c r="BT165" i="1"/>
  <c r="AR165" i="1"/>
  <c r="BT164" i="1"/>
  <c r="AR164" i="1"/>
  <c r="BT162" i="1"/>
  <c r="AR162" i="1"/>
  <c r="BT161" i="1"/>
  <c r="AR161" i="1"/>
  <c r="BT159" i="1"/>
  <c r="AR159" i="1"/>
  <c r="BT158" i="1"/>
  <c r="AR158" i="1"/>
  <c r="BT157" i="1"/>
  <c r="AR157" i="1"/>
  <c r="BT156" i="1"/>
  <c r="AR156" i="1"/>
  <c r="BT155" i="1"/>
  <c r="AR155" i="1"/>
  <c r="BT154" i="1"/>
  <c r="AR154" i="1"/>
  <c r="BT153" i="1"/>
  <c r="AR153" i="1"/>
  <c r="BT152" i="1"/>
  <c r="AR152" i="1"/>
  <c r="BT151" i="1"/>
  <c r="AR151" i="1"/>
  <c r="BT150" i="1"/>
  <c r="AR150" i="1"/>
  <c r="BT149" i="1"/>
  <c r="AR149" i="1"/>
  <c r="BT148" i="1"/>
  <c r="AR148" i="1"/>
  <c r="BT145" i="1"/>
  <c r="AR145" i="1"/>
  <c r="BT144" i="1"/>
  <c r="BT146" i="1"/>
  <c r="AR144" i="1"/>
  <c r="AR146" i="1"/>
  <c r="BT143" i="1"/>
  <c r="AR143" i="1"/>
  <c r="BT142" i="1"/>
  <c r="AR142" i="1"/>
  <c r="BT141" i="1"/>
  <c r="AR141" i="1"/>
  <c r="BT140" i="1"/>
  <c r="AR140" i="1"/>
  <c r="BT139" i="1"/>
  <c r="AR139" i="1"/>
  <c r="BT138" i="1"/>
  <c r="AR138" i="1"/>
  <c r="BT137" i="1"/>
  <c r="AR137" i="1"/>
  <c r="BT136" i="1"/>
  <c r="AR136" i="1"/>
  <c r="BT135" i="1"/>
  <c r="AR135" i="1"/>
  <c r="BT133" i="1"/>
  <c r="AR133" i="1"/>
  <c r="BT132" i="1"/>
  <c r="AR132" i="1"/>
  <c r="BT131" i="1"/>
  <c r="AR131" i="1"/>
  <c r="BT130" i="1"/>
  <c r="AR130" i="1"/>
  <c r="BP259" i="1"/>
  <c r="AD259" i="1"/>
  <c r="BP258" i="1"/>
  <c r="AD258" i="1"/>
  <c r="BP257" i="1"/>
  <c r="AD257" i="1"/>
  <c r="BP256" i="1"/>
  <c r="AD256" i="1"/>
  <c r="BP255" i="1"/>
  <c r="AD255" i="1"/>
  <c r="BP254" i="1"/>
  <c r="AD254" i="1"/>
  <c r="BP253" i="1"/>
  <c r="AD253" i="1"/>
  <c r="BP252" i="1"/>
  <c r="AD252" i="1"/>
  <c r="BP251" i="1"/>
  <c r="AD251" i="1"/>
  <c r="BP250" i="1"/>
  <c r="AD250" i="1"/>
  <c r="BP249" i="1"/>
  <c r="AD249" i="1"/>
  <c r="BP248" i="1"/>
  <c r="AD248" i="1"/>
  <c r="AD247" i="1"/>
  <c r="BP246" i="1"/>
  <c r="AD246" i="1"/>
  <c r="BP245" i="1"/>
  <c r="AD245" i="1"/>
  <c r="BP244" i="1"/>
  <c r="AD244" i="1"/>
  <c r="BP243" i="1"/>
  <c r="AD243" i="1"/>
  <c r="BP242" i="1"/>
  <c r="AD242" i="1"/>
  <c r="BP241" i="1"/>
  <c r="AD241" i="1"/>
  <c r="BP240" i="1"/>
  <c r="AD240" i="1"/>
  <c r="BP239" i="1"/>
  <c r="AD239" i="1"/>
  <c r="BP238" i="1"/>
  <c r="AD238" i="1"/>
  <c r="BP237" i="1"/>
  <c r="AD237" i="1"/>
  <c r="BP236" i="1"/>
  <c r="AD236" i="1"/>
  <c r="BP235" i="1"/>
  <c r="AD235" i="1"/>
  <c r="BP234" i="1"/>
  <c r="AD234" i="1"/>
  <c r="BP233" i="1"/>
  <c r="AD233" i="1"/>
  <c r="BP232" i="1"/>
  <c r="AD232" i="1"/>
  <c r="AD231" i="1"/>
  <c r="BP230" i="1"/>
  <c r="AD230" i="1"/>
  <c r="BP229" i="1"/>
  <c r="AD229" i="1"/>
  <c r="BP228" i="1"/>
  <c r="AD228" i="1"/>
  <c r="BP227" i="1"/>
  <c r="AD227" i="1"/>
  <c r="BP226" i="1"/>
  <c r="AD226" i="1"/>
  <c r="BP225" i="1"/>
  <c r="AD225" i="1"/>
  <c r="BP224" i="1"/>
  <c r="AD224" i="1"/>
  <c r="BP223" i="1"/>
  <c r="AD223" i="1"/>
  <c r="BP222" i="1"/>
  <c r="AD222" i="1"/>
  <c r="BP221" i="1"/>
  <c r="AD221" i="1"/>
  <c r="BP220" i="1"/>
  <c r="AD220" i="1"/>
  <c r="BP219" i="1"/>
  <c r="AD219" i="1"/>
  <c r="BP218" i="1"/>
  <c r="AD218" i="1"/>
  <c r="BP217" i="1"/>
  <c r="AD217" i="1"/>
  <c r="BP216" i="1"/>
  <c r="AD216" i="1"/>
  <c r="BP215" i="1"/>
  <c r="AD215" i="1"/>
  <c r="BP214" i="1"/>
  <c r="AD214" i="1"/>
  <c r="BP213" i="1"/>
  <c r="AD213" i="1"/>
  <c r="BP212" i="1"/>
  <c r="AD212" i="1"/>
  <c r="BP211" i="1"/>
  <c r="AD211" i="1"/>
  <c r="BP210" i="1"/>
  <c r="AD210" i="1"/>
  <c r="BP209" i="1"/>
  <c r="AD209" i="1"/>
  <c r="BP208" i="1"/>
  <c r="AD208" i="1"/>
  <c r="BP207" i="1"/>
  <c r="AD207" i="1"/>
  <c r="BP206" i="1"/>
  <c r="AD206" i="1"/>
  <c r="BP205" i="1"/>
  <c r="AD205" i="1"/>
  <c r="BP204" i="1"/>
  <c r="AD204" i="1"/>
  <c r="BP203" i="1"/>
  <c r="AD203" i="1"/>
  <c r="BP202" i="1"/>
  <c r="AD202" i="1"/>
  <c r="BP201" i="1"/>
  <c r="AD201" i="1"/>
  <c r="BP200" i="1"/>
  <c r="AD200" i="1"/>
  <c r="BP198" i="1"/>
  <c r="AD198" i="1"/>
  <c r="BP197" i="1"/>
  <c r="AD197" i="1"/>
  <c r="BP196" i="1"/>
  <c r="BP199" i="1" s="1"/>
  <c r="AD196" i="1"/>
  <c r="BP194" i="1"/>
  <c r="BP195" i="1" s="1"/>
  <c r="AD194" i="1"/>
  <c r="AD195" i="1" s="1"/>
  <c r="BP192" i="1"/>
  <c r="AD192" i="1"/>
  <c r="BP191" i="1"/>
  <c r="BP193" i="1" s="1"/>
  <c r="AD191" i="1"/>
  <c r="AD193" i="1" s="1"/>
  <c r="BP189" i="1"/>
  <c r="BP190" i="1" s="1"/>
  <c r="AD189" i="1"/>
  <c r="AD190" i="1" s="1"/>
  <c r="BP187" i="1"/>
  <c r="BP188" i="1" s="1"/>
  <c r="AD187" i="1"/>
  <c r="AD188" i="1" s="1"/>
  <c r="BP185" i="1"/>
  <c r="AD185" i="1"/>
  <c r="BP184" i="1"/>
  <c r="BP186" i="1" s="1"/>
  <c r="AD184" i="1"/>
  <c r="AD186" i="1" s="1"/>
  <c r="BP182" i="1"/>
  <c r="AD182" i="1"/>
  <c r="BP181" i="1"/>
  <c r="BP183" i="1" s="1"/>
  <c r="AD181" i="1"/>
  <c r="AD183" i="1" s="1"/>
  <c r="BP178" i="1"/>
  <c r="AD178" i="1"/>
  <c r="BP177" i="1"/>
  <c r="AD177" i="1"/>
  <c r="BP176" i="1"/>
  <c r="BP179" i="1" s="1"/>
  <c r="AD176" i="1"/>
  <c r="BP174" i="1"/>
  <c r="BP175" i="1" s="1"/>
  <c r="AD174" i="1"/>
  <c r="AD175" i="1" s="1"/>
  <c r="BP172" i="1"/>
  <c r="AD172" i="1"/>
  <c r="BP171" i="1"/>
  <c r="BP173" i="1" s="1"/>
  <c r="AD171" i="1"/>
  <c r="AD173" i="1" s="1"/>
  <c r="BP169" i="1"/>
  <c r="BP170" i="1" s="1"/>
  <c r="AD169" i="1"/>
  <c r="AD170" i="1" s="1"/>
  <c r="BP167" i="1"/>
  <c r="BP168" i="1" s="1"/>
  <c r="AD167" i="1"/>
  <c r="AD168" i="1" s="1"/>
  <c r="BP165" i="1"/>
  <c r="AD165" i="1"/>
  <c r="BP164" i="1"/>
  <c r="BP166" i="1" s="1"/>
  <c r="AD164" i="1"/>
  <c r="AD166" i="1" s="1"/>
  <c r="BP162" i="1"/>
  <c r="AD162" i="1"/>
  <c r="BP161" i="1"/>
  <c r="BP163" i="1" s="1"/>
  <c r="AD161" i="1"/>
  <c r="AD163" i="1" s="1"/>
  <c r="BP159" i="1"/>
  <c r="AD159" i="1"/>
  <c r="BP158" i="1"/>
  <c r="AD158" i="1"/>
  <c r="BP157" i="1"/>
  <c r="AD157" i="1"/>
  <c r="BP156" i="1"/>
  <c r="AD156" i="1"/>
  <c r="BP155" i="1"/>
  <c r="AD155" i="1"/>
  <c r="BP154" i="1"/>
  <c r="AD154" i="1"/>
  <c r="BP153" i="1"/>
  <c r="AD153" i="1"/>
  <c r="BP152" i="1"/>
  <c r="AD152" i="1"/>
  <c r="BP151" i="1"/>
  <c r="AD151" i="1"/>
  <c r="BP150" i="1"/>
  <c r="AD150" i="1"/>
  <c r="BP149" i="1"/>
  <c r="AD149" i="1"/>
  <c r="BP148" i="1"/>
  <c r="AD148" i="1"/>
  <c r="BP145" i="1"/>
  <c r="AD145" i="1"/>
  <c r="BP144" i="1"/>
  <c r="BP146" i="1"/>
  <c r="AD144" i="1"/>
  <c r="AD146" i="1"/>
  <c r="BP143" i="1"/>
  <c r="AD143" i="1"/>
  <c r="BP142" i="1"/>
  <c r="AD142" i="1"/>
  <c r="BP141" i="1"/>
  <c r="AD141" i="1"/>
  <c r="BP140" i="1"/>
  <c r="AD140" i="1"/>
  <c r="BP139" i="1"/>
  <c r="AD139" i="1"/>
  <c r="BP138" i="1"/>
  <c r="AD138" i="1"/>
  <c r="BP137" i="1"/>
  <c r="AD137" i="1"/>
  <c r="BP136" i="1"/>
  <c r="AD136" i="1"/>
  <c r="BP135" i="1"/>
  <c r="AD135" i="1"/>
  <c r="BP133" i="1"/>
  <c r="AD133" i="1"/>
  <c r="BP132" i="1"/>
  <c r="AD132" i="1"/>
  <c r="BP131" i="1"/>
  <c r="AD131" i="1"/>
  <c r="BP130" i="1"/>
  <c r="AD130" i="1"/>
  <c r="BP129" i="1"/>
  <c r="BP128" i="1"/>
  <c r="T255" i="1"/>
  <c r="N218" i="1"/>
  <c r="BL217" i="1"/>
  <c r="N217" i="1"/>
  <c r="BL216" i="1"/>
  <c r="N216" i="1"/>
  <c r="BL215" i="1"/>
  <c r="N215" i="1"/>
  <c r="BL214" i="1"/>
  <c r="N214" i="1"/>
  <c r="BL213" i="1"/>
  <c r="N213" i="1"/>
  <c r="BL212" i="1"/>
  <c r="N212" i="1"/>
  <c r="BL211" i="1"/>
  <c r="N211" i="1"/>
  <c r="BL210" i="1"/>
  <c r="N210" i="1"/>
  <c r="BL209" i="1"/>
  <c r="N209" i="1"/>
  <c r="BL208" i="1"/>
  <c r="N208" i="1"/>
  <c r="BL207" i="1"/>
  <c r="N207" i="1"/>
  <c r="BL206" i="1"/>
  <c r="N206" i="1"/>
  <c r="BL205" i="1"/>
  <c r="N205" i="1"/>
  <c r="BL204" i="1"/>
  <c r="N204" i="1"/>
  <c r="BL203" i="1"/>
  <c r="N203" i="1"/>
  <c r="BL202" i="1"/>
  <c r="N202" i="1"/>
  <c r="BL201" i="1"/>
  <c r="N201" i="1"/>
  <c r="BL200" i="1"/>
  <c r="N200" i="1"/>
  <c r="BL198" i="1"/>
  <c r="N198" i="1"/>
  <c r="BL197" i="1"/>
  <c r="N197" i="1"/>
  <c r="BL196" i="1"/>
  <c r="BL199" i="1" s="1"/>
  <c r="N196" i="1"/>
  <c r="BL194" i="1"/>
  <c r="BL195" i="1" s="1"/>
  <c r="N194" i="1"/>
  <c r="N195" i="1" s="1"/>
  <c r="BL192" i="1"/>
  <c r="N192" i="1"/>
  <c r="BL191" i="1"/>
  <c r="BL193" i="1" s="1"/>
  <c r="N191" i="1"/>
  <c r="N193" i="1" s="1"/>
  <c r="BL189" i="1"/>
  <c r="BL190" i="1" s="1"/>
  <c r="N189" i="1"/>
  <c r="N190" i="1" s="1"/>
  <c r="BL187" i="1"/>
  <c r="BL188" i="1" s="1"/>
  <c r="N187" i="1"/>
  <c r="N188" i="1" s="1"/>
  <c r="BL185" i="1"/>
  <c r="N185" i="1"/>
  <c r="BL184" i="1"/>
  <c r="BL186" i="1" s="1"/>
  <c r="N184" i="1"/>
  <c r="N186" i="1" s="1"/>
  <c r="BL182" i="1"/>
  <c r="N182" i="1"/>
  <c r="BL181" i="1"/>
  <c r="BL183" i="1" s="1"/>
  <c r="N181" i="1"/>
  <c r="N183" i="1" s="1"/>
  <c r="BL178" i="1"/>
  <c r="N178" i="1"/>
  <c r="BL177" i="1"/>
  <c r="N177" i="1"/>
  <c r="BL176" i="1"/>
  <c r="N176" i="1"/>
  <c r="BL174" i="1"/>
  <c r="BL175" i="1" s="1"/>
  <c r="N174" i="1"/>
  <c r="N175" i="1" s="1"/>
  <c r="BL172" i="1"/>
  <c r="N172" i="1"/>
  <c r="BL171" i="1"/>
  <c r="BL173" i="1" s="1"/>
  <c r="N171" i="1"/>
  <c r="N173" i="1" s="1"/>
  <c r="BL169" i="1"/>
  <c r="BL170" i="1" s="1"/>
  <c r="N169" i="1"/>
  <c r="N170" i="1" s="1"/>
  <c r="BL167" i="1"/>
  <c r="BL168" i="1" s="1"/>
  <c r="N167" i="1"/>
  <c r="N168" i="1" s="1"/>
  <c r="BL165" i="1"/>
  <c r="N165" i="1"/>
  <c r="BL164" i="1"/>
  <c r="BL166" i="1" s="1"/>
  <c r="N164" i="1"/>
  <c r="N166" i="1" s="1"/>
  <c r="BL162" i="1"/>
  <c r="N162" i="1"/>
  <c r="BL161" i="1"/>
  <c r="BL163" i="1" s="1"/>
  <c r="N161" i="1"/>
  <c r="N163" i="1" s="1"/>
  <c r="BL159" i="1"/>
  <c r="N159" i="1"/>
  <c r="BL158" i="1"/>
  <c r="N158" i="1"/>
  <c r="BL157" i="1"/>
  <c r="N157" i="1"/>
  <c r="BL156" i="1"/>
  <c r="N156" i="1"/>
  <c r="BL155" i="1"/>
  <c r="N155" i="1"/>
  <c r="BL154" i="1"/>
  <c r="N154" i="1"/>
  <c r="BL153" i="1"/>
  <c r="N153" i="1"/>
  <c r="BL152" i="1"/>
  <c r="N152" i="1"/>
  <c r="BL151" i="1"/>
  <c r="N151" i="1"/>
  <c r="BL150" i="1"/>
  <c r="N150" i="1"/>
  <c r="BL149" i="1"/>
  <c r="N149" i="1"/>
  <c r="BL148" i="1"/>
  <c r="N148" i="1"/>
  <c r="BL145" i="1"/>
  <c r="N145" i="1"/>
  <c r="BL144" i="1"/>
  <c r="BL146" i="1"/>
  <c r="N144" i="1"/>
  <c r="N146" i="1"/>
  <c r="BL143" i="1"/>
  <c r="N143" i="1"/>
  <c r="BL142" i="1"/>
  <c r="N142" i="1"/>
  <c r="BL141" i="1"/>
  <c r="N141" i="1"/>
  <c r="BL140" i="1"/>
  <c r="N140" i="1"/>
  <c r="BL139" i="1"/>
  <c r="N139" i="1"/>
  <c r="BL138" i="1"/>
  <c r="N138" i="1"/>
  <c r="BL137" i="1"/>
  <c r="N137" i="1"/>
  <c r="BL136" i="1"/>
  <c r="N136" i="1"/>
  <c r="BL135" i="1"/>
  <c r="N135" i="1"/>
  <c r="BL133" i="1"/>
  <c r="N133" i="1"/>
  <c r="BL132" i="1"/>
  <c r="BL131" i="1"/>
  <c r="N131" i="1"/>
  <c r="BL130" i="1"/>
  <c r="N130" i="1"/>
  <c r="BL129" i="1"/>
  <c r="BL128" i="1"/>
  <c r="G429" i="1"/>
  <c r="BF241" i="1"/>
  <c r="BF240" i="1"/>
  <c r="BF239" i="1"/>
  <c r="BF238" i="1"/>
  <c r="BF237" i="1"/>
  <c r="BF236" i="1"/>
  <c r="BF235" i="1"/>
  <c r="BF234" i="1"/>
  <c r="BF233" i="1"/>
  <c r="BF232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8" i="1"/>
  <c r="BF197" i="1"/>
  <c r="BF196" i="1"/>
  <c r="BF199" i="1" s="1"/>
  <c r="BF194" i="1"/>
  <c r="BF195" i="1" s="1"/>
  <c r="BF192" i="1"/>
  <c r="BF191" i="1"/>
  <c r="BF193" i="1" s="1"/>
  <c r="BF189" i="1"/>
  <c r="BF190" i="1" s="1"/>
  <c r="BF187" i="1"/>
  <c r="BF188" i="1" s="1"/>
  <c r="BF185" i="1"/>
  <c r="BF184" i="1"/>
  <c r="BF186" i="1" s="1"/>
  <c r="BF182" i="1"/>
  <c r="BF181" i="1"/>
  <c r="BF183" i="1" s="1"/>
  <c r="BF178" i="1"/>
  <c r="BF177" i="1"/>
  <c r="BF176" i="1"/>
  <c r="BF174" i="1"/>
  <c r="BF175" i="1" s="1"/>
  <c r="BF172" i="1"/>
  <c r="BF171" i="1"/>
  <c r="BF173" i="1" s="1"/>
  <c r="BF169" i="1"/>
  <c r="BF170" i="1" s="1"/>
  <c r="BF167" i="1"/>
  <c r="BF168" i="1" s="1"/>
  <c r="BF165" i="1"/>
  <c r="BF164" i="1"/>
  <c r="BF166" i="1" s="1"/>
  <c r="BF162" i="1"/>
  <c r="BF161" i="1"/>
  <c r="BF163" i="1" s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5" i="1"/>
  <c r="BF144" i="1"/>
  <c r="BF146" i="1"/>
  <c r="BF143" i="1"/>
  <c r="BF142" i="1"/>
  <c r="BF141" i="1"/>
  <c r="BF140" i="1"/>
  <c r="BF139" i="1"/>
  <c r="BF138" i="1"/>
  <c r="BF137" i="1"/>
  <c r="BF136" i="1"/>
  <c r="BF135" i="1"/>
  <c r="BF133" i="1"/>
  <c r="BF132" i="1"/>
  <c r="BF131" i="1"/>
  <c r="BF130" i="1"/>
  <c r="CD259" i="1"/>
  <c r="Z259" i="1"/>
  <c r="CD258" i="1"/>
  <c r="Z258" i="1"/>
  <c r="CD257" i="1"/>
  <c r="Z257" i="1"/>
  <c r="CD256" i="1"/>
  <c r="Z256" i="1"/>
  <c r="CD255" i="1"/>
  <c r="Z255" i="1"/>
  <c r="CD254" i="1"/>
  <c r="Z254" i="1"/>
  <c r="CD253" i="1"/>
  <c r="Z253" i="1"/>
  <c r="CD252" i="1"/>
  <c r="Z252" i="1"/>
  <c r="CD251" i="1"/>
  <c r="Z251" i="1"/>
  <c r="CD250" i="1"/>
  <c r="Z250" i="1"/>
  <c r="CD249" i="1"/>
  <c r="Z249" i="1"/>
  <c r="CD248" i="1"/>
  <c r="Z248" i="1"/>
  <c r="CD247" i="1"/>
  <c r="Z247" i="1"/>
  <c r="CD246" i="1"/>
  <c r="Z246" i="1"/>
  <c r="Z245" i="1"/>
  <c r="CD244" i="1"/>
  <c r="Z244" i="1"/>
  <c r="CD243" i="1"/>
  <c r="Z243" i="1"/>
  <c r="CD242" i="1"/>
  <c r="Z242" i="1"/>
  <c r="Z241" i="1"/>
  <c r="CD240" i="1"/>
  <c r="Z240" i="1"/>
  <c r="CD239" i="1"/>
  <c r="Z239" i="1"/>
  <c r="CD238" i="1"/>
  <c r="Z238" i="1"/>
  <c r="CD237" i="1"/>
  <c r="Z237" i="1"/>
  <c r="CD236" i="1"/>
  <c r="Z236" i="1"/>
  <c r="CD235" i="1"/>
  <c r="Z235" i="1"/>
  <c r="CD234" i="1"/>
  <c r="Z234" i="1"/>
  <c r="CD233" i="1"/>
  <c r="Z233" i="1"/>
  <c r="CD232" i="1"/>
  <c r="Z232" i="1"/>
  <c r="CD231" i="1"/>
  <c r="Z231" i="1"/>
  <c r="CD230" i="1"/>
  <c r="Z230" i="1"/>
  <c r="Z229" i="1"/>
  <c r="CD228" i="1"/>
  <c r="Z228" i="1"/>
  <c r="CD227" i="1"/>
  <c r="Z227" i="1"/>
  <c r="CD226" i="1"/>
  <c r="Z226" i="1"/>
  <c r="CD225" i="1"/>
  <c r="Z225" i="1"/>
  <c r="CD224" i="1"/>
  <c r="Z224" i="1"/>
  <c r="CD223" i="1"/>
  <c r="Z223" i="1"/>
  <c r="CD222" i="1"/>
  <c r="Z222" i="1"/>
  <c r="CD221" i="1"/>
  <c r="Z221" i="1"/>
  <c r="CD220" i="1"/>
  <c r="Z220" i="1"/>
  <c r="CD219" i="1"/>
  <c r="Z219" i="1"/>
  <c r="CD218" i="1"/>
  <c r="Z218" i="1"/>
  <c r="CD217" i="1"/>
  <c r="Z217" i="1"/>
  <c r="CD216" i="1"/>
  <c r="Z216" i="1"/>
  <c r="CD215" i="1"/>
  <c r="Z215" i="1"/>
  <c r="CD214" i="1"/>
  <c r="Z214" i="1"/>
  <c r="CD213" i="1"/>
  <c r="Z213" i="1"/>
  <c r="CD212" i="1"/>
  <c r="Z212" i="1"/>
  <c r="CD211" i="1"/>
  <c r="Z211" i="1"/>
  <c r="CD210" i="1"/>
  <c r="Z210" i="1"/>
  <c r="CD209" i="1"/>
  <c r="Z209" i="1"/>
  <c r="CD208" i="1"/>
  <c r="Z208" i="1"/>
  <c r="CD207" i="1"/>
  <c r="Z207" i="1"/>
  <c r="CD206" i="1"/>
  <c r="Z206" i="1"/>
  <c r="CD205" i="1"/>
  <c r="Z205" i="1"/>
  <c r="CD204" i="1"/>
  <c r="Z204" i="1"/>
  <c r="CD203" i="1"/>
  <c r="Z203" i="1"/>
  <c r="CD202" i="1"/>
  <c r="Z202" i="1"/>
  <c r="CD201" i="1"/>
  <c r="Z201" i="1"/>
  <c r="CD200" i="1"/>
  <c r="Z200" i="1"/>
  <c r="CD198" i="1"/>
  <c r="Z198" i="1"/>
  <c r="CD197" i="1"/>
  <c r="Z197" i="1"/>
  <c r="CD196" i="1"/>
  <c r="CD199" i="1" s="1"/>
  <c r="Z196" i="1"/>
  <c r="CD194" i="1"/>
  <c r="CD195" i="1" s="1"/>
  <c r="Z194" i="1"/>
  <c r="CD192" i="1"/>
  <c r="Z192" i="1"/>
  <c r="CD191" i="1"/>
  <c r="Z191" i="1"/>
  <c r="CD189" i="1"/>
  <c r="CD190" i="1" s="1"/>
  <c r="Z189" i="1"/>
  <c r="CD187" i="1"/>
  <c r="CD188" i="1" s="1"/>
  <c r="Z187" i="1"/>
  <c r="CD185" i="1"/>
  <c r="Z185" i="1"/>
  <c r="CD184" i="1"/>
  <c r="Z184" i="1"/>
  <c r="CD182" i="1"/>
  <c r="Z182" i="1"/>
  <c r="CD181" i="1"/>
  <c r="Z181" i="1"/>
  <c r="CD178" i="1"/>
  <c r="Z178" i="1"/>
  <c r="CD177" i="1"/>
  <c r="Z177" i="1"/>
  <c r="CD176" i="1"/>
  <c r="CD179" i="1" s="1"/>
  <c r="Z176" i="1"/>
  <c r="CD174" i="1"/>
  <c r="CD175" i="1" s="1"/>
  <c r="Z174" i="1"/>
  <c r="CD172" i="1"/>
  <c r="Z172" i="1"/>
  <c r="CD171" i="1"/>
  <c r="Z171" i="1"/>
  <c r="CD169" i="1"/>
  <c r="CD170" i="1" s="1"/>
  <c r="Z169" i="1"/>
  <c r="CD167" i="1"/>
  <c r="CD168" i="1" s="1"/>
  <c r="Z167" i="1"/>
  <c r="CD165" i="1"/>
  <c r="Z165" i="1"/>
  <c r="CD164" i="1"/>
  <c r="Z164" i="1"/>
  <c r="CD162" i="1"/>
  <c r="Z162" i="1"/>
  <c r="CD161" i="1"/>
  <c r="Z161" i="1"/>
  <c r="CD159" i="1"/>
  <c r="Z159" i="1"/>
  <c r="CD158" i="1"/>
  <c r="Z158" i="1"/>
  <c r="CD157" i="1"/>
  <c r="Z157" i="1"/>
  <c r="CD156" i="1"/>
  <c r="Z156" i="1"/>
  <c r="CD155" i="1"/>
  <c r="Z155" i="1"/>
  <c r="CD154" i="1"/>
  <c r="Z154" i="1"/>
  <c r="CD153" i="1"/>
  <c r="Z153" i="1"/>
  <c r="CD152" i="1"/>
  <c r="Z152" i="1"/>
  <c r="CD151" i="1"/>
  <c r="Z151" i="1"/>
  <c r="CD150" i="1"/>
  <c r="Z150" i="1"/>
  <c r="CD149" i="1"/>
  <c r="Z149" i="1"/>
  <c r="CD148" i="1"/>
  <c r="Z148" i="1"/>
  <c r="CD145" i="1"/>
  <c r="Z145" i="1"/>
  <c r="CD144" i="1"/>
  <c r="CD146" i="1"/>
  <c r="Z144" i="1"/>
  <c r="Z146" i="1"/>
  <c r="CD143" i="1"/>
  <c r="Z143" i="1"/>
  <c r="CD142" i="1"/>
  <c r="Z142" i="1"/>
  <c r="CD141" i="1"/>
  <c r="Z141" i="1"/>
  <c r="CD140" i="1"/>
  <c r="Z140" i="1"/>
  <c r="CD139" i="1"/>
  <c r="Z139" i="1"/>
  <c r="CD138" i="1"/>
  <c r="Z138" i="1"/>
  <c r="CD137" i="1"/>
  <c r="Z137" i="1"/>
  <c r="CD136" i="1"/>
  <c r="Z136" i="1"/>
  <c r="CD135" i="1"/>
  <c r="Z135" i="1"/>
  <c r="CD133" i="1"/>
  <c r="Z133" i="1"/>
  <c r="CD132" i="1"/>
  <c r="Z132" i="1"/>
  <c r="CD131" i="1"/>
  <c r="Z131" i="1"/>
  <c r="CD130" i="1"/>
  <c r="Z130" i="1"/>
  <c r="Z129" i="1"/>
  <c r="Z128" i="1"/>
  <c r="BP247" i="1"/>
  <c r="BF231" i="1"/>
  <c r="AZ257" i="1"/>
  <c r="BX256" i="1"/>
  <c r="AZ256" i="1"/>
  <c r="BX255" i="1"/>
  <c r="AZ255" i="1"/>
  <c r="BX254" i="1"/>
  <c r="AZ254" i="1"/>
  <c r="BX253" i="1"/>
  <c r="AZ253" i="1"/>
  <c r="BX252" i="1"/>
  <c r="AZ252" i="1"/>
  <c r="BX251" i="1"/>
  <c r="AZ251" i="1"/>
  <c r="BX250" i="1"/>
  <c r="AZ250" i="1"/>
  <c r="BX249" i="1"/>
  <c r="AZ249" i="1"/>
  <c r="BX248" i="1"/>
  <c r="AZ248" i="1"/>
  <c r="BX247" i="1"/>
  <c r="AZ247" i="1"/>
  <c r="BX246" i="1"/>
  <c r="AZ246" i="1"/>
  <c r="BX245" i="1"/>
  <c r="AZ245" i="1"/>
  <c r="BX244" i="1"/>
  <c r="AZ244" i="1"/>
  <c r="BX243" i="1"/>
  <c r="AZ243" i="1"/>
  <c r="BX242" i="1"/>
  <c r="AZ242" i="1"/>
  <c r="BX241" i="1"/>
  <c r="AZ241" i="1"/>
  <c r="BX240" i="1"/>
  <c r="AZ240" i="1"/>
  <c r="BX239" i="1"/>
  <c r="AZ239" i="1"/>
  <c r="BX238" i="1"/>
  <c r="AZ238" i="1"/>
  <c r="BX237" i="1"/>
  <c r="AZ237" i="1"/>
  <c r="BX236" i="1"/>
  <c r="AZ236" i="1"/>
  <c r="BX235" i="1"/>
  <c r="AZ235" i="1"/>
  <c r="BX234" i="1"/>
  <c r="AZ234" i="1"/>
  <c r="BX233" i="1"/>
  <c r="AZ233" i="1"/>
  <c r="BX232" i="1"/>
  <c r="AZ232" i="1"/>
  <c r="BX231" i="1"/>
  <c r="AZ231" i="1"/>
  <c r="BX230" i="1"/>
  <c r="AZ230" i="1"/>
  <c r="BX229" i="1"/>
  <c r="AZ229" i="1"/>
  <c r="BX228" i="1"/>
  <c r="AZ228" i="1"/>
  <c r="BX227" i="1"/>
  <c r="AZ227" i="1"/>
  <c r="BX226" i="1"/>
  <c r="AZ226" i="1"/>
  <c r="BX225" i="1"/>
  <c r="AZ225" i="1"/>
  <c r="BX224" i="1"/>
  <c r="AZ224" i="1"/>
  <c r="BX223" i="1"/>
  <c r="AZ223" i="1"/>
  <c r="BX222" i="1"/>
  <c r="AZ222" i="1"/>
  <c r="BX221" i="1"/>
  <c r="AZ221" i="1"/>
  <c r="BX220" i="1"/>
  <c r="AZ220" i="1"/>
  <c r="BX219" i="1"/>
  <c r="AZ219" i="1"/>
  <c r="BX218" i="1"/>
  <c r="AZ218" i="1"/>
  <c r="BX217" i="1"/>
  <c r="AZ217" i="1"/>
  <c r="BX216" i="1"/>
  <c r="AZ216" i="1"/>
  <c r="BX215" i="1"/>
  <c r="AZ215" i="1"/>
  <c r="BX214" i="1"/>
  <c r="AZ214" i="1"/>
  <c r="BX213" i="1"/>
  <c r="AZ213" i="1"/>
  <c r="BX212" i="1"/>
  <c r="AZ212" i="1"/>
  <c r="BX211" i="1"/>
  <c r="AZ211" i="1"/>
  <c r="BX210" i="1"/>
  <c r="AZ210" i="1"/>
  <c r="BX209" i="1"/>
  <c r="AZ209" i="1"/>
  <c r="BX208" i="1"/>
  <c r="AZ208" i="1"/>
  <c r="BX207" i="1"/>
  <c r="AZ207" i="1"/>
  <c r="BX206" i="1"/>
  <c r="AZ206" i="1"/>
  <c r="BX205" i="1"/>
  <c r="AZ205" i="1"/>
  <c r="BX204" i="1"/>
  <c r="AZ204" i="1"/>
  <c r="BX203" i="1"/>
  <c r="AZ203" i="1"/>
  <c r="BX202" i="1"/>
  <c r="AZ202" i="1"/>
  <c r="BX201" i="1"/>
  <c r="AZ201" i="1"/>
  <c r="BX200" i="1"/>
  <c r="AZ200" i="1"/>
  <c r="BX198" i="1"/>
  <c r="AZ198" i="1"/>
  <c r="BX197" i="1"/>
  <c r="AZ197" i="1"/>
  <c r="BX196" i="1"/>
  <c r="BX199" i="1" s="1"/>
  <c r="AZ196" i="1"/>
  <c r="AZ199" i="1" s="1"/>
  <c r="BX194" i="1"/>
  <c r="BX195" i="1" s="1"/>
  <c r="AZ194" i="1"/>
  <c r="AZ195" i="1" s="1"/>
  <c r="BX192" i="1"/>
  <c r="AZ192" i="1"/>
  <c r="BX191" i="1"/>
  <c r="AZ191" i="1"/>
  <c r="AZ193" i="1" s="1"/>
  <c r="BX189" i="1"/>
  <c r="BX190" i="1" s="1"/>
  <c r="AZ189" i="1"/>
  <c r="AZ190" i="1" s="1"/>
  <c r="BX187" i="1"/>
  <c r="BX188" i="1" s="1"/>
  <c r="AZ187" i="1"/>
  <c r="AZ188" i="1" s="1"/>
  <c r="BX185" i="1"/>
  <c r="AZ185" i="1"/>
  <c r="BX184" i="1"/>
  <c r="AZ184" i="1"/>
  <c r="AZ186" i="1" s="1"/>
  <c r="BX182" i="1"/>
  <c r="AZ182" i="1"/>
  <c r="BX181" i="1"/>
  <c r="AZ181" i="1"/>
  <c r="AZ183" i="1" s="1"/>
  <c r="BX178" i="1"/>
  <c r="AZ178" i="1"/>
  <c r="BX177" i="1"/>
  <c r="AZ177" i="1"/>
  <c r="BX176" i="1"/>
  <c r="BX179" i="1" s="1"/>
  <c r="AZ176" i="1"/>
  <c r="BX174" i="1"/>
  <c r="BX175" i="1" s="1"/>
  <c r="AZ174" i="1"/>
  <c r="AZ175" i="1" s="1"/>
  <c r="BX172" i="1"/>
  <c r="AZ172" i="1"/>
  <c r="BX171" i="1"/>
  <c r="AZ171" i="1"/>
  <c r="AZ173" i="1" s="1"/>
  <c r="BX169" i="1"/>
  <c r="BX170" i="1" s="1"/>
  <c r="AZ169" i="1"/>
  <c r="AZ170" i="1" s="1"/>
  <c r="BX167" i="1"/>
  <c r="BX168" i="1" s="1"/>
  <c r="AZ167" i="1"/>
  <c r="AZ168" i="1" s="1"/>
  <c r="BX165" i="1"/>
  <c r="AZ165" i="1"/>
  <c r="BX164" i="1"/>
  <c r="AZ164" i="1"/>
  <c r="AZ166" i="1" s="1"/>
  <c r="BX162" i="1"/>
  <c r="AZ162" i="1"/>
  <c r="BX161" i="1"/>
  <c r="AZ161" i="1"/>
  <c r="AZ163" i="1" s="1"/>
  <c r="BX159" i="1"/>
  <c r="AZ159" i="1"/>
  <c r="BX158" i="1"/>
  <c r="AZ158" i="1"/>
  <c r="BX157" i="1"/>
  <c r="AZ157" i="1"/>
  <c r="BX156" i="1"/>
  <c r="AZ156" i="1"/>
  <c r="BX155" i="1"/>
  <c r="AZ155" i="1"/>
  <c r="BX154" i="1"/>
  <c r="AZ154" i="1"/>
  <c r="BX153" i="1"/>
  <c r="AZ153" i="1"/>
  <c r="BX152" i="1"/>
  <c r="AZ152" i="1"/>
  <c r="BX151" i="1"/>
  <c r="AZ151" i="1"/>
  <c r="BX150" i="1"/>
  <c r="AZ150" i="1"/>
  <c r="BX149" i="1"/>
  <c r="AZ149" i="1"/>
  <c r="BX148" i="1"/>
  <c r="AZ148" i="1"/>
  <c r="BX145" i="1"/>
  <c r="AZ145" i="1"/>
  <c r="BX144" i="1"/>
  <c r="BX146" i="1"/>
  <c r="AZ146" i="1"/>
  <c r="AZ144" i="1"/>
  <c r="BX143" i="1"/>
  <c r="AZ143" i="1"/>
  <c r="BX142" i="1"/>
  <c r="AZ142" i="1"/>
  <c r="BX141" i="1"/>
  <c r="AZ141" i="1"/>
  <c r="BX140" i="1"/>
  <c r="AZ140" i="1"/>
  <c r="BX139" i="1"/>
  <c r="AZ139" i="1"/>
  <c r="BX138" i="1"/>
  <c r="AZ138" i="1"/>
  <c r="BX137" i="1"/>
  <c r="AZ137" i="1"/>
  <c r="BX136" i="1"/>
  <c r="AZ136" i="1"/>
  <c r="BX135" i="1"/>
  <c r="AZ135" i="1"/>
  <c r="BX133" i="1"/>
  <c r="AZ133" i="1"/>
  <c r="BX132" i="1"/>
  <c r="AZ132" i="1"/>
  <c r="BX131" i="1"/>
  <c r="AZ131" i="1"/>
  <c r="BX130" i="1"/>
  <c r="AZ130" i="1"/>
  <c r="G425" i="1"/>
  <c r="H430" i="1"/>
  <c r="G423" i="1"/>
  <c r="AT413" i="1"/>
  <c r="BX128" i="1" s="1"/>
  <c r="AT412" i="1"/>
  <c r="BT128" i="1" s="1"/>
  <c r="AT411" i="1"/>
  <c r="AD128" i="1" s="1"/>
  <c r="F10" i="7" s="1"/>
  <c r="BF128" i="1"/>
  <c r="CR407" i="1"/>
  <c r="AT408" i="1"/>
  <c r="N128" i="1" s="1"/>
  <c r="E10" i="7" s="1"/>
  <c r="T128" i="1"/>
  <c r="H10" i="7" s="1"/>
  <c r="H17" i="1"/>
  <c r="H10" i="1"/>
  <c r="H12" i="1"/>
  <c r="H13" i="1"/>
  <c r="H9" i="1"/>
  <c r="I7" i="1"/>
  <c r="E6" i="1"/>
  <c r="H7" i="1"/>
  <c r="H15" i="1"/>
  <c r="I8" i="1"/>
  <c r="I10" i="1"/>
  <c r="G8" i="1"/>
  <c r="H503" i="18"/>
  <c r="Q503" i="18"/>
  <c r="R503" i="18"/>
  <c r="J503" i="18"/>
  <c r="E503" i="18"/>
  <c r="D504" i="18"/>
  <c r="L503" i="18"/>
  <c r="H11" i="1"/>
  <c r="C492" i="18"/>
  <c r="C614" i="18" s="1"/>
  <c r="A493" i="18"/>
  <c r="C493" i="18" s="1"/>
  <c r="C615" i="18" s="1"/>
  <c r="B493" i="18"/>
  <c r="J502" i="18"/>
  <c r="B5" i="18"/>
  <c r="C4" i="18"/>
  <c r="A5" i="18"/>
  <c r="C5" i="18" s="1"/>
  <c r="H11" i="18"/>
  <c r="D13" i="18"/>
  <c r="E12" i="18"/>
  <c r="G10" i="18"/>
  <c r="R12" i="18"/>
  <c r="J12" i="18"/>
  <c r="K11" i="18"/>
  <c r="J9" i="18"/>
  <c r="R9" i="18"/>
  <c r="Q12" i="18"/>
  <c r="R11" i="18"/>
  <c r="J11" i="18"/>
  <c r="L503" i="2"/>
  <c r="E503" i="2"/>
  <c r="D504" i="2"/>
  <c r="I503" i="2"/>
  <c r="Q503" i="2"/>
  <c r="R503" i="2"/>
  <c r="C492" i="2"/>
  <c r="C614" i="2" s="1"/>
  <c r="A493" i="2"/>
  <c r="B493" i="2"/>
  <c r="B5" i="2"/>
  <c r="N15" i="2"/>
  <c r="D16" i="2"/>
  <c r="O15" i="2"/>
  <c r="H15" i="2"/>
  <c r="P15" i="2"/>
  <c r="I15" i="2"/>
  <c r="Q15" i="2"/>
  <c r="R15" i="2"/>
  <c r="E15" i="2"/>
  <c r="M15" i="2"/>
  <c r="A4" i="2"/>
  <c r="C4" i="2" s="1"/>
  <c r="BM5" i="9"/>
  <c r="D3" i="8"/>
  <c r="D4" i="8"/>
  <c r="D7" i="8"/>
  <c r="E1" i="8"/>
  <c r="D14" i="8"/>
  <c r="D12" i="8"/>
  <c r="D10" i="8"/>
  <c r="D8" i="8"/>
  <c r="D6" i="8"/>
  <c r="BC14" i="1" l="1"/>
  <c r="C8" i="8"/>
  <c r="BM6" i="9"/>
  <c r="CA14" i="1"/>
  <c r="BJ18" i="1"/>
  <c r="D25" i="8"/>
  <c r="D37" i="8" s="1"/>
  <c r="E7" i="8"/>
  <c r="E9" i="8"/>
  <c r="E11" i="8"/>
  <c r="E2" i="8"/>
  <c r="F1" i="8"/>
  <c r="E15" i="8"/>
  <c r="E6" i="8"/>
  <c r="E8" i="8"/>
  <c r="E10" i="8"/>
  <c r="E12" i="8"/>
  <c r="E14" i="8"/>
  <c r="E13" i="8"/>
  <c r="E39" i="8"/>
  <c r="CB18" i="1"/>
  <c r="A5" i="2"/>
  <c r="C5" i="2" s="1"/>
  <c r="C493" i="2"/>
  <c r="C615" i="2" s="1"/>
  <c r="CA12" i="1"/>
  <c r="J13" i="18"/>
  <c r="R13" i="18"/>
  <c r="H13" i="18"/>
  <c r="Q13" i="18"/>
  <c r="I13" i="18"/>
  <c r="K13" i="18"/>
  <c r="D14" i="18"/>
  <c r="E13" i="18"/>
  <c r="G13" i="18"/>
  <c r="A6" i="18"/>
  <c r="C6" i="18" s="1"/>
  <c r="B6" i="18"/>
  <c r="F615" i="18"/>
  <c r="P615" i="18"/>
  <c r="L615" i="18"/>
  <c r="AI432" i="1"/>
  <c r="AH179" i="1"/>
  <c r="AH199" i="1"/>
  <c r="AL179" i="1"/>
  <c r="AL199" i="1"/>
  <c r="CE17" i="1"/>
  <c r="CB431" i="1"/>
  <c r="K432" i="1"/>
  <c r="BA17" i="1"/>
  <c r="AX431" i="1"/>
  <c r="A4" i="10"/>
  <c r="C127" i="18"/>
  <c r="C250" i="18"/>
  <c r="C372" i="18"/>
  <c r="A4" i="13"/>
  <c r="C4" i="13" s="1"/>
  <c r="C130" i="12"/>
  <c r="AV410" i="1"/>
  <c r="AV417" i="1"/>
  <c r="CR404" i="1"/>
  <c r="AV409" i="1"/>
  <c r="AV408" i="1"/>
  <c r="AH407" i="1"/>
  <c r="AV407" i="1" s="1"/>
  <c r="AV414" i="1"/>
  <c r="AV411" i="1"/>
  <c r="AV415" i="1"/>
  <c r="AV412" i="1"/>
  <c r="AV416" i="1"/>
  <c r="AV413" i="1"/>
  <c r="CS407" i="1"/>
  <c r="D23" i="8"/>
  <c r="D35" i="8" s="1"/>
  <c r="L16" i="2"/>
  <c r="E16" i="2"/>
  <c r="M16" i="2"/>
  <c r="N16" i="2"/>
  <c r="D17" i="2"/>
  <c r="O16" i="2"/>
  <c r="H16" i="2"/>
  <c r="P16" i="2"/>
  <c r="K16" i="2"/>
  <c r="R16" i="2"/>
  <c r="I16" i="2"/>
  <c r="Q16" i="2"/>
  <c r="D18" i="8"/>
  <c r="D30" i="8" s="1"/>
  <c r="BV18" i="1"/>
  <c r="A6" i="2"/>
  <c r="C6" i="2" s="1"/>
  <c r="B6" i="2"/>
  <c r="W12" i="1"/>
  <c r="K614" i="18"/>
  <c r="L614" i="18"/>
  <c r="E614" i="18"/>
  <c r="M614" i="18"/>
  <c r="F614" i="18"/>
  <c r="O614" i="18"/>
  <c r="G614" i="18"/>
  <c r="P614" i="18"/>
  <c r="J614" i="18"/>
  <c r="H614" i="18"/>
  <c r="I614" i="18"/>
  <c r="Q614" i="18"/>
  <c r="R614" i="18"/>
  <c r="H504" i="18"/>
  <c r="Q504" i="18"/>
  <c r="R504" i="18"/>
  <c r="J504" i="18"/>
  <c r="L504" i="18"/>
  <c r="E504" i="18"/>
  <c r="D505" i="18"/>
  <c r="AZ179" i="1"/>
  <c r="BL179" i="1"/>
  <c r="AX18" i="1"/>
  <c r="D17" i="8"/>
  <c r="D29" i="8" s="1"/>
  <c r="AF18" i="1"/>
  <c r="BY17" i="1"/>
  <c r="BV431" i="1"/>
  <c r="W14" i="1"/>
  <c r="W15" i="1"/>
  <c r="W432" i="1"/>
  <c r="D20" i="8"/>
  <c r="D32" i="8" s="1"/>
  <c r="D22" i="8"/>
  <c r="D34" i="8" s="1"/>
  <c r="D24" i="8"/>
  <c r="D36" i="8" s="1"/>
  <c r="D26" i="8"/>
  <c r="D38" i="8" s="1"/>
  <c r="D19" i="8"/>
  <c r="D31" i="8" s="1"/>
  <c r="CA15" i="1"/>
  <c r="BZ787" i="1"/>
  <c r="CB787" i="1"/>
  <c r="CD787" i="1" s="1"/>
  <c r="D21" i="8"/>
  <c r="D33" i="8" s="1"/>
  <c r="C126" i="2"/>
  <c r="C249" i="2"/>
  <c r="C659" i="1" s="1"/>
  <c r="C371" i="2"/>
  <c r="C7" i="1"/>
  <c r="BR18" i="1"/>
  <c r="K504" i="2"/>
  <c r="L504" i="2"/>
  <c r="E504" i="2"/>
  <c r="H504" i="2"/>
  <c r="I504" i="2"/>
  <c r="D505" i="2"/>
  <c r="Q504" i="2"/>
  <c r="R504" i="2"/>
  <c r="BU15" i="1"/>
  <c r="BU432" i="1"/>
  <c r="BF179" i="1"/>
  <c r="CA432" i="1"/>
  <c r="AO13" i="1"/>
  <c r="G13" i="1" s="1"/>
  <c r="Q432" i="1"/>
  <c r="CD163" i="1"/>
  <c r="CD166" i="1"/>
  <c r="CD173" i="1"/>
  <c r="CD183" i="1"/>
  <c r="CD186" i="1"/>
  <c r="CD193" i="1"/>
  <c r="T179" i="1"/>
  <c r="T199" i="1"/>
  <c r="R18" i="1"/>
  <c r="W431" i="1"/>
  <c r="G431" i="1" s="1"/>
  <c r="O17" i="1"/>
  <c r="L431" i="1"/>
  <c r="H431" i="1" s="1"/>
  <c r="L18" i="1"/>
  <c r="H18" i="1" s="1"/>
  <c r="BN18" i="1"/>
  <c r="A494" i="2"/>
  <c r="B494" i="2"/>
  <c r="AM17" i="1"/>
  <c r="AJ432" i="1"/>
  <c r="K15" i="1"/>
  <c r="Q14" i="1"/>
  <c r="G14" i="1" s="1"/>
  <c r="A3" i="10"/>
  <c r="Q615" i="18" s="1"/>
  <c r="C126" i="18"/>
  <c r="A125" i="13" s="1"/>
  <c r="C125" i="13" s="1"/>
  <c r="C371" i="18"/>
  <c r="C249" i="18"/>
  <c r="A3" i="13"/>
  <c r="C3" i="13" s="1"/>
  <c r="C129" i="12"/>
  <c r="B494" i="18"/>
  <c r="A494" i="18"/>
  <c r="BX163" i="1"/>
  <c r="BX166" i="1"/>
  <c r="BX173" i="1"/>
  <c r="BX183" i="1"/>
  <c r="BX186" i="1"/>
  <c r="BX193" i="1"/>
  <c r="N179" i="1"/>
  <c r="N199" i="1"/>
  <c r="AD179" i="1"/>
  <c r="AD199" i="1"/>
  <c r="BT163" i="1"/>
  <c r="BT166" i="1"/>
  <c r="BT173" i="1"/>
  <c r="BT183" i="1"/>
  <c r="BT186" i="1"/>
  <c r="BT193" i="1"/>
  <c r="B495" i="2" l="1"/>
  <c r="A495" i="2"/>
  <c r="C495" i="2" s="1"/>
  <c r="C617" i="2" s="1"/>
  <c r="BU433" i="1"/>
  <c r="H505" i="18"/>
  <c r="Q505" i="18"/>
  <c r="R505" i="18"/>
  <c r="L505" i="18"/>
  <c r="D506" i="18"/>
  <c r="J505" i="18"/>
  <c r="E505" i="18"/>
  <c r="BD19" i="1"/>
  <c r="BY18" i="1"/>
  <c r="BV432" i="1"/>
  <c r="W433" i="1"/>
  <c r="C494" i="18"/>
  <c r="C616" i="18" s="1"/>
  <c r="I505" i="2"/>
  <c r="Q505" i="2"/>
  <c r="R505" i="2"/>
  <c r="K505" i="2"/>
  <c r="E505" i="2"/>
  <c r="D506" i="2"/>
  <c r="H505" i="2"/>
  <c r="L505" i="2"/>
  <c r="CA433" i="1"/>
  <c r="G12" i="1"/>
  <c r="R17" i="2"/>
  <c r="K17" i="2"/>
  <c r="L17" i="2"/>
  <c r="E17" i="2"/>
  <c r="M17" i="2"/>
  <c r="N17" i="2"/>
  <c r="D18" i="2"/>
  <c r="I17" i="2"/>
  <c r="Q17" i="2"/>
  <c r="H17" i="2"/>
  <c r="O17" i="2"/>
  <c r="P17" i="2"/>
  <c r="H615" i="18"/>
  <c r="A5" i="10"/>
  <c r="C128" i="18"/>
  <c r="C373" i="18"/>
  <c r="C251" i="18"/>
  <c r="A5" i="13"/>
  <c r="C5" i="13" s="1"/>
  <c r="C131" i="12"/>
  <c r="CA16" i="1"/>
  <c r="BA18" i="1"/>
  <c r="AX432" i="1"/>
  <c r="BN19" i="1"/>
  <c r="J127" i="18"/>
  <c r="G127" i="18"/>
  <c r="Q127" i="18"/>
  <c r="H127" i="18"/>
  <c r="R127" i="18"/>
  <c r="I127" i="18"/>
  <c r="K127" i="18"/>
  <c r="L127" i="18"/>
  <c r="E127" i="18"/>
  <c r="F127" i="18"/>
  <c r="O127" i="18"/>
  <c r="P127" i="18"/>
  <c r="M127" i="18"/>
  <c r="A126" i="13"/>
  <c r="C126" i="13" s="1"/>
  <c r="W16" i="1"/>
  <c r="C9" i="8"/>
  <c r="BM7" i="9"/>
  <c r="J129" i="12"/>
  <c r="R129" i="12"/>
  <c r="F129" i="12"/>
  <c r="N129" i="12"/>
  <c r="G129" i="12"/>
  <c r="O129" i="12"/>
  <c r="H129" i="12"/>
  <c r="P129" i="12"/>
  <c r="Q129" i="12"/>
  <c r="E129" i="12"/>
  <c r="I129" i="12"/>
  <c r="K129" i="12"/>
  <c r="L129" i="12"/>
  <c r="M129" i="12"/>
  <c r="S129" i="12"/>
  <c r="C494" i="2"/>
  <c r="C616" i="2" s="1"/>
  <c r="I17" i="1"/>
  <c r="U18" i="1"/>
  <c r="R432" i="1"/>
  <c r="Q433" i="1"/>
  <c r="AX19" i="1"/>
  <c r="BJ19" i="1"/>
  <c r="K615" i="18"/>
  <c r="G615" i="18"/>
  <c r="K16" i="1"/>
  <c r="G15" i="1"/>
  <c r="O18" i="1"/>
  <c r="L432" i="1"/>
  <c r="B7" i="2"/>
  <c r="A7" i="2"/>
  <c r="CB19" i="1"/>
  <c r="L19" i="1"/>
  <c r="H19" i="1" s="1"/>
  <c r="J615" i="18"/>
  <c r="O615" i="18"/>
  <c r="H14" i="18"/>
  <c r="I14" i="18"/>
  <c r="Q14" i="18"/>
  <c r="J14" i="18"/>
  <c r="R14" i="18"/>
  <c r="K14" i="18"/>
  <c r="E14" i="18"/>
  <c r="D15" i="18"/>
  <c r="G14" i="18"/>
  <c r="BV19" i="1"/>
  <c r="AO16" i="1"/>
  <c r="AM18" i="1"/>
  <c r="AJ433" i="1"/>
  <c r="AJ19" i="1"/>
  <c r="BC16" i="1"/>
  <c r="BH18" i="1"/>
  <c r="BD432" i="1"/>
  <c r="K433" i="1"/>
  <c r="AF19" i="1"/>
  <c r="J130" i="12"/>
  <c r="R130" i="12"/>
  <c r="F130" i="12"/>
  <c r="N130" i="12"/>
  <c r="G130" i="12"/>
  <c r="O130" i="12"/>
  <c r="H130" i="12"/>
  <c r="P130" i="12"/>
  <c r="Q130" i="12"/>
  <c r="E130" i="12"/>
  <c r="I130" i="12"/>
  <c r="K130" i="12"/>
  <c r="L130" i="12"/>
  <c r="M130" i="12"/>
  <c r="S130" i="12"/>
  <c r="R615" i="18"/>
  <c r="M615" i="18"/>
  <c r="AW16" i="1"/>
  <c r="G1" i="8"/>
  <c r="F7" i="8"/>
  <c r="F9" i="8"/>
  <c r="F11" i="8"/>
  <c r="F2" i="8"/>
  <c r="F13" i="8"/>
  <c r="F14" i="8"/>
  <c r="F8" i="8"/>
  <c r="F10" i="8"/>
  <c r="F12" i="8"/>
  <c r="F15" i="8"/>
  <c r="F6" i="8"/>
  <c r="F39" i="8"/>
  <c r="B495" i="18"/>
  <c r="A495" i="18"/>
  <c r="D7" i="1"/>
  <c r="F7" i="1"/>
  <c r="E7" i="1"/>
  <c r="C421" i="1"/>
  <c r="CE18" i="1"/>
  <c r="CB432" i="1"/>
  <c r="AI433" i="1"/>
  <c r="R19" i="1"/>
  <c r="CS404" i="1"/>
  <c r="CT407" i="1"/>
  <c r="G432" i="1"/>
  <c r="I615" i="18"/>
  <c r="E615" i="18"/>
  <c r="BU16" i="1"/>
  <c r="C127" i="2"/>
  <c r="C250" i="2"/>
  <c r="C660" i="1" s="1"/>
  <c r="C372" i="2"/>
  <c r="C8" i="1"/>
  <c r="E4" i="8"/>
  <c r="E19" i="8" s="1"/>
  <c r="E31" i="8" s="1"/>
  <c r="E3" i="8"/>
  <c r="C128" i="2"/>
  <c r="C251" i="2"/>
  <c r="C661" i="1" s="1"/>
  <c r="C373" i="2"/>
  <c r="C9" i="1"/>
  <c r="BR19" i="1"/>
  <c r="A7" i="18"/>
  <c r="B7" i="18"/>
  <c r="Q16" i="1"/>
  <c r="E24" i="8" l="1"/>
  <c r="E36" i="8" s="1"/>
  <c r="E22" i="8"/>
  <c r="E34" i="8" s="1"/>
  <c r="E20" i="8"/>
  <c r="E32" i="8" s="1"/>
  <c r="E25" i="8"/>
  <c r="E37" i="8" s="1"/>
  <c r="E18" i="8"/>
  <c r="E30" i="8" s="1"/>
  <c r="A496" i="18"/>
  <c r="B496" i="18"/>
  <c r="BC17" i="1"/>
  <c r="BJ20" i="1"/>
  <c r="F9" i="1"/>
  <c r="D9" i="1"/>
  <c r="E9" i="1"/>
  <c r="C423" i="1"/>
  <c r="F8" i="1"/>
  <c r="D8" i="1"/>
  <c r="E8" i="1"/>
  <c r="C422" i="1"/>
  <c r="C495" i="18"/>
  <c r="C617" i="18" s="1"/>
  <c r="H1" i="8"/>
  <c r="G2" i="8"/>
  <c r="G6" i="8"/>
  <c r="G8" i="8"/>
  <c r="G10" i="8"/>
  <c r="G12" i="8"/>
  <c r="G15" i="8"/>
  <c r="G7" i="8"/>
  <c r="G14" i="8"/>
  <c r="G13" i="8"/>
  <c r="G39" i="8"/>
  <c r="G9" i="8"/>
  <c r="G11" i="8"/>
  <c r="G433" i="1"/>
  <c r="K17" i="1"/>
  <c r="A8" i="2"/>
  <c r="C8" i="2" s="1"/>
  <c r="B8" i="2"/>
  <c r="BV20" i="1"/>
  <c r="CB20" i="1"/>
  <c r="BH19" i="1"/>
  <c r="BD433" i="1"/>
  <c r="AI434" i="1"/>
  <c r="CE19" i="1"/>
  <c r="CB433" i="1"/>
  <c r="CA434" i="1"/>
  <c r="B8" i="18"/>
  <c r="A8" i="18"/>
  <c r="CA17" i="1"/>
  <c r="I18" i="1"/>
  <c r="E23" i="8"/>
  <c r="E35" i="8" s="1"/>
  <c r="L128" i="18"/>
  <c r="K128" i="18"/>
  <c r="M128" i="18"/>
  <c r="E128" i="18"/>
  <c r="O128" i="18"/>
  <c r="F128" i="18"/>
  <c r="P128" i="18"/>
  <c r="G128" i="18"/>
  <c r="Q128" i="18"/>
  <c r="J128" i="18"/>
  <c r="R128" i="18"/>
  <c r="H128" i="18"/>
  <c r="I128" i="18"/>
  <c r="A127" i="13"/>
  <c r="C127" i="13" s="1"/>
  <c r="H18" i="2"/>
  <c r="P18" i="2"/>
  <c r="I18" i="2"/>
  <c r="Q18" i="2"/>
  <c r="R18" i="2"/>
  <c r="K18" i="2"/>
  <c r="L18" i="2"/>
  <c r="O18" i="2"/>
  <c r="M18" i="2"/>
  <c r="N18" i="2"/>
  <c r="E18" i="2"/>
  <c r="D19" i="2"/>
  <c r="BY19" i="1"/>
  <c r="BV433" i="1"/>
  <c r="BU434" i="1"/>
  <c r="C7" i="18"/>
  <c r="E21" i="8"/>
  <c r="E33" i="8" s="1"/>
  <c r="W17" i="1"/>
  <c r="BN20" i="1"/>
  <c r="BA19" i="1"/>
  <c r="AX433" i="1"/>
  <c r="Q434" i="1"/>
  <c r="AM19" i="1"/>
  <c r="AJ434" i="1"/>
  <c r="G616" i="18"/>
  <c r="P616" i="18"/>
  <c r="H616" i="18"/>
  <c r="Q616" i="18"/>
  <c r="I616" i="18"/>
  <c r="R616" i="18"/>
  <c r="J616" i="18"/>
  <c r="K616" i="18"/>
  <c r="F616" i="18"/>
  <c r="O616" i="18"/>
  <c r="L616" i="18"/>
  <c r="M616" i="18"/>
  <c r="E616" i="18"/>
  <c r="F17" i="8"/>
  <c r="F29" i="8" s="1"/>
  <c r="E26" i="8"/>
  <c r="E38" i="8" s="1"/>
  <c r="E17" i="8"/>
  <c r="E29" i="8" s="1"/>
  <c r="AW17" i="1"/>
  <c r="AF20" i="1"/>
  <c r="L20" i="1"/>
  <c r="U19" i="1"/>
  <c r="R433" i="1"/>
  <c r="K434" i="1"/>
  <c r="H432" i="1"/>
  <c r="CT404" i="1"/>
  <c r="D421" i="1"/>
  <c r="E421" i="1"/>
  <c r="BU17" i="1"/>
  <c r="F20" i="8"/>
  <c r="F32" i="8" s="1"/>
  <c r="AO17" i="1"/>
  <c r="Q17" i="1"/>
  <c r="G16" i="1"/>
  <c r="J131" i="12"/>
  <c r="R131" i="12"/>
  <c r="F131" i="12"/>
  <c r="N131" i="12"/>
  <c r="G131" i="12"/>
  <c r="O131" i="12"/>
  <c r="H131" i="12"/>
  <c r="P131" i="12"/>
  <c r="Q131" i="12"/>
  <c r="E131" i="12"/>
  <c r="I131" i="12"/>
  <c r="K131" i="12"/>
  <c r="L131" i="12"/>
  <c r="M131" i="12"/>
  <c r="S131" i="12"/>
  <c r="BR20" i="1"/>
  <c r="AJ20" i="1"/>
  <c r="H506" i="2"/>
  <c r="I506" i="2"/>
  <c r="Q506" i="2"/>
  <c r="K506" i="2"/>
  <c r="L506" i="2"/>
  <c r="E506" i="2"/>
  <c r="R506" i="2"/>
  <c r="D507" i="2"/>
  <c r="W434" i="1"/>
  <c r="AX20" i="1"/>
  <c r="F4" i="8"/>
  <c r="F26" i="8" s="1"/>
  <c r="F38" i="8" s="1"/>
  <c r="F3" i="8"/>
  <c r="F23" i="8"/>
  <c r="F35" i="8" s="1"/>
  <c r="F18" i="8"/>
  <c r="F30" i="8" s="1"/>
  <c r="D16" i="18"/>
  <c r="G15" i="18"/>
  <c r="H15" i="18"/>
  <c r="I15" i="18"/>
  <c r="Q15" i="18"/>
  <c r="J15" i="18"/>
  <c r="R15" i="18"/>
  <c r="K15" i="18"/>
  <c r="E15" i="18"/>
  <c r="C7" i="2"/>
  <c r="C10" i="8"/>
  <c r="BM8" i="9"/>
  <c r="R20" i="1"/>
  <c r="BD20" i="1"/>
  <c r="O19" i="1"/>
  <c r="I19" i="1" s="1"/>
  <c r="L433" i="1"/>
  <c r="E506" i="18"/>
  <c r="D507" i="18"/>
  <c r="H506" i="18"/>
  <c r="Q506" i="18"/>
  <c r="J506" i="18"/>
  <c r="R506" i="18"/>
  <c r="L506" i="18"/>
  <c r="A496" i="2"/>
  <c r="B496" i="2"/>
  <c r="F25" i="8" l="1"/>
  <c r="F37" i="8" s="1"/>
  <c r="CA18" i="1"/>
  <c r="AW18" i="1"/>
  <c r="L21" i="1"/>
  <c r="B9" i="18"/>
  <c r="A9" i="18"/>
  <c r="C9" i="18" s="1"/>
  <c r="G25" i="8"/>
  <c r="G37" i="8" s="1"/>
  <c r="AO18" i="1"/>
  <c r="BU435" i="1"/>
  <c r="Q435" i="1"/>
  <c r="BC18" i="1"/>
  <c r="L434" i="1"/>
  <c r="O20" i="1"/>
  <c r="I20" i="1" s="1"/>
  <c r="H20" i="1"/>
  <c r="F24" i="8"/>
  <c r="F36" i="8" s="1"/>
  <c r="AJ21" i="1"/>
  <c r="BD21" i="1"/>
  <c r="A497" i="2"/>
  <c r="C497" i="2" s="1"/>
  <c r="C619" i="2" s="1"/>
  <c r="B497" i="2"/>
  <c r="K435" i="1"/>
  <c r="W18" i="1"/>
  <c r="BH20" i="1"/>
  <c r="BD434" i="1"/>
  <c r="CB21" i="1"/>
  <c r="C496" i="2"/>
  <c r="C618" i="2" s="1"/>
  <c r="H433" i="1"/>
  <c r="BU18" i="1"/>
  <c r="F19" i="8"/>
  <c r="F31" i="8" s="1"/>
  <c r="BY20" i="1"/>
  <c r="BV434" i="1"/>
  <c r="G434" i="1"/>
  <c r="F22" i="8"/>
  <c r="F34" i="8" s="1"/>
  <c r="N19" i="2"/>
  <c r="O19" i="2"/>
  <c r="H19" i="2"/>
  <c r="I19" i="2"/>
  <c r="Q19" i="2"/>
  <c r="R19" i="2"/>
  <c r="E19" i="2"/>
  <c r="M19" i="2"/>
  <c r="K19" i="2"/>
  <c r="L19" i="2"/>
  <c r="P19" i="2"/>
  <c r="D20" i="2"/>
  <c r="BV21" i="1"/>
  <c r="C8" i="18"/>
  <c r="G24" i="8"/>
  <c r="G36" i="8" s="1"/>
  <c r="G4" i="8"/>
  <c r="G20" i="8" s="1"/>
  <c r="G32" i="8" s="1"/>
  <c r="G3" i="8"/>
  <c r="E423" i="1"/>
  <c r="D423" i="1"/>
  <c r="L507" i="18"/>
  <c r="E507" i="18"/>
  <c r="D508" i="18"/>
  <c r="R507" i="18"/>
  <c r="J507" i="18"/>
  <c r="Q507" i="18"/>
  <c r="H507" i="18"/>
  <c r="AX21" i="1"/>
  <c r="CA435" i="1"/>
  <c r="Q18" i="1"/>
  <c r="U20" i="1"/>
  <c r="R434" i="1"/>
  <c r="A6" i="10"/>
  <c r="C129" i="18"/>
  <c r="C374" i="18"/>
  <c r="C252" i="18"/>
  <c r="A6" i="13"/>
  <c r="C6" i="13" s="1"/>
  <c r="C132" i="12"/>
  <c r="BN21" i="1"/>
  <c r="AF21" i="1"/>
  <c r="A9" i="2"/>
  <c r="B9" i="2"/>
  <c r="F21" i="8"/>
  <c r="F33" i="8" s="1"/>
  <c r="C11" i="8"/>
  <c r="BM9" i="9"/>
  <c r="BA20" i="1"/>
  <c r="AX434" i="1"/>
  <c r="I1" i="8"/>
  <c r="H7" i="8"/>
  <c r="H9" i="8"/>
  <c r="H11" i="8"/>
  <c r="H13" i="8"/>
  <c r="H15" i="8"/>
  <c r="H6" i="8"/>
  <c r="H14" i="8"/>
  <c r="H8" i="8"/>
  <c r="H10" i="8"/>
  <c r="H2" i="8"/>
  <c r="H12" i="8"/>
  <c r="H39" i="8"/>
  <c r="E507" i="2"/>
  <c r="D508" i="2"/>
  <c r="I507" i="2"/>
  <c r="Q507" i="2"/>
  <c r="R507" i="2"/>
  <c r="H507" i="2"/>
  <c r="K507" i="2"/>
  <c r="L507" i="2"/>
  <c r="BJ21" i="1"/>
  <c r="R21" i="1"/>
  <c r="C130" i="2"/>
  <c r="C253" i="2"/>
  <c r="C375" i="2"/>
  <c r="C11" i="1"/>
  <c r="C127" i="1"/>
  <c r="C554" i="1" s="1"/>
  <c r="C276" i="1"/>
  <c r="D276" i="1" s="1"/>
  <c r="G26" i="8"/>
  <c r="G38" i="8" s="1"/>
  <c r="I617" i="18"/>
  <c r="R617" i="18"/>
  <c r="J617" i="18"/>
  <c r="K617" i="18"/>
  <c r="L617" i="18"/>
  <c r="E617" i="18"/>
  <c r="M617" i="18"/>
  <c r="H617" i="18"/>
  <c r="Q617" i="18"/>
  <c r="F617" i="18"/>
  <c r="G617" i="18"/>
  <c r="O617" i="18"/>
  <c r="P617" i="18"/>
  <c r="A497" i="18"/>
  <c r="B497" i="18"/>
  <c r="AM20" i="1"/>
  <c r="AJ435" i="1"/>
  <c r="AI435" i="1"/>
  <c r="W435" i="1"/>
  <c r="C129" i="2"/>
  <c r="C252" i="2"/>
  <c r="C662" i="1" s="1"/>
  <c r="C374" i="2"/>
  <c r="C10" i="1"/>
  <c r="K18" i="1"/>
  <c r="G16" i="18"/>
  <c r="H16" i="18"/>
  <c r="I16" i="18"/>
  <c r="Q16" i="18"/>
  <c r="J16" i="18"/>
  <c r="R16" i="18"/>
  <c r="E16" i="18"/>
  <c r="D17" i="18"/>
  <c r="K16" i="18"/>
  <c r="CE20" i="1"/>
  <c r="CB434" i="1"/>
  <c r="BR21" i="1"/>
  <c r="G17" i="1"/>
  <c r="G23" i="8"/>
  <c r="G35" i="8" s="1"/>
  <c r="D422" i="1"/>
  <c r="E422" i="1"/>
  <c r="C496" i="18"/>
  <c r="C618" i="18" s="1"/>
  <c r="G18" i="8" l="1"/>
  <c r="G30" i="8" s="1"/>
  <c r="K129" i="2"/>
  <c r="L129" i="2"/>
  <c r="G129" i="2"/>
  <c r="O129" i="2"/>
  <c r="H129" i="2"/>
  <c r="P129" i="2"/>
  <c r="Q129" i="2"/>
  <c r="R129" i="2"/>
  <c r="E129" i="2"/>
  <c r="J129" i="2"/>
  <c r="M129" i="2"/>
  <c r="N129" i="2"/>
  <c r="I129" i="2"/>
  <c r="F129" i="2"/>
  <c r="K508" i="2"/>
  <c r="L508" i="2"/>
  <c r="E508" i="2"/>
  <c r="H508" i="2"/>
  <c r="Q508" i="2"/>
  <c r="D509" i="2"/>
  <c r="R508" i="2"/>
  <c r="I508" i="2"/>
  <c r="H4" i="8"/>
  <c r="H20" i="8" s="1"/>
  <c r="H32" i="8" s="1"/>
  <c r="H3" i="8"/>
  <c r="C12" i="8"/>
  <c r="BM10" i="9"/>
  <c r="B10" i="2"/>
  <c r="A10" i="2"/>
  <c r="C10" i="2" s="1"/>
  <c r="J132" i="12"/>
  <c r="R132" i="12"/>
  <c r="F132" i="12"/>
  <c r="N132" i="12"/>
  <c r="G132" i="12"/>
  <c r="O132" i="12"/>
  <c r="H132" i="12"/>
  <c r="P132" i="12"/>
  <c r="Q132" i="12"/>
  <c r="E132" i="12"/>
  <c r="I132" i="12"/>
  <c r="K132" i="12"/>
  <c r="L132" i="12"/>
  <c r="M132" i="12"/>
  <c r="S132" i="12"/>
  <c r="Q436" i="1"/>
  <c r="BD22" i="1"/>
  <c r="BN22" i="1"/>
  <c r="H434" i="1"/>
  <c r="Q19" i="1"/>
  <c r="BA21" i="1"/>
  <c r="AX435" i="1"/>
  <c r="AJ22" i="1"/>
  <c r="A498" i="18"/>
  <c r="C498" i="18" s="1"/>
  <c r="C620" i="18" s="1"/>
  <c r="B498" i="18"/>
  <c r="G18" i="1"/>
  <c r="E253" i="2"/>
  <c r="M253" i="2"/>
  <c r="G253" i="2"/>
  <c r="O253" i="2"/>
  <c r="I253" i="2"/>
  <c r="Q253" i="2"/>
  <c r="J253" i="2"/>
  <c r="R253" i="2"/>
  <c r="L253" i="2"/>
  <c r="K253" i="2"/>
  <c r="H253" i="2"/>
  <c r="F253" i="2"/>
  <c r="P253" i="2"/>
  <c r="C663" i="1"/>
  <c r="N253" i="2"/>
  <c r="N375" i="2" s="1"/>
  <c r="BN276" i="1" s="1"/>
  <c r="O21" i="1"/>
  <c r="L435" i="1"/>
  <c r="C9" i="2"/>
  <c r="BU436" i="1"/>
  <c r="A7" i="10"/>
  <c r="H130" i="2" s="1"/>
  <c r="R127" i="1" s="1"/>
  <c r="C130" i="18"/>
  <c r="C253" i="18"/>
  <c r="C375" i="18"/>
  <c r="A7" i="13"/>
  <c r="C133" i="12"/>
  <c r="BJ22" i="1"/>
  <c r="G435" i="1"/>
  <c r="K19" i="1"/>
  <c r="L130" i="2"/>
  <c r="E130" i="2"/>
  <c r="L127" i="1" s="1"/>
  <c r="M130" i="2"/>
  <c r="BJ127" i="1" s="1"/>
  <c r="F130" i="2"/>
  <c r="AB127" i="1" s="1"/>
  <c r="K130" i="2"/>
  <c r="BD127" i="1" s="1"/>
  <c r="N130" i="2"/>
  <c r="BN127" i="1" s="1"/>
  <c r="AM21" i="1"/>
  <c r="AJ436" i="1"/>
  <c r="I6" i="8"/>
  <c r="I8" i="8"/>
  <c r="I10" i="8"/>
  <c r="I12" i="8"/>
  <c r="J1" i="8"/>
  <c r="I7" i="8"/>
  <c r="I13" i="8"/>
  <c r="I9" i="8"/>
  <c r="I11" i="8"/>
  <c r="I2" i="8"/>
  <c r="I14" i="8"/>
  <c r="I15" i="8"/>
  <c r="I39" i="8"/>
  <c r="W436" i="1"/>
  <c r="L22" i="1"/>
  <c r="G21" i="8"/>
  <c r="G33" i="8" s="1"/>
  <c r="A8" i="10"/>
  <c r="C131" i="18"/>
  <c r="C254" i="18"/>
  <c r="C376" i="18"/>
  <c r="A8" i="13"/>
  <c r="C8" i="13" s="1"/>
  <c r="C134" i="12"/>
  <c r="D11" i="1"/>
  <c r="E11" i="1"/>
  <c r="F11" i="1"/>
  <c r="C425" i="1"/>
  <c r="J17" i="18"/>
  <c r="E17" i="18"/>
  <c r="D18" i="18"/>
  <c r="G17" i="18"/>
  <c r="H17" i="18"/>
  <c r="Q17" i="18"/>
  <c r="I17" i="18"/>
  <c r="R17" i="18"/>
  <c r="K17" i="18"/>
  <c r="K618" i="18"/>
  <c r="L618" i="18"/>
  <c r="E618" i="18"/>
  <c r="M618" i="18"/>
  <c r="F618" i="18"/>
  <c r="O618" i="18"/>
  <c r="G618" i="18"/>
  <c r="P618" i="18"/>
  <c r="J618" i="18"/>
  <c r="Q618" i="18"/>
  <c r="R618" i="18"/>
  <c r="I618" i="18"/>
  <c r="H618" i="18"/>
  <c r="CA19" i="1"/>
  <c r="BH21" i="1"/>
  <c r="BD435" i="1"/>
  <c r="CA436" i="1"/>
  <c r="CB22" i="1"/>
  <c r="A498" i="2"/>
  <c r="B498" i="2"/>
  <c r="G22" i="8"/>
  <c r="G34" i="8" s="1"/>
  <c r="A10" i="18"/>
  <c r="C10" i="18" s="1"/>
  <c r="B10" i="18"/>
  <c r="BR22" i="1"/>
  <c r="W19" i="1"/>
  <c r="U21" i="1"/>
  <c r="R435" i="1"/>
  <c r="F129" i="18"/>
  <c r="O129" i="18"/>
  <c r="G129" i="18"/>
  <c r="Q129" i="18"/>
  <c r="H129" i="18"/>
  <c r="R129" i="18"/>
  <c r="I129" i="18"/>
  <c r="J129" i="18"/>
  <c r="K129" i="18"/>
  <c r="L129" i="18"/>
  <c r="M129" i="18"/>
  <c r="E129" i="18"/>
  <c r="P129" i="18"/>
  <c r="A128" i="13"/>
  <c r="C128" i="13" s="1"/>
  <c r="L508" i="18"/>
  <c r="E508" i="18"/>
  <c r="D509" i="18"/>
  <c r="H508" i="18"/>
  <c r="Q508" i="18"/>
  <c r="R508" i="18"/>
  <c r="J508" i="18"/>
  <c r="BV22" i="1"/>
  <c r="G17" i="8"/>
  <c r="G29" i="8" s="1"/>
  <c r="H21" i="1"/>
  <c r="BC19" i="1"/>
  <c r="BU19" i="1"/>
  <c r="E10" i="1"/>
  <c r="D10" i="1"/>
  <c r="F10" i="1"/>
  <c r="C424" i="1"/>
  <c r="CE21" i="1"/>
  <c r="CB435" i="1"/>
  <c r="K436" i="1"/>
  <c r="E20" i="2"/>
  <c r="M20" i="2"/>
  <c r="O20" i="2"/>
  <c r="H20" i="2"/>
  <c r="P20" i="2"/>
  <c r="K20" i="2"/>
  <c r="I20" i="2"/>
  <c r="D21" i="2"/>
  <c r="L20" i="2"/>
  <c r="N20" i="2"/>
  <c r="R20" i="2"/>
  <c r="Q20" i="2"/>
  <c r="AX22" i="1"/>
  <c r="G19" i="8"/>
  <c r="G31" i="8" s="1"/>
  <c r="AO19" i="1"/>
  <c r="C497" i="18"/>
  <c r="C619" i="18" s="1"/>
  <c r="AW19" i="1"/>
  <c r="BY21" i="1"/>
  <c r="BV435" i="1"/>
  <c r="AI436" i="1"/>
  <c r="AF22" i="1"/>
  <c r="R22" i="1"/>
  <c r="H18" i="8" l="1"/>
  <c r="H30" i="8" s="1"/>
  <c r="H26" i="8"/>
  <c r="H38" i="8" s="1"/>
  <c r="H19" i="8"/>
  <c r="H31" i="8" s="1"/>
  <c r="CB23" i="1"/>
  <c r="B499" i="2"/>
  <c r="A499" i="2"/>
  <c r="C499" i="2" s="1"/>
  <c r="C621" i="2" s="1"/>
  <c r="G253" i="18"/>
  <c r="P253" i="18"/>
  <c r="E253" i="18"/>
  <c r="O253" i="18"/>
  <c r="F253" i="18"/>
  <c r="Q253" i="18"/>
  <c r="H253" i="18"/>
  <c r="R253" i="18"/>
  <c r="J253" i="18"/>
  <c r="I253" i="18"/>
  <c r="K253" i="18"/>
  <c r="L253" i="18"/>
  <c r="M253" i="18"/>
  <c r="E375" i="2"/>
  <c r="L276" i="1" s="1"/>
  <c r="L663" i="1"/>
  <c r="BJ23" i="1"/>
  <c r="H130" i="18"/>
  <c r="Q127" i="1" s="1"/>
  <c r="K130" i="18"/>
  <c r="BC127" i="1" s="1"/>
  <c r="L130" i="18"/>
  <c r="AI127" i="1" s="1"/>
  <c r="M130" i="18"/>
  <c r="BG127" i="1" s="1"/>
  <c r="E130" i="18"/>
  <c r="K127" i="1" s="1"/>
  <c r="O130" i="18"/>
  <c r="BQ127" i="1" s="1"/>
  <c r="F130" i="18"/>
  <c r="AA127" i="1" s="1"/>
  <c r="P130" i="18"/>
  <c r="AE127" i="1" s="1"/>
  <c r="I130" i="18"/>
  <c r="AW127" i="1" s="1"/>
  <c r="J130" i="18"/>
  <c r="W127" i="1" s="1"/>
  <c r="R130" i="18"/>
  <c r="CA127" i="1" s="1"/>
  <c r="G130" i="18"/>
  <c r="AO127" i="1" s="1"/>
  <c r="A129" i="13"/>
  <c r="C129" i="13" s="1"/>
  <c r="Q130" i="18"/>
  <c r="BU127" i="1" s="1"/>
  <c r="R375" i="2"/>
  <c r="CB276" i="1" s="1"/>
  <c r="CB663" i="1"/>
  <c r="Q437" i="1"/>
  <c r="H25" i="8"/>
  <c r="H37" i="8" s="1"/>
  <c r="BC20" i="1"/>
  <c r="W20" i="1"/>
  <c r="AJ127" i="1"/>
  <c r="BA127" i="1"/>
  <c r="J375" i="2"/>
  <c r="X276" i="1" s="1"/>
  <c r="X663" i="1"/>
  <c r="BA22" i="1"/>
  <c r="AX436" i="1"/>
  <c r="E21" i="2"/>
  <c r="M21" i="2"/>
  <c r="N21" i="2"/>
  <c r="D22" i="2"/>
  <c r="K21" i="2"/>
  <c r="L21" i="2"/>
  <c r="O21" i="2"/>
  <c r="P21" i="2"/>
  <c r="Q21" i="2"/>
  <c r="I21" i="2"/>
  <c r="R21" i="2"/>
  <c r="H21" i="2"/>
  <c r="J509" i="18"/>
  <c r="L509" i="18"/>
  <c r="E509" i="18"/>
  <c r="D510" i="18"/>
  <c r="H509" i="18"/>
  <c r="Q509" i="18"/>
  <c r="R509" i="18"/>
  <c r="CA20" i="1"/>
  <c r="J134" i="12"/>
  <c r="R134" i="12"/>
  <c r="F134" i="12"/>
  <c r="N134" i="12"/>
  <c r="G134" i="12"/>
  <c r="O134" i="12"/>
  <c r="H134" i="12"/>
  <c r="P134" i="12"/>
  <c r="Q134" i="12"/>
  <c r="E134" i="12"/>
  <c r="I134" i="12"/>
  <c r="K134" i="12"/>
  <c r="L134" i="12"/>
  <c r="M134" i="12"/>
  <c r="S134" i="12"/>
  <c r="R130" i="2"/>
  <c r="CB127" i="1" s="1"/>
  <c r="G19" i="1"/>
  <c r="Q375" i="2"/>
  <c r="BV276" i="1" s="1"/>
  <c r="BV663" i="1"/>
  <c r="C132" i="2"/>
  <c r="C255" i="2"/>
  <c r="C377" i="2"/>
  <c r="C13" i="1"/>
  <c r="C129" i="1"/>
  <c r="C556" i="1" s="1"/>
  <c r="C278" i="1"/>
  <c r="D278" i="1" s="1"/>
  <c r="CE22" i="1"/>
  <c r="CB436" i="1"/>
  <c r="E18" i="18"/>
  <c r="D19" i="18"/>
  <c r="G18" i="18"/>
  <c r="H18" i="18"/>
  <c r="J18" i="18"/>
  <c r="R18" i="18"/>
  <c r="Q18" i="18"/>
  <c r="I18" i="18"/>
  <c r="K18" i="18"/>
  <c r="K20" i="1"/>
  <c r="BH22" i="1"/>
  <c r="BD436" i="1"/>
  <c r="L23" i="1"/>
  <c r="AX23" i="1"/>
  <c r="K437" i="1"/>
  <c r="H17" i="8"/>
  <c r="H29" i="8" s="1"/>
  <c r="B11" i="18"/>
  <c r="A11" i="18"/>
  <c r="C11" i="18" s="1"/>
  <c r="AW20" i="1"/>
  <c r="H22" i="1"/>
  <c r="J6" i="8"/>
  <c r="J8" i="8"/>
  <c r="J10" i="8"/>
  <c r="J12" i="8"/>
  <c r="J2" i="8"/>
  <c r="J15" i="8"/>
  <c r="J7" i="8"/>
  <c r="K1" i="8"/>
  <c r="J14" i="8"/>
  <c r="J13" i="8"/>
  <c r="J11" i="8"/>
  <c r="J39" i="8"/>
  <c r="J9" i="8"/>
  <c r="Q130" i="2"/>
  <c r="BV127" i="1" s="1"/>
  <c r="P375" i="2"/>
  <c r="AF276" i="1" s="1"/>
  <c r="AF663" i="1"/>
  <c r="I375" i="2"/>
  <c r="AX276" i="1" s="1"/>
  <c r="AX663" i="1"/>
  <c r="A11" i="2"/>
  <c r="B11" i="2"/>
  <c r="I509" i="2"/>
  <c r="Q509" i="2"/>
  <c r="R509" i="2"/>
  <c r="K509" i="2"/>
  <c r="E509" i="2"/>
  <c r="D510" i="2"/>
  <c r="L509" i="2"/>
  <c r="H509" i="2"/>
  <c r="BN23" i="1"/>
  <c r="C498" i="2"/>
  <c r="C620" i="2" s="1"/>
  <c r="E619" i="18"/>
  <c r="M619" i="18"/>
  <c r="F619" i="18"/>
  <c r="O619" i="18"/>
  <c r="G619" i="18"/>
  <c r="P619" i="18"/>
  <c r="H619" i="18"/>
  <c r="Q619" i="18"/>
  <c r="I619" i="18"/>
  <c r="R619" i="18"/>
  <c r="L619" i="18"/>
  <c r="J619" i="18"/>
  <c r="K619" i="18"/>
  <c r="H23" i="8"/>
  <c r="H35" i="8" s="1"/>
  <c r="BD23" i="1"/>
  <c r="G436" i="1"/>
  <c r="D424" i="1"/>
  <c r="E424" i="1"/>
  <c r="AI437" i="1"/>
  <c r="A9" i="10"/>
  <c r="C132" i="18"/>
  <c r="C377" i="18"/>
  <c r="C255" i="18"/>
  <c r="A9" i="13"/>
  <c r="C9" i="13" s="1"/>
  <c r="C135" i="12"/>
  <c r="BU20" i="1"/>
  <c r="J130" i="2"/>
  <c r="X127" i="1" s="1"/>
  <c r="I130" i="2"/>
  <c r="AX127" i="1" s="1"/>
  <c r="J133" i="12"/>
  <c r="R133" i="12"/>
  <c r="F133" i="12"/>
  <c r="N133" i="12"/>
  <c r="G133" i="12"/>
  <c r="O133" i="12"/>
  <c r="H133" i="12"/>
  <c r="P133" i="12"/>
  <c r="Q133" i="12"/>
  <c r="E133" i="12"/>
  <c r="I133" i="12"/>
  <c r="K133" i="12"/>
  <c r="L133" i="12"/>
  <c r="M133" i="12"/>
  <c r="S133" i="12"/>
  <c r="C131" i="2"/>
  <c r="C254" i="2"/>
  <c r="C376" i="2"/>
  <c r="C12" i="1"/>
  <c r="C128" i="1"/>
  <c r="C555" i="1" s="1"/>
  <c r="C277" i="1"/>
  <c r="D277" i="1" s="1"/>
  <c r="F375" i="2"/>
  <c r="AB276" i="1" s="1"/>
  <c r="AB663" i="1"/>
  <c r="O375" i="2"/>
  <c r="BR276" i="1" s="1"/>
  <c r="BR663" i="1"/>
  <c r="A499" i="18"/>
  <c r="C499" i="18" s="1"/>
  <c r="C621" i="18" s="1"/>
  <c r="B499" i="18"/>
  <c r="C13" i="8"/>
  <c r="BM11" i="9"/>
  <c r="BY22" i="1"/>
  <c r="BV436" i="1"/>
  <c r="I21" i="1"/>
  <c r="BU437" i="1"/>
  <c r="AF23" i="1"/>
  <c r="Q20" i="1"/>
  <c r="H22" i="8"/>
  <c r="H34" i="8" s="1"/>
  <c r="I254" i="18"/>
  <c r="R254" i="18"/>
  <c r="J254" i="18"/>
  <c r="K254" i="18"/>
  <c r="L254" i="18"/>
  <c r="E254" i="18"/>
  <c r="O254" i="18"/>
  <c r="H254" i="18"/>
  <c r="M254" i="18"/>
  <c r="P254" i="18"/>
  <c r="Q254" i="18"/>
  <c r="F254" i="18"/>
  <c r="G254" i="18"/>
  <c r="G130" i="2"/>
  <c r="AP127" i="1" s="1"/>
  <c r="H127" i="1" s="1"/>
  <c r="P130" i="2"/>
  <c r="AF127" i="1" s="1"/>
  <c r="H21" i="8"/>
  <c r="H33" i="8" s="1"/>
  <c r="H375" i="2"/>
  <c r="R276" i="1" s="1"/>
  <c r="R663" i="1"/>
  <c r="G375" i="2"/>
  <c r="AP276" i="1" s="1"/>
  <c r="AP663" i="1"/>
  <c r="G620" i="18"/>
  <c r="P620" i="18"/>
  <c r="I620" i="18"/>
  <c r="R620" i="18"/>
  <c r="J620" i="18"/>
  <c r="K620" i="18"/>
  <c r="F620" i="18"/>
  <c r="O620" i="18"/>
  <c r="M620" i="18"/>
  <c r="E620" i="18"/>
  <c r="L620" i="18"/>
  <c r="Q620" i="18"/>
  <c r="H620" i="18"/>
  <c r="U22" i="1"/>
  <c r="R436" i="1"/>
  <c r="BR23" i="1"/>
  <c r="CA437" i="1"/>
  <c r="L375" i="2"/>
  <c r="AJ276" i="1" s="1"/>
  <c r="AJ663" i="1"/>
  <c r="AM22" i="1"/>
  <c r="AJ437" i="1"/>
  <c r="AJ23" i="1"/>
  <c r="H24" i="8"/>
  <c r="H36" i="8" s="1"/>
  <c r="BV23" i="1"/>
  <c r="R23" i="1"/>
  <c r="W437" i="1"/>
  <c r="AO20" i="1"/>
  <c r="E425" i="1"/>
  <c r="D425" i="1"/>
  <c r="F131" i="18"/>
  <c r="AA128" i="1" s="1"/>
  <c r="P131" i="18"/>
  <c r="AE128" i="1" s="1"/>
  <c r="G131" i="18"/>
  <c r="AO128" i="1" s="1"/>
  <c r="I131" i="18"/>
  <c r="AW128" i="1" s="1"/>
  <c r="K131" i="18"/>
  <c r="BC128" i="1" s="1"/>
  <c r="E131" i="18"/>
  <c r="K128" i="1" s="1"/>
  <c r="L131" i="18"/>
  <c r="AI128" i="1" s="1"/>
  <c r="M131" i="18"/>
  <c r="BG128" i="1" s="1"/>
  <c r="O131" i="18"/>
  <c r="BQ128" i="1" s="1"/>
  <c r="A130" i="13"/>
  <c r="C130" i="13" s="1"/>
  <c r="H131" i="18"/>
  <c r="Q128" i="1" s="1"/>
  <c r="Q131" i="18"/>
  <c r="BU128" i="1" s="1"/>
  <c r="R131" i="18"/>
  <c r="CA128" i="1" s="1"/>
  <c r="J131" i="18"/>
  <c r="W128" i="1" s="1"/>
  <c r="I3" i="8"/>
  <c r="I4" i="8"/>
  <c r="I25" i="8" s="1"/>
  <c r="I37" i="8" s="1"/>
  <c r="O130" i="2"/>
  <c r="BR127" i="1" s="1"/>
  <c r="H435" i="1"/>
  <c r="K375" i="2"/>
  <c r="BD276" i="1" s="1"/>
  <c r="BD663" i="1"/>
  <c r="M375" i="2"/>
  <c r="BJ276" i="1" s="1"/>
  <c r="BJ663" i="1"/>
  <c r="O22" i="1"/>
  <c r="L436" i="1"/>
  <c r="H436" i="1" s="1"/>
  <c r="I22" i="8" l="1"/>
  <c r="I34" i="8" s="1"/>
  <c r="I23" i="8"/>
  <c r="I35" i="8" s="1"/>
  <c r="I17" i="8"/>
  <c r="I29" i="8" s="1"/>
  <c r="G128" i="1"/>
  <c r="L376" i="18"/>
  <c r="AI277" i="1" s="1"/>
  <c r="AI664" i="1"/>
  <c r="AJ24" i="1"/>
  <c r="G375" i="18"/>
  <c r="AO276" i="1" s="1"/>
  <c r="AO663" i="1"/>
  <c r="BD24" i="1"/>
  <c r="Q376" i="18"/>
  <c r="BU277" i="1" s="1"/>
  <c r="BU664" i="1"/>
  <c r="W664" i="1"/>
  <c r="J376" i="18"/>
  <c r="C14" i="8"/>
  <c r="BM12" i="9"/>
  <c r="I26" i="8"/>
  <c r="I38" i="8" s="1"/>
  <c r="L132" i="18"/>
  <c r="AI129" i="1" s="1"/>
  <c r="J132" i="18"/>
  <c r="W129" i="1" s="1"/>
  <c r="K132" i="18"/>
  <c r="BC129" i="1" s="1"/>
  <c r="M132" i="18"/>
  <c r="BG129" i="1" s="1"/>
  <c r="E132" i="18"/>
  <c r="K129" i="1" s="1"/>
  <c r="O132" i="18"/>
  <c r="BQ129" i="1" s="1"/>
  <c r="F132" i="18"/>
  <c r="AA129" i="1" s="1"/>
  <c r="P132" i="18"/>
  <c r="AE129" i="1" s="1"/>
  <c r="H132" i="18"/>
  <c r="Q129" i="1" s="1"/>
  <c r="I132" i="18"/>
  <c r="AW129" i="1" s="1"/>
  <c r="R132" i="18"/>
  <c r="CA129" i="1" s="1"/>
  <c r="Q132" i="18"/>
  <c r="BU129" i="1" s="1"/>
  <c r="A131" i="13"/>
  <c r="C131" i="13" s="1"/>
  <c r="G132" i="18"/>
  <c r="AO129" i="1" s="1"/>
  <c r="BH23" i="1"/>
  <c r="BD437" i="1"/>
  <c r="I20" i="8"/>
  <c r="I32" i="8" s="1"/>
  <c r="W21" i="1"/>
  <c r="R24" i="1"/>
  <c r="L22" i="2"/>
  <c r="M22" i="2"/>
  <c r="D23" i="2"/>
  <c r="E22" i="2"/>
  <c r="N22" i="2"/>
  <c r="O22" i="2"/>
  <c r="P22" i="2"/>
  <c r="H22" i="2"/>
  <c r="Q22" i="2"/>
  <c r="I22" i="2"/>
  <c r="R22" i="2"/>
  <c r="K22" i="2"/>
  <c r="G127" i="1"/>
  <c r="H375" i="18"/>
  <c r="Q276" i="1" s="1"/>
  <c r="Q663" i="1"/>
  <c r="P376" i="18"/>
  <c r="AE277" i="1" s="1"/>
  <c r="AE664" i="1"/>
  <c r="CA664" i="1"/>
  <c r="R376" i="18"/>
  <c r="CA277" i="1" s="1"/>
  <c r="CE23" i="1"/>
  <c r="CB437" i="1"/>
  <c r="BI413" i="1"/>
  <c r="J3" i="8"/>
  <c r="J4" i="8"/>
  <c r="J18" i="8" s="1"/>
  <c r="J30" i="8" s="1"/>
  <c r="G20" i="1"/>
  <c r="Q21" i="1"/>
  <c r="CA438" i="1"/>
  <c r="CB24" i="1"/>
  <c r="BN24" i="1"/>
  <c r="H276" i="1"/>
  <c r="Q375" i="18"/>
  <c r="BU276" i="1" s="1"/>
  <c r="BU663" i="1"/>
  <c r="A500" i="2"/>
  <c r="C500" i="2" s="1"/>
  <c r="C622" i="2" s="1"/>
  <c r="B500" i="2"/>
  <c r="K376" i="18"/>
  <c r="BC277" i="1" s="1"/>
  <c r="BC664" i="1"/>
  <c r="BG409" i="1"/>
  <c r="W438" i="1"/>
  <c r="M376" i="18"/>
  <c r="BG277" i="1" s="1"/>
  <c r="BG664" i="1"/>
  <c r="I376" i="18"/>
  <c r="AW277" i="1" s="1"/>
  <c r="AW664" i="1"/>
  <c r="A500" i="18"/>
  <c r="B500" i="18"/>
  <c r="D12" i="1"/>
  <c r="E12" i="1"/>
  <c r="F12" i="1"/>
  <c r="C426" i="1"/>
  <c r="BY23" i="1"/>
  <c r="BV437" i="1"/>
  <c r="A10" i="10"/>
  <c r="C256" i="18"/>
  <c r="C133" i="18"/>
  <c r="C378" i="18"/>
  <c r="A10" i="13"/>
  <c r="C10" i="13" s="1"/>
  <c r="C136" i="12"/>
  <c r="H23" i="1"/>
  <c r="AO21" i="1"/>
  <c r="F13" i="1"/>
  <c r="D13" i="1"/>
  <c r="E13" i="1"/>
  <c r="C427" i="1"/>
  <c r="I18" i="8"/>
  <c r="I30" i="8" s="1"/>
  <c r="BU438" i="1"/>
  <c r="AX24" i="1"/>
  <c r="BJ24" i="1"/>
  <c r="M375" i="18"/>
  <c r="BG276" i="1" s="1"/>
  <c r="BG663" i="1"/>
  <c r="F375" i="18"/>
  <c r="AA276" i="1" s="1"/>
  <c r="AA663" i="1"/>
  <c r="G376" i="18"/>
  <c r="AO277" i="1" s="1"/>
  <c r="AO664" i="1"/>
  <c r="K255" i="18"/>
  <c r="E255" i="18"/>
  <c r="O255" i="18"/>
  <c r="F255" i="18"/>
  <c r="P255" i="18"/>
  <c r="G255" i="18"/>
  <c r="Q255" i="18"/>
  <c r="I255" i="18"/>
  <c r="M255" i="18"/>
  <c r="R255" i="18"/>
  <c r="J255" i="18"/>
  <c r="H255" i="18"/>
  <c r="L255" i="18"/>
  <c r="H510" i="2"/>
  <c r="I510" i="2"/>
  <c r="Q510" i="2"/>
  <c r="K510" i="2"/>
  <c r="L510" i="2"/>
  <c r="D511" i="2"/>
  <c r="E510" i="2"/>
  <c r="R510" i="2"/>
  <c r="BU21" i="1"/>
  <c r="AW411" i="1"/>
  <c r="I22" i="1"/>
  <c r="I19" i="8"/>
  <c r="I31" i="8" s="1"/>
  <c r="H376" i="18"/>
  <c r="Q664" i="1"/>
  <c r="I621" i="18"/>
  <c r="R621" i="18"/>
  <c r="J621" i="18"/>
  <c r="K621" i="18"/>
  <c r="L621" i="18"/>
  <c r="E621" i="18"/>
  <c r="M621" i="18"/>
  <c r="H621" i="18"/>
  <c r="Q621" i="18"/>
  <c r="F621" i="18"/>
  <c r="G621" i="18"/>
  <c r="O621" i="18"/>
  <c r="P621" i="18"/>
  <c r="BA23" i="1"/>
  <c r="AX437" i="1"/>
  <c r="BG411" i="1"/>
  <c r="A12" i="18"/>
  <c r="B12" i="18"/>
  <c r="J19" i="18"/>
  <c r="R19" i="18"/>
  <c r="K19" i="18"/>
  <c r="E19" i="18"/>
  <c r="D20" i="18"/>
  <c r="H19" i="18"/>
  <c r="I19" i="18"/>
  <c r="G19" i="18"/>
  <c r="Q19" i="18"/>
  <c r="Q438" i="1"/>
  <c r="BV24" i="1"/>
  <c r="L24" i="1"/>
  <c r="I24" i="8"/>
  <c r="I36" i="8" s="1"/>
  <c r="L375" i="18"/>
  <c r="AI276" i="1" s="1"/>
  <c r="AI663" i="1"/>
  <c r="O375" i="18"/>
  <c r="BQ276" i="1" s="1"/>
  <c r="BQ663" i="1"/>
  <c r="L1" i="8"/>
  <c r="BI412" i="1" s="1"/>
  <c r="K2" i="8"/>
  <c r="K6" i="8"/>
  <c r="K7" i="8"/>
  <c r="K8" i="8"/>
  <c r="K10" i="8"/>
  <c r="K12" i="8"/>
  <c r="K13" i="8"/>
  <c r="K9" i="8"/>
  <c r="K11" i="8"/>
  <c r="K14" i="8"/>
  <c r="K15" i="8"/>
  <c r="K39" i="8"/>
  <c r="AY411" i="1"/>
  <c r="BI410" i="1"/>
  <c r="BC409" i="1"/>
  <c r="BE413" i="1"/>
  <c r="BI409" i="1"/>
  <c r="AW416" i="1"/>
  <c r="BE415" i="1"/>
  <c r="BG415" i="1"/>
  <c r="AW414" i="1"/>
  <c r="BJ412" i="1"/>
  <c r="BE409" i="1"/>
  <c r="BJ410" i="1"/>
  <c r="AY413" i="1"/>
  <c r="BJ414" i="1"/>
  <c r="BE408" i="1"/>
  <c r="BE418" i="1" s="1"/>
  <c r="BE411" i="1"/>
  <c r="BC412" i="1"/>
  <c r="BC415" i="1"/>
  <c r="BG410" i="1"/>
  <c r="BJ411" i="1"/>
  <c r="AI438" i="1"/>
  <c r="F376" i="18"/>
  <c r="AA664" i="1"/>
  <c r="O23" i="1"/>
  <c r="L437" i="1"/>
  <c r="CA21" i="1"/>
  <c r="R375" i="18"/>
  <c r="CA276" i="1" s="1"/>
  <c r="CA663" i="1"/>
  <c r="I21" i="8"/>
  <c r="I33" i="8" s="1"/>
  <c r="O376" i="18"/>
  <c r="BQ277" i="1" s="1"/>
  <c r="BQ664" i="1"/>
  <c r="C664" i="1"/>
  <c r="P254" i="2"/>
  <c r="N254" i="2"/>
  <c r="N376" i="2" s="1"/>
  <c r="BN277" i="1" s="1"/>
  <c r="J254" i="2"/>
  <c r="Q254" i="2"/>
  <c r="G254" i="2"/>
  <c r="K254" i="2"/>
  <c r="I254" i="2"/>
  <c r="L254" i="2"/>
  <c r="O254" i="2"/>
  <c r="M254" i="2"/>
  <c r="R254" i="2"/>
  <c r="E254" i="2"/>
  <c r="H254" i="2"/>
  <c r="F254" i="2"/>
  <c r="J135" i="12"/>
  <c r="R135" i="12"/>
  <c r="F135" i="12"/>
  <c r="N135" i="12"/>
  <c r="G135" i="12"/>
  <c r="O135" i="12"/>
  <c r="H135" i="12"/>
  <c r="P135" i="12"/>
  <c r="Q135" i="12"/>
  <c r="E135" i="12"/>
  <c r="I135" i="12"/>
  <c r="K135" i="12"/>
  <c r="L135" i="12"/>
  <c r="M135" i="12"/>
  <c r="S135" i="12"/>
  <c r="U23" i="1"/>
  <c r="R437" i="1"/>
  <c r="B12" i="2"/>
  <c r="A12" i="2"/>
  <c r="C12" i="2" s="1"/>
  <c r="BI408" i="1"/>
  <c r="BE412" i="1"/>
  <c r="BI415" i="1"/>
  <c r="AY416" i="1"/>
  <c r="BC21" i="1"/>
  <c r="K21" i="1"/>
  <c r="C665" i="1"/>
  <c r="O255" i="2"/>
  <c r="J255" i="2"/>
  <c r="L255" i="2"/>
  <c r="N255" i="2"/>
  <c r="N377" i="2" s="1"/>
  <c r="BN278" i="1" s="1"/>
  <c r="G255" i="2"/>
  <c r="M255" i="2"/>
  <c r="R255" i="2"/>
  <c r="I255" i="2"/>
  <c r="P255" i="2"/>
  <c r="E255" i="2"/>
  <c r="K255" i="2"/>
  <c r="H255" i="2"/>
  <c r="F255" i="2"/>
  <c r="Q255" i="2"/>
  <c r="AY414" i="1"/>
  <c r="R510" i="18"/>
  <c r="J510" i="18"/>
  <c r="L510" i="18"/>
  <c r="Q510" i="18"/>
  <c r="D511" i="18"/>
  <c r="H510" i="18"/>
  <c r="E510" i="18"/>
  <c r="AF24" i="1"/>
  <c r="K375" i="18"/>
  <c r="BC276" i="1" s="1"/>
  <c r="BC663" i="1"/>
  <c r="E375" i="18"/>
  <c r="K276" i="1" s="1"/>
  <c r="K663" i="1"/>
  <c r="J375" i="18"/>
  <c r="W276" i="1" s="1"/>
  <c r="W663" i="1"/>
  <c r="E376" i="18"/>
  <c r="K664" i="1"/>
  <c r="E131" i="2"/>
  <c r="L128" i="1" s="1"/>
  <c r="M131" i="2"/>
  <c r="BJ128" i="1" s="1"/>
  <c r="F131" i="2"/>
  <c r="AB128" i="1" s="1"/>
  <c r="N131" i="2"/>
  <c r="BN128" i="1" s="1"/>
  <c r="I131" i="2"/>
  <c r="AX128" i="1" s="1"/>
  <c r="Q131" i="2"/>
  <c r="BV128" i="1" s="1"/>
  <c r="J131" i="2"/>
  <c r="X128" i="1" s="1"/>
  <c r="R131" i="2"/>
  <c r="CB128" i="1" s="1"/>
  <c r="G131" i="2"/>
  <c r="AP128" i="1" s="1"/>
  <c r="L131" i="2"/>
  <c r="O131" i="2"/>
  <c r="BR128" i="1" s="1"/>
  <c r="H131" i="2"/>
  <c r="R128" i="1" s="1"/>
  <c r="K131" i="2"/>
  <c r="BD128" i="1" s="1"/>
  <c r="P131" i="2"/>
  <c r="AF128" i="1" s="1"/>
  <c r="AT127" i="1"/>
  <c r="AM23" i="1"/>
  <c r="AJ438" i="1"/>
  <c r="C11" i="2"/>
  <c r="BJ409" i="1"/>
  <c r="BG413" i="1"/>
  <c r="AW413" i="1"/>
  <c r="G437" i="1"/>
  <c r="AW21" i="1"/>
  <c r="F132" i="2"/>
  <c r="AB129" i="1" s="1"/>
  <c r="N132" i="2"/>
  <c r="BN129" i="1" s="1"/>
  <c r="G132" i="2"/>
  <c r="AP129" i="1" s="1"/>
  <c r="O132" i="2"/>
  <c r="BR129" i="1" s="1"/>
  <c r="J132" i="2"/>
  <c r="X129" i="1" s="1"/>
  <c r="R132" i="2"/>
  <c r="CB129" i="1" s="1"/>
  <c r="K132" i="2"/>
  <c r="BD129" i="1" s="1"/>
  <c r="E132" i="2"/>
  <c r="L129" i="1" s="1"/>
  <c r="H132" i="2"/>
  <c r="R129" i="1" s="1"/>
  <c r="M132" i="2"/>
  <c r="BJ129" i="1" s="1"/>
  <c r="P132" i="2"/>
  <c r="AF129" i="1" s="1"/>
  <c r="L132" i="2"/>
  <c r="Q132" i="2"/>
  <c r="BV129" i="1" s="1"/>
  <c r="I132" i="2"/>
  <c r="AX129" i="1" s="1"/>
  <c r="BC414" i="1"/>
  <c r="K438" i="1"/>
  <c r="BR24" i="1"/>
  <c r="I375" i="18"/>
  <c r="AW276" i="1" s="1"/>
  <c r="AW663" i="1"/>
  <c r="P375" i="18"/>
  <c r="AE276" i="1" s="1"/>
  <c r="AE663" i="1"/>
  <c r="J21" i="8" l="1"/>
  <c r="J33" i="8" s="1"/>
  <c r="J25" i="8"/>
  <c r="J37" i="8" s="1"/>
  <c r="J19" i="8"/>
  <c r="J31" i="8" s="1"/>
  <c r="J22" i="8"/>
  <c r="J34" i="8" s="1"/>
  <c r="J20" i="8"/>
  <c r="J32" i="8" s="1"/>
  <c r="J24" i="8"/>
  <c r="J36" i="8" s="1"/>
  <c r="BG414" i="1"/>
  <c r="J26" i="8"/>
  <c r="J38" i="8" s="1"/>
  <c r="J23" i="8"/>
  <c r="J35" i="8" s="1"/>
  <c r="BE410" i="1"/>
  <c r="J17" i="8"/>
  <c r="J29" i="8" s="1"/>
  <c r="W439" i="1"/>
  <c r="E376" i="2"/>
  <c r="L664" i="1"/>
  <c r="Q22" i="1"/>
  <c r="K377" i="18"/>
  <c r="BC278" i="1" s="1"/>
  <c r="BC665" i="1"/>
  <c r="AJ25" i="1"/>
  <c r="I377" i="2"/>
  <c r="AX278" i="1" s="1"/>
  <c r="AX665" i="1"/>
  <c r="R376" i="2"/>
  <c r="CB277" i="1" s="1"/>
  <c r="CB664" i="1"/>
  <c r="H20" i="18"/>
  <c r="I20" i="18"/>
  <c r="Q20" i="18"/>
  <c r="J20" i="18"/>
  <c r="R20" i="18"/>
  <c r="K20" i="18"/>
  <c r="D21" i="18"/>
  <c r="G20" i="18"/>
  <c r="E20" i="18"/>
  <c r="BY24" i="1"/>
  <c r="BV438" i="1"/>
  <c r="D427" i="1"/>
  <c r="E427" i="1"/>
  <c r="R25" i="1"/>
  <c r="R377" i="2"/>
  <c r="CB278" i="1" s="1"/>
  <c r="CB665" i="1"/>
  <c r="G21" i="1"/>
  <c r="C134" i="2"/>
  <c r="C257" i="2"/>
  <c r="C379" i="2"/>
  <c r="C15" i="1"/>
  <c r="C131" i="1"/>
  <c r="C558" i="1" s="1"/>
  <c r="C280" i="1"/>
  <c r="D280" i="1" s="1"/>
  <c r="M376" i="2"/>
  <c r="BJ277" i="1" s="1"/>
  <c r="BJ664" i="1"/>
  <c r="K26" i="8"/>
  <c r="K38" i="8" s="1"/>
  <c r="K22" i="1"/>
  <c r="BA24" i="1"/>
  <c r="AX438" i="1"/>
  <c r="Q377" i="18"/>
  <c r="BU278" i="1" s="1"/>
  <c r="BU665" i="1"/>
  <c r="G277" i="1"/>
  <c r="CG277" i="1" s="1"/>
  <c r="D426" i="1"/>
  <c r="E426" i="1"/>
  <c r="AF25" i="1"/>
  <c r="C133" i="2"/>
  <c r="C256" i="2"/>
  <c r="C378" i="2"/>
  <c r="C14" i="1"/>
  <c r="C130" i="1"/>
  <c r="C557" i="1" s="1"/>
  <c r="C279" i="1"/>
  <c r="D279" i="1" s="1"/>
  <c r="K439" i="1"/>
  <c r="Q377" i="2"/>
  <c r="BV278" i="1" s="1"/>
  <c r="BV665" i="1"/>
  <c r="M377" i="2"/>
  <c r="BJ278" i="1" s="1"/>
  <c r="BJ665" i="1"/>
  <c r="A13" i="2"/>
  <c r="C13" i="2" s="1"/>
  <c r="B13" i="2"/>
  <c r="O376" i="2"/>
  <c r="BR277" i="1" s="1"/>
  <c r="BR664" i="1"/>
  <c r="P376" i="2"/>
  <c r="AF277" i="1" s="1"/>
  <c r="AF664" i="1"/>
  <c r="BJ416" i="1"/>
  <c r="BI416" i="1"/>
  <c r="K17" i="8"/>
  <c r="K29" i="8" s="1"/>
  <c r="BC22" i="1"/>
  <c r="U24" i="1"/>
  <c r="R438" i="1"/>
  <c r="AO665" i="1"/>
  <c r="G377" i="18"/>
  <c r="AO278" i="1" s="1"/>
  <c r="BR25" i="1"/>
  <c r="O377" i="2"/>
  <c r="BR278" i="1" s="1"/>
  <c r="BR665" i="1"/>
  <c r="Q376" i="2"/>
  <c r="BV277" i="1" s="1"/>
  <c r="BV664" i="1"/>
  <c r="BH24" i="1"/>
  <c r="BD438" i="1"/>
  <c r="J136" i="12"/>
  <c r="R136" i="12"/>
  <c r="F136" i="12"/>
  <c r="N136" i="12"/>
  <c r="G136" i="12"/>
  <c r="O136" i="12"/>
  <c r="H136" i="12"/>
  <c r="P136" i="12"/>
  <c r="Q136" i="12"/>
  <c r="E136" i="12"/>
  <c r="I136" i="12"/>
  <c r="K136" i="12"/>
  <c r="L136" i="12"/>
  <c r="M136" i="12"/>
  <c r="S136" i="12"/>
  <c r="G438" i="1"/>
  <c r="AJ128" i="1"/>
  <c r="H128" i="1" s="1"/>
  <c r="BA128" i="1"/>
  <c r="Q439" i="1"/>
  <c r="F377" i="2"/>
  <c r="AB278" i="1" s="1"/>
  <c r="AB665" i="1"/>
  <c r="G377" i="2"/>
  <c r="AP278" i="1" s="1"/>
  <c r="AP665" i="1"/>
  <c r="L376" i="2"/>
  <c r="AJ277" i="1" s="1"/>
  <c r="AJ664" i="1"/>
  <c r="AY410" i="1"/>
  <c r="BE414" i="1"/>
  <c r="K22" i="8"/>
  <c r="K34" i="8" s="1"/>
  <c r="K3" i="8"/>
  <c r="K4" i="8"/>
  <c r="K18" i="8" s="1"/>
  <c r="K30" i="8" s="1"/>
  <c r="CA22" i="1"/>
  <c r="CE24" i="1"/>
  <c r="CB438" i="1"/>
  <c r="L377" i="18"/>
  <c r="AI278" i="1" s="1"/>
  <c r="AI665" i="1"/>
  <c r="P377" i="18"/>
  <c r="AE278" i="1" s="1"/>
  <c r="AE665" i="1"/>
  <c r="F133" i="18"/>
  <c r="AA130" i="1" s="1"/>
  <c r="E133" i="18"/>
  <c r="K130" i="1" s="1"/>
  <c r="P133" i="18"/>
  <c r="AE130" i="1" s="1"/>
  <c r="G133" i="18"/>
  <c r="AO130" i="1" s="1"/>
  <c r="Q133" i="18"/>
  <c r="BU130" i="1" s="1"/>
  <c r="I133" i="18"/>
  <c r="AW130" i="1" s="1"/>
  <c r="M133" i="18"/>
  <c r="BG130" i="1" s="1"/>
  <c r="L133" i="18"/>
  <c r="AI130" i="1" s="1"/>
  <c r="A132" i="13"/>
  <c r="C132" i="13" s="1"/>
  <c r="O133" i="18"/>
  <c r="BQ130" i="1" s="1"/>
  <c r="K133" i="18"/>
  <c r="BC130" i="1" s="1"/>
  <c r="H133" i="18"/>
  <c r="Q130" i="1" s="1"/>
  <c r="R133" i="18"/>
  <c r="CA130" i="1" s="1"/>
  <c r="J133" i="18"/>
  <c r="W130" i="1" s="1"/>
  <c r="BN25" i="1"/>
  <c r="BV25" i="1"/>
  <c r="C15" i="8"/>
  <c r="BM13" i="9"/>
  <c r="CA439" i="1"/>
  <c r="J376" i="2"/>
  <c r="X664" i="1"/>
  <c r="I377" i="18"/>
  <c r="AW278" i="1" s="1"/>
  <c r="AW665" i="1"/>
  <c r="G276" i="1"/>
  <c r="H511" i="18"/>
  <c r="Q511" i="18"/>
  <c r="R511" i="18"/>
  <c r="J511" i="18"/>
  <c r="E511" i="18"/>
  <c r="D512" i="18"/>
  <c r="L511" i="18"/>
  <c r="H377" i="2"/>
  <c r="R665" i="1"/>
  <c r="I376" i="2"/>
  <c r="AX277" i="1" s="1"/>
  <c r="AX664" i="1"/>
  <c r="H437" i="1"/>
  <c r="K20" i="8"/>
  <c r="K32" i="8" s="1"/>
  <c r="L2" i="8"/>
  <c r="L6" i="8"/>
  <c r="L8" i="8"/>
  <c r="L10" i="8"/>
  <c r="L12" i="8"/>
  <c r="L14" i="8"/>
  <c r="M1" i="8"/>
  <c r="L7" i="8"/>
  <c r="L15" i="8"/>
  <c r="L13" i="8"/>
  <c r="L9" i="8"/>
  <c r="L11" i="8"/>
  <c r="L39" i="8"/>
  <c r="AW415" i="1"/>
  <c r="BJ408" i="1"/>
  <c r="BJ418" i="1" s="1"/>
  <c r="BC416" i="1"/>
  <c r="BC411" i="1"/>
  <c r="AW412" i="1"/>
  <c r="H24" i="1"/>
  <c r="BU22" i="1"/>
  <c r="W22" i="1"/>
  <c r="O24" i="1"/>
  <c r="I24" i="1" s="1"/>
  <c r="L438" i="1"/>
  <c r="H438" i="1" s="1"/>
  <c r="H377" i="18"/>
  <c r="Q665" i="1"/>
  <c r="F377" i="18"/>
  <c r="AA278" i="1" s="1"/>
  <c r="AA665" i="1"/>
  <c r="E256" i="18"/>
  <c r="M256" i="18"/>
  <c r="I256" i="18"/>
  <c r="J256" i="18"/>
  <c r="K256" i="18"/>
  <c r="O256" i="18"/>
  <c r="R256" i="18"/>
  <c r="F256" i="18"/>
  <c r="G256" i="18"/>
  <c r="H256" i="18"/>
  <c r="P256" i="18"/>
  <c r="L256" i="18"/>
  <c r="Q256" i="18"/>
  <c r="A501" i="2"/>
  <c r="B501" i="2"/>
  <c r="BD25" i="1"/>
  <c r="L25" i="1"/>
  <c r="G129" i="1"/>
  <c r="M377" i="18"/>
  <c r="BG278" i="1" s="1"/>
  <c r="BG665" i="1"/>
  <c r="AJ129" i="1"/>
  <c r="BA129" i="1"/>
  <c r="K19" i="8"/>
  <c r="K31" i="8" s="1"/>
  <c r="BU439" i="1"/>
  <c r="K377" i="2"/>
  <c r="BD278" i="1" s="1"/>
  <c r="BD665" i="1"/>
  <c r="L377" i="2"/>
  <c r="AJ278" i="1" s="1"/>
  <c r="AJ665" i="1"/>
  <c r="F376" i="2"/>
  <c r="AB664" i="1"/>
  <c r="K376" i="2"/>
  <c r="BD277" i="1" s="1"/>
  <c r="BD664" i="1"/>
  <c r="I23" i="1"/>
  <c r="K24" i="8"/>
  <c r="K36" i="8" s="1"/>
  <c r="AO22" i="1"/>
  <c r="B13" i="18"/>
  <c r="A13" i="18"/>
  <c r="C13" i="18" s="1"/>
  <c r="E511" i="2"/>
  <c r="D512" i="2"/>
  <c r="I511" i="2"/>
  <c r="Q511" i="2"/>
  <c r="R511" i="2"/>
  <c r="K511" i="2"/>
  <c r="L511" i="2"/>
  <c r="H511" i="2"/>
  <c r="J377" i="18"/>
  <c r="W278" i="1" s="1"/>
  <c r="W665" i="1"/>
  <c r="O377" i="18"/>
  <c r="BQ278" i="1" s="1"/>
  <c r="BQ665" i="1"/>
  <c r="B501" i="18"/>
  <c r="A501" i="18"/>
  <c r="L622" i="2"/>
  <c r="AM130" i="1" s="1"/>
  <c r="F622" i="2"/>
  <c r="O622" i="2"/>
  <c r="G622" i="2"/>
  <c r="P622" i="2"/>
  <c r="H622" i="2"/>
  <c r="U130" i="1" s="1"/>
  <c r="Q622" i="2"/>
  <c r="BY130" i="1" s="1"/>
  <c r="I622" i="2"/>
  <c r="R622" i="2"/>
  <c r="CE130" i="1" s="1"/>
  <c r="M622" i="2"/>
  <c r="E622" i="2"/>
  <c r="O130" i="1" s="1"/>
  <c r="I130" i="1" s="1"/>
  <c r="J622" i="2"/>
  <c r="N622" i="2"/>
  <c r="K622" i="2"/>
  <c r="CB25" i="1"/>
  <c r="R23" i="2"/>
  <c r="L23" i="2"/>
  <c r="E23" i="2"/>
  <c r="M23" i="2"/>
  <c r="D24" i="2"/>
  <c r="N23" i="2"/>
  <c r="O23" i="2"/>
  <c r="H23" i="2"/>
  <c r="P23" i="2"/>
  <c r="I23" i="2"/>
  <c r="Q23" i="2"/>
  <c r="K23" i="2"/>
  <c r="P377" i="2"/>
  <c r="AF278" i="1" s="1"/>
  <c r="AF665" i="1"/>
  <c r="AT128" i="1"/>
  <c r="H129" i="1"/>
  <c r="AT129" i="1"/>
  <c r="AI439" i="1"/>
  <c r="E377" i="2"/>
  <c r="L665" i="1"/>
  <c r="J377" i="2"/>
  <c r="X278" i="1" s="1"/>
  <c r="X665" i="1"/>
  <c r="H376" i="2"/>
  <c r="R664" i="1"/>
  <c r="G376" i="2"/>
  <c r="AP277" i="1" s="1"/>
  <c r="AP664" i="1"/>
  <c r="BJ415" i="1"/>
  <c r="AY415" i="1"/>
  <c r="K23" i="8"/>
  <c r="K35" i="8" s="1"/>
  <c r="AW22" i="1"/>
  <c r="C12" i="18"/>
  <c r="AM24" i="1"/>
  <c r="AJ439" i="1"/>
  <c r="R377" i="18"/>
  <c r="CA278" i="1" s="1"/>
  <c r="CA665" i="1"/>
  <c r="E377" i="18"/>
  <c r="K665" i="1"/>
  <c r="C500" i="18"/>
  <c r="C622" i="18" s="1"/>
  <c r="AX25" i="1"/>
  <c r="BJ25" i="1"/>
  <c r="G378" i="18" l="1"/>
  <c r="AO279" i="1" s="1"/>
  <c r="AO666" i="1"/>
  <c r="E378" i="18"/>
  <c r="K279" i="1" s="1"/>
  <c r="K666" i="1"/>
  <c r="BU440" i="1"/>
  <c r="G130" i="1"/>
  <c r="E14" i="1"/>
  <c r="D14" i="1"/>
  <c r="F14" i="1"/>
  <c r="C428" i="1"/>
  <c r="AW23" i="1"/>
  <c r="AX26" i="1"/>
  <c r="L18" i="8"/>
  <c r="L30" i="8" s="1"/>
  <c r="I378" i="18"/>
  <c r="AW279" i="1" s="1"/>
  <c r="AW666" i="1"/>
  <c r="R26" i="1"/>
  <c r="A12" i="10"/>
  <c r="C258" i="18"/>
  <c r="C135" i="18"/>
  <c r="C380" i="18"/>
  <c r="A12" i="13"/>
  <c r="C12" i="13" s="1"/>
  <c r="C138" i="12"/>
  <c r="BU23" i="1"/>
  <c r="BR26" i="1"/>
  <c r="AM25" i="1"/>
  <c r="AJ440" i="1"/>
  <c r="A14" i="18"/>
  <c r="C14" i="18" s="1"/>
  <c r="B14" i="18"/>
  <c r="H25" i="1"/>
  <c r="K622" i="18"/>
  <c r="L622" i="18"/>
  <c r="E622" i="18"/>
  <c r="M622" i="18"/>
  <c r="F622" i="18"/>
  <c r="O622" i="18"/>
  <c r="G622" i="18"/>
  <c r="P622" i="18"/>
  <c r="J622" i="18"/>
  <c r="H622" i="18"/>
  <c r="R622" i="18"/>
  <c r="I622" i="18"/>
  <c r="Q622" i="18"/>
  <c r="BN26" i="1"/>
  <c r="AV130" i="1"/>
  <c r="C501" i="18"/>
  <c r="C623" i="18" s="1"/>
  <c r="BH25" i="1"/>
  <c r="BD439" i="1"/>
  <c r="F378" i="18"/>
  <c r="AA279" i="1" s="1"/>
  <c r="AA666" i="1"/>
  <c r="Q440" i="1"/>
  <c r="K21" i="8"/>
  <c r="K33" i="8" s="1"/>
  <c r="G22" i="1"/>
  <c r="K23" i="1"/>
  <c r="Q23" i="1"/>
  <c r="L378" i="18"/>
  <c r="AI279" i="1" s="1"/>
  <c r="AI666" i="1"/>
  <c r="AF26" i="1"/>
  <c r="P378" i="18"/>
  <c r="AE279" i="1" s="1"/>
  <c r="AE666" i="1"/>
  <c r="U25" i="1"/>
  <c r="R439" i="1"/>
  <c r="A502" i="18"/>
  <c r="B502" i="18"/>
  <c r="D15" i="1"/>
  <c r="E15" i="1"/>
  <c r="F15" i="1"/>
  <c r="C429" i="1"/>
  <c r="AO23" i="1"/>
  <c r="AJ26" i="1"/>
  <c r="W666" i="1"/>
  <c r="J378" i="18"/>
  <c r="W279" i="1" s="1"/>
  <c r="K440" i="1"/>
  <c r="C135" i="2"/>
  <c r="C258" i="2"/>
  <c r="C380" i="2"/>
  <c r="C16" i="1"/>
  <c r="C132" i="1"/>
  <c r="C559" i="1" s="1"/>
  <c r="C281" i="1"/>
  <c r="D281" i="1" s="1"/>
  <c r="J134" i="2"/>
  <c r="X131" i="1" s="1"/>
  <c r="K134" i="2"/>
  <c r="BD131" i="1" s="1"/>
  <c r="F134" i="2"/>
  <c r="AB131" i="1" s="1"/>
  <c r="N134" i="2"/>
  <c r="BN131" i="1" s="1"/>
  <c r="G134" i="2"/>
  <c r="AP131" i="1" s="1"/>
  <c r="O134" i="2"/>
  <c r="BR131" i="1" s="1"/>
  <c r="P134" i="2"/>
  <c r="AF131" i="1" s="1"/>
  <c r="Q134" i="2"/>
  <c r="BV131" i="1" s="1"/>
  <c r="L134" i="2"/>
  <c r="AJ131" i="1" s="1"/>
  <c r="H134" i="2"/>
  <c r="R131" i="1" s="1"/>
  <c r="M134" i="2"/>
  <c r="BJ131" i="1" s="1"/>
  <c r="E134" i="2"/>
  <c r="L131" i="1" s="1"/>
  <c r="O25" i="1"/>
  <c r="I25" i="1" s="1"/>
  <c r="L439" i="1"/>
  <c r="M7" i="8"/>
  <c r="M9" i="8"/>
  <c r="M11" i="8"/>
  <c r="M2" i="8"/>
  <c r="N1" i="8"/>
  <c r="M6" i="8"/>
  <c r="M14" i="8"/>
  <c r="M13" i="8"/>
  <c r="M15" i="8"/>
  <c r="M8" i="8"/>
  <c r="M10" i="8"/>
  <c r="M39" i="8"/>
  <c r="M12" i="8"/>
  <c r="W23" i="1"/>
  <c r="Q666" i="1"/>
  <c r="H378" i="18"/>
  <c r="Q279" i="1" s="1"/>
  <c r="A11" i="10"/>
  <c r="R134" i="2" s="1"/>
  <c r="CB131" i="1" s="1"/>
  <c r="C134" i="18"/>
  <c r="C257" i="18"/>
  <c r="C379" i="18"/>
  <c r="A11" i="13"/>
  <c r="C11" i="13" s="1"/>
  <c r="C137" i="12"/>
  <c r="H24" i="2"/>
  <c r="P24" i="2"/>
  <c r="L24" i="2"/>
  <c r="M24" i="2"/>
  <c r="D25" i="2"/>
  <c r="E24" i="2"/>
  <c r="N24" i="2"/>
  <c r="O24" i="2"/>
  <c r="Q24" i="2"/>
  <c r="I24" i="2"/>
  <c r="R24" i="2"/>
  <c r="K24" i="2"/>
  <c r="BD26" i="1"/>
  <c r="BY25" i="1"/>
  <c r="BV439" i="1"/>
  <c r="O378" i="18"/>
  <c r="BQ279" i="1" s="1"/>
  <c r="BQ666" i="1"/>
  <c r="G278" i="1"/>
  <c r="CG278" i="1" s="1"/>
  <c r="AI440" i="1"/>
  <c r="CG276" i="1"/>
  <c r="K25" i="8"/>
  <c r="K37" i="8" s="1"/>
  <c r="G439" i="1"/>
  <c r="M133" i="2"/>
  <c r="BJ130" i="1" s="1"/>
  <c r="AT130" i="1" s="1"/>
  <c r="N133" i="2"/>
  <c r="BN130" i="1" s="1"/>
  <c r="F133" i="2"/>
  <c r="AB130" i="1" s="1"/>
  <c r="G133" i="2"/>
  <c r="AP130" i="1" s="1"/>
  <c r="D22" i="18"/>
  <c r="G21" i="18"/>
  <c r="H21" i="18"/>
  <c r="I21" i="18"/>
  <c r="Q21" i="18"/>
  <c r="J21" i="18"/>
  <c r="R21" i="18"/>
  <c r="E21" i="18"/>
  <c r="K21" i="18"/>
  <c r="K512" i="2"/>
  <c r="L512" i="2"/>
  <c r="E512" i="2"/>
  <c r="H512" i="2"/>
  <c r="I512" i="2"/>
  <c r="D513" i="2"/>
  <c r="Q512" i="2"/>
  <c r="R512" i="2"/>
  <c r="CA23" i="1"/>
  <c r="CB26" i="1"/>
  <c r="A502" i="2"/>
  <c r="C502" i="2" s="1"/>
  <c r="C624" i="2" s="1"/>
  <c r="B502" i="2"/>
  <c r="W440" i="1"/>
  <c r="C501" i="2"/>
  <c r="C623" i="2" s="1"/>
  <c r="M378" i="18"/>
  <c r="BG279" i="1" s="1"/>
  <c r="BG666" i="1"/>
  <c r="CA440" i="1"/>
  <c r="CE25" i="1"/>
  <c r="CB439" i="1"/>
  <c r="CA666" i="1"/>
  <c r="R378" i="18"/>
  <c r="CA279" i="1" s="1"/>
  <c r="C666" i="1"/>
  <c r="L256" i="2"/>
  <c r="M256" i="2"/>
  <c r="R256" i="2"/>
  <c r="K256" i="2"/>
  <c r="G256" i="2"/>
  <c r="N256" i="2"/>
  <c r="N378" i="2" s="1"/>
  <c r="BN279" i="1" s="1"/>
  <c r="I256" i="2"/>
  <c r="P256" i="2"/>
  <c r="E256" i="2"/>
  <c r="J256" i="2"/>
  <c r="H256" i="2"/>
  <c r="O256" i="2"/>
  <c r="Q256" i="2"/>
  <c r="F256" i="2"/>
  <c r="BJ26" i="1"/>
  <c r="BV26" i="1"/>
  <c r="L26" i="1"/>
  <c r="BA25" i="1"/>
  <c r="AX439" i="1"/>
  <c r="Q378" i="18"/>
  <c r="BU279" i="1" s="1"/>
  <c r="BU666" i="1"/>
  <c r="BC666" i="1"/>
  <c r="K378" i="18"/>
  <c r="BC279" i="1" s="1"/>
  <c r="L3" i="8"/>
  <c r="L4" i="8"/>
  <c r="L24" i="8" s="1"/>
  <c r="L36" i="8" s="1"/>
  <c r="H512" i="18"/>
  <c r="Q512" i="18"/>
  <c r="R512" i="18"/>
  <c r="J512" i="18"/>
  <c r="L512" i="18"/>
  <c r="E512" i="18"/>
  <c r="D513" i="18"/>
  <c r="A14" i="2"/>
  <c r="B14" i="2"/>
  <c r="C667" i="1"/>
  <c r="H257" i="2"/>
  <c r="R667" i="1" s="1"/>
  <c r="G257" i="2"/>
  <c r="I257" i="2"/>
  <c r="AX667" i="1" s="1"/>
  <c r="K257" i="2"/>
  <c r="BD667" i="1" s="1"/>
  <c r="Q257" i="2"/>
  <c r="BV667" i="1" s="1"/>
  <c r="M257" i="2"/>
  <c r="R257" i="2"/>
  <c r="CB667" i="1" s="1"/>
  <c r="L257" i="2"/>
  <c r="AJ667" i="1" s="1"/>
  <c r="P257" i="2"/>
  <c r="AF667" i="1" s="1"/>
  <c r="E257" i="2"/>
  <c r="L667" i="1" s="1"/>
  <c r="J257" i="2"/>
  <c r="N257" i="2"/>
  <c r="N379" i="2" s="1"/>
  <c r="BN280" i="1" s="1"/>
  <c r="F257" i="2"/>
  <c r="O257" i="2"/>
  <c r="BR667" i="1" s="1"/>
  <c r="BC23" i="1"/>
  <c r="Q378" i="2" l="1"/>
  <c r="BV279" i="1" s="1"/>
  <c r="BV666" i="1"/>
  <c r="BV27" i="1"/>
  <c r="A13" i="10"/>
  <c r="C136" i="18"/>
  <c r="C259" i="18"/>
  <c r="C381" i="18"/>
  <c r="A13" i="13"/>
  <c r="C13" i="13" s="1"/>
  <c r="C139" i="12"/>
  <c r="O135" i="18"/>
  <c r="BQ132" i="1" s="1"/>
  <c r="F135" i="18"/>
  <c r="AA132" i="1" s="1"/>
  <c r="P135" i="18"/>
  <c r="AE132" i="1" s="1"/>
  <c r="L135" i="18"/>
  <c r="AI132" i="1" s="1"/>
  <c r="M135" i="18"/>
  <c r="BG132" i="1" s="1"/>
  <c r="A134" i="13"/>
  <c r="C134" i="13" s="1"/>
  <c r="K135" i="18"/>
  <c r="BC132" i="1" s="1"/>
  <c r="H135" i="18"/>
  <c r="Q132" i="1" s="1"/>
  <c r="R135" i="18"/>
  <c r="CA132" i="1" s="1"/>
  <c r="Q135" i="18"/>
  <c r="BU132" i="1" s="1"/>
  <c r="J135" i="18"/>
  <c r="W132" i="1" s="1"/>
  <c r="I135" i="18"/>
  <c r="AW132" i="1" s="1"/>
  <c r="G135" i="18"/>
  <c r="AO132" i="1" s="1"/>
  <c r="E135" i="18"/>
  <c r="K132" i="1" s="1"/>
  <c r="M379" i="2"/>
  <c r="BJ280" i="1" s="1"/>
  <c r="BJ667" i="1"/>
  <c r="O378" i="2"/>
  <c r="BR279" i="1" s="1"/>
  <c r="BR666" i="1"/>
  <c r="BR27" i="1"/>
  <c r="D429" i="1"/>
  <c r="E429" i="1"/>
  <c r="H513" i="18"/>
  <c r="Q513" i="18"/>
  <c r="R513" i="18"/>
  <c r="L513" i="18"/>
  <c r="E513" i="18"/>
  <c r="J513" i="18"/>
  <c r="D514" i="18"/>
  <c r="K441" i="1"/>
  <c r="L26" i="8"/>
  <c r="L38" i="8" s="1"/>
  <c r="J378" i="2"/>
  <c r="X279" i="1" s="1"/>
  <c r="X666" i="1"/>
  <c r="M378" i="2"/>
  <c r="BJ279" i="1" s="1"/>
  <c r="BJ666" i="1"/>
  <c r="A503" i="2"/>
  <c r="B503" i="2"/>
  <c r="CE26" i="1"/>
  <c r="CB440" i="1"/>
  <c r="AO24" i="1"/>
  <c r="L27" i="1"/>
  <c r="M4" i="8"/>
  <c r="M22" i="8" s="1"/>
  <c r="M34" i="8" s="1"/>
  <c r="M3" i="8"/>
  <c r="C14" i="2"/>
  <c r="M17" i="8"/>
  <c r="M29" i="8" s="1"/>
  <c r="I258" i="18"/>
  <c r="R258" i="18"/>
  <c r="H258" i="18"/>
  <c r="J258" i="18"/>
  <c r="K258" i="18"/>
  <c r="M258" i="18"/>
  <c r="G258" i="18"/>
  <c r="L258" i="18"/>
  <c r="O258" i="18"/>
  <c r="P258" i="18"/>
  <c r="Q258" i="18"/>
  <c r="E258" i="18"/>
  <c r="F258" i="18"/>
  <c r="J379" i="2"/>
  <c r="X280" i="1" s="1"/>
  <c r="X667" i="1"/>
  <c r="AI441" i="1"/>
  <c r="H26" i="1"/>
  <c r="E378" i="2"/>
  <c r="L279" i="1" s="1"/>
  <c r="L666" i="1"/>
  <c r="L378" i="2"/>
  <c r="AJ279" i="1" s="1"/>
  <c r="AJ666" i="1"/>
  <c r="L624" i="2"/>
  <c r="AM132" i="1" s="1"/>
  <c r="M624" i="2"/>
  <c r="E624" i="2"/>
  <c r="O132" i="1" s="1"/>
  <c r="O624" i="2"/>
  <c r="G624" i="2"/>
  <c r="P624" i="2"/>
  <c r="J624" i="2"/>
  <c r="Q624" i="2"/>
  <c r="BY132" i="1" s="1"/>
  <c r="R624" i="2"/>
  <c r="CE132" i="1" s="1"/>
  <c r="I624" i="2"/>
  <c r="BA132" i="1" s="1"/>
  <c r="AV132" i="1" s="1"/>
  <c r="H624" i="2"/>
  <c r="U132" i="1" s="1"/>
  <c r="K624" i="2"/>
  <c r="BH132" i="1" s="1"/>
  <c r="N624" i="2"/>
  <c r="F624" i="2"/>
  <c r="BY26" i="1"/>
  <c r="BV440" i="1"/>
  <c r="BC24" i="1"/>
  <c r="E22" i="18"/>
  <c r="D23" i="18"/>
  <c r="G22" i="18"/>
  <c r="H22" i="18"/>
  <c r="J22" i="18"/>
  <c r="R22" i="18"/>
  <c r="Q22" i="18"/>
  <c r="I22" i="18"/>
  <c r="K22" i="18"/>
  <c r="L20" i="8"/>
  <c r="L32" i="8" s="1"/>
  <c r="N25" i="2"/>
  <c r="D26" i="2"/>
  <c r="K25" i="2"/>
  <c r="L25" i="2"/>
  <c r="E25" i="2"/>
  <c r="M25" i="2"/>
  <c r="O25" i="2"/>
  <c r="P25" i="2"/>
  <c r="H25" i="2"/>
  <c r="Q25" i="2"/>
  <c r="I25" i="2"/>
  <c r="R25" i="2"/>
  <c r="G257" i="18"/>
  <c r="P257" i="18"/>
  <c r="M257" i="18"/>
  <c r="E257" i="18"/>
  <c r="O257" i="18"/>
  <c r="F257" i="18"/>
  <c r="Q257" i="18"/>
  <c r="I257" i="18"/>
  <c r="H257" i="18"/>
  <c r="J257" i="18"/>
  <c r="K257" i="18"/>
  <c r="L257" i="18"/>
  <c r="R257" i="18"/>
  <c r="M21" i="8"/>
  <c r="M33" i="8" s="1"/>
  <c r="C668" i="1"/>
  <c r="R258" i="2"/>
  <c r="E258" i="2"/>
  <c r="G258" i="2"/>
  <c r="N258" i="2"/>
  <c r="N380" i="2" s="1"/>
  <c r="BN281" i="1" s="1"/>
  <c r="M258" i="2"/>
  <c r="I258" i="2"/>
  <c r="P258" i="2"/>
  <c r="J258" i="2"/>
  <c r="F258" i="2"/>
  <c r="L258" i="2"/>
  <c r="H258" i="2"/>
  <c r="O258" i="2"/>
  <c r="K258" i="2"/>
  <c r="Q258" i="2"/>
  <c r="L19" i="8"/>
  <c r="L31" i="8" s="1"/>
  <c r="G23" i="1"/>
  <c r="E623" i="18"/>
  <c r="M623" i="18"/>
  <c r="G623" i="18"/>
  <c r="P623" i="18"/>
  <c r="H623" i="18"/>
  <c r="Q623" i="18"/>
  <c r="I623" i="18"/>
  <c r="R623" i="18"/>
  <c r="L623" i="18"/>
  <c r="J623" i="18"/>
  <c r="K623" i="18"/>
  <c r="F623" i="18"/>
  <c r="O623" i="18"/>
  <c r="A15" i="2"/>
  <c r="B15" i="2"/>
  <c r="G378" i="2"/>
  <c r="AP279" i="1" s="1"/>
  <c r="AP666" i="1"/>
  <c r="BU24" i="1"/>
  <c r="W441" i="1"/>
  <c r="P378" i="2"/>
  <c r="AF279" i="1" s="1"/>
  <c r="AF666" i="1"/>
  <c r="I513" i="2"/>
  <c r="Q513" i="2"/>
  <c r="R513" i="2"/>
  <c r="K513" i="2"/>
  <c r="E513" i="2"/>
  <c r="D514" i="2"/>
  <c r="H513" i="2"/>
  <c r="L513" i="2"/>
  <c r="K24" i="1"/>
  <c r="BJ27" i="1"/>
  <c r="K134" i="18"/>
  <c r="BC131" i="1" s="1"/>
  <c r="L134" i="18"/>
  <c r="AI131" i="1" s="1"/>
  <c r="M134" i="18"/>
  <c r="BG131" i="1" s="1"/>
  <c r="O134" i="18"/>
  <c r="BQ131" i="1" s="1"/>
  <c r="F134" i="18"/>
  <c r="AA131" i="1" s="1"/>
  <c r="G134" i="18"/>
  <c r="AO131" i="1" s="1"/>
  <c r="P134" i="18"/>
  <c r="AE131" i="1" s="1"/>
  <c r="I134" i="18"/>
  <c r="AW131" i="1" s="1"/>
  <c r="A133" i="13"/>
  <c r="C133" i="13" s="1"/>
  <c r="H134" i="18"/>
  <c r="Q131" i="1" s="1"/>
  <c r="Q134" i="18"/>
  <c r="BU131" i="1" s="1"/>
  <c r="E134" i="18"/>
  <c r="K131" i="1" s="1"/>
  <c r="J134" i="18"/>
  <c r="W131" i="1" s="1"/>
  <c r="R134" i="18"/>
  <c r="CA131" i="1" s="1"/>
  <c r="M20" i="8"/>
  <c r="M32" i="8" s="1"/>
  <c r="K135" i="2"/>
  <c r="BD132" i="1" s="1"/>
  <c r="G135" i="2"/>
  <c r="AP132" i="1" s="1"/>
  <c r="O135" i="2"/>
  <c r="BR132" i="1" s="1"/>
  <c r="L135" i="2"/>
  <c r="AJ132" i="1" s="1"/>
  <c r="M135" i="2"/>
  <c r="BJ132" i="1" s="1"/>
  <c r="N135" i="2"/>
  <c r="BN132" i="1" s="1"/>
  <c r="H135" i="2"/>
  <c r="R132" i="1" s="1"/>
  <c r="R135" i="2"/>
  <c r="CB132" i="1" s="1"/>
  <c r="I135" i="2"/>
  <c r="AX132" i="1" s="1"/>
  <c r="E135" i="2"/>
  <c r="L132" i="1" s="1"/>
  <c r="P135" i="2"/>
  <c r="AF132" i="1" s="1"/>
  <c r="Q135" i="2"/>
  <c r="BV132" i="1" s="1"/>
  <c r="F135" i="2"/>
  <c r="AB132" i="1" s="1"/>
  <c r="J135" i="2"/>
  <c r="X132" i="1" s="1"/>
  <c r="A503" i="18"/>
  <c r="C503" i="18" s="1"/>
  <c r="C625" i="18" s="1"/>
  <c r="B503" i="18"/>
  <c r="L21" i="8"/>
  <c r="L33" i="8" s="1"/>
  <c r="J138" i="12"/>
  <c r="R138" i="12"/>
  <c r="F138" i="12"/>
  <c r="N138" i="12"/>
  <c r="G138" i="12"/>
  <c r="O138" i="12"/>
  <c r="H138" i="12"/>
  <c r="P138" i="12"/>
  <c r="Q138" i="12"/>
  <c r="E138" i="12"/>
  <c r="I138" i="12"/>
  <c r="K138" i="12"/>
  <c r="L138" i="12"/>
  <c r="M138" i="12"/>
  <c r="S138" i="12"/>
  <c r="CA441" i="1"/>
  <c r="I378" i="2"/>
  <c r="AX279" i="1" s="1"/>
  <c r="AX666" i="1"/>
  <c r="BA26" i="1"/>
  <c r="AX440" i="1"/>
  <c r="CA24" i="1"/>
  <c r="H130" i="1"/>
  <c r="CB27" i="1"/>
  <c r="AJ27" i="1"/>
  <c r="M26" i="8"/>
  <c r="M38" i="8" s="1"/>
  <c r="M18" i="8"/>
  <c r="M30" i="8" s="1"/>
  <c r="I134" i="2"/>
  <c r="AX131" i="1" s="1"/>
  <c r="AT131" i="1" s="1"/>
  <c r="C502" i="18"/>
  <c r="C624" i="18" s="1"/>
  <c r="L22" i="8"/>
  <c r="L34" i="8" s="1"/>
  <c r="E623" i="2"/>
  <c r="O131" i="1" s="1"/>
  <c r="M623" i="2"/>
  <c r="I623" i="2"/>
  <c r="BA131" i="1" s="1"/>
  <c r="R623" i="2"/>
  <c r="CE131" i="1" s="1"/>
  <c r="J623" i="2"/>
  <c r="K623" i="2"/>
  <c r="L623" i="2"/>
  <c r="AM131" i="1" s="1"/>
  <c r="P623" i="2"/>
  <c r="F623" i="2"/>
  <c r="H623" i="2"/>
  <c r="U131" i="1" s="1"/>
  <c r="N623" i="2"/>
  <c r="O623" i="2"/>
  <c r="Q623" i="2"/>
  <c r="BY131" i="1" s="1"/>
  <c r="G623" i="2"/>
  <c r="R27" i="1"/>
  <c r="G379" i="2"/>
  <c r="AP280" i="1" s="1"/>
  <c r="AP667" i="1"/>
  <c r="BD27" i="1"/>
  <c r="M19" i="8"/>
  <c r="M31" i="8" s="1"/>
  <c r="BU441" i="1"/>
  <c r="F378" i="2"/>
  <c r="AB279" i="1" s="1"/>
  <c r="AB666" i="1"/>
  <c r="U26" i="1"/>
  <c r="R440" i="1"/>
  <c r="W24" i="1"/>
  <c r="AX27" i="1"/>
  <c r="AF27" i="1"/>
  <c r="L25" i="8"/>
  <c r="L37" i="8" s="1"/>
  <c r="M24" i="8"/>
  <c r="M36" i="8" s="1"/>
  <c r="H439" i="1"/>
  <c r="G440" i="1"/>
  <c r="A15" i="18"/>
  <c r="B15" i="18"/>
  <c r="D428" i="1"/>
  <c r="E428" i="1"/>
  <c r="L23" i="8"/>
  <c r="L35" i="8" s="1"/>
  <c r="Q441" i="1"/>
  <c r="AM26" i="1"/>
  <c r="AJ441" i="1"/>
  <c r="O26" i="1"/>
  <c r="I26" i="1" s="1"/>
  <c r="L440" i="1"/>
  <c r="K378" i="2"/>
  <c r="BD279" i="1" s="1"/>
  <c r="BD666" i="1"/>
  <c r="AW24" i="1"/>
  <c r="L17" i="8"/>
  <c r="L29" i="8" s="1"/>
  <c r="J137" i="12"/>
  <c r="R137" i="12"/>
  <c r="F137" i="12"/>
  <c r="N137" i="12"/>
  <c r="G137" i="12"/>
  <c r="O137" i="12"/>
  <c r="H137" i="12"/>
  <c r="P137" i="12"/>
  <c r="Q137" i="12"/>
  <c r="E137" i="12"/>
  <c r="I137" i="12"/>
  <c r="K137" i="12"/>
  <c r="L137" i="12"/>
  <c r="M137" i="12"/>
  <c r="S137" i="12"/>
  <c r="G279" i="1"/>
  <c r="F379" i="2"/>
  <c r="AB280" i="1" s="1"/>
  <c r="H280" i="1" s="1"/>
  <c r="AB667" i="1"/>
  <c r="H378" i="2"/>
  <c r="R279" i="1" s="1"/>
  <c r="R666" i="1"/>
  <c r="R378" i="2"/>
  <c r="CB279" i="1" s="1"/>
  <c r="CB666" i="1"/>
  <c r="BH26" i="1"/>
  <c r="BD440" i="1"/>
  <c r="Q24" i="1"/>
  <c r="BN27" i="1"/>
  <c r="M23" i="8"/>
  <c r="M35" i="8" s="1"/>
  <c r="O1" i="8"/>
  <c r="N7" i="8"/>
  <c r="N9" i="8"/>
  <c r="N11" i="8"/>
  <c r="N2" i="8"/>
  <c r="N6" i="8"/>
  <c r="N8" i="8"/>
  <c r="N10" i="8"/>
  <c r="N12" i="8"/>
  <c r="N15" i="8"/>
  <c r="N13" i="8"/>
  <c r="N14" i="8"/>
  <c r="N39" i="8"/>
  <c r="H131" i="1"/>
  <c r="D16" i="1"/>
  <c r="E16" i="1"/>
  <c r="F16" i="1"/>
  <c r="C430" i="1"/>
  <c r="M25" i="8" l="1"/>
  <c r="M37" i="8" s="1"/>
  <c r="BJ28" i="1"/>
  <c r="P1" i="8"/>
  <c r="O2" i="8"/>
  <c r="O6" i="8"/>
  <c r="O9" i="8"/>
  <c r="O11" i="8"/>
  <c r="O13" i="8"/>
  <c r="O14" i="8"/>
  <c r="O15" i="8"/>
  <c r="O7" i="8"/>
  <c r="O8" i="8"/>
  <c r="O10" i="8"/>
  <c r="O12" i="8"/>
  <c r="O39" i="8"/>
  <c r="I131" i="1"/>
  <c r="A504" i="18"/>
  <c r="B504" i="18"/>
  <c r="O27" i="1"/>
  <c r="L441" i="1"/>
  <c r="C15" i="2"/>
  <c r="P380" i="2"/>
  <c r="AF281" i="1" s="1"/>
  <c r="AF668" i="1"/>
  <c r="BU667" i="1"/>
  <c r="Q379" i="18"/>
  <c r="BU280" i="1" s="1"/>
  <c r="AX28" i="1"/>
  <c r="BD28" i="1"/>
  <c r="W25" i="1"/>
  <c r="K668" i="1"/>
  <c r="E380" i="18"/>
  <c r="K281" i="1" s="1"/>
  <c r="W668" i="1"/>
  <c r="J380" i="18"/>
  <c r="W281" i="1" s="1"/>
  <c r="BE416" i="1"/>
  <c r="BC410" i="1"/>
  <c r="AW409" i="1"/>
  <c r="AY409" i="1"/>
  <c r="AY412" i="1"/>
  <c r="BJ417" i="1"/>
  <c r="BG412" i="1"/>
  <c r="BJ413" i="1"/>
  <c r="BI414" i="1"/>
  <c r="AW410" i="1"/>
  <c r="BC413" i="1"/>
  <c r="BI411" i="1"/>
  <c r="BC408" i="1"/>
  <c r="BC418" i="1" s="1"/>
  <c r="BG408" i="1"/>
  <c r="BG418" i="1" s="1"/>
  <c r="BG416" i="1"/>
  <c r="BI417" i="1"/>
  <c r="BU442" i="1"/>
  <c r="J139" i="12"/>
  <c r="R139" i="12"/>
  <c r="F139" i="12"/>
  <c r="N139" i="12"/>
  <c r="G139" i="12"/>
  <c r="O139" i="12"/>
  <c r="H139" i="12"/>
  <c r="P139" i="12"/>
  <c r="Q139" i="12"/>
  <c r="E139" i="12"/>
  <c r="I139" i="12"/>
  <c r="K139" i="12"/>
  <c r="L139" i="12"/>
  <c r="M139" i="12"/>
  <c r="S139" i="12"/>
  <c r="L380" i="2"/>
  <c r="AJ281" i="1" s="1"/>
  <c r="AJ668" i="1"/>
  <c r="AW25" i="1"/>
  <c r="K442" i="1"/>
  <c r="A16" i="18"/>
  <c r="C16" i="18" s="1"/>
  <c r="B16" i="18"/>
  <c r="N21" i="8"/>
  <c r="N33" i="8" s="1"/>
  <c r="CG279" i="1"/>
  <c r="H440" i="1"/>
  <c r="I625" i="18"/>
  <c r="K625" i="18"/>
  <c r="M625" i="18"/>
  <c r="O625" i="18"/>
  <c r="P625" i="18"/>
  <c r="G625" i="18"/>
  <c r="F625" i="18"/>
  <c r="E625" i="18"/>
  <c r="L625" i="18"/>
  <c r="J625" i="18"/>
  <c r="Q625" i="18"/>
  <c r="H625" i="18"/>
  <c r="R625" i="18"/>
  <c r="BH27" i="1"/>
  <c r="BD441" i="1"/>
  <c r="Q380" i="2"/>
  <c r="BV281" i="1" s="1"/>
  <c r="BV668" i="1"/>
  <c r="I380" i="2"/>
  <c r="AX281" i="1" s="1"/>
  <c r="AX668" i="1"/>
  <c r="F379" i="18"/>
  <c r="AA280" i="1" s="1"/>
  <c r="AA667" i="1"/>
  <c r="BV28" i="1"/>
  <c r="L26" i="2"/>
  <c r="K26" i="2"/>
  <c r="M26" i="2"/>
  <c r="D27" i="2"/>
  <c r="E26" i="2"/>
  <c r="N26" i="2"/>
  <c r="O26" i="2"/>
  <c r="P26" i="2"/>
  <c r="H26" i="2"/>
  <c r="Q26" i="2"/>
  <c r="I26" i="2"/>
  <c r="R26" i="2"/>
  <c r="Q25" i="1"/>
  <c r="BU668" i="1"/>
  <c r="Q380" i="18"/>
  <c r="BU281" i="1" s="1"/>
  <c r="Q668" i="1"/>
  <c r="H380" i="18"/>
  <c r="Q281" i="1" s="1"/>
  <c r="H27" i="1"/>
  <c r="G441" i="1"/>
  <c r="Q442" i="1"/>
  <c r="CE27" i="1"/>
  <c r="CB441" i="1"/>
  <c r="K380" i="2"/>
  <c r="BD281" i="1" s="1"/>
  <c r="BD668" i="1"/>
  <c r="CA667" i="1"/>
  <c r="R379" i="18"/>
  <c r="CA280" i="1" s="1"/>
  <c r="R28" i="1"/>
  <c r="AO25" i="1"/>
  <c r="G131" i="1"/>
  <c r="BY27" i="1"/>
  <c r="BV441" i="1"/>
  <c r="O380" i="2"/>
  <c r="BR281" i="1" s="1"/>
  <c r="BR668" i="1"/>
  <c r="L379" i="18"/>
  <c r="AI280" i="1" s="1"/>
  <c r="AI667" i="1"/>
  <c r="K667" i="1"/>
  <c r="E379" i="18"/>
  <c r="K280" i="1" s="1"/>
  <c r="AF28" i="1"/>
  <c r="J23" i="18"/>
  <c r="R23" i="18"/>
  <c r="K23" i="18"/>
  <c r="E23" i="18"/>
  <c r="D24" i="18"/>
  <c r="H23" i="18"/>
  <c r="Q23" i="18"/>
  <c r="I23" i="18"/>
  <c r="G23" i="18"/>
  <c r="O380" i="18"/>
  <c r="BQ281" i="1" s="1"/>
  <c r="BQ668" i="1"/>
  <c r="AW668" i="1"/>
  <c r="I380" i="18"/>
  <c r="AW281" i="1" s="1"/>
  <c r="C503" i="2"/>
  <c r="C625" i="2" s="1"/>
  <c r="E514" i="18"/>
  <c r="D515" i="18"/>
  <c r="H514" i="18"/>
  <c r="Q514" i="18"/>
  <c r="J514" i="18"/>
  <c r="L514" i="18"/>
  <c r="R514" i="18"/>
  <c r="K259" i="18"/>
  <c r="M259" i="18"/>
  <c r="E259" i="18"/>
  <c r="O259" i="18"/>
  <c r="F259" i="18"/>
  <c r="P259" i="18"/>
  <c r="H259" i="18"/>
  <c r="R259" i="18"/>
  <c r="L259" i="18"/>
  <c r="Q259" i="18"/>
  <c r="I259" i="18"/>
  <c r="G259" i="18"/>
  <c r="J259" i="18"/>
  <c r="G24" i="1"/>
  <c r="M380" i="2"/>
  <c r="BJ281" i="1" s="1"/>
  <c r="BJ668" i="1"/>
  <c r="O379" i="18"/>
  <c r="BQ280" i="1" s="1"/>
  <c r="BQ667" i="1"/>
  <c r="BN28" i="1"/>
  <c r="P380" i="18"/>
  <c r="AE281" i="1" s="1"/>
  <c r="AE668" i="1"/>
  <c r="CA668" i="1"/>
  <c r="R380" i="18"/>
  <c r="CA281" i="1" s="1"/>
  <c r="A504" i="2"/>
  <c r="B504" i="2"/>
  <c r="G132" i="1"/>
  <c r="N4" i="8"/>
  <c r="N25" i="8" s="1"/>
  <c r="N37" i="8" s="1"/>
  <c r="N3" i="8"/>
  <c r="BA27" i="1"/>
  <c r="AX441" i="1"/>
  <c r="H380" i="2"/>
  <c r="R281" i="1" s="1"/>
  <c r="R668" i="1"/>
  <c r="G380" i="2"/>
  <c r="AP281" i="1" s="1"/>
  <c r="AP668" i="1"/>
  <c r="K379" i="18"/>
  <c r="BC280" i="1" s="1"/>
  <c r="BC667" i="1"/>
  <c r="M379" i="18"/>
  <c r="BG280" i="1" s="1"/>
  <c r="BG667" i="1"/>
  <c r="BR28" i="1"/>
  <c r="BC25" i="1"/>
  <c r="K25" i="1"/>
  <c r="H279" i="1"/>
  <c r="L380" i="18"/>
  <c r="AI281" i="1" s="1"/>
  <c r="AI668" i="1"/>
  <c r="W442" i="1"/>
  <c r="L136" i="18"/>
  <c r="AI133" i="1" s="1"/>
  <c r="M136" i="18"/>
  <c r="BG133" i="1" s="1"/>
  <c r="O136" i="18"/>
  <c r="BQ133" i="1" s="1"/>
  <c r="F136" i="18"/>
  <c r="AA133" i="1" s="1"/>
  <c r="P136" i="18"/>
  <c r="AE133" i="1" s="1"/>
  <c r="A135" i="13"/>
  <c r="C135" i="13" s="1"/>
  <c r="J136" i="18"/>
  <c r="W133" i="1" s="1"/>
  <c r="H136" i="18"/>
  <c r="Q133" i="1" s="1"/>
  <c r="K136" i="18"/>
  <c r="BC133" i="1" s="1"/>
  <c r="E136" i="18"/>
  <c r="K133" i="1" s="1"/>
  <c r="R136" i="18"/>
  <c r="CA133" i="1" s="1"/>
  <c r="I136" i="18"/>
  <c r="AW133" i="1" s="1"/>
  <c r="G136" i="18"/>
  <c r="AO133" i="1" s="1"/>
  <c r="Q136" i="18"/>
  <c r="BU133" i="1" s="1"/>
  <c r="N22" i="8"/>
  <c r="N34" i="8" s="1"/>
  <c r="AM27" i="1"/>
  <c r="AJ442" i="1"/>
  <c r="W667" i="1"/>
  <c r="J379" i="18"/>
  <c r="W280" i="1" s="1"/>
  <c r="AO668" i="1"/>
  <c r="G380" i="18"/>
  <c r="AO281" i="1" s="1"/>
  <c r="H132" i="1"/>
  <c r="U27" i="1"/>
  <c r="R441" i="1"/>
  <c r="F380" i="2"/>
  <c r="AB281" i="1" s="1"/>
  <c r="AB668" i="1"/>
  <c r="R380" i="2"/>
  <c r="CB281" i="1" s="1"/>
  <c r="CB668" i="1"/>
  <c r="H379" i="18"/>
  <c r="Q280" i="1" s="1"/>
  <c r="Q667" i="1"/>
  <c r="G379" i="18"/>
  <c r="AO280" i="1" s="1"/>
  <c r="AO667" i="1"/>
  <c r="L28" i="1"/>
  <c r="BU25" i="1"/>
  <c r="I132" i="1"/>
  <c r="M380" i="18"/>
  <c r="BG281" i="1" s="1"/>
  <c r="BG668" i="1"/>
  <c r="AI442" i="1"/>
  <c r="G624" i="18"/>
  <c r="P624" i="18"/>
  <c r="Q624" i="18"/>
  <c r="I624" i="18"/>
  <c r="R624" i="18"/>
  <c r="K624" i="18"/>
  <c r="F624" i="18"/>
  <c r="O624" i="18"/>
  <c r="E624" i="18"/>
  <c r="L624" i="18"/>
  <c r="M624" i="18"/>
  <c r="H624" i="18"/>
  <c r="J624" i="18"/>
  <c r="E380" i="2"/>
  <c r="L281" i="1" s="1"/>
  <c r="L668" i="1"/>
  <c r="P379" i="18"/>
  <c r="AE280" i="1" s="1"/>
  <c r="AE667" i="1"/>
  <c r="C136" i="2"/>
  <c r="C381" i="2"/>
  <c r="C259" i="2"/>
  <c r="C17" i="1"/>
  <c r="C133" i="1"/>
  <c r="C560" i="1" s="1"/>
  <c r="C282" i="1"/>
  <c r="D282" i="1" s="1"/>
  <c r="N24" i="8"/>
  <c r="N36" i="8" s="1"/>
  <c r="AV131" i="1"/>
  <c r="D430" i="1"/>
  <c r="E430" i="1"/>
  <c r="N26" i="8"/>
  <c r="N38" i="8" s="1"/>
  <c r="N18" i="8"/>
  <c r="N30" i="8" s="1"/>
  <c r="C15" i="18"/>
  <c r="AT132" i="1"/>
  <c r="H514" i="2"/>
  <c r="I514" i="2"/>
  <c r="Q514" i="2"/>
  <c r="K514" i="2"/>
  <c r="L514" i="2"/>
  <c r="D515" i="2"/>
  <c r="E514" i="2"/>
  <c r="R514" i="2"/>
  <c r="A16" i="2"/>
  <c r="B16" i="2"/>
  <c r="J380" i="2"/>
  <c r="X281" i="1" s="1"/>
  <c r="X668" i="1"/>
  <c r="I379" i="18"/>
  <c r="AW280" i="1" s="1"/>
  <c r="AW667" i="1"/>
  <c r="CB28" i="1"/>
  <c r="AJ28" i="1"/>
  <c r="CA25" i="1"/>
  <c r="F380" i="18"/>
  <c r="AA281" i="1" s="1"/>
  <c r="AA668" i="1"/>
  <c r="BC668" i="1"/>
  <c r="K380" i="18"/>
  <c r="BC281" i="1" s="1"/>
  <c r="CA442" i="1"/>
  <c r="AM28" i="1" l="1"/>
  <c r="AJ443" i="1"/>
  <c r="CA443" i="1"/>
  <c r="G133" i="1"/>
  <c r="E515" i="2"/>
  <c r="D516" i="2"/>
  <c r="I515" i="2"/>
  <c r="Q515" i="2"/>
  <c r="R515" i="2"/>
  <c r="H515" i="2"/>
  <c r="K515" i="2"/>
  <c r="L515" i="2"/>
  <c r="F17" i="1"/>
  <c r="D17" i="1"/>
  <c r="E17" i="1"/>
  <c r="C431" i="1"/>
  <c r="H281" i="1"/>
  <c r="L381" i="18"/>
  <c r="AI282" i="1" s="1"/>
  <c r="AI669" i="1"/>
  <c r="BC669" i="1"/>
  <c r="K381" i="18"/>
  <c r="BC282" i="1" s="1"/>
  <c r="G625" i="2"/>
  <c r="O625" i="2"/>
  <c r="F625" i="2"/>
  <c r="H625" i="2"/>
  <c r="U133" i="1" s="1"/>
  <c r="J625" i="2"/>
  <c r="M625" i="2"/>
  <c r="N625" i="2"/>
  <c r="P625" i="2"/>
  <c r="K625" i="2"/>
  <c r="BH133" i="1" s="1"/>
  <c r="I625" i="2"/>
  <c r="BA133" i="1" s="1"/>
  <c r="AV133" i="1" s="1"/>
  <c r="E625" i="2"/>
  <c r="O133" i="1" s="1"/>
  <c r="R625" i="2"/>
  <c r="CE133" i="1" s="1"/>
  <c r="Q625" i="2"/>
  <c r="BY133" i="1" s="1"/>
  <c r="L625" i="2"/>
  <c r="AM133" i="1" s="1"/>
  <c r="BU26" i="1"/>
  <c r="BN29" i="1"/>
  <c r="I27" i="1"/>
  <c r="C669" i="1"/>
  <c r="H259" i="2"/>
  <c r="Q259" i="2"/>
  <c r="I259" i="2"/>
  <c r="L259" i="2"/>
  <c r="O259" i="2"/>
  <c r="K259" i="2"/>
  <c r="R259" i="2"/>
  <c r="N259" i="2"/>
  <c r="N381" i="2" s="1"/>
  <c r="BN282" i="1" s="1"/>
  <c r="P259" i="2"/>
  <c r="J259" i="2"/>
  <c r="M259" i="2"/>
  <c r="F259" i="2"/>
  <c r="E259" i="2"/>
  <c r="G259" i="2"/>
  <c r="A505" i="2"/>
  <c r="C505" i="2" s="1"/>
  <c r="C627" i="2" s="1"/>
  <c r="B505" i="2"/>
  <c r="C504" i="2"/>
  <c r="C626" i="2" s="1"/>
  <c r="Q669" i="1"/>
  <c r="H381" i="18"/>
  <c r="Q282" i="1" s="1"/>
  <c r="AI443" i="1"/>
  <c r="H24" i="18"/>
  <c r="I24" i="18"/>
  <c r="Q24" i="18"/>
  <c r="J24" i="18"/>
  <c r="R24" i="18"/>
  <c r="K24" i="18"/>
  <c r="D25" i="18"/>
  <c r="G24" i="18"/>
  <c r="E24" i="18"/>
  <c r="G280" i="1"/>
  <c r="CB29" i="1"/>
  <c r="R27" i="2"/>
  <c r="K27" i="2"/>
  <c r="L27" i="2"/>
  <c r="E27" i="2"/>
  <c r="M27" i="2"/>
  <c r="D28" i="2"/>
  <c r="N27" i="2"/>
  <c r="O27" i="2"/>
  <c r="H27" i="2"/>
  <c r="P27" i="2"/>
  <c r="I27" i="2"/>
  <c r="Q27" i="2"/>
  <c r="A505" i="18"/>
  <c r="C505" i="18" s="1"/>
  <c r="C627" i="18" s="1"/>
  <c r="B505" i="18"/>
  <c r="O17" i="8"/>
  <c r="O29" i="8" s="1"/>
  <c r="BY28" i="1"/>
  <c r="BV442" i="1"/>
  <c r="L136" i="2"/>
  <c r="AJ133" i="1" s="1"/>
  <c r="H136" i="2"/>
  <c r="R133" i="1" s="1"/>
  <c r="P136" i="2"/>
  <c r="AF133" i="1" s="1"/>
  <c r="G136" i="2"/>
  <c r="AP133" i="1" s="1"/>
  <c r="R136" i="2"/>
  <c r="CB133" i="1" s="1"/>
  <c r="I136" i="2"/>
  <c r="AX133" i="1" s="1"/>
  <c r="AT133" i="1" s="1"/>
  <c r="J136" i="2"/>
  <c r="X133" i="1" s="1"/>
  <c r="N136" i="2"/>
  <c r="BN133" i="1" s="1"/>
  <c r="E136" i="2"/>
  <c r="L133" i="1" s="1"/>
  <c r="O136" i="2"/>
  <c r="BR133" i="1" s="1"/>
  <c r="K136" i="2"/>
  <c r="BD133" i="1" s="1"/>
  <c r="M136" i="2"/>
  <c r="BJ133" i="1" s="1"/>
  <c r="Q136" i="2"/>
  <c r="BV133" i="1" s="1"/>
  <c r="F136" i="2"/>
  <c r="AB133" i="1" s="1"/>
  <c r="P381" i="18"/>
  <c r="AE282" i="1" s="1"/>
  <c r="AE669" i="1"/>
  <c r="W443" i="1"/>
  <c r="K26" i="1"/>
  <c r="AX29" i="1"/>
  <c r="BJ29" i="1"/>
  <c r="B17" i="18"/>
  <c r="A17" i="18"/>
  <c r="C504" i="18"/>
  <c r="C626" i="18" s="1"/>
  <c r="O19" i="8"/>
  <c r="O31" i="8" s="1"/>
  <c r="O4" i="8"/>
  <c r="O21" i="8" s="1"/>
  <c r="O33" i="8" s="1"/>
  <c r="O3" i="8"/>
  <c r="CA669" i="1"/>
  <c r="R381" i="18"/>
  <c r="CA282" i="1" s="1"/>
  <c r="L29" i="1"/>
  <c r="B17" i="2"/>
  <c r="A17" i="2"/>
  <c r="BA28" i="1"/>
  <c r="AX442" i="1"/>
  <c r="W669" i="1"/>
  <c r="J381" i="18"/>
  <c r="W282" i="1" s="1"/>
  <c r="F381" i="18"/>
  <c r="AA282" i="1" s="1"/>
  <c r="AA669" i="1"/>
  <c r="BU443" i="1"/>
  <c r="BC26" i="1"/>
  <c r="N17" i="8"/>
  <c r="N29" i="8" s="1"/>
  <c r="BV29" i="1"/>
  <c r="BD29" i="1"/>
  <c r="A15" i="10"/>
  <c r="C138" i="18"/>
  <c r="C261" i="18"/>
  <c r="C383" i="18"/>
  <c r="A15" i="13"/>
  <c r="C15" i="13" s="1"/>
  <c r="C141" i="12"/>
  <c r="G281" i="1"/>
  <c r="CG281" i="1" s="1"/>
  <c r="O18" i="8"/>
  <c r="O30" i="8" s="1"/>
  <c r="Q1" i="8"/>
  <c r="P7" i="8"/>
  <c r="P9" i="8"/>
  <c r="P11" i="8"/>
  <c r="P13" i="8"/>
  <c r="P15" i="8"/>
  <c r="P6" i="8"/>
  <c r="P2" i="8"/>
  <c r="P8" i="8"/>
  <c r="P10" i="8"/>
  <c r="P12" i="8"/>
  <c r="P14" i="8"/>
  <c r="P39" i="8"/>
  <c r="BH28" i="1"/>
  <c r="BD442" i="1"/>
  <c r="C16" i="2"/>
  <c r="U28" i="1"/>
  <c r="R442" i="1"/>
  <c r="AO669" i="1"/>
  <c r="G381" i="18"/>
  <c r="AO282" i="1" s="1"/>
  <c r="O381" i="18"/>
  <c r="BQ282" i="1" s="1"/>
  <c r="BQ669" i="1"/>
  <c r="Q443" i="1"/>
  <c r="CA26" i="1"/>
  <c r="N19" i="8"/>
  <c r="N31" i="8" s="1"/>
  <c r="R29" i="1"/>
  <c r="AJ29" i="1"/>
  <c r="N20" i="8"/>
  <c r="N32" i="8" s="1"/>
  <c r="O26" i="8"/>
  <c r="O38" i="8" s="1"/>
  <c r="N23" i="8"/>
  <c r="N35" i="8" s="1"/>
  <c r="AW669" i="1"/>
  <c r="I381" i="18"/>
  <c r="AW282" i="1" s="1"/>
  <c r="K669" i="1"/>
  <c r="E381" i="18"/>
  <c r="K282" i="1" s="1"/>
  <c r="L515" i="18"/>
  <c r="E515" i="18"/>
  <c r="D516" i="18"/>
  <c r="R515" i="18"/>
  <c r="J515" i="18"/>
  <c r="Q515" i="18"/>
  <c r="H515" i="18"/>
  <c r="AO26" i="1"/>
  <c r="W26" i="1"/>
  <c r="AF29" i="1"/>
  <c r="G442" i="1"/>
  <c r="C137" i="2"/>
  <c r="C260" i="2"/>
  <c r="C382" i="2"/>
  <c r="C135" i="1"/>
  <c r="C561" i="1" s="1"/>
  <c r="C18" i="1"/>
  <c r="C283" i="1"/>
  <c r="D283" i="1" s="1"/>
  <c r="O25" i="8"/>
  <c r="O37" i="8" s="1"/>
  <c r="Q26" i="1"/>
  <c r="O20" i="8"/>
  <c r="O32" i="8" s="1"/>
  <c r="CE28" i="1"/>
  <c r="CB442" i="1"/>
  <c r="O28" i="1"/>
  <c r="L442" i="1"/>
  <c r="A14" i="10"/>
  <c r="C137" i="18"/>
  <c r="C260" i="18"/>
  <c r="C382" i="18"/>
  <c r="A14" i="13"/>
  <c r="C14" i="13" s="1"/>
  <c r="C140" i="12"/>
  <c r="H28" i="1"/>
  <c r="G25" i="1"/>
  <c r="BU669" i="1"/>
  <c r="Q381" i="18"/>
  <c r="BU282" i="1" s="1"/>
  <c r="M381" i="18"/>
  <c r="BG282" i="1" s="1"/>
  <c r="BG669" i="1"/>
  <c r="K443" i="1"/>
  <c r="AW26" i="1"/>
  <c r="BR29" i="1"/>
  <c r="H441" i="1"/>
  <c r="O24" i="8"/>
  <c r="O36" i="8" s="1"/>
  <c r="O22" i="8" l="1"/>
  <c r="O34" i="8" s="1"/>
  <c r="BC27" i="1"/>
  <c r="M381" i="2"/>
  <c r="BJ282" i="1" s="1"/>
  <c r="BJ669" i="1"/>
  <c r="CA444" i="1"/>
  <c r="I28" i="1"/>
  <c r="AI444" i="1"/>
  <c r="G261" i="18"/>
  <c r="P261" i="18"/>
  <c r="L261" i="18"/>
  <c r="M261" i="18"/>
  <c r="E261" i="18"/>
  <c r="O261" i="18"/>
  <c r="H261" i="18"/>
  <c r="R261" i="18"/>
  <c r="F261" i="18"/>
  <c r="I261" i="18"/>
  <c r="J261" i="18"/>
  <c r="K261" i="18"/>
  <c r="Q261" i="18"/>
  <c r="H29" i="1"/>
  <c r="K626" i="18"/>
  <c r="M626" i="18"/>
  <c r="F626" i="18"/>
  <c r="O626" i="18"/>
  <c r="G626" i="18"/>
  <c r="P626" i="18"/>
  <c r="I626" i="18"/>
  <c r="J626" i="18"/>
  <c r="Q626" i="18"/>
  <c r="R626" i="18"/>
  <c r="H626" i="18"/>
  <c r="E626" i="18"/>
  <c r="L626" i="18"/>
  <c r="F627" i="18"/>
  <c r="O627" i="18"/>
  <c r="G627" i="18"/>
  <c r="P627" i="18"/>
  <c r="I627" i="18"/>
  <c r="K627" i="18"/>
  <c r="M627" i="18"/>
  <c r="Q627" i="18"/>
  <c r="R627" i="18"/>
  <c r="H627" i="18"/>
  <c r="E627" i="18"/>
  <c r="J627" i="18"/>
  <c r="L627" i="18"/>
  <c r="BJ30" i="1"/>
  <c r="CG280" i="1"/>
  <c r="AW27" i="1"/>
  <c r="M627" i="2"/>
  <c r="N627" i="2"/>
  <c r="F627" i="2"/>
  <c r="O627" i="2"/>
  <c r="G627" i="2"/>
  <c r="P627" i="2"/>
  <c r="J627" i="2"/>
  <c r="H627" i="2"/>
  <c r="U136" i="1" s="1"/>
  <c r="L627" i="2"/>
  <c r="AM136" i="1" s="1"/>
  <c r="K627" i="2"/>
  <c r="E627" i="2"/>
  <c r="O136" i="1" s="1"/>
  <c r="Q627" i="2"/>
  <c r="BY136" i="1" s="1"/>
  <c r="R627" i="2"/>
  <c r="I627" i="2"/>
  <c r="BA136" i="1" s="1"/>
  <c r="R381" i="2"/>
  <c r="CB282" i="1" s="1"/>
  <c r="CB669" i="1"/>
  <c r="AM29" i="1"/>
  <c r="AJ444" i="1"/>
  <c r="Q444" i="1"/>
  <c r="E260" i="18"/>
  <c r="M260" i="18"/>
  <c r="H260" i="18"/>
  <c r="R260" i="18"/>
  <c r="I260" i="18"/>
  <c r="J260" i="18"/>
  <c r="L260" i="18"/>
  <c r="Q260" i="18"/>
  <c r="F260" i="18"/>
  <c r="G260" i="18"/>
  <c r="O260" i="18"/>
  <c r="K260" i="18"/>
  <c r="P260" i="18"/>
  <c r="CB30" i="1"/>
  <c r="I381" i="2"/>
  <c r="AX282" i="1" s="1"/>
  <c r="AX669" i="1"/>
  <c r="F137" i="18"/>
  <c r="AA135" i="1" s="1"/>
  <c r="O137" i="18"/>
  <c r="BQ135" i="1" s="1"/>
  <c r="M137" i="18"/>
  <c r="BG135" i="1" s="1"/>
  <c r="P137" i="18"/>
  <c r="AE135" i="1" s="1"/>
  <c r="L137" i="18"/>
  <c r="AI135" i="1" s="1"/>
  <c r="A136" i="13"/>
  <c r="C136" i="13" s="1"/>
  <c r="R137" i="18"/>
  <c r="CA135" i="1" s="1"/>
  <c r="E137" i="18"/>
  <c r="K135" i="1" s="1"/>
  <c r="H137" i="18"/>
  <c r="Q135" i="1" s="1"/>
  <c r="I137" i="18"/>
  <c r="AW135" i="1" s="1"/>
  <c r="K137" i="18"/>
  <c r="BC135" i="1" s="1"/>
  <c r="Q137" i="18"/>
  <c r="BU135" i="1" s="1"/>
  <c r="G137" i="18"/>
  <c r="AO135" i="1" s="1"/>
  <c r="J137" i="18"/>
  <c r="W135" i="1" s="1"/>
  <c r="G443" i="1"/>
  <c r="J140" i="12"/>
  <c r="R140" i="12"/>
  <c r="F140" i="12"/>
  <c r="N140" i="12"/>
  <c r="G140" i="12"/>
  <c r="O140" i="12"/>
  <c r="H140" i="12"/>
  <c r="P140" i="12"/>
  <c r="Q140" i="12"/>
  <c r="E140" i="12"/>
  <c r="I140" i="12"/>
  <c r="K140" i="12"/>
  <c r="L140" i="12"/>
  <c r="M140" i="12"/>
  <c r="S140" i="12"/>
  <c r="G282" i="1"/>
  <c r="L138" i="18"/>
  <c r="AI136" i="1" s="1"/>
  <c r="F138" i="18"/>
  <c r="AA136" i="1" s="1"/>
  <c r="O138" i="18"/>
  <c r="BQ136" i="1" s="1"/>
  <c r="P138" i="18"/>
  <c r="AE136" i="1" s="1"/>
  <c r="A137" i="13"/>
  <c r="C137" i="13" s="1"/>
  <c r="M138" i="18"/>
  <c r="BG136" i="1" s="1"/>
  <c r="K138" i="18"/>
  <c r="BC136" i="1" s="1"/>
  <c r="G138" i="18"/>
  <c r="AO136" i="1" s="1"/>
  <c r="E138" i="18"/>
  <c r="K136" i="1" s="1"/>
  <c r="I138" i="18"/>
  <c r="AW136" i="1" s="1"/>
  <c r="Q138" i="18"/>
  <c r="BU136" i="1" s="1"/>
  <c r="H138" i="18"/>
  <c r="Q136" i="1" s="1"/>
  <c r="J138" i="18"/>
  <c r="W136" i="1" s="1"/>
  <c r="R138" i="18"/>
  <c r="CA136" i="1" s="1"/>
  <c r="C17" i="18"/>
  <c r="G26" i="1"/>
  <c r="H133" i="1"/>
  <c r="BV30" i="1"/>
  <c r="L30" i="1"/>
  <c r="K27" i="1"/>
  <c r="Q27" i="1"/>
  <c r="G381" i="2"/>
  <c r="AP282" i="1" s="1"/>
  <c r="AP669" i="1"/>
  <c r="K381" i="2"/>
  <c r="BD282" i="1" s="1"/>
  <c r="BD669" i="1"/>
  <c r="BH29" i="1"/>
  <c r="BD443" i="1"/>
  <c r="O23" i="8"/>
  <c r="O35" i="8" s="1"/>
  <c r="C261" i="2"/>
  <c r="C138" i="2"/>
  <c r="C383" i="2"/>
  <c r="C136" i="1"/>
  <c r="C562" i="1" s="1"/>
  <c r="C19" i="1"/>
  <c r="C284" i="1"/>
  <c r="D284" i="1" s="1"/>
  <c r="Q6" i="8"/>
  <c r="Q8" i="8"/>
  <c r="Q10" i="8"/>
  <c r="Q12" i="8"/>
  <c r="R1" i="8"/>
  <c r="Q14" i="8"/>
  <c r="Q9" i="8"/>
  <c r="Q7" i="8"/>
  <c r="Q2" i="8"/>
  <c r="Q15" i="8"/>
  <c r="Q11" i="8"/>
  <c r="Q13" i="8"/>
  <c r="Q39" i="8"/>
  <c r="B18" i="18"/>
  <c r="A18" i="18"/>
  <c r="AX30" i="1"/>
  <c r="AJ30" i="1"/>
  <c r="AO27" i="1"/>
  <c r="E381" i="2"/>
  <c r="L282" i="1" s="1"/>
  <c r="L669" i="1"/>
  <c r="O381" i="2"/>
  <c r="BR282" i="1" s="1"/>
  <c r="BR669" i="1"/>
  <c r="U29" i="1"/>
  <c r="R443" i="1"/>
  <c r="E18" i="1"/>
  <c r="F18" i="1"/>
  <c r="D18" i="1"/>
  <c r="C432" i="1"/>
  <c r="BU444" i="1"/>
  <c r="P4" i="8"/>
  <c r="P22" i="8" s="1"/>
  <c r="P34" i="8" s="1"/>
  <c r="P3" i="8"/>
  <c r="AF30" i="1"/>
  <c r="BD30" i="1"/>
  <c r="D26" i="18"/>
  <c r="G25" i="18"/>
  <c r="H25" i="18"/>
  <c r="I25" i="18"/>
  <c r="Q25" i="18"/>
  <c r="J25" i="18"/>
  <c r="R25" i="18"/>
  <c r="K25" i="18"/>
  <c r="E25" i="18"/>
  <c r="F381" i="2"/>
  <c r="AB282" i="1" s="1"/>
  <c r="AB669" i="1"/>
  <c r="L381" i="2"/>
  <c r="AJ282" i="1" s="1"/>
  <c r="AJ669" i="1"/>
  <c r="I133" i="1"/>
  <c r="CE29" i="1"/>
  <c r="CB443" i="1"/>
  <c r="W444" i="1"/>
  <c r="R30" i="1"/>
  <c r="E431" i="1"/>
  <c r="D431" i="1"/>
  <c r="BR30" i="1"/>
  <c r="J381" i="2"/>
  <c r="X282" i="1" s="1"/>
  <c r="X669" i="1"/>
  <c r="Q381" i="2"/>
  <c r="BV282" i="1" s="1"/>
  <c r="BV669" i="1"/>
  <c r="BA29" i="1"/>
  <c r="AX443" i="1"/>
  <c r="C670" i="1"/>
  <c r="L260" i="2"/>
  <c r="R260" i="2"/>
  <c r="F260" i="2"/>
  <c r="G260" i="2"/>
  <c r="N260" i="2"/>
  <c r="N382" i="2" s="1"/>
  <c r="BN283" i="1" s="1"/>
  <c r="M260" i="2"/>
  <c r="I260" i="2"/>
  <c r="E260" i="2"/>
  <c r="P260" i="2"/>
  <c r="J260" i="2"/>
  <c r="K260" i="2"/>
  <c r="H260" i="2"/>
  <c r="O260" i="2"/>
  <c r="Q260" i="2"/>
  <c r="L516" i="18"/>
  <c r="E516" i="18"/>
  <c r="D517" i="18"/>
  <c r="H516" i="18"/>
  <c r="Q516" i="18"/>
  <c r="R516" i="18"/>
  <c r="J516" i="18"/>
  <c r="C17" i="2"/>
  <c r="BN30" i="1"/>
  <c r="W27" i="1"/>
  <c r="P626" i="2"/>
  <c r="J626" i="2"/>
  <c r="M626" i="2"/>
  <c r="G626" i="2"/>
  <c r="N626" i="2"/>
  <c r="O626" i="2"/>
  <c r="F626" i="2"/>
  <c r="L626" i="2"/>
  <c r="AM135" i="1" s="1"/>
  <c r="H626" i="2"/>
  <c r="U135" i="1" s="1"/>
  <c r="E626" i="2"/>
  <c r="O135" i="1" s="1"/>
  <c r="R626" i="2"/>
  <c r="CE135" i="1" s="1"/>
  <c r="Q626" i="2"/>
  <c r="BY135" i="1" s="1"/>
  <c r="I626" i="2"/>
  <c r="BA135" i="1" s="1"/>
  <c r="AV135" i="1" s="1"/>
  <c r="K626" i="2"/>
  <c r="P381" i="2"/>
  <c r="AF282" i="1" s="1"/>
  <c r="AF669" i="1"/>
  <c r="H381" i="2"/>
  <c r="R282" i="1" s="1"/>
  <c r="R669" i="1"/>
  <c r="K516" i="2"/>
  <c r="L516" i="2"/>
  <c r="E516" i="2"/>
  <c r="H516" i="2"/>
  <c r="Q516" i="2"/>
  <c r="R516" i="2"/>
  <c r="D517" i="2"/>
  <c r="I516" i="2"/>
  <c r="BY29" i="1"/>
  <c r="BV443" i="1"/>
  <c r="J141" i="12"/>
  <c r="R141" i="12"/>
  <c r="F141" i="12"/>
  <c r="N141" i="12"/>
  <c r="G141" i="12"/>
  <c r="O141" i="12"/>
  <c r="H141" i="12"/>
  <c r="P141" i="12"/>
  <c r="Q141" i="12"/>
  <c r="S141" i="12"/>
  <c r="E141" i="12"/>
  <c r="I141" i="12"/>
  <c r="K141" i="12"/>
  <c r="L141" i="12"/>
  <c r="M141" i="12"/>
  <c r="CA27" i="1"/>
  <c r="H442" i="1"/>
  <c r="F137" i="2"/>
  <c r="J137" i="2"/>
  <c r="X135" i="1" s="1"/>
  <c r="K137" i="2"/>
  <c r="L137" i="2"/>
  <c r="G137" i="2"/>
  <c r="AP135" i="1" s="1"/>
  <c r="M137" i="2"/>
  <c r="P137" i="2"/>
  <c r="N137" i="2"/>
  <c r="R137" i="2"/>
  <c r="I137" i="2"/>
  <c r="O137" i="2"/>
  <c r="H137" i="2"/>
  <c r="E137" i="2"/>
  <c r="Q137" i="2"/>
  <c r="K444" i="1"/>
  <c r="A18" i="2"/>
  <c r="C18" i="2" s="1"/>
  <c r="B18" i="2"/>
  <c r="B506" i="18"/>
  <c r="A506" i="18"/>
  <c r="C506" i="18" s="1"/>
  <c r="C628" i="18" s="1"/>
  <c r="H28" i="2"/>
  <c r="P28" i="2"/>
  <c r="K28" i="2"/>
  <c r="L28" i="2"/>
  <c r="M28" i="2"/>
  <c r="D29" i="2"/>
  <c r="E28" i="2"/>
  <c r="N28" i="2"/>
  <c r="O28" i="2"/>
  <c r="Q28" i="2"/>
  <c r="R28" i="2"/>
  <c r="I28" i="2"/>
  <c r="BU27" i="1"/>
  <c r="A506" i="2"/>
  <c r="B506" i="2"/>
  <c r="O29" i="1"/>
  <c r="L443" i="1"/>
  <c r="BR31" i="1" l="1"/>
  <c r="BV670" i="1"/>
  <c r="Q382" i="2"/>
  <c r="BV283" i="1" s="1"/>
  <c r="E26" i="18"/>
  <c r="D27" i="18"/>
  <c r="G26" i="18"/>
  <c r="H26" i="18"/>
  <c r="J26" i="18"/>
  <c r="R26" i="18"/>
  <c r="Q26" i="18"/>
  <c r="I26" i="18"/>
  <c r="K26" i="18"/>
  <c r="W445" i="1"/>
  <c r="G136" i="1"/>
  <c r="AO671" i="1"/>
  <c r="G383" i="18"/>
  <c r="AO284" i="1" s="1"/>
  <c r="P26" i="8"/>
  <c r="P38" i="8" s="1"/>
  <c r="CA28" i="1"/>
  <c r="BR135" i="1"/>
  <c r="I29" i="1"/>
  <c r="CB31" i="1"/>
  <c r="BD31" i="1"/>
  <c r="P25" i="8"/>
  <c r="P37" i="8" s="1"/>
  <c r="P17" i="8"/>
  <c r="P29" i="8" s="1"/>
  <c r="BH30" i="1"/>
  <c r="BD444" i="1"/>
  <c r="K445" i="1"/>
  <c r="L670" i="1"/>
  <c r="E382" i="2"/>
  <c r="L283" i="1" s="1"/>
  <c r="Q28" i="1"/>
  <c r="Q18" i="8"/>
  <c r="Q30" i="8" s="1"/>
  <c r="P19" i="8"/>
  <c r="P31" i="8" s="1"/>
  <c r="L382" i="18"/>
  <c r="AI283" i="1" s="1"/>
  <c r="AI670" i="1"/>
  <c r="BC671" i="1"/>
  <c r="K383" i="18"/>
  <c r="BC284" i="1" s="1"/>
  <c r="M383" i="18"/>
  <c r="BG284" i="1" s="1"/>
  <c r="BG671" i="1"/>
  <c r="R31" i="1"/>
  <c r="BJ670" i="1"/>
  <c r="M382" i="2"/>
  <c r="BJ283" i="1" s="1"/>
  <c r="B19" i="18"/>
  <c r="A19" i="18"/>
  <c r="C19" i="18" s="1"/>
  <c r="D19" i="1"/>
  <c r="F19" i="1"/>
  <c r="E19" i="1"/>
  <c r="C433" i="1"/>
  <c r="C506" i="2"/>
  <c r="C628" i="2" s="1"/>
  <c r="CE30" i="1"/>
  <c r="CB444" i="1"/>
  <c r="BC28" i="1"/>
  <c r="A507" i="18"/>
  <c r="B507" i="18"/>
  <c r="G382" i="2"/>
  <c r="AP283" i="1" s="1"/>
  <c r="AP670" i="1"/>
  <c r="O382" i="18"/>
  <c r="BQ283" i="1" s="1"/>
  <c r="BQ670" i="1"/>
  <c r="BJ31" i="1"/>
  <c r="BD135" i="1"/>
  <c r="BV31" i="1"/>
  <c r="AF31" i="1"/>
  <c r="G444" i="1"/>
  <c r="BA30" i="1"/>
  <c r="AX444" i="1"/>
  <c r="I135" i="1"/>
  <c r="C139" i="2"/>
  <c r="C262" i="2"/>
  <c r="C384" i="2"/>
  <c r="C20" i="1"/>
  <c r="C137" i="1"/>
  <c r="C563" i="1" s="1"/>
  <c r="C285" i="1"/>
  <c r="D285" i="1" s="1"/>
  <c r="AI445" i="1"/>
  <c r="AX670" i="1"/>
  <c r="I382" i="2"/>
  <c r="AX283" i="1" s="1"/>
  <c r="AO28" i="1"/>
  <c r="C18" i="18"/>
  <c r="W670" i="1"/>
  <c r="J382" i="18"/>
  <c r="W283" i="1" s="1"/>
  <c r="W671" i="1"/>
  <c r="J383" i="18"/>
  <c r="W284" i="1" s="1"/>
  <c r="L383" i="18"/>
  <c r="AI284" i="1" s="1"/>
  <c r="AI671" i="1"/>
  <c r="A507" i="2"/>
  <c r="B507" i="2"/>
  <c r="K28" i="1"/>
  <c r="G27" i="1"/>
  <c r="AW670" i="1"/>
  <c r="I382" i="18"/>
  <c r="AW283" i="1" s="1"/>
  <c r="P383" i="18"/>
  <c r="AE284" i="1" s="1"/>
  <c r="AE671" i="1"/>
  <c r="BV135" i="1"/>
  <c r="BR670" i="1"/>
  <c r="O382" i="2"/>
  <c r="BR283" i="1" s="1"/>
  <c r="CA445" i="1"/>
  <c r="P18" i="8"/>
  <c r="P30" i="8" s="1"/>
  <c r="Q670" i="1"/>
  <c r="H382" i="18"/>
  <c r="Q283" i="1" s="1"/>
  <c r="CA671" i="1"/>
  <c r="R383" i="18"/>
  <c r="CA284" i="1" s="1"/>
  <c r="P20" i="8"/>
  <c r="P32" i="8" s="1"/>
  <c r="R29" i="2"/>
  <c r="K29" i="2"/>
  <c r="L29" i="2"/>
  <c r="E29" i="2"/>
  <c r="M29" i="2"/>
  <c r="N29" i="2"/>
  <c r="D30" i="2"/>
  <c r="O29" i="2"/>
  <c r="I29" i="2"/>
  <c r="Q29" i="2"/>
  <c r="H29" i="2"/>
  <c r="P29" i="2"/>
  <c r="A19" i="2"/>
  <c r="C19" i="2" s="1"/>
  <c r="B19" i="2"/>
  <c r="U30" i="1"/>
  <c r="R444" i="1"/>
  <c r="BH135" i="1"/>
  <c r="BU445" i="1"/>
  <c r="K382" i="2"/>
  <c r="BD283" i="1" s="1"/>
  <c r="BD670" i="1"/>
  <c r="F382" i="2"/>
  <c r="AB283" i="1" s="1"/>
  <c r="AB670" i="1"/>
  <c r="W28" i="1"/>
  <c r="D432" i="1"/>
  <c r="E432" i="1"/>
  <c r="F138" i="2"/>
  <c r="AB136" i="1" s="1"/>
  <c r="J138" i="2"/>
  <c r="X136" i="1" s="1"/>
  <c r="G138" i="2"/>
  <c r="AP136" i="1" s="1"/>
  <c r="P138" i="2"/>
  <c r="AF136" i="1" s="1"/>
  <c r="R138" i="2"/>
  <c r="CB136" i="1" s="1"/>
  <c r="H138" i="2"/>
  <c r="R136" i="1" s="1"/>
  <c r="N138" i="2"/>
  <c r="BN136" i="1" s="1"/>
  <c r="M138" i="2"/>
  <c r="BJ136" i="1" s="1"/>
  <c r="K138" i="2"/>
  <c r="BD136" i="1" s="1"/>
  <c r="E138" i="2"/>
  <c r="L136" i="1" s="1"/>
  <c r="L138" i="2"/>
  <c r="AJ136" i="1" s="1"/>
  <c r="I138" i="2"/>
  <c r="AX136" i="1" s="1"/>
  <c r="O138" i="2"/>
  <c r="BR136" i="1" s="1"/>
  <c r="Q138" i="2"/>
  <c r="BV136" i="1" s="1"/>
  <c r="H30" i="1"/>
  <c r="A16" i="10"/>
  <c r="C139" i="18"/>
  <c r="C262" i="18"/>
  <c r="C384" i="18"/>
  <c r="A16" i="13"/>
  <c r="C16" i="13" s="1"/>
  <c r="C142" i="12"/>
  <c r="P21" i="8"/>
  <c r="P33" i="8" s="1"/>
  <c r="G135" i="1"/>
  <c r="AO670" i="1"/>
  <c r="G382" i="18"/>
  <c r="AO283" i="1" s="1"/>
  <c r="M382" i="18"/>
  <c r="BG283" i="1" s="1"/>
  <c r="BG670" i="1"/>
  <c r="Q671" i="1"/>
  <c r="H383" i="18"/>
  <c r="Q284" i="1" s="1"/>
  <c r="P23" i="8"/>
  <c r="P35" i="8" s="1"/>
  <c r="I517" i="2"/>
  <c r="Q517" i="2"/>
  <c r="R517" i="2"/>
  <c r="K517" i="2"/>
  <c r="E517" i="2"/>
  <c r="D518" i="2"/>
  <c r="L517" i="2"/>
  <c r="H517" i="2"/>
  <c r="BN31" i="1"/>
  <c r="BC670" i="1"/>
  <c r="K382" i="18"/>
  <c r="BC283" i="1" s="1"/>
  <c r="F383" i="18"/>
  <c r="AA284" i="1" s="1"/>
  <c r="AA671" i="1"/>
  <c r="BY30" i="1"/>
  <c r="BV444" i="1"/>
  <c r="R670" i="1"/>
  <c r="H382" i="2"/>
  <c r="R283" i="1" s="1"/>
  <c r="Q23" i="8"/>
  <c r="Q35" i="8" s="1"/>
  <c r="O30" i="1"/>
  <c r="L444" i="1"/>
  <c r="Q445" i="1"/>
  <c r="J382" i="2"/>
  <c r="X283" i="1" s="1"/>
  <c r="X670" i="1"/>
  <c r="CB670" i="1"/>
  <c r="R382" i="2"/>
  <c r="CB283" i="1" s="1"/>
  <c r="BU28" i="1"/>
  <c r="Q19" i="8"/>
  <c r="Q31" i="8" s="1"/>
  <c r="C671" i="1"/>
  <c r="H261" i="2"/>
  <c r="O261" i="2"/>
  <c r="N261" i="2"/>
  <c r="N383" i="2" s="1"/>
  <c r="BN284" i="1" s="1"/>
  <c r="K261" i="2"/>
  <c r="R261" i="2"/>
  <c r="G261" i="2"/>
  <c r="L261" i="2"/>
  <c r="P261" i="2"/>
  <c r="J261" i="2"/>
  <c r="I261" i="2"/>
  <c r="F261" i="2"/>
  <c r="E261" i="2"/>
  <c r="Q261" i="2"/>
  <c r="M261" i="2"/>
  <c r="F382" i="18"/>
  <c r="AA283" i="1" s="1"/>
  <c r="AA670" i="1"/>
  <c r="K670" i="1"/>
  <c r="E382" i="18"/>
  <c r="K283" i="1" s="1"/>
  <c r="O383" i="18"/>
  <c r="BQ284" i="1" s="1"/>
  <c r="BQ671" i="1"/>
  <c r="P24" i="8"/>
  <c r="P36" i="8" s="1"/>
  <c r="Q25" i="8"/>
  <c r="Q37" i="8" s="1"/>
  <c r="P382" i="18"/>
  <c r="AE283" i="1" s="1"/>
  <c r="AE670" i="1"/>
  <c r="AW671" i="1"/>
  <c r="I383" i="18"/>
  <c r="AW284" i="1" s="1"/>
  <c r="G628" i="18"/>
  <c r="P628" i="18"/>
  <c r="I628" i="18"/>
  <c r="K628" i="18"/>
  <c r="F628" i="18"/>
  <c r="O628" i="18"/>
  <c r="M628" i="18"/>
  <c r="Q628" i="18"/>
  <c r="R628" i="18"/>
  <c r="L628" i="18"/>
  <c r="H628" i="18"/>
  <c r="E628" i="18"/>
  <c r="J628" i="18"/>
  <c r="R6" i="8"/>
  <c r="R8" i="8"/>
  <c r="R10" i="8"/>
  <c r="R12" i="8"/>
  <c r="R2" i="8"/>
  <c r="R9" i="8"/>
  <c r="R11" i="8"/>
  <c r="R13" i="8"/>
  <c r="R7" i="8"/>
  <c r="R14" i="8"/>
  <c r="S1" i="8"/>
  <c r="R15" i="8"/>
  <c r="R39" i="8"/>
  <c r="CA670" i="1"/>
  <c r="R382" i="18"/>
  <c r="CA283" i="1" s="1"/>
  <c r="L31" i="1"/>
  <c r="H31" i="1" s="1"/>
  <c r="C140" i="2"/>
  <c r="C263" i="2"/>
  <c r="C385" i="2"/>
  <c r="C138" i="1"/>
  <c r="C564" i="1" s="1"/>
  <c r="C21" i="1"/>
  <c r="C286" i="1"/>
  <c r="D286" i="1" s="1"/>
  <c r="H443" i="1"/>
  <c r="AX31" i="1"/>
  <c r="AJ31" i="1"/>
  <c r="AM30" i="1"/>
  <c r="AJ445" i="1"/>
  <c r="J517" i="18"/>
  <c r="L517" i="18"/>
  <c r="E517" i="18"/>
  <c r="D518" i="18"/>
  <c r="H517" i="18"/>
  <c r="Q517" i="18"/>
  <c r="R517" i="18"/>
  <c r="AF670" i="1"/>
  <c r="P382" i="2"/>
  <c r="AF283" i="1" s="1"/>
  <c r="L382" i="2"/>
  <c r="AJ283" i="1" s="1"/>
  <c r="AJ670" i="1"/>
  <c r="AW28" i="1"/>
  <c r="H282" i="1"/>
  <c r="CG282" i="1" s="1"/>
  <c r="Q3" i="8"/>
  <c r="Q4" i="8"/>
  <c r="Q22" i="8" s="1"/>
  <c r="Q34" i="8" s="1"/>
  <c r="BU670" i="1"/>
  <c r="Q382" i="18"/>
  <c r="BU283" i="1" s="1"/>
  <c r="CE136" i="1"/>
  <c r="BU671" i="1"/>
  <c r="Q383" i="18"/>
  <c r="BU284" i="1" s="1"/>
  <c r="K671" i="1"/>
  <c r="E383" i="18"/>
  <c r="K284" i="1" s="1"/>
  <c r="G284" i="1" s="1"/>
  <c r="Q20" i="8" l="1"/>
  <c r="Q32" i="8" s="1"/>
  <c r="Q17" i="8"/>
  <c r="Q29" i="8" s="1"/>
  <c r="C141" i="2"/>
  <c r="C264" i="2"/>
  <c r="C386" i="2"/>
  <c r="C22" i="1"/>
  <c r="C139" i="1"/>
  <c r="C565" i="1" s="1"/>
  <c r="C287" i="1"/>
  <c r="D287" i="1" s="1"/>
  <c r="AF32" i="1"/>
  <c r="AJ32" i="1"/>
  <c r="BD671" i="1"/>
  <c r="K383" i="2"/>
  <c r="BD284" i="1" s="1"/>
  <c r="C673" i="1"/>
  <c r="H263" i="2"/>
  <c r="L263" i="2"/>
  <c r="N263" i="2"/>
  <c r="N385" i="2" s="1"/>
  <c r="BN286" i="1" s="1"/>
  <c r="I263" i="2"/>
  <c r="R263" i="2"/>
  <c r="M263" i="2"/>
  <c r="P263" i="2"/>
  <c r="J263" i="2"/>
  <c r="O263" i="2"/>
  <c r="Q263" i="2"/>
  <c r="G263" i="2"/>
  <c r="F263" i="2"/>
  <c r="E263" i="2"/>
  <c r="K263" i="2"/>
  <c r="G283" i="1"/>
  <c r="CG283" i="1" s="1"/>
  <c r="F383" i="2"/>
  <c r="AB284" i="1" s="1"/>
  <c r="AB671" i="1"/>
  <c r="I30" i="1"/>
  <c r="AM31" i="1"/>
  <c r="AJ446" i="1"/>
  <c r="R135" i="1"/>
  <c r="H30" i="2"/>
  <c r="P30" i="2"/>
  <c r="I30" i="2"/>
  <c r="Q30" i="2"/>
  <c r="R30" i="2"/>
  <c r="K30" i="2"/>
  <c r="L30" i="2"/>
  <c r="E30" i="2"/>
  <c r="M30" i="2"/>
  <c r="O30" i="2"/>
  <c r="N30" i="2"/>
  <c r="D31" i="2"/>
  <c r="L135" i="1"/>
  <c r="C507" i="18"/>
  <c r="C629" i="18" s="1"/>
  <c r="E433" i="1"/>
  <c r="D433" i="1"/>
  <c r="G445" i="1"/>
  <c r="AO29" i="1"/>
  <c r="J383" i="2"/>
  <c r="X284" i="1" s="1"/>
  <c r="X671" i="1"/>
  <c r="O31" i="1"/>
  <c r="L445" i="1"/>
  <c r="BJ32" i="1"/>
  <c r="F139" i="2"/>
  <c r="J139" i="2"/>
  <c r="X137" i="1" s="1"/>
  <c r="G139" i="2"/>
  <c r="AP137" i="1" s="1"/>
  <c r="N139" i="2"/>
  <c r="Q139" i="2"/>
  <c r="P139" i="2"/>
  <c r="O139" i="2"/>
  <c r="H139" i="2"/>
  <c r="M139" i="2"/>
  <c r="E139" i="2"/>
  <c r="I139" i="2"/>
  <c r="R139" i="2"/>
  <c r="L139" i="2"/>
  <c r="K139" i="2"/>
  <c r="AX135" i="1"/>
  <c r="R32" i="1"/>
  <c r="H444" i="1"/>
  <c r="W446" i="1"/>
  <c r="G140" i="2"/>
  <c r="AP138" i="1" s="1"/>
  <c r="R140" i="2"/>
  <c r="CB138" i="1" s="1"/>
  <c r="T1" i="8"/>
  <c r="S2" i="8"/>
  <c r="S15" i="8"/>
  <c r="S14" i="8"/>
  <c r="S7" i="8"/>
  <c r="S9" i="8"/>
  <c r="S12" i="8"/>
  <c r="S11" i="8"/>
  <c r="S8" i="8"/>
  <c r="S10" i="8"/>
  <c r="S13" i="8"/>
  <c r="S6" i="8"/>
  <c r="S39" i="8"/>
  <c r="AX671" i="1"/>
  <c r="I383" i="2"/>
  <c r="AX284" i="1" s="1"/>
  <c r="BR671" i="1"/>
  <c r="O383" i="2"/>
  <c r="BR284" i="1" s="1"/>
  <c r="H518" i="2"/>
  <c r="I518" i="2"/>
  <c r="Q518" i="2"/>
  <c r="K518" i="2"/>
  <c r="L518" i="2"/>
  <c r="D519" i="2"/>
  <c r="E518" i="2"/>
  <c r="R518" i="2"/>
  <c r="J142" i="12"/>
  <c r="R142" i="12"/>
  <c r="F142" i="12"/>
  <c r="N142" i="12"/>
  <c r="G142" i="12"/>
  <c r="O142" i="12"/>
  <c r="H142" i="12"/>
  <c r="P142" i="12"/>
  <c r="Q142" i="12"/>
  <c r="S142" i="12"/>
  <c r="E142" i="12"/>
  <c r="I142" i="12"/>
  <c r="K142" i="12"/>
  <c r="L142" i="12"/>
  <c r="M142" i="12"/>
  <c r="A20" i="2"/>
  <c r="B20" i="2"/>
  <c r="BN32" i="1"/>
  <c r="G28" i="1"/>
  <c r="C672" i="1"/>
  <c r="R262" i="2"/>
  <c r="G262" i="2"/>
  <c r="N262" i="2"/>
  <c r="N384" i="2" s="1"/>
  <c r="BN285" i="1" s="1"/>
  <c r="M262" i="2"/>
  <c r="I262" i="2"/>
  <c r="P262" i="2"/>
  <c r="J262" i="2"/>
  <c r="L262" i="2"/>
  <c r="H262" i="2"/>
  <c r="O262" i="2"/>
  <c r="K262" i="2"/>
  <c r="Q262" i="2"/>
  <c r="F262" i="2"/>
  <c r="E262" i="2"/>
  <c r="BJ135" i="1"/>
  <c r="J27" i="18"/>
  <c r="R27" i="18"/>
  <c r="K27" i="18"/>
  <c r="E27" i="18"/>
  <c r="D28" i="18"/>
  <c r="H27" i="18"/>
  <c r="Q27" i="18"/>
  <c r="G27" i="18"/>
  <c r="I27" i="18"/>
  <c r="CA446" i="1"/>
  <c r="R671" i="1"/>
  <c r="H383" i="2"/>
  <c r="R284" i="1" s="1"/>
  <c r="BU446" i="1"/>
  <c r="L32" i="1"/>
  <c r="Q446" i="1"/>
  <c r="CE31" i="1"/>
  <c r="CB445" i="1"/>
  <c r="A508" i="2"/>
  <c r="B508" i="2"/>
  <c r="A18" i="10"/>
  <c r="C141" i="18"/>
  <c r="C264" i="18"/>
  <c r="C386" i="18"/>
  <c r="A18" i="13"/>
  <c r="C18" i="13" s="1"/>
  <c r="C144" i="12"/>
  <c r="BU29" i="1"/>
  <c r="R518" i="18"/>
  <c r="J518" i="18"/>
  <c r="L518" i="18"/>
  <c r="E518" i="18"/>
  <c r="Q518" i="18"/>
  <c r="H518" i="18"/>
  <c r="D519" i="18"/>
  <c r="F21" i="1"/>
  <c r="D21" i="1"/>
  <c r="C435" i="1"/>
  <c r="BJ671" i="1"/>
  <c r="M383" i="2"/>
  <c r="BJ284" i="1" s="1"/>
  <c r="G383" i="2"/>
  <c r="AP284" i="1" s="1"/>
  <c r="AP671" i="1"/>
  <c r="Q26" i="8"/>
  <c r="Q38" i="8" s="1"/>
  <c r="BY31" i="1"/>
  <c r="BV445" i="1"/>
  <c r="O139" i="18"/>
  <c r="BQ137" i="1" s="1"/>
  <c r="F139" i="18"/>
  <c r="AA137" i="1" s="1"/>
  <c r="P139" i="18"/>
  <c r="AE137" i="1" s="1"/>
  <c r="L139" i="18"/>
  <c r="AI137" i="1" s="1"/>
  <c r="A138" i="13"/>
  <c r="C138" i="13" s="1"/>
  <c r="M139" i="18"/>
  <c r="BG137" i="1" s="1"/>
  <c r="E139" i="18"/>
  <c r="K137" i="1" s="1"/>
  <c r="Q139" i="18"/>
  <c r="BU137" i="1" s="1"/>
  <c r="H139" i="18"/>
  <c r="Q137" i="1" s="1"/>
  <c r="G139" i="18"/>
  <c r="AO137" i="1" s="1"/>
  <c r="K139" i="18"/>
  <c r="BC137" i="1" s="1"/>
  <c r="I139" i="18"/>
  <c r="AW137" i="1" s="1"/>
  <c r="R139" i="18"/>
  <c r="CA137" i="1" s="1"/>
  <c r="J139" i="18"/>
  <c r="W137" i="1" s="1"/>
  <c r="BV32" i="1"/>
  <c r="BD32" i="1"/>
  <c r="Q24" i="8"/>
  <c r="Q36" i="8" s="1"/>
  <c r="C507" i="2"/>
  <c r="C629" i="2" s="1"/>
  <c r="A17" i="10"/>
  <c r="Q140" i="2" s="1"/>
  <c r="BV138" i="1" s="1"/>
  <c r="C140" i="18"/>
  <c r="C263" i="18"/>
  <c r="C385" i="18"/>
  <c r="A17" i="13"/>
  <c r="C17" i="13" s="1"/>
  <c r="C143" i="12"/>
  <c r="A20" i="18"/>
  <c r="B20" i="18"/>
  <c r="CA29" i="1"/>
  <c r="BC29" i="1"/>
  <c r="AF671" i="1"/>
  <c r="P383" i="2"/>
  <c r="AF284" i="1" s="1"/>
  <c r="I262" i="18"/>
  <c r="R262" i="18"/>
  <c r="G262" i="18"/>
  <c r="Q262" i="18"/>
  <c r="H262" i="18"/>
  <c r="J262" i="18"/>
  <c r="L262" i="18"/>
  <c r="F262" i="18"/>
  <c r="K262" i="18"/>
  <c r="M262" i="18"/>
  <c r="O262" i="18"/>
  <c r="P262" i="18"/>
  <c r="E262" i="18"/>
  <c r="K446" i="1"/>
  <c r="BV671" i="1"/>
  <c r="Q383" i="2"/>
  <c r="BV284" i="1" s="1"/>
  <c r="CB671" i="1"/>
  <c r="R383" i="2"/>
  <c r="CB284" i="1" s="1"/>
  <c r="BA31" i="1"/>
  <c r="AX445" i="1"/>
  <c r="Q21" i="8"/>
  <c r="Q33" i="8" s="1"/>
  <c r="AX32" i="1"/>
  <c r="CB32" i="1"/>
  <c r="H283" i="1"/>
  <c r="CB135" i="1"/>
  <c r="W29" i="1"/>
  <c r="K29" i="1"/>
  <c r="BH31" i="1"/>
  <c r="BD445" i="1"/>
  <c r="AW29" i="1"/>
  <c r="AJ671" i="1"/>
  <c r="L383" i="2"/>
  <c r="AJ284" i="1" s="1"/>
  <c r="H136" i="1"/>
  <c r="AI446" i="1"/>
  <c r="R3" i="8"/>
  <c r="R4" i="8"/>
  <c r="R17" i="8" s="1"/>
  <c r="R29" i="8" s="1"/>
  <c r="L671" i="1"/>
  <c r="E383" i="2"/>
  <c r="L284" i="1" s="1"/>
  <c r="U31" i="1"/>
  <c r="R445" i="1"/>
  <c r="AF135" i="1"/>
  <c r="AJ135" i="1"/>
  <c r="BR32" i="1"/>
  <c r="D20" i="1"/>
  <c r="E20" i="1"/>
  <c r="F20" i="1"/>
  <c r="C434" i="1"/>
  <c r="BN135" i="1"/>
  <c r="A508" i="18"/>
  <c r="B508" i="18"/>
  <c r="J628" i="2"/>
  <c r="G628" i="2"/>
  <c r="P628" i="2"/>
  <c r="N628" i="2"/>
  <c r="F628" i="2"/>
  <c r="M628" i="2"/>
  <c r="O628" i="2"/>
  <c r="K628" i="2"/>
  <c r="I628" i="2"/>
  <c r="L628" i="2"/>
  <c r="Q628" i="2"/>
  <c r="R628" i="2"/>
  <c r="CE137" i="1" s="1"/>
  <c r="H628" i="2"/>
  <c r="E628" i="2"/>
  <c r="Q29" i="1"/>
  <c r="R19" i="8" l="1"/>
  <c r="R31" i="8" s="1"/>
  <c r="R24" i="8"/>
  <c r="R36" i="8" s="1"/>
  <c r="R20" i="8"/>
  <c r="R32" i="8" s="1"/>
  <c r="I629" i="18"/>
  <c r="K629" i="18"/>
  <c r="M629" i="18"/>
  <c r="F629" i="18"/>
  <c r="P629" i="18"/>
  <c r="G629" i="18"/>
  <c r="O629" i="18"/>
  <c r="E629" i="18"/>
  <c r="R629" i="18"/>
  <c r="Q629" i="18"/>
  <c r="H629" i="18"/>
  <c r="L629" i="18"/>
  <c r="J629" i="18"/>
  <c r="AX673" i="1"/>
  <c r="I385" i="2"/>
  <c r="AX286" i="1" s="1"/>
  <c r="Q672" i="1"/>
  <c r="H384" i="18"/>
  <c r="Q285" i="1" s="1"/>
  <c r="H519" i="18"/>
  <c r="Q519" i="18"/>
  <c r="R519" i="18"/>
  <c r="J519" i="18"/>
  <c r="E519" i="18"/>
  <c r="D520" i="18"/>
  <c r="L519" i="18"/>
  <c r="A509" i="2"/>
  <c r="B509" i="2"/>
  <c r="G384" i="2"/>
  <c r="AP285" i="1" s="1"/>
  <c r="AP672" i="1"/>
  <c r="C20" i="2"/>
  <c r="R23" i="8"/>
  <c r="R35" i="8" s="1"/>
  <c r="H135" i="1"/>
  <c r="G385" i="2"/>
  <c r="AP286" i="1" s="1"/>
  <c r="AP673" i="1"/>
  <c r="O384" i="18"/>
  <c r="BQ285" i="1" s="1"/>
  <c r="BQ672" i="1"/>
  <c r="AO672" i="1"/>
  <c r="G384" i="18"/>
  <c r="AO285" i="1" s="1"/>
  <c r="K263" i="18"/>
  <c r="L263" i="18"/>
  <c r="M263" i="18"/>
  <c r="E263" i="18"/>
  <c r="O263" i="18"/>
  <c r="G263" i="18"/>
  <c r="Q263" i="18"/>
  <c r="J263" i="18"/>
  <c r="P263" i="18"/>
  <c r="R263" i="18"/>
  <c r="H263" i="18"/>
  <c r="I263" i="18"/>
  <c r="F263" i="18"/>
  <c r="BU447" i="1"/>
  <c r="J144" i="12"/>
  <c r="R144" i="12"/>
  <c r="F144" i="12"/>
  <c r="N144" i="12"/>
  <c r="G144" i="12"/>
  <c r="O144" i="12"/>
  <c r="H144" i="12"/>
  <c r="P144" i="12"/>
  <c r="Q144" i="12"/>
  <c r="E144" i="12"/>
  <c r="I144" i="12"/>
  <c r="K144" i="12"/>
  <c r="L144" i="12"/>
  <c r="M144" i="12"/>
  <c r="S144" i="12"/>
  <c r="R18" i="8"/>
  <c r="R30" i="8" s="1"/>
  <c r="AW30" i="1"/>
  <c r="W30" i="1"/>
  <c r="AJ672" i="1"/>
  <c r="L384" i="2"/>
  <c r="AJ285" i="1" s="1"/>
  <c r="E519" i="2"/>
  <c r="D520" i="2"/>
  <c r="I519" i="2"/>
  <c r="Q519" i="2"/>
  <c r="R519" i="2"/>
  <c r="K519" i="2"/>
  <c r="L519" i="2"/>
  <c r="H519" i="2"/>
  <c r="M140" i="2"/>
  <c r="BJ138" i="1" s="1"/>
  <c r="H140" i="2"/>
  <c r="R138" i="1" s="1"/>
  <c r="BD137" i="1"/>
  <c r="AF137" i="1"/>
  <c r="BN33" i="1"/>
  <c r="AX33" i="1"/>
  <c r="BR673" i="1"/>
  <c r="O385" i="2"/>
  <c r="BR286" i="1" s="1"/>
  <c r="R673" i="1"/>
  <c r="H385" i="2"/>
  <c r="R286" i="1" s="1"/>
  <c r="H32" i="1"/>
  <c r="F385" i="2"/>
  <c r="AB286" i="1" s="1"/>
  <c r="AB673" i="1"/>
  <c r="BR672" i="1"/>
  <c r="O384" i="2"/>
  <c r="BR285" i="1" s="1"/>
  <c r="P140" i="2"/>
  <c r="AF138" i="1" s="1"/>
  <c r="AT135" i="1"/>
  <c r="CB33" i="1"/>
  <c r="D434" i="1"/>
  <c r="E434" i="1"/>
  <c r="M384" i="18"/>
  <c r="BG285" i="1" s="1"/>
  <c r="BG672" i="1"/>
  <c r="CA672" i="1"/>
  <c r="R384" i="18"/>
  <c r="CA285" i="1" s="1"/>
  <c r="L140" i="18"/>
  <c r="AI138" i="1" s="1"/>
  <c r="M140" i="18"/>
  <c r="BG138" i="1" s="1"/>
  <c r="P140" i="18"/>
  <c r="AE138" i="1" s="1"/>
  <c r="F140" i="18"/>
  <c r="AA138" i="1" s="1"/>
  <c r="O140" i="18"/>
  <c r="BQ138" i="1" s="1"/>
  <c r="A139" i="13"/>
  <c r="C139" i="13" s="1"/>
  <c r="G140" i="18"/>
  <c r="AO138" i="1" s="1"/>
  <c r="K140" i="18"/>
  <c r="BC138" i="1" s="1"/>
  <c r="I140" i="18"/>
  <c r="AW138" i="1" s="1"/>
  <c r="J140" i="18"/>
  <c r="W138" i="1" s="1"/>
  <c r="H140" i="18"/>
  <c r="Q138" i="1" s="1"/>
  <c r="R140" i="18"/>
  <c r="CA138" i="1" s="1"/>
  <c r="E140" i="18"/>
  <c r="K138" i="1" s="1"/>
  <c r="Q140" i="18"/>
  <c r="BU138" i="1" s="1"/>
  <c r="R22" i="8"/>
  <c r="R34" i="8" s="1"/>
  <c r="K447" i="1"/>
  <c r="AO30" i="1"/>
  <c r="J384" i="2"/>
  <c r="X285" i="1" s="1"/>
  <c r="X672" i="1"/>
  <c r="AM32" i="1"/>
  <c r="AJ447" i="1"/>
  <c r="N140" i="2"/>
  <c r="BN138" i="1" s="1"/>
  <c r="O140" i="2"/>
  <c r="BR138" i="1" s="1"/>
  <c r="BV137" i="1"/>
  <c r="H445" i="1"/>
  <c r="BR33" i="1"/>
  <c r="AF33" i="1"/>
  <c r="J385" i="2"/>
  <c r="X286" i="1" s="1"/>
  <c r="X673" i="1"/>
  <c r="W672" i="1"/>
  <c r="J384" i="18"/>
  <c r="W285" i="1" s="1"/>
  <c r="K30" i="1"/>
  <c r="BY137" i="1"/>
  <c r="AW672" i="1"/>
  <c r="I384" i="18"/>
  <c r="AW285" i="1" s="1"/>
  <c r="G137" i="1"/>
  <c r="D435" i="1"/>
  <c r="E435" i="1"/>
  <c r="BU30" i="1"/>
  <c r="AF672" i="1"/>
  <c r="P384" i="2"/>
  <c r="AF285" i="1" s="1"/>
  <c r="BH32" i="1"/>
  <c r="BD446" i="1"/>
  <c r="R21" i="8"/>
  <c r="R33" i="8" s="1"/>
  <c r="K140" i="2"/>
  <c r="BD138" i="1" s="1"/>
  <c r="E140" i="2"/>
  <c r="L138" i="1" s="1"/>
  <c r="I31" i="1"/>
  <c r="BJ33" i="1"/>
  <c r="AF673" i="1"/>
  <c r="P385" i="2"/>
  <c r="AF286" i="1" s="1"/>
  <c r="G446" i="1"/>
  <c r="F384" i="18"/>
  <c r="AA285" i="1" s="1"/>
  <c r="AA672" i="1"/>
  <c r="A21" i="18"/>
  <c r="B21" i="18"/>
  <c r="J629" i="2"/>
  <c r="M629" i="2"/>
  <c r="N629" i="2"/>
  <c r="O629" i="2"/>
  <c r="P629" i="2"/>
  <c r="G629" i="2"/>
  <c r="F629" i="2"/>
  <c r="I629" i="2"/>
  <c r="BA138" i="1" s="1"/>
  <c r="H629" i="2"/>
  <c r="U138" i="1" s="1"/>
  <c r="K629" i="2"/>
  <c r="BH137" i="1" s="1"/>
  <c r="E629" i="2"/>
  <c r="O138" i="1" s="1"/>
  <c r="L629" i="2"/>
  <c r="AM138" i="1" s="1"/>
  <c r="Q629" i="2"/>
  <c r="BY138" i="1" s="1"/>
  <c r="R629" i="2"/>
  <c r="CE138" i="1" s="1"/>
  <c r="E21" i="1"/>
  <c r="W447" i="1"/>
  <c r="E264" i="18"/>
  <c r="M264" i="18"/>
  <c r="G264" i="18"/>
  <c r="Q264" i="18"/>
  <c r="H264" i="18"/>
  <c r="R264" i="18"/>
  <c r="I264" i="18"/>
  <c r="K264" i="18"/>
  <c r="P264" i="18"/>
  <c r="F264" i="18"/>
  <c r="L264" i="18"/>
  <c r="J264" i="18"/>
  <c r="O264" i="18"/>
  <c r="Q30" i="1"/>
  <c r="F384" i="2"/>
  <c r="AB285" i="1" s="1"/>
  <c r="AB672" i="1"/>
  <c r="AX672" i="1"/>
  <c r="I384" i="2"/>
  <c r="AX285" i="1" s="1"/>
  <c r="BY32" i="1"/>
  <c r="BV446" i="1"/>
  <c r="L140" i="2"/>
  <c r="AJ138" i="1" s="1"/>
  <c r="J140" i="2"/>
  <c r="X138" i="1" s="1"/>
  <c r="L33" i="1"/>
  <c r="BD673" i="1"/>
  <c r="K385" i="2"/>
  <c r="BD286" i="1" s="1"/>
  <c r="BJ673" i="1"/>
  <c r="M385" i="2"/>
  <c r="BJ286" i="1" s="1"/>
  <c r="BD672" i="1"/>
  <c r="K384" i="2"/>
  <c r="BD285" i="1" s="1"/>
  <c r="BC672" i="1"/>
  <c r="K384" i="18"/>
  <c r="BC285" i="1" s="1"/>
  <c r="AI447" i="1"/>
  <c r="L672" i="1"/>
  <c r="E384" i="2"/>
  <c r="L285" i="1" s="1"/>
  <c r="CB137" i="1"/>
  <c r="R33" i="1"/>
  <c r="BA137" i="1"/>
  <c r="AV137" i="1" s="1"/>
  <c r="H284" i="1"/>
  <c r="CG284" i="1" s="1"/>
  <c r="G29" i="1"/>
  <c r="L384" i="18"/>
  <c r="AI285" i="1" s="1"/>
  <c r="AI672" i="1"/>
  <c r="C20" i="18"/>
  <c r="CA447" i="1"/>
  <c r="F141" i="18"/>
  <c r="AA139" i="1" s="1"/>
  <c r="L141" i="18"/>
  <c r="AI139" i="1" s="1"/>
  <c r="M141" i="18"/>
  <c r="BG139" i="1" s="1"/>
  <c r="P141" i="18"/>
  <c r="AE139" i="1" s="1"/>
  <c r="A140" i="13"/>
  <c r="C140" i="13" s="1"/>
  <c r="O141" i="18"/>
  <c r="BQ139" i="1" s="1"/>
  <c r="J141" i="18"/>
  <c r="W139" i="1" s="1"/>
  <c r="H141" i="18"/>
  <c r="Q139" i="1" s="1"/>
  <c r="I141" i="18"/>
  <c r="AW139" i="1" s="1"/>
  <c r="E141" i="18"/>
  <c r="K139" i="1" s="1"/>
  <c r="R141" i="18"/>
  <c r="CA139" i="1" s="1"/>
  <c r="G141" i="18"/>
  <c r="AO139" i="1" s="1"/>
  <c r="Q141" i="18"/>
  <c r="BU139" i="1" s="1"/>
  <c r="K141" i="18"/>
  <c r="BC139" i="1" s="1"/>
  <c r="H28" i="18"/>
  <c r="I28" i="18"/>
  <c r="Q28" i="18"/>
  <c r="J28" i="18"/>
  <c r="R28" i="18"/>
  <c r="K28" i="18"/>
  <c r="D29" i="18"/>
  <c r="E28" i="18"/>
  <c r="G28" i="18"/>
  <c r="BV672" i="1"/>
  <c r="Q384" i="2"/>
  <c r="BV285" i="1" s="1"/>
  <c r="BJ672" i="1"/>
  <c r="M384" i="2"/>
  <c r="BJ285" i="1" s="1"/>
  <c r="BA32" i="1"/>
  <c r="AX446" i="1"/>
  <c r="I140" i="2"/>
  <c r="AX138" i="1" s="1"/>
  <c r="F140" i="2"/>
  <c r="AB138" i="1" s="1"/>
  <c r="L137" i="1"/>
  <c r="AJ33" i="1"/>
  <c r="L673" i="1"/>
  <c r="E385" i="2"/>
  <c r="L286" i="1" s="1"/>
  <c r="CB673" i="1"/>
  <c r="R385" i="2"/>
  <c r="CB286" i="1" s="1"/>
  <c r="E22" i="1"/>
  <c r="D22" i="1"/>
  <c r="F22" i="1"/>
  <c r="C436" i="1"/>
  <c r="C674" i="1"/>
  <c r="L264" i="2"/>
  <c r="R264" i="2"/>
  <c r="F264" i="2"/>
  <c r="E264" i="2"/>
  <c r="G264" i="2"/>
  <c r="N264" i="2"/>
  <c r="N386" i="2" s="1"/>
  <c r="BN287" i="1" s="1"/>
  <c r="M264" i="2"/>
  <c r="I264" i="2"/>
  <c r="P264" i="2"/>
  <c r="J264" i="2"/>
  <c r="H264" i="2"/>
  <c r="O264" i="2"/>
  <c r="Q264" i="2"/>
  <c r="K264" i="2"/>
  <c r="B509" i="18"/>
  <c r="A509" i="18"/>
  <c r="J143" i="12"/>
  <c r="R143" i="12"/>
  <c r="F143" i="12"/>
  <c r="N143" i="12"/>
  <c r="G143" i="12"/>
  <c r="O143" i="12"/>
  <c r="H143" i="12"/>
  <c r="P143" i="12"/>
  <c r="Q143" i="12"/>
  <c r="E143" i="12"/>
  <c r="I143" i="12"/>
  <c r="K143" i="12"/>
  <c r="L143" i="12"/>
  <c r="M143" i="12"/>
  <c r="S143" i="12"/>
  <c r="A21" i="2"/>
  <c r="B21" i="2"/>
  <c r="U32" i="1"/>
  <c r="R446" i="1"/>
  <c r="BD33" i="1"/>
  <c r="C508" i="18"/>
  <c r="C630" i="18" s="1"/>
  <c r="K672" i="1"/>
  <c r="E384" i="18"/>
  <c r="K285" i="1" s="1"/>
  <c r="G285" i="1" s="1"/>
  <c r="BC30" i="1"/>
  <c r="CE32" i="1"/>
  <c r="CB446" i="1"/>
  <c r="S3" i="8"/>
  <c r="S4" i="8"/>
  <c r="S26" i="8" s="1"/>
  <c r="S38" i="8" s="1"/>
  <c r="R137" i="1"/>
  <c r="R25" i="8"/>
  <c r="R37" i="8" s="1"/>
  <c r="O137" i="1"/>
  <c r="P384" i="18"/>
  <c r="AE285" i="1" s="1"/>
  <c r="AE672" i="1"/>
  <c r="BU672" i="1"/>
  <c r="Q384" i="18"/>
  <c r="BU285" i="1" s="1"/>
  <c r="Q447" i="1"/>
  <c r="C508" i="2"/>
  <c r="C630" i="2" s="1"/>
  <c r="CA30" i="1"/>
  <c r="R672" i="1"/>
  <c r="H384" i="2"/>
  <c r="R285" i="1" s="1"/>
  <c r="CB672" i="1"/>
  <c r="R384" i="2"/>
  <c r="CB285" i="1" s="1"/>
  <c r="O32" i="1"/>
  <c r="I32" i="1" s="1"/>
  <c r="L446" i="1"/>
  <c r="T2" i="8"/>
  <c r="T6" i="8"/>
  <c r="T8" i="8"/>
  <c r="T10" i="8"/>
  <c r="T12" i="8"/>
  <c r="T14" i="8"/>
  <c r="U1" i="8"/>
  <c r="T7" i="8"/>
  <c r="T9" i="8"/>
  <c r="T11" i="8"/>
  <c r="T13" i="8"/>
  <c r="T15" i="8"/>
  <c r="T39" i="8"/>
  <c r="R26" i="8"/>
  <c r="R38" i="8" s="1"/>
  <c r="N31" i="2"/>
  <c r="D32" i="2"/>
  <c r="O31" i="2"/>
  <c r="H31" i="2"/>
  <c r="P31" i="2"/>
  <c r="I31" i="2"/>
  <c r="Q31" i="2"/>
  <c r="R31" i="2"/>
  <c r="K31" i="2"/>
  <c r="E31" i="2"/>
  <c r="M31" i="2"/>
  <c r="L31" i="2"/>
  <c r="BV33" i="1"/>
  <c r="BV673" i="1"/>
  <c r="Q385" i="2"/>
  <c r="BV286" i="1" s="1"/>
  <c r="AJ673" i="1"/>
  <c r="L385" i="2"/>
  <c r="AJ286" i="1" s="1"/>
  <c r="J141" i="2"/>
  <c r="X139" i="1" s="1"/>
  <c r="G141" i="2"/>
  <c r="AP139" i="1" s="1"/>
  <c r="F141" i="2"/>
  <c r="I141" i="2"/>
  <c r="AX139" i="1" s="1"/>
  <c r="N141" i="2"/>
  <c r="BN139" i="1" s="1"/>
  <c r="E141" i="2"/>
  <c r="L139" i="1" s="1"/>
  <c r="P141" i="2"/>
  <c r="AF139" i="1" s="1"/>
  <c r="R141" i="2"/>
  <c r="CB139" i="1" s="1"/>
  <c r="L141" i="2"/>
  <c r="AJ139" i="1" s="1"/>
  <c r="M141" i="2"/>
  <c r="BJ139" i="1" s="1"/>
  <c r="Q141" i="2"/>
  <c r="BV139" i="1" s="1"/>
  <c r="O141" i="2"/>
  <c r="BR139" i="1" s="1"/>
  <c r="H141" i="2"/>
  <c r="R139" i="1" s="1"/>
  <c r="K141" i="2"/>
  <c r="BD139" i="1" s="1"/>
  <c r="R34" i="1" l="1"/>
  <c r="K673" i="1"/>
  <c r="E385" i="18"/>
  <c r="K286" i="1" s="1"/>
  <c r="A510" i="2"/>
  <c r="C510" i="2" s="1"/>
  <c r="C632" i="2" s="1"/>
  <c r="B510" i="2"/>
  <c r="AF674" i="1"/>
  <c r="P386" i="2"/>
  <c r="AF287" i="1" s="1"/>
  <c r="BY33" i="1"/>
  <c r="BV447" i="1"/>
  <c r="Q673" i="1"/>
  <c r="H385" i="18"/>
  <c r="Q286" i="1" s="1"/>
  <c r="CB34" i="1"/>
  <c r="BR137" i="1"/>
  <c r="U7" i="8"/>
  <c r="U9" i="8"/>
  <c r="U11" i="8"/>
  <c r="U2" i="8"/>
  <c r="V1" i="8"/>
  <c r="U8" i="8"/>
  <c r="U10" i="8"/>
  <c r="U12" i="8"/>
  <c r="U6" i="8"/>
  <c r="U14" i="8"/>
  <c r="U39" i="8"/>
  <c r="U13" i="8"/>
  <c r="U15" i="8"/>
  <c r="H446" i="1"/>
  <c r="BD674" i="1"/>
  <c r="K386" i="2"/>
  <c r="BD287" i="1" s="1"/>
  <c r="D30" i="18"/>
  <c r="G29" i="18"/>
  <c r="H29" i="18"/>
  <c r="I29" i="18"/>
  <c r="Q29" i="18"/>
  <c r="J29" i="18"/>
  <c r="R29" i="18"/>
  <c r="E29" i="18"/>
  <c r="K29" i="18"/>
  <c r="O386" i="18"/>
  <c r="BQ287" i="1" s="1"/>
  <c r="BQ674" i="1"/>
  <c r="Q674" i="1"/>
  <c r="H386" i="18"/>
  <c r="Q287" i="1" s="1"/>
  <c r="S24" i="8"/>
  <c r="S36" i="8" s="1"/>
  <c r="S22" i="8"/>
  <c r="S34" i="8" s="1"/>
  <c r="O33" i="1"/>
  <c r="I33" i="1" s="1"/>
  <c r="L447" i="1"/>
  <c r="W673" i="1"/>
  <c r="J385" i="18"/>
  <c r="W286" i="1" s="1"/>
  <c r="S21" i="8"/>
  <c r="S33" i="8" s="1"/>
  <c r="K448" i="1"/>
  <c r="AJ34" i="1"/>
  <c r="BU31" i="1"/>
  <c r="BJ34" i="1"/>
  <c r="AJ674" i="1"/>
  <c r="L386" i="2"/>
  <c r="AJ287" i="1" s="1"/>
  <c r="S25" i="8"/>
  <c r="S37" i="8" s="1"/>
  <c r="C509" i="2"/>
  <c r="C631" i="2" s="1"/>
  <c r="AT139" i="1"/>
  <c r="BV34" i="1"/>
  <c r="BV674" i="1"/>
  <c r="Q386" i="2"/>
  <c r="BV287" i="1" s="1"/>
  <c r="G386" i="2"/>
  <c r="AP287" i="1" s="1"/>
  <c r="AP674" i="1"/>
  <c r="BC31" i="1"/>
  <c r="W674" i="1"/>
  <c r="J386" i="18"/>
  <c r="W287" i="1" s="1"/>
  <c r="BU674" i="1"/>
  <c r="Q386" i="18"/>
  <c r="BU287" i="1" s="1"/>
  <c r="BN137" i="1"/>
  <c r="U33" i="1"/>
  <c r="R447" i="1"/>
  <c r="BU673" i="1"/>
  <c r="Q385" i="18"/>
  <c r="BU286" i="1" s="1"/>
  <c r="C142" i="2"/>
  <c r="C265" i="2"/>
  <c r="C387" i="2"/>
  <c r="C23" i="1"/>
  <c r="C140" i="1"/>
  <c r="C566" i="1" s="1"/>
  <c r="C288" i="1"/>
  <c r="D288" i="1" s="1"/>
  <c r="W448" i="1"/>
  <c r="AX34" i="1"/>
  <c r="N630" i="2"/>
  <c r="F630" i="2"/>
  <c r="O630" i="2"/>
  <c r="G630" i="2"/>
  <c r="P630" i="2"/>
  <c r="J630" i="2"/>
  <c r="M630" i="2"/>
  <c r="E630" i="2"/>
  <c r="O139" i="1" s="1"/>
  <c r="L630" i="2"/>
  <c r="AM139" i="1" s="1"/>
  <c r="R630" i="2"/>
  <c r="CE139" i="1" s="1"/>
  <c r="K630" i="2"/>
  <c r="BH139" i="1" s="1"/>
  <c r="Q630" i="2"/>
  <c r="BY139" i="1" s="1"/>
  <c r="H630" i="2"/>
  <c r="U139" i="1" s="1"/>
  <c r="I630" i="2"/>
  <c r="BA139" i="1" s="1"/>
  <c r="BR674" i="1"/>
  <c r="O386" i="2"/>
  <c r="BR287" i="1" s="1"/>
  <c r="L674" i="1"/>
  <c r="E386" i="2"/>
  <c r="L287" i="1" s="1"/>
  <c r="CA31" i="1"/>
  <c r="S20" i="8"/>
  <c r="S32" i="8" s="1"/>
  <c r="AX137" i="1"/>
  <c r="L386" i="18"/>
  <c r="AI287" i="1" s="1"/>
  <c r="AI674" i="1"/>
  <c r="AO674" i="1"/>
  <c r="G386" i="18"/>
  <c r="AO287" i="1" s="1"/>
  <c r="H138" i="1"/>
  <c r="AM33" i="1"/>
  <c r="AJ448" i="1"/>
  <c r="AO673" i="1"/>
  <c r="G385" i="18"/>
  <c r="AO286" i="1" s="1"/>
  <c r="CA448" i="1"/>
  <c r="AF34" i="1"/>
  <c r="R674" i="1"/>
  <c r="H386" i="2"/>
  <c r="R287" i="1" s="1"/>
  <c r="F386" i="2"/>
  <c r="AB287" i="1" s="1"/>
  <c r="AB674" i="1"/>
  <c r="W31" i="1"/>
  <c r="G139" i="1"/>
  <c r="H285" i="1"/>
  <c r="F386" i="18"/>
  <c r="AA287" i="1" s="1"/>
  <c r="AA674" i="1"/>
  <c r="M386" i="18"/>
  <c r="BG287" i="1" s="1"/>
  <c r="BG674" i="1"/>
  <c r="G30" i="1"/>
  <c r="AJ137" i="1"/>
  <c r="G138" i="1"/>
  <c r="BH33" i="1"/>
  <c r="BD447" i="1"/>
  <c r="F385" i="18"/>
  <c r="AA286" i="1" s="1"/>
  <c r="AA673" i="1"/>
  <c r="O385" i="18"/>
  <c r="BQ286" i="1" s="1"/>
  <c r="BQ673" i="1"/>
  <c r="BU448" i="1"/>
  <c r="CB674" i="1"/>
  <c r="R386" i="2"/>
  <c r="CB287" i="1" s="1"/>
  <c r="P386" i="18"/>
  <c r="AE287" i="1" s="1"/>
  <c r="AE674" i="1"/>
  <c r="AW673" i="1"/>
  <c r="I385" i="18"/>
  <c r="AW286" i="1" s="1"/>
  <c r="AW31" i="1"/>
  <c r="BC674" i="1"/>
  <c r="K386" i="18"/>
  <c r="BC287" i="1" s="1"/>
  <c r="M385" i="18"/>
  <c r="BG286" i="1" s="1"/>
  <c r="BG673" i="1"/>
  <c r="L34" i="1"/>
  <c r="L32" i="2"/>
  <c r="E32" i="2"/>
  <c r="M32" i="2"/>
  <c r="N32" i="2"/>
  <c r="D33" i="2"/>
  <c r="O32" i="2"/>
  <c r="H32" i="2"/>
  <c r="P32" i="2"/>
  <c r="I32" i="2"/>
  <c r="Q32" i="2"/>
  <c r="K32" i="2"/>
  <c r="R32" i="2"/>
  <c r="T3" i="8"/>
  <c r="T4" i="8"/>
  <c r="T23" i="8" s="1"/>
  <c r="T35" i="8" s="1"/>
  <c r="K630" i="18"/>
  <c r="M630" i="18"/>
  <c r="F630" i="18"/>
  <c r="O630" i="18"/>
  <c r="I630" i="18"/>
  <c r="P630" i="18"/>
  <c r="G630" i="18"/>
  <c r="H630" i="18"/>
  <c r="L630" i="18"/>
  <c r="Q630" i="18"/>
  <c r="J630" i="18"/>
  <c r="R630" i="18"/>
  <c r="E630" i="18"/>
  <c r="C21" i="2"/>
  <c r="C509" i="18"/>
  <c r="C631" i="18" s="1"/>
  <c r="AX674" i="1"/>
  <c r="I386" i="2"/>
  <c r="AX287" i="1" s="1"/>
  <c r="S17" i="8"/>
  <c r="S29" i="8" s="1"/>
  <c r="AO31" i="1"/>
  <c r="Q31" i="1"/>
  <c r="AW674" i="1"/>
  <c r="I386" i="18"/>
  <c r="AW287" i="1" s="1"/>
  <c r="B22" i="18"/>
  <c r="A22" i="18"/>
  <c r="C22" i="18" s="1"/>
  <c r="S23" i="8"/>
  <c r="S35" i="8" s="1"/>
  <c r="U137" i="1"/>
  <c r="I137" i="1" s="1"/>
  <c r="BA33" i="1"/>
  <c r="AX447" i="1"/>
  <c r="CA673" i="1"/>
  <c r="R385" i="18"/>
  <c r="CA286" i="1" s="1"/>
  <c r="L385" i="18"/>
  <c r="AI286" i="1" s="1"/>
  <c r="AI673" i="1"/>
  <c r="AI448" i="1"/>
  <c r="BJ137" i="1"/>
  <c r="CG285" i="1"/>
  <c r="J386" i="2"/>
  <c r="X287" i="1" s="1"/>
  <c r="X674" i="1"/>
  <c r="K674" i="1"/>
  <c r="E386" i="18"/>
  <c r="K287" i="1" s="1"/>
  <c r="CE33" i="1"/>
  <c r="CB447" i="1"/>
  <c r="Q448" i="1"/>
  <c r="BR34" i="1"/>
  <c r="B22" i="2"/>
  <c r="A22" i="2"/>
  <c r="H286" i="1"/>
  <c r="AM137" i="1"/>
  <c r="S18" i="8"/>
  <c r="S30" i="8" s="1"/>
  <c r="H139" i="1"/>
  <c r="BD34" i="1"/>
  <c r="BN34" i="1"/>
  <c r="S19" i="8"/>
  <c r="S31" i="8" s="1"/>
  <c r="A510" i="18"/>
  <c r="B510" i="18"/>
  <c r="BJ674" i="1"/>
  <c r="M386" i="2"/>
  <c r="BJ287" i="1" s="1"/>
  <c r="D436" i="1"/>
  <c r="E436" i="1"/>
  <c r="K31" i="1"/>
  <c r="A19" i="10"/>
  <c r="C265" i="18"/>
  <c r="C142" i="18"/>
  <c r="C387" i="18"/>
  <c r="A19" i="13"/>
  <c r="C19" i="13" s="1"/>
  <c r="C145" i="12"/>
  <c r="H33" i="1"/>
  <c r="CA674" i="1"/>
  <c r="R386" i="18"/>
  <c r="CA287" i="1" s="1"/>
  <c r="C21" i="18"/>
  <c r="G447" i="1"/>
  <c r="K520" i="2"/>
  <c r="L520" i="2"/>
  <c r="E520" i="2"/>
  <c r="H520" i="2"/>
  <c r="I520" i="2"/>
  <c r="D521" i="2"/>
  <c r="Q520" i="2"/>
  <c r="R520" i="2"/>
  <c r="P385" i="18"/>
  <c r="AE286" i="1" s="1"/>
  <c r="AE673" i="1"/>
  <c r="BC673" i="1"/>
  <c r="K385" i="18"/>
  <c r="BC286" i="1" s="1"/>
  <c r="H520" i="18"/>
  <c r="Q520" i="18"/>
  <c r="R520" i="18"/>
  <c r="J520" i="18"/>
  <c r="L520" i="18"/>
  <c r="E520" i="18"/>
  <c r="D521" i="18"/>
  <c r="T25" i="8" l="1"/>
  <c r="T37" i="8" s="1"/>
  <c r="T21" i="8"/>
  <c r="T33" i="8" s="1"/>
  <c r="T20" i="8"/>
  <c r="T32" i="8" s="1"/>
  <c r="CA449" i="1"/>
  <c r="B23" i="2"/>
  <c r="A23" i="2"/>
  <c r="C23" i="2" s="1"/>
  <c r="R33" i="2"/>
  <c r="K33" i="2"/>
  <c r="L33" i="2"/>
  <c r="E33" i="2"/>
  <c r="M33" i="2"/>
  <c r="N33" i="2"/>
  <c r="D34" i="2"/>
  <c r="O33" i="2"/>
  <c r="I33" i="2"/>
  <c r="Q33" i="2"/>
  <c r="P33" i="2"/>
  <c r="H33" i="2"/>
  <c r="BC32" i="1"/>
  <c r="A511" i="18"/>
  <c r="B511" i="18"/>
  <c r="AT137" i="1"/>
  <c r="Q449" i="1"/>
  <c r="H521" i="18"/>
  <c r="Q521" i="18"/>
  <c r="R521" i="18"/>
  <c r="L521" i="18"/>
  <c r="D522" i="18"/>
  <c r="J521" i="18"/>
  <c r="E521" i="18"/>
  <c r="O34" i="1"/>
  <c r="L448" i="1"/>
  <c r="J145" i="12"/>
  <c r="R145" i="12"/>
  <c r="F145" i="12"/>
  <c r="N145" i="12"/>
  <c r="G145" i="12"/>
  <c r="O145" i="12"/>
  <c r="H145" i="12"/>
  <c r="P145" i="12"/>
  <c r="Q145" i="12"/>
  <c r="E145" i="12"/>
  <c r="I145" i="12"/>
  <c r="K145" i="12"/>
  <c r="L145" i="12"/>
  <c r="M145" i="12"/>
  <c r="S145" i="12"/>
  <c r="T18" i="8"/>
  <c r="T30" i="8" s="1"/>
  <c r="AX35" i="1"/>
  <c r="AJ35" i="1"/>
  <c r="C675" i="1"/>
  <c r="H265" i="2"/>
  <c r="K265" i="2"/>
  <c r="Q265" i="2"/>
  <c r="G265" i="2"/>
  <c r="M265" i="2"/>
  <c r="R265" i="2"/>
  <c r="I265" i="2"/>
  <c r="L265" i="2"/>
  <c r="P265" i="2"/>
  <c r="J265" i="2"/>
  <c r="N265" i="2"/>
  <c r="N387" i="2" s="1"/>
  <c r="BN288" i="1" s="1"/>
  <c r="F265" i="2"/>
  <c r="E265" i="2"/>
  <c r="O265" i="2"/>
  <c r="BU32" i="1"/>
  <c r="W1" i="8"/>
  <c r="V7" i="8"/>
  <c r="V9" i="8"/>
  <c r="V11" i="8"/>
  <c r="V2" i="8"/>
  <c r="V8" i="8"/>
  <c r="V10" i="8"/>
  <c r="V14" i="8"/>
  <c r="V6" i="8"/>
  <c r="V13" i="8"/>
  <c r="V12" i="8"/>
  <c r="V39" i="8"/>
  <c r="V15" i="8"/>
  <c r="T22" i="8"/>
  <c r="T34" i="8" s="1"/>
  <c r="G265" i="18"/>
  <c r="P265" i="18"/>
  <c r="K265" i="18"/>
  <c r="L265" i="18"/>
  <c r="M265" i="18"/>
  <c r="F265" i="18"/>
  <c r="Q265" i="18"/>
  <c r="E265" i="18"/>
  <c r="H265" i="18"/>
  <c r="I265" i="18"/>
  <c r="J265" i="18"/>
  <c r="R265" i="18"/>
  <c r="O265" i="18"/>
  <c r="C143" i="2"/>
  <c r="C266" i="2"/>
  <c r="C388" i="2"/>
  <c r="C24" i="1"/>
  <c r="C141" i="1"/>
  <c r="C567" i="1" s="1"/>
  <c r="C289" i="1"/>
  <c r="D289" i="1" s="1"/>
  <c r="AM34" i="1"/>
  <c r="AJ449" i="1"/>
  <c r="AF35" i="1"/>
  <c r="H34" i="1"/>
  <c r="T24" i="8"/>
  <c r="T36" i="8" s="1"/>
  <c r="F142" i="2"/>
  <c r="J142" i="2"/>
  <c r="X140" i="1" s="1"/>
  <c r="G142" i="2"/>
  <c r="AP140" i="1" s="1"/>
  <c r="R142" i="2"/>
  <c r="CB140" i="1" s="1"/>
  <c r="E142" i="2"/>
  <c r="L140" i="1" s="1"/>
  <c r="O142" i="2"/>
  <c r="BR140" i="1" s="1"/>
  <c r="Q142" i="2"/>
  <c r="BV140" i="1" s="1"/>
  <c r="N142" i="2"/>
  <c r="BN140" i="1" s="1"/>
  <c r="M142" i="2"/>
  <c r="BJ140" i="1" s="1"/>
  <c r="I142" i="2"/>
  <c r="AX140" i="1" s="1"/>
  <c r="K142" i="2"/>
  <c r="BD140" i="1" s="1"/>
  <c r="P142" i="2"/>
  <c r="AF140" i="1" s="1"/>
  <c r="H142" i="2"/>
  <c r="R140" i="1" s="1"/>
  <c r="L142" i="2"/>
  <c r="AJ140" i="1" s="1"/>
  <c r="M631" i="2"/>
  <c r="BJ554" i="1" s="1"/>
  <c r="J631" i="2"/>
  <c r="X554" i="1" s="1"/>
  <c r="F631" i="2"/>
  <c r="AB554" i="1" s="1"/>
  <c r="G631" i="2"/>
  <c r="AP554" i="1" s="1"/>
  <c r="N631" i="2"/>
  <c r="P631" i="2"/>
  <c r="AF554" i="1" s="1"/>
  <c r="O631" i="2"/>
  <c r="BR554" i="1" s="1"/>
  <c r="E631" i="2"/>
  <c r="H631" i="2"/>
  <c r="L631" i="2"/>
  <c r="R631" i="2"/>
  <c r="I631" i="2"/>
  <c r="Q631" i="2"/>
  <c r="K631" i="2"/>
  <c r="AW32" i="1"/>
  <c r="U4" i="8"/>
  <c r="U20" i="8" s="1"/>
  <c r="U32" i="8" s="1"/>
  <c r="U3" i="8"/>
  <c r="A511" i="2"/>
  <c r="C511" i="2" s="1"/>
  <c r="C633" i="2" s="1"/>
  <c r="B511" i="2"/>
  <c r="A20" i="10"/>
  <c r="P632" i="2" s="1"/>
  <c r="AF555" i="1" s="1"/>
  <c r="C143" i="18"/>
  <c r="C388" i="18"/>
  <c r="C266" i="18"/>
  <c r="A20" i="13"/>
  <c r="C20" i="13" s="1"/>
  <c r="C146" i="12"/>
  <c r="K449" i="1"/>
  <c r="AI449" i="1"/>
  <c r="BH34" i="1"/>
  <c r="BD448" i="1"/>
  <c r="R35" i="1"/>
  <c r="T19" i="8"/>
  <c r="T31" i="8" s="1"/>
  <c r="H137" i="1"/>
  <c r="Q32" i="1"/>
  <c r="F632" i="2"/>
  <c r="AB555" i="1" s="1"/>
  <c r="M632" i="2"/>
  <c r="BJ555" i="1" s="1"/>
  <c r="O632" i="2"/>
  <c r="BR555" i="1" s="1"/>
  <c r="G632" i="2"/>
  <c r="AP555" i="1" s="1"/>
  <c r="J632" i="2"/>
  <c r="X555" i="1" s="1"/>
  <c r="N632" i="2"/>
  <c r="L632" i="2"/>
  <c r="H632" i="2"/>
  <c r="Q632" i="2"/>
  <c r="I632" i="2"/>
  <c r="K632" i="2"/>
  <c r="R632" i="2"/>
  <c r="W449" i="1"/>
  <c r="CE34" i="1"/>
  <c r="CB448" i="1"/>
  <c r="L142" i="18"/>
  <c r="AI140" i="1" s="1"/>
  <c r="M142" i="18"/>
  <c r="BG140" i="1" s="1"/>
  <c r="O142" i="18"/>
  <c r="BQ140" i="1" s="1"/>
  <c r="P142" i="18"/>
  <c r="AE140" i="1" s="1"/>
  <c r="F142" i="18"/>
  <c r="AA140" i="1" s="1"/>
  <c r="A141" i="13"/>
  <c r="C141" i="13" s="1"/>
  <c r="R142" i="18"/>
  <c r="CA140" i="1" s="1"/>
  <c r="K142" i="18"/>
  <c r="BC140" i="1" s="1"/>
  <c r="I142" i="18"/>
  <c r="AW140" i="1" s="1"/>
  <c r="J142" i="18"/>
  <c r="W140" i="1" s="1"/>
  <c r="E142" i="18"/>
  <c r="K140" i="1" s="1"/>
  <c r="Q142" i="18"/>
  <c r="BU140" i="1" s="1"/>
  <c r="H142" i="18"/>
  <c r="Q140" i="1" s="1"/>
  <c r="G142" i="18"/>
  <c r="AO140" i="1" s="1"/>
  <c r="C22" i="2"/>
  <c r="M631" i="18"/>
  <c r="BG554" i="1" s="1"/>
  <c r="O631" i="18"/>
  <c r="BQ554" i="1" s="1"/>
  <c r="G631" i="18"/>
  <c r="AO554" i="1" s="1"/>
  <c r="P631" i="18"/>
  <c r="AE554" i="1" s="1"/>
  <c r="I631" i="18"/>
  <c r="AW554" i="1" s="1"/>
  <c r="K631" i="18"/>
  <c r="BC554" i="1" s="1"/>
  <c r="F631" i="18"/>
  <c r="AA554" i="1" s="1"/>
  <c r="Q631" i="18"/>
  <c r="BU554" i="1" s="1"/>
  <c r="E631" i="18"/>
  <c r="K554" i="1" s="1"/>
  <c r="J631" i="18"/>
  <c r="W554" i="1" s="1"/>
  <c r="H631" i="18"/>
  <c r="Q554" i="1" s="1"/>
  <c r="L631" i="18"/>
  <c r="AI554" i="1" s="1"/>
  <c r="R631" i="18"/>
  <c r="CA554" i="1" s="1"/>
  <c r="BR35" i="1"/>
  <c r="T17" i="8"/>
  <c r="T29" i="8" s="1"/>
  <c r="H287" i="1"/>
  <c r="H447" i="1"/>
  <c r="AO32" i="1"/>
  <c r="G286" i="1"/>
  <c r="CG286" i="1" s="1"/>
  <c r="G287" i="1"/>
  <c r="CG287" i="1" s="1"/>
  <c r="BN35" i="1"/>
  <c r="T26" i="8"/>
  <c r="T38" i="8" s="1"/>
  <c r="BA34" i="1"/>
  <c r="AX448" i="1"/>
  <c r="G31" i="1"/>
  <c r="C510" i="18"/>
  <c r="C632" i="18" s="1"/>
  <c r="A21" i="10"/>
  <c r="C144" i="18"/>
  <c r="C267" i="18"/>
  <c r="C389" i="18"/>
  <c r="A21" i="13"/>
  <c r="C21" i="13" s="1"/>
  <c r="C147" i="12"/>
  <c r="BD35" i="1"/>
  <c r="BJ35" i="1"/>
  <c r="D23" i="1"/>
  <c r="F23" i="1"/>
  <c r="E23" i="1"/>
  <c r="C437" i="1"/>
  <c r="G448" i="1"/>
  <c r="CA32" i="1"/>
  <c r="BY34" i="1"/>
  <c r="BV448" i="1"/>
  <c r="E30" i="18"/>
  <c r="D31" i="18"/>
  <c r="G30" i="18"/>
  <c r="H30" i="18"/>
  <c r="J30" i="18"/>
  <c r="R30" i="18"/>
  <c r="K30" i="18"/>
  <c r="I30" i="18"/>
  <c r="Q30" i="18"/>
  <c r="BU449" i="1"/>
  <c r="I521" i="2"/>
  <c r="Q521" i="2"/>
  <c r="R521" i="2"/>
  <c r="K521" i="2"/>
  <c r="E521" i="2"/>
  <c r="D522" i="2"/>
  <c r="H521" i="2"/>
  <c r="L521" i="2"/>
  <c r="CB35" i="1"/>
  <c r="I139" i="1"/>
  <c r="K32" i="1"/>
  <c r="U34" i="1"/>
  <c r="R448" i="1"/>
  <c r="B23" i="18"/>
  <c r="A23" i="18"/>
  <c r="BV35" i="1"/>
  <c r="L35" i="1"/>
  <c r="AV139" i="1"/>
  <c r="W32" i="1"/>
  <c r="U26" i="8" l="1"/>
  <c r="U38" i="8" s="1"/>
  <c r="U17" i="8"/>
  <c r="U29" i="8" s="1"/>
  <c r="U18" i="8"/>
  <c r="U30" i="8" s="1"/>
  <c r="U21" i="8"/>
  <c r="U33" i="8" s="1"/>
  <c r="A24" i="18"/>
  <c r="B24" i="18"/>
  <c r="CE141" i="1"/>
  <c r="CB555" i="1"/>
  <c r="J387" i="2"/>
  <c r="X288" i="1" s="1"/>
  <c r="X675" i="1"/>
  <c r="BY35" i="1"/>
  <c r="BV449" i="1"/>
  <c r="D24" i="1"/>
  <c r="E24" i="1"/>
  <c r="F24" i="1"/>
  <c r="C438" i="1"/>
  <c r="AF675" i="1"/>
  <c r="P387" i="2"/>
  <c r="AF288" i="1" s="1"/>
  <c r="B24" i="2"/>
  <c r="A24" i="2"/>
  <c r="U19" i="8"/>
  <c r="U31" i="8" s="1"/>
  <c r="G32" i="1"/>
  <c r="U35" i="1"/>
  <c r="R449" i="1"/>
  <c r="J31" i="18"/>
  <c r="R31" i="18"/>
  <c r="K31" i="18"/>
  <c r="E31" i="18"/>
  <c r="D32" i="18"/>
  <c r="H31" i="18"/>
  <c r="Q31" i="18"/>
  <c r="G31" i="18"/>
  <c r="I31" i="18"/>
  <c r="L144" i="18"/>
  <c r="AI142" i="1" s="1"/>
  <c r="F144" i="18"/>
  <c r="AA142" i="1" s="1"/>
  <c r="M144" i="18"/>
  <c r="BG142" i="1" s="1"/>
  <c r="O144" i="18"/>
  <c r="BQ142" i="1" s="1"/>
  <c r="P144" i="18"/>
  <c r="AE142" i="1" s="1"/>
  <c r="A143" i="13"/>
  <c r="C143" i="13" s="1"/>
  <c r="I144" i="18"/>
  <c r="AW142" i="1" s="1"/>
  <c r="Q144" i="18"/>
  <c r="BU142" i="1" s="1"/>
  <c r="H144" i="18"/>
  <c r="Q142" i="1" s="1"/>
  <c r="K144" i="18"/>
  <c r="BC142" i="1" s="1"/>
  <c r="J144" i="18"/>
  <c r="W142" i="1" s="1"/>
  <c r="G144" i="18"/>
  <c r="AO142" i="1" s="1"/>
  <c r="R144" i="18"/>
  <c r="CA142" i="1" s="1"/>
  <c r="E144" i="18"/>
  <c r="K142" i="1" s="1"/>
  <c r="U25" i="8"/>
  <c r="U37" i="8" s="1"/>
  <c r="R555" i="1"/>
  <c r="G633" i="2"/>
  <c r="AP556" i="1" s="1"/>
  <c r="O633" i="2"/>
  <c r="BR556" i="1" s="1"/>
  <c r="N633" i="2"/>
  <c r="F633" i="2"/>
  <c r="AB556" i="1" s="1"/>
  <c r="J633" i="2"/>
  <c r="X556" i="1" s="1"/>
  <c r="M633" i="2"/>
  <c r="BJ556" i="1" s="1"/>
  <c r="P633" i="2"/>
  <c r="AF556" i="1" s="1"/>
  <c r="Q633" i="2"/>
  <c r="H633" i="2"/>
  <c r="U141" i="1" s="1"/>
  <c r="E633" i="2"/>
  <c r="L633" i="2"/>
  <c r="K633" i="2"/>
  <c r="BD556" i="1" s="1"/>
  <c r="R633" i="2"/>
  <c r="I633" i="2"/>
  <c r="BY140" i="1"/>
  <c r="BV554" i="1"/>
  <c r="F143" i="2"/>
  <c r="G143" i="2"/>
  <c r="AP141" i="1" s="1"/>
  <c r="J143" i="2"/>
  <c r="X141" i="1" s="1"/>
  <c r="E143" i="2"/>
  <c r="N143" i="2"/>
  <c r="I143" i="2"/>
  <c r="L143" i="2"/>
  <c r="H143" i="2"/>
  <c r="O143" i="2"/>
  <c r="K143" i="2"/>
  <c r="M143" i="2"/>
  <c r="Q143" i="2"/>
  <c r="P143" i="2"/>
  <c r="R143" i="2"/>
  <c r="F387" i="18"/>
  <c r="AA288" i="1" s="1"/>
  <c r="AA675" i="1"/>
  <c r="BR675" i="1"/>
  <c r="O387" i="2"/>
  <c r="BR288" i="1" s="1"/>
  <c r="CB675" i="1"/>
  <c r="R387" i="2"/>
  <c r="CB288" i="1" s="1"/>
  <c r="K450" i="1"/>
  <c r="R36" i="1"/>
  <c r="L36" i="1"/>
  <c r="C145" i="2"/>
  <c r="C268" i="2"/>
  <c r="C390" i="2"/>
  <c r="C26" i="1"/>
  <c r="C291" i="1"/>
  <c r="D291" i="1" s="1"/>
  <c r="O140" i="1"/>
  <c r="L554" i="1"/>
  <c r="H554" i="1" s="1"/>
  <c r="BU450" i="1"/>
  <c r="H522" i="2"/>
  <c r="I522" i="2"/>
  <c r="Q522" i="2"/>
  <c r="K522" i="2"/>
  <c r="L522" i="2"/>
  <c r="D523" i="2"/>
  <c r="E522" i="2"/>
  <c r="R522" i="2"/>
  <c r="BU33" i="1"/>
  <c r="K33" i="1"/>
  <c r="AJ555" i="1"/>
  <c r="U22" i="8"/>
  <c r="U34" i="8" s="1"/>
  <c r="J146" i="12"/>
  <c r="R146" i="12"/>
  <c r="F146" i="12"/>
  <c r="N146" i="12"/>
  <c r="G146" i="12"/>
  <c r="O146" i="12"/>
  <c r="H146" i="12"/>
  <c r="P146" i="12"/>
  <c r="Q146" i="12"/>
  <c r="E146" i="12"/>
  <c r="I146" i="12"/>
  <c r="K146" i="12"/>
  <c r="L146" i="12"/>
  <c r="M146" i="12"/>
  <c r="S146" i="12"/>
  <c r="BA140" i="1"/>
  <c r="AX554" i="1"/>
  <c r="AT140" i="1"/>
  <c r="O387" i="18"/>
  <c r="BQ288" i="1" s="1"/>
  <c r="BQ675" i="1"/>
  <c r="M387" i="18"/>
  <c r="BG288" i="1" s="1"/>
  <c r="BG675" i="1"/>
  <c r="L675" i="1"/>
  <c r="E387" i="2"/>
  <c r="L288" i="1" s="1"/>
  <c r="BJ675" i="1"/>
  <c r="M387" i="2"/>
  <c r="BJ288" i="1" s="1"/>
  <c r="W450" i="1"/>
  <c r="AF36" i="1"/>
  <c r="AJ36" i="1"/>
  <c r="P387" i="18"/>
  <c r="AE288" i="1" s="1"/>
  <c r="AE675" i="1"/>
  <c r="O35" i="1"/>
  <c r="L449" i="1"/>
  <c r="AW33" i="1"/>
  <c r="D437" i="1"/>
  <c r="E437" i="1"/>
  <c r="G632" i="18"/>
  <c r="AO555" i="1" s="1"/>
  <c r="P632" i="18"/>
  <c r="AE555" i="1" s="1"/>
  <c r="I632" i="18"/>
  <c r="AW555" i="1" s="1"/>
  <c r="K632" i="18"/>
  <c r="BC555" i="1" s="1"/>
  <c r="F632" i="18"/>
  <c r="AA555" i="1" s="1"/>
  <c r="O632" i="18"/>
  <c r="BQ555" i="1" s="1"/>
  <c r="M632" i="18"/>
  <c r="BG555" i="1" s="1"/>
  <c r="E632" i="18"/>
  <c r="K555" i="1" s="1"/>
  <c r="L632" i="18"/>
  <c r="AI555" i="1" s="1"/>
  <c r="H632" i="18"/>
  <c r="Q555" i="1" s="1"/>
  <c r="R632" i="18"/>
  <c r="CA555" i="1" s="1"/>
  <c r="J632" i="18"/>
  <c r="W555" i="1" s="1"/>
  <c r="Q632" i="18"/>
  <c r="BU555" i="1" s="1"/>
  <c r="CE140" i="1"/>
  <c r="CB554" i="1"/>
  <c r="CA675" i="1"/>
  <c r="R387" i="18"/>
  <c r="CA288" i="1" s="1"/>
  <c r="L387" i="18"/>
  <c r="AI288" i="1" s="1"/>
  <c r="AI675" i="1"/>
  <c r="F387" i="2"/>
  <c r="AB288" i="1" s="1"/>
  <c r="AB675" i="1"/>
  <c r="G387" i="2"/>
  <c r="AP288" i="1" s="1"/>
  <c r="AP675" i="1"/>
  <c r="E522" i="18"/>
  <c r="D523" i="18"/>
  <c r="H522" i="18"/>
  <c r="Q522" i="18"/>
  <c r="J522" i="18"/>
  <c r="R522" i="18"/>
  <c r="L522" i="18"/>
  <c r="A512" i="18"/>
  <c r="B512" i="18"/>
  <c r="BV36" i="1"/>
  <c r="BD36" i="1"/>
  <c r="C23" i="18"/>
  <c r="BH35" i="1"/>
  <c r="BD449" i="1"/>
  <c r="BC33" i="1"/>
  <c r="G140" i="1"/>
  <c r="E632" i="2"/>
  <c r="I266" i="18"/>
  <c r="R266" i="18"/>
  <c r="F266" i="18"/>
  <c r="P266" i="18"/>
  <c r="G266" i="18"/>
  <c r="Q266" i="18"/>
  <c r="H266" i="18"/>
  <c r="K266" i="18"/>
  <c r="E266" i="18"/>
  <c r="J266" i="18"/>
  <c r="L266" i="18"/>
  <c r="M266" i="18"/>
  <c r="O266" i="18"/>
  <c r="U24" i="8"/>
  <c r="U36" i="8" s="1"/>
  <c r="AM140" i="1"/>
  <c r="AJ554" i="1"/>
  <c r="W675" i="1"/>
  <c r="J387" i="18"/>
  <c r="W288" i="1" s="1"/>
  <c r="BC675" i="1"/>
  <c r="K387" i="18"/>
  <c r="BC288" i="1" s="1"/>
  <c r="X1" i="8"/>
  <c r="W2" i="8"/>
  <c r="W6" i="8"/>
  <c r="W8" i="8"/>
  <c r="W10" i="8"/>
  <c r="W12" i="8"/>
  <c r="W15" i="8"/>
  <c r="W9" i="8"/>
  <c r="W14" i="8"/>
  <c r="W11" i="8"/>
  <c r="W7" i="8"/>
  <c r="W39" i="8"/>
  <c r="W13" i="8"/>
  <c r="BV675" i="1"/>
  <c r="Q387" i="2"/>
  <c r="BV288" i="1" s="1"/>
  <c r="AI450" i="1"/>
  <c r="C511" i="18"/>
  <c r="C633" i="18" s="1"/>
  <c r="AX36" i="1"/>
  <c r="CB36" i="1"/>
  <c r="CE35" i="1"/>
  <c r="CB449" i="1"/>
  <c r="CA450" i="1"/>
  <c r="H35" i="1"/>
  <c r="L143" i="18"/>
  <c r="AI141" i="1" s="1"/>
  <c r="M143" i="18"/>
  <c r="BG141" i="1" s="1"/>
  <c r="O143" i="18"/>
  <c r="BQ141" i="1" s="1"/>
  <c r="F143" i="18"/>
  <c r="AA141" i="1" s="1"/>
  <c r="P143" i="18"/>
  <c r="AE141" i="1" s="1"/>
  <c r="A142" i="13"/>
  <c r="C142" i="13" s="1"/>
  <c r="R143" i="18"/>
  <c r="CA141" i="1" s="1"/>
  <c r="H143" i="18"/>
  <c r="Q141" i="1" s="1"/>
  <c r="G143" i="18"/>
  <c r="AO141" i="1" s="1"/>
  <c r="K143" i="18"/>
  <c r="BC141" i="1" s="1"/>
  <c r="Q143" i="18"/>
  <c r="BU141" i="1" s="1"/>
  <c r="E143" i="18"/>
  <c r="K141" i="1" s="1"/>
  <c r="J143" i="18"/>
  <c r="W141" i="1" s="1"/>
  <c r="I143" i="18"/>
  <c r="AW141" i="1" s="1"/>
  <c r="Q675" i="1"/>
  <c r="H387" i="18"/>
  <c r="Q288" i="1" s="1"/>
  <c r="R675" i="1"/>
  <c r="H387" i="2"/>
  <c r="R288" i="1" s="1"/>
  <c r="H448" i="1"/>
  <c r="BA35" i="1"/>
  <c r="AX449" i="1"/>
  <c r="Q33" i="1"/>
  <c r="G554" i="1"/>
  <c r="BA141" i="1"/>
  <c r="AX555" i="1"/>
  <c r="H140" i="1"/>
  <c r="K675" i="1"/>
  <c r="E387" i="18"/>
  <c r="K288" i="1" s="1"/>
  <c r="AJ675" i="1"/>
  <c r="L387" i="2"/>
  <c r="AJ288" i="1" s="1"/>
  <c r="I34" i="1"/>
  <c r="Q450" i="1"/>
  <c r="BN36" i="1"/>
  <c r="CA33" i="1"/>
  <c r="J147" i="12"/>
  <c r="R147" i="12"/>
  <c r="F147" i="12"/>
  <c r="N147" i="12"/>
  <c r="G147" i="12"/>
  <c r="O147" i="12"/>
  <c r="H147" i="12"/>
  <c r="P147" i="12"/>
  <c r="Q147" i="12"/>
  <c r="E147" i="12"/>
  <c r="I147" i="12"/>
  <c r="K147" i="12"/>
  <c r="L147" i="12"/>
  <c r="M147" i="12"/>
  <c r="S147" i="12"/>
  <c r="U140" i="1"/>
  <c r="R554" i="1"/>
  <c r="AW675" i="1"/>
  <c r="I387" i="18"/>
  <c r="AW288" i="1" s="1"/>
  <c r="BD675" i="1"/>
  <c r="K387" i="2"/>
  <c r="BD288" i="1" s="1"/>
  <c r="BR36" i="1"/>
  <c r="W33" i="1"/>
  <c r="BD555" i="1"/>
  <c r="AO675" i="1"/>
  <c r="G387" i="18"/>
  <c r="AO288" i="1" s="1"/>
  <c r="H34" i="2"/>
  <c r="P34" i="2"/>
  <c r="I34" i="2"/>
  <c r="Q34" i="2"/>
  <c r="R34" i="2"/>
  <c r="K34" i="2"/>
  <c r="L34" i="2"/>
  <c r="E34" i="2"/>
  <c r="M34" i="2"/>
  <c r="O34" i="2"/>
  <c r="N34" i="2"/>
  <c r="D35" i="2"/>
  <c r="AM35" i="1"/>
  <c r="AJ450" i="1"/>
  <c r="AO33" i="1"/>
  <c r="K267" i="18"/>
  <c r="J267" i="18"/>
  <c r="L267" i="18"/>
  <c r="M267" i="18"/>
  <c r="F267" i="18"/>
  <c r="P267" i="18"/>
  <c r="I267" i="18"/>
  <c r="O267" i="18"/>
  <c r="Q267" i="18"/>
  <c r="R267" i="18"/>
  <c r="G267" i="18"/>
  <c r="E267" i="18"/>
  <c r="H267" i="18"/>
  <c r="U23" i="8"/>
  <c r="U35" i="8" s="1"/>
  <c r="C144" i="2"/>
  <c r="C267" i="2"/>
  <c r="C389" i="2"/>
  <c r="C25" i="1"/>
  <c r="C142" i="1"/>
  <c r="C568" i="1" s="1"/>
  <c r="C290" i="1"/>
  <c r="D290" i="1" s="1"/>
  <c r="BY141" i="1"/>
  <c r="BV555" i="1"/>
  <c r="G449" i="1"/>
  <c r="B512" i="2"/>
  <c r="A512" i="2"/>
  <c r="C512" i="2" s="1"/>
  <c r="C634" i="2" s="1"/>
  <c r="BH140" i="1"/>
  <c r="BD554" i="1"/>
  <c r="C676" i="1"/>
  <c r="R266" i="2"/>
  <c r="G266" i="2"/>
  <c r="N266" i="2"/>
  <c r="N388" i="2" s="1"/>
  <c r="BN289" i="1" s="1"/>
  <c r="M266" i="2"/>
  <c r="I266" i="2"/>
  <c r="P266" i="2"/>
  <c r="J266" i="2"/>
  <c r="F266" i="2"/>
  <c r="L266" i="2"/>
  <c r="H266" i="2"/>
  <c r="O266" i="2"/>
  <c r="K266" i="2"/>
  <c r="Q266" i="2"/>
  <c r="E266" i="2"/>
  <c r="BU675" i="1"/>
  <c r="Q387" i="18"/>
  <c r="BU288" i="1" s="1"/>
  <c r="V4" i="8"/>
  <c r="V22" i="8" s="1"/>
  <c r="V34" i="8" s="1"/>
  <c r="V3" i="8"/>
  <c r="AX675" i="1"/>
  <c r="I387" i="2"/>
  <c r="AX288" i="1" s="1"/>
  <c r="BJ36" i="1"/>
  <c r="V18" i="8" l="1"/>
  <c r="V30" i="8" s="1"/>
  <c r="V26" i="8"/>
  <c r="V38" i="8" s="1"/>
  <c r="V19" i="8"/>
  <c r="V31" i="8" s="1"/>
  <c r="V17" i="8"/>
  <c r="V29" i="8" s="1"/>
  <c r="AJ676" i="1"/>
  <c r="L388" i="2"/>
  <c r="AJ289" i="1" s="1"/>
  <c r="M389" i="18"/>
  <c r="BG290" i="1" s="1"/>
  <c r="BG677" i="1"/>
  <c r="M388" i="18"/>
  <c r="BG289" i="1" s="1"/>
  <c r="BG676" i="1"/>
  <c r="BJ141" i="1"/>
  <c r="H32" i="18"/>
  <c r="I32" i="18"/>
  <c r="Q32" i="18"/>
  <c r="J32" i="18"/>
  <c r="R32" i="18"/>
  <c r="K32" i="18"/>
  <c r="D33" i="18"/>
  <c r="E32" i="18"/>
  <c r="G32" i="18"/>
  <c r="BV676" i="1"/>
  <c r="Q388" i="2"/>
  <c r="BV289" i="1" s="1"/>
  <c r="AX676" i="1"/>
  <c r="I388" i="2"/>
  <c r="AX289" i="1" s="1"/>
  <c r="F634" i="2"/>
  <c r="AB557" i="1" s="1"/>
  <c r="Q634" i="2"/>
  <c r="BU677" i="1"/>
  <c r="Q389" i="18"/>
  <c r="BU290" i="1" s="1"/>
  <c r="BC677" i="1"/>
  <c r="K389" i="18"/>
  <c r="BC290" i="1" s="1"/>
  <c r="BN37" i="1"/>
  <c r="AX37" i="1"/>
  <c r="V25" i="8"/>
  <c r="V37" i="8" s="1"/>
  <c r="K676" i="1"/>
  <c r="E388" i="18"/>
  <c r="K289" i="1" s="1"/>
  <c r="AW676" i="1"/>
  <c r="I388" i="18"/>
  <c r="AW289" i="1" s="1"/>
  <c r="A513" i="18"/>
  <c r="C513" i="18" s="1"/>
  <c r="C635" i="18" s="1"/>
  <c r="B513" i="18"/>
  <c r="K451" i="1"/>
  <c r="I35" i="1"/>
  <c r="V20" i="8"/>
  <c r="V32" i="8" s="1"/>
  <c r="AV140" i="1"/>
  <c r="U36" i="1"/>
  <c r="R450" i="1"/>
  <c r="BY142" i="1"/>
  <c r="BV556" i="1"/>
  <c r="CA34" i="1"/>
  <c r="B25" i="2"/>
  <c r="A25" i="2"/>
  <c r="O388" i="18"/>
  <c r="BQ289" i="1" s="1"/>
  <c r="BQ676" i="1"/>
  <c r="AM36" i="1"/>
  <c r="AJ451" i="1"/>
  <c r="BD37" i="1"/>
  <c r="P388" i="18"/>
  <c r="AE289" i="1" s="1"/>
  <c r="AE676" i="1"/>
  <c r="I140" i="1"/>
  <c r="AM142" i="1"/>
  <c r="AJ556" i="1"/>
  <c r="BD676" i="1"/>
  <c r="K388" i="2"/>
  <c r="BD289" i="1" s="1"/>
  <c r="BJ676" i="1"/>
  <c r="M388" i="2"/>
  <c r="BJ289" i="1" s="1"/>
  <c r="A513" i="2"/>
  <c r="B513" i="2"/>
  <c r="C677" i="1"/>
  <c r="H267" i="2"/>
  <c r="Q267" i="2"/>
  <c r="K267" i="2"/>
  <c r="I267" i="2"/>
  <c r="L267" i="2"/>
  <c r="O267" i="2"/>
  <c r="R267" i="2"/>
  <c r="N267" i="2"/>
  <c r="N389" i="2" s="1"/>
  <c r="BN290" i="1" s="1"/>
  <c r="P267" i="2"/>
  <c r="J267" i="2"/>
  <c r="M267" i="2"/>
  <c r="F267" i="2"/>
  <c r="E267" i="2"/>
  <c r="G267" i="2"/>
  <c r="O389" i="18"/>
  <c r="BQ290" i="1" s="1"/>
  <c r="BQ677" i="1"/>
  <c r="BR37" i="1"/>
  <c r="AF37" i="1"/>
  <c r="G141" i="1"/>
  <c r="BC676" i="1"/>
  <c r="K388" i="18"/>
  <c r="BC289" i="1" s="1"/>
  <c r="O141" i="1"/>
  <c r="L555" i="1"/>
  <c r="H555" i="1" s="1"/>
  <c r="A22" i="10"/>
  <c r="O634" i="2" s="1"/>
  <c r="BR557" i="1" s="1"/>
  <c r="C145" i="18"/>
  <c r="C268" i="18"/>
  <c r="C390" i="18"/>
  <c r="A22" i="13"/>
  <c r="C22" i="13" s="1"/>
  <c r="C148" i="12"/>
  <c r="C512" i="18"/>
  <c r="C634" i="18" s="1"/>
  <c r="V23" i="8"/>
  <c r="V35" i="8" s="1"/>
  <c r="CE36" i="1"/>
  <c r="CB450" i="1"/>
  <c r="C678" i="1"/>
  <c r="L268" i="2"/>
  <c r="R268" i="2"/>
  <c r="K268" i="2"/>
  <c r="G268" i="2"/>
  <c r="N268" i="2"/>
  <c r="N390" i="2" s="1"/>
  <c r="BN291" i="1" s="1"/>
  <c r="M268" i="2"/>
  <c r="I268" i="2"/>
  <c r="P268" i="2"/>
  <c r="J268" i="2"/>
  <c r="E268" i="2"/>
  <c r="H268" i="2"/>
  <c r="O268" i="2"/>
  <c r="Q268" i="2"/>
  <c r="F268" i="2"/>
  <c r="G450" i="1"/>
  <c r="AW34" i="1"/>
  <c r="W34" i="1"/>
  <c r="CB676" i="1"/>
  <c r="R388" i="2"/>
  <c r="CB289" i="1" s="1"/>
  <c r="AJ37" i="1"/>
  <c r="W451" i="1"/>
  <c r="BR676" i="1"/>
  <c r="O388" i="2"/>
  <c r="BR289" i="1" s="1"/>
  <c r="F144" i="2"/>
  <c r="AB142" i="1" s="1"/>
  <c r="G144" i="2"/>
  <c r="AP142" i="1" s="1"/>
  <c r="J144" i="2"/>
  <c r="X142" i="1" s="1"/>
  <c r="E144" i="2"/>
  <c r="L142" i="1" s="1"/>
  <c r="K144" i="2"/>
  <c r="BD142" i="1" s="1"/>
  <c r="H144" i="2"/>
  <c r="R142" i="1" s="1"/>
  <c r="N144" i="2"/>
  <c r="BN142" i="1" s="1"/>
  <c r="M144" i="2"/>
  <c r="BJ142" i="1" s="1"/>
  <c r="P144" i="2"/>
  <c r="AF142" i="1" s="1"/>
  <c r="L144" i="2"/>
  <c r="AJ142" i="1" s="1"/>
  <c r="R144" i="2"/>
  <c r="CB142" i="1" s="1"/>
  <c r="I144" i="2"/>
  <c r="AX142" i="1" s="1"/>
  <c r="O144" i="2"/>
  <c r="BR142" i="1" s="1"/>
  <c r="Q144" i="2"/>
  <c r="BV142" i="1" s="1"/>
  <c r="AW677" i="1"/>
  <c r="I389" i="18"/>
  <c r="AW290" i="1" s="1"/>
  <c r="BJ37" i="1"/>
  <c r="R37" i="1"/>
  <c r="AV141" i="1"/>
  <c r="I633" i="18"/>
  <c r="AW556" i="1" s="1"/>
  <c r="K633" i="18"/>
  <c r="BC556" i="1" s="1"/>
  <c r="M633" i="18"/>
  <c r="BG556" i="1" s="1"/>
  <c r="F633" i="18"/>
  <c r="AA556" i="1" s="1"/>
  <c r="G633" i="18"/>
  <c r="AO556" i="1" s="1"/>
  <c r="O633" i="18"/>
  <c r="BQ556" i="1" s="1"/>
  <c r="P633" i="18"/>
  <c r="AE556" i="1" s="1"/>
  <c r="J633" i="18"/>
  <c r="W556" i="1" s="1"/>
  <c r="L633" i="18"/>
  <c r="AI556" i="1" s="1"/>
  <c r="Q633" i="18"/>
  <c r="BU556" i="1" s="1"/>
  <c r="R633" i="18"/>
  <c r="CA556" i="1" s="1"/>
  <c r="H633" i="18"/>
  <c r="Q556" i="1" s="1"/>
  <c r="E633" i="18"/>
  <c r="K556" i="1" s="1"/>
  <c r="W4" i="8"/>
  <c r="W18" i="8" s="1"/>
  <c r="W30" i="8" s="1"/>
  <c r="W3" i="8"/>
  <c r="Q676" i="1"/>
  <c r="H388" i="18"/>
  <c r="Q289" i="1" s="1"/>
  <c r="AI451" i="1"/>
  <c r="G555" i="1"/>
  <c r="AM141" i="1"/>
  <c r="O36" i="1"/>
  <c r="I36" i="1" s="1"/>
  <c r="L450" i="1"/>
  <c r="O145" i="2"/>
  <c r="BR143" i="1" s="1"/>
  <c r="P145" i="2"/>
  <c r="AF143" i="1" s="1"/>
  <c r="K145" i="2"/>
  <c r="BD143" i="1" s="1"/>
  <c r="CB141" i="1"/>
  <c r="AX141" i="1"/>
  <c r="BA142" i="1"/>
  <c r="AX556" i="1"/>
  <c r="AO34" i="1"/>
  <c r="R676" i="1"/>
  <c r="H388" i="2"/>
  <c r="R289" i="1" s="1"/>
  <c r="G388" i="2"/>
  <c r="AP289" i="1" s="1"/>
  <c r="AP676" i="1"/>
  <c r="P389" i="18"/>
  <c r="AE290" i="1" s="1"/>
  <c r="AE677" i="1"/>
  <c r="L37" i="1"/>
  <c r="H37" i="1" s="1"/>
  <c r="Y1" i="8"/>
  <c r="X7" i="8"/>
  <c r="X9" i="8"/>
  <c r="X11" i="8"/>
  <c r="X13" i="8"/>
  <c r="X15" i="8"/>
  <c r="X6" i="8"/>
  <c r="X2" i="8"/>
  <c r="X14" i="8"/>
  <c r="X12" i="8"/>
  <c r="X8" i="8"/>
  <c r="X10" i="8"/>
  <c r="X39" i="8"/>
  <c r="BU676" i="1"/>
  <c r="Q388" i="18"/>
  <c r="BU289" i="1" s="1"/>
  <c r="CA451" i="1"/>
  <c r="G33" i="1"/>
  <c r="E523" i="2"/>
  <c r="D524" i="2"/>
  <c r="I523" i="2"/>
  <c r="Q523" i="2"/>
  <c r="R523" i="2"/>
  <c r="H523" i="2"/>
  <c r="K523" i="2"/>
  <c r="L523" i="2"/>
  <c r="V21" i="8"/>
  <c r="V33" i="8" s="1"/>
  <c r="H36" i="1"/>
  <c r="AF141" i="1"/>
  <c r="CE142" i="1"/>
  <c r="CB556" i="1"/>
  <c r="G142" i="1"/>
  <c r="BU34" i="1"/>
  <c r="D438" i="1"/>
  <c r="E438" i="1"/>
  <c r="Q677" i="1"/>
  <c r="H389" i="18"/>
  <c r="Q290" i="1" s="1"/>
  <c r="Q34" i="1"/>
  <c r="F388" i="2"/>
  <c r="AB289" i="1" s="1"/>
  <c r="AB676" i="1"/>
  <c r="K677" i="1"/>
  <c r="E389" i="18"/>
  <c r="K290" i="1" s="1"/>
  <c r="G290" i="1" s="1"/>
  <c r="J388" i="2"/>
  <c r="X289" i="1" s="1"/>
  <c r="X676" i="1"/>
  <c r="AO677" i="1"/>
  <c r="G389" i="18"/>
  <c r="AO290" i="1" s="1"/>
  <c r="L389" i="18"/>
  <c r="AI290" i="1" s="1"/>
  <c r="AI677" i="1"/>
  <c r="CB37" i="1"/>
  <c r="BH141" i="1"/>
  <c r="G288" i="1"/>
  <c r="CG288" i="1" s="1"/>
  <c r="L388" i="18"/>
  <c r="AI289" i="1" s="1"/>
  <c r="AI676" i="1"/>
  <c r="F388" i="18"/>
  <c r="AA289" i="1" s="1"/>
  <c r="AA676" i="1"/>
  <c r="Q451" i="1"/>
  <c r="V24" i="8"/>
  <c r="V36" i="8" s="1"/>
  <c r="H288" i="1"/>
  <c r="BY36" i="1"/>
  <c r="BV450" i="1"/>
  <c r="BD141" i="1"/>
  <c r="O142" i="1"/>
  <c r="L556" i="1"/>
  <c r="K34" i="1"/>
  <c r="A25" i="18"/>
  <c r="B25" i="18"/>
  <c r="F389" i="18"/>
  <c r="AA290" i="1" s="1"/>
  <c r="AA677" i="1"/>
  <c r="AO676" i="1"/>
  <c r="G388" i="18"/>
  <c r="AO289" i="1" s="1"/>
  <c r="L141" i="1"/>
  <c r="BU451" i="1"/>
  <c r="BH36" i="1"/>
  <c r="BD450" i="1"/>
  <c r="L676" i="1"/>
  <c r="E388" i="2"/>
  <c r="L289" i="1" s="1"/>
  <c r="AF676" i="1"/>
  <c r="P388" i="2"/>
  <c r="AF289" i="1" s="1"/>
  <c r="E25" i="1"/>
  <c r="F25" i="1"/>
  <c r="D25" i="1"/>
  <c r="C439" i="1"/>
  <c r="CA677" i="1"/>
  <c r="R389" i="18"/>
  <c r="CA290" i="1" s="1"/>
  <c r="W677" i="1"/>
  <c r="J389" i="18"/>
  <c r="W290" i="1" s="1"/>
  <c r="N35" i="2"/>
  <c r="D36" i="2"/>
  <c r="O35" i="2"/>
  <c r="H35" i="2"/>
  <c r="P35" i="2"/>
  <c r="I35" i="2"/>
  <c r="Q35" i="2"/>
  <c r="R35" i="2"/>
  <c r="K35" i="2"/>
  <c r="E35" i="2"/>
  <c r="M35" i="2"/>
  <c r="L35" i="2"/>
  <c r="BV37" i="1"/>
  <c r="W676" i="1"/>
  <c r="J388" i="18"/>
  <c r="W289" i="1" s="1"/>
  <c r="CA676" i="1"/>
  <c r="R388" i="18"/>
  <c r="CA289" i="1" s="1"/>
  <c r="L523" i="18"/>
  <c r="E523" i="18"/>
  <c r="D524" i="18"/>
  <c r="R523" i="18"/>
  <c r="J523" i="18"/>
  <c r="Q523" i="18"/>
  <c r="H523" i="18"/>
  <c r="H449" i="1"/>
  <c r="BA36" i="1"/>
  <c r="AX450" i="1"/>
  <c r="D26" i="1"/>
  <c r="E26" i="1"/>
  <c r="F26" i="1"/>
  <c r="C440" i="1"/>
  <c r="BR141" i="1"/>
  <c r="U142" i="1"/>
  <c r="R556" i="1"/>
  <c r="BC34" i="1"/>
  <c r="C24" i="2"/>
  <c r="C24" i="18"/>
  <c r="W25" i="8" l="1"/>
  <c r="W37" i="8" s="1"/>
  <c r="W21" i="8"/>
  <c r="W33" i="8" s="1"/>
  <c r="C25" i="18"/>
  <c r="G389" i="2"/>
  <c r="AP290" i="1" s="1"/>
  <c r="AP677" i="1"/>
  <c r="G451" i="1"/>
  <c r="E634" i="2"/>
  <c r="L524" i="18"/>
  <c r="E524" i="18"/>
  <c r="D525" i="18"/>
  <c r="H524" i="18"/>
  <c r="Q524" i="18"/>
  <c r="R524" i="18"/>
  <c r="J524" i="18"/>
  <c r="W24" i="8"/>
  <c r="W36" i="8" s="1"/>
  <c r="G34" i="1"/>
  <c r="BN141" i="1"/>
  <c r="BY37" i="1"/>
  <c r="BV451" i="1"/>
  <c r="I145" i="2"/>
  <c r="AX143" i="1" s="1"/>
  <c r="M145" i="2"/>
  <c r="BJ143" i="1" s="1"/>
  <c r="W22" i="8"/>
  <c r="W34" i="8" s="1"/>
  <c r="BR678" i="1"/>
  <c r="O390" i="2"/>
  <c r="BR291" i="1" s="1"/>
  <c r="G390" i="2"/>
  <c r="AP291" i="1" s="1"/>
  <c r="AP678" i="1"/>
  <c r="L677" i="1"/>
  <c r="E389" i="2"/>
  <c r="L290" i="1" s="1"/>
  <c r="AJ677" i="1"/>
  <c r="L389" i="2"/>
  <c r="AJ290" i="1" s="1"/>
  <c r="R141" i="1"/>
  <c r="I634" i="2"/>
  <c r="P634" i="2"/>
  <c r="AF557" i="1" s="1"/>
  <c r="BC35" i="1"/>
  <c r="L38" i="1"/>
  <c r="B26" i="18"/>
  <c r="A26" i="18"/>
  <c r="F390" i="2"/>
  <c r="AB291" i="1" s="1"/>
  <c r="AB678" i="1"/>
  <c r="CB677" i="1"/>
  <c r="R389" i="2"/>
  <c r="CB290" i="1" s="1"/>
  <c r="BD38" i="1"/>
  <c r="BR677" i="1"/>
  <c r="O389" i="2"/>
  <c r="BR290" i="1" s="1"/>
  <c r="C513" i="2"/>
  <c r="C635" i="2" s="1"/>
  <c r="W19" i="8"/>
  <c r="W31" i="8" s="1"/>
  <c r="J634" i="2"/>
  <c r="X557" i="1" s="1"/>
  <c r="D34" i="18"/>
  <c r="G33" i="18"/>
  <c r="H33" i="18"/>
  <c r="I33" i="18"/>
  <c r="Q33" i="18"/>
  <c r="J33" i="18"/>
  <c r="R33" i="18"/>
  <c r="E33" i="18"/>
  <c r="K33" i="18"/>
  <c r="CB38" i="1"/>
  <c r="K452" i="1"/>
  <c r="BV38" i="1"/>
  <c r="H141" i="1"/>
  <c r="W23" i="8"/>
  <c r="W35" i="8" s="1"/>
  <c r="BA37" i="1"/>
  <c r="AX451" i="1"/>
  <c r="N145" i="2"/>
  <c r="BN143" i="1" s="1"/>
  <c r="R145" i="2"/>
  <c r="CB143" i="1" s="1"/>
  <c r="G556" i="1"/>
  <c r="H142" i="1"/>
  <c r="R678" i="1"/>
  <c r="H390" i="2"/>
  <c r="R291" i="1" s="1"/>
  <c r="BD678" i="1"/>
  <c r="K390" i="2"/>
  <c r="BD291" i="1" s="1"/>
  <c r="M634" i="18"/>
  <c r="BG557" i="1" s="1"/>
  <c r="F634" i="18"/>
  <c r="AA557" i="1" s="1"/>
  <c r="O634" i="18"/>
  <c r="BQ557" i="1" s="1"/>
  <c r="G634" i="18"/>
  <c r="AO557" i="1" s="1"/>
  <c r="P634" i="18"/>
  <c r="AE557" i="1" s="1"/>
  <c r="I634" i="18"/>
  <c r="AW557" i="1" s="1"/>
  <c r="K634" i="18"/>
  <c r="BC557" i="1" s="1"/>
  <c r="L634" i="18"/>
  <c r="AI557" i="1" s="1"/>
  <c r="R634" i="18"/>
  <c r="CA557" i="1" s="1"/>
  <c r="E634" i="18"/>
  <c r="K557" i="1" s="1"/>
  <c r="Q634" i="18"/>
  <c r="BU557" i="1" s="1"/>
  <c r="H634" i="18"/>
  <c r="Q557" i="1" s="1"/>
  <c r="J634" i="18"/>
  <c r="W557" i="1" s="1"/>
  <c r="I141" i="1"/>
  <c r="F389" i="2"/>
  <c r="AB290" i="1" s="1"/>
  <c r="AB677" i="1"/>
  <c r="AX677" i="1"/>
  <c r="I389" i="2"/>
  <c r="AX290" i="1" s="1"/>
  <c r="C25" i="2"/>
  <c r="B514" i="18"/>
  <c r="A514" i="18"/>
  <c r="H634" i="2"/>
  <c r="CA35" i="1"/>
  <c r="F145" i="18"/>
  <c r="AA143" i="1" s="1"/>
  <c r="L145" i="18"/>
  <c r="AI143" i="1" s="1"/>
  <c r="M145" i="18"/>
  <c r="BG143" i="1" s="1"/>
  <c r="P145" i="18"/>
  <c r="AE143" i="1" s="1"/>
  <c r="A144" i="13"/>
  <c r="C144" i="13" s="1"/>
  <c r="O145" i="18"/>
  <c r="BQ143" i="1" s="1"/>
  <c r="Q145" i="18"/>
  <c r="BU143" i="1" s="1"/>
  <c r="J145" i="18"/>
  <c r="W143" i="1" s="1"/>
  <c r="E145" i="18"/>
  <c r="K143" i="1" s="1"/>
  <c r="G145" i="18"/>
  <c r="AO143" i="1" s="1"/>
  <c r="K145" i="18"/>
  <c r="BC143" i="1" s="1"/>
  <c r="R145" i="18"/>
  <c r="CA143" i="1" s="1"/>
  <c r="H145" i="18"/>
  <c r="Q143" i="1" s="1"/>
  <c r="I145" i="18"/>
  <c r="AW143" i="1" s="1"/>
  <c r="K35" i="1"/>
  <c r="BV678" i="1"/>
  <c r="Q390" i="2"/>
  <c r="BV291" i="1" s="1"/>
  <c r="AI452" i="1"/>
  <c r="AX38" i="1"/>
  <c r="H289" i="1"/>
  <c r="K524" i="2"/>
  <c r="L524" i="2"/>
  <c r="E524" i="2"/>
  <c r="H524" i="2"/>
  <c r="Q524" i="2"/>
  <c r="D525" i="2"/>
  <c r="I524" i="2"/>
  <c r="R524" i="2"/>
  <c r="Q145" i="2"/>
  <c r="BV143" i="1" s="1"/>
  <c r="F145" i="2"/>
  <c r="L678" i="1"/>
  <c r="E390" i="2"/>
  <c r="L291" i="1" s="1"/>
  <c r="CB678" i="1"/>
  <c r="R390" i="2"/>
  <c r="CB291" i="1" s="1"/>
  <c r="J148" i="12"/>
  <c r="R148" i="12"/>
  <c r="G148" i="12"/>
  <c r="O148" i="12"/>
  <c r="H148" i="12"/>
  <c r="P148" i="12"/>
  <c r="M148" i="12"/>
  <c r="Q148" i="12"/>
  <c r="N148" i="12"/>
  <c r="E148" i="12"/>
  <c r="S148" i="12"/>
  <c r="F148" i="12"/>
  <c r="I148" i="12"/>
  <c r="K148" i="12"/>
  <c r="L148" i="12"/>
  <c r="BJ677" i="1"/>
  <c r="M389" i="2"/>
  <c r="BJ290" i="1" s="1"/>
  <c r="BD677" i="1"/>
  <c r="K389" i="2"/>
  <c r="BD290" i="1" s="1"/>
  <c r="B26" i="2"/>
  <c r="A26" i="2"/>
  <c r="C26" i="2" s="1"/>
  <c r="G634" i="2"/>
  <c r="AP557" i="1" s="1"/>
  <c r="W35" i="1"/>
  <c r="CA452" i="1"/>
  <c r="CE37" i="1"/>
  <c r="CB451" i="1"/>
  <c r="AF38" i="1"/>
  <c r="H556" i="1"/>
  <c r="O37" i="1"/>
  <c r="L451" i="1"/>
  <c r="L145" i="2"/>
  <c r="AJ143" i="1" s="1"/>
  <c r="J145" i="2"/>
  <c r="X143" i="1" s="1"/>
  <c r="J390" i="2"/>
  <c r="X291" i="1" s="1"/>
  <c r="X678" i="1"/>
  <c r="AJ678" i="1"/>
  <c r="L390" i="2"/>
  <c r="AJ291" i="1" s="1"/>
  <c r="J389" i="2"/>
  <c r="X290" i="1" s="1"/>
  <c r="X677" i="1"/>
  <c r="BV677" i="1"/>
  <c r="Q389" i="2"/>
  <c r="BV290" i="1" s="1"/>
  <c r="L634" i="2"/>
  <c r="N634" i="2"/>
  <c r="BU35" i="1"/>
  <c r="W20" i="8"/>
  <c r="W32" i="8" s="1"/>
  <c r="U37" i="1"/>
  <c r="R451" i="1"/>
  <c r="A23" i="10"/>
  <c r="P635" i="18" s="1"/>
  <c r="AE558" i="1" s="1"/>
  <c r="C146" i="18"/>
  <c r="C269" i="18"/>
  <c r="C391" i="18"/>
  <c r="A23" i="13"/>
  <c r="C23" i="13" s="1"/>
  <c r="C149" i="12"/>
  <c r="D440" i="1"/>
  <c r="E440" i="1"/>
  <c r="Q452" i="1"/>
  <c r="AJ38" i="1"/>
  <c r="R38" i="1"/>
  <c r="E439" i="1"/>
  <c r="D439" i="1"/>
  <c r="AM37" i="1"/>
  <c r="AJ452" i="1"/>
  <c r="H145" i="2"/>
  <c r="R143" i="1" s="1"/>
  <c r="G145" i="2"/>
  <c r="AP143" i="1" s="1"/>
  <c r="AJ141" i="1"/>
  <c r="AF678" i="1"/>
  <c r="P390" i="2"/>
  <c r="AF291" i="1" s="1"/>
  <c r="W17" i="8"/>
  <c r="W29" i="8" s="1"/>
  <c r="AF677" i="1"/>
  <c r="P389" i="2"/>
  <c r="AF290" i="1" s="1"/>
  <c r="R677" i="1"/>
  <c r="H389" i="2"/>
  <c r="R290" i="1" s="1"/>
  <c r="R634" i="2"/>
  <c r="M634" i="2"/>
  <c r="BJ557" i="1" s="1"/>
  <c r="AW35" i="1"/>
  <c r="W452" i="1"/>
  <c r="L36" i="2"/>
  <c r="E36" i="2"/>
  <c r="M36" i="2"/>
  <c r="N36" i="2"/>
  <c r="D37" i="2"/>
  <c r="O36" i="2"/>
  <c r="H36" i="2"/>
  <c r="P36" i="2"/>
  <c r="I36" i="2"/>
  <c r="Q36" i="2"/>
  <c r="K36" i="2"/>
  <c r="R36" i="2"/>
  <c r="X4" i="8"/>
  <c r="X22" i="8" s="1"/>
  <c r="X34" i="8" s="1"/>
  <c r="X3" i="8"/>
  <c r="BJ678" i="1"/>
  <c r="M390" i="2"/>
  <c r="BJ291" i="1" s="1"/>
  <c r="A514" i="2"/>
  <c r="C514" i="2" s="1"/>
  <c r="C636" i="2" s="1"/>
  <c r="B514" i="2"/>
  <c r="BY143" i="1"/>
  <c r="BV557" i="1"/>
  <c r="BN38" i="1"/>
  <c r="C146" i="2"/>
  <c r="C269" i="2"/>
  <c r="C391" i="2"/>
  <c r="C27" i="1"/>
  <c r="C144" i="1"/>
  <c r="C570" i="1" s="1"/>
  <c r="C292" i="1"/>
  <c r="D292" i="1" s="1"/>
  <c r="BU452" i="1"/>
  <c r="BJ38" i="1"/>
  <c r="BR38" i="1"/>
  <c r="W26" i="8"/>
  <c r="W38" i="8" s="1"/>
  <c r="BV141" i="1"/>
  <c r="BH37" i="1"/>
  <c r="BD451" i="1"/>
  <c r="Y6" i="8"/>
  <c r="Y8" i="8"/>
  <c r="Y10" i="8"/>
  <c r="Z1" i="8"/>
  <c r="Y7" i="8"/>
  <c r="Y13" i="8"/>
  <c r="Y12" i="8"/>
  <c r="Y9" i="8"/>
  <c r="Y11" i="8"/>
  <c r="Y2" i="8"/>
  <c r="Y14" i="8"/>
  <c r="Y15" i="8"/>
  <c r="Y39" i="8"/>
  <c r="AT141" i="1"/>
  <c r="E145" i="2"/>
  <c r="L143" i="1" s="1"/>
  <c r="H450" i="1"/>
  <c r="AX678" i="1"/>
  <c r="I390" i="2"/>
  <c r="AX291" i="1" s="1"/>
  <c r="E268" i="18"/>
  <c r="M268" i="18"/>
  <c r="F268" i="18"/>
  <c r="P268" i="18"/>
  <c r="G268" i="18"/>
  <c r="Q268" i="18"/>
  <c r="H268" i="18"/>
  <c r="R268" i="18"/>
  <c r="J268" i="18"/>
  <c r="O268" i="18"/>
  <c r="K268" i="18"/>
  <c r="L268" i="18"/>
  <c r="I268" i="18"/>
  <c r="G289" i="1"/>
  <c r="K634" i="2"/>
  <c r="AO35" i="1"/>
  <c r="Q35" i="1"/>
  <c r="P390" i="18" l="1"/>
  <c r="AE291" i="1" s="1"/>
  <c r="AE678" i="1"/>
  <c r="M636" i="2"/>
  <c r="BJ559" i="1" s="1"/>
  <c r="R636" i="2"/>
  <c r="BH38" i="1"/>
  <c r="BD452" i="1"/>
  <c r="C147" i="2"/>
  <c r="C270" i="2"/>
  <c r="C392" i="2"/>
  <c r="C28" i="1"/>
  <c r="C145" i="1"/>
  <c r="C571" i="1" s="1"/>
  <c r="C293" i="1"/>
  <c r="D293" i="1" s="1"/>
  <c r="AO36" i="1"/>
  <c r="H38" i="1"/>
  <c r="K453" i="1"/>
  <c r="G453" i="1" s="1"/>
  <c r="AX39" i="1"/>
  <c r="F390" i="18"/>
  <c r="AA291" i="1" s="1"/>
  <c r="AA678" i="1"/>
  <c r="AF39" i="1"/>
  <c r="AM143" i="1"/>
  <c r="AJ557" i="1"/>
  <c r="O635" i="18"/>
  <c r="BQ558" i="1" s="1"/>
  <c r="G35" i="1"/>
  <c r="G557" i="1"/>
  <c r="E34" i="18"/>
  <c r="D35" i="18"/>
  <c r="G34" i="18"/>
  <c r="H34" i="18"/>
  <c r="J34" i="18"/>
  <c r="R34" i="18"/>
  <c r="Q34" i="18"/>
  <c r="I34" i="18"/>
  <c r="K34" i="18"/>
  <c r="M390" i="18"/>
  <c r="BG291" i="1" s="1"/>
  <c r="BG678" i="1"/>
  <c r="X18" i="8"/>
  <c r="X30" i="8" s="1"/>
  <c r="L635" i="18"/>
  <c r="AI558" i="1" s="1"/>
  <c r="F635" i="18"/>
  <c r="AA558" i="1" s="1"/>
  <c r="BA38" i="1"/>
  <c r="AX452" i="1"/>
  <c r="K36" i="1"/>
  <c r="O143" i="1"/>
  <c r="L557" i="1"/>
  <c r="C679" i="1"/>
  <c r="K269" i="2"/>
  <c r="N269" i="2"/>
  <c r="N391" i="2" s="1"/>
  <c r="BN292" i="1" s="1"/>
  <c r="M269" i="2"/>
  <c r="O269" i="2"/>
  <c r="Q269" i="2"/>
  <c r="R269" i="2"/>
  <c r="P269" i="2"/>
  <c r="G269" i="2"/>
  <c r="I269" i="2"/>
  <c r="J269" i="2"/>
  <c r="F269" i="2"/>
  <c r="E269" i="2"/>
  <c r="H269" i="2"/>
  <c r="L269" i="2"/>
  <c r="AJ39" i="1"/>
  <c r="Q635" i="18"/>
  <c r="BU558" i="1" s="1"/>
  <c r="G635" i="18"/>
  <c r="AO558" i="1" s="1"/>
  <c r="X21" i="8"/>
  <c r="X33" i="8" s="1"/>
  <c r="BC678" i="1"/>
  <c r="K390" i="18"/>
  <c r="BC291" i="1" s="1"/>
  <c r="J146" i="2"/>
  <c r="X144" i="1" s="1"/>
  <c r="F146" i="2"/>
  <c r="AB144" i="1" s="1"/>
  <c r="G146" i="2"/>
  <c r="AP144" i="1" s="1"/>
  <c r="H146" i="2"/>
  <c r="K146" i="2"/>
  <c r="P146" i="2"/>
  <c r="N146" i="2"/>
  <c r="E146" i="2"/>
  <c r="R146" i="2"/>
  <c r="M146" i="2"/>
  <c r="I146" i="2"/>
  <c r="Q146" i="2"/>
  <c r="O146" i="2"/>
  <c r="L146" i="2"/>
  <c r="J635" i="18"/>
  <c r="W558" i="1" s="1"/>
  <c r="CE38" i="1"/>
  <c r="CB452" i="1"/>
  <c r="G143" i="1"/>
  <c r="BC36" i="1"/>
  <c r="AI453" i="1"/>
  <c r="O390" i="18"/>
  <c r="BQ291" i="1" s="1"/>
  <c r="BQ678" i="1"/>
  <c r="Z6" i="8"/>
  <c r="Z8" i="8"/>
  <c r="Z10" i="8"/>
  <c r="Z12" i="8"/>
  <c r="Z2" i="8"/>
  <c r="Z14" i="8"/>
  <c r="Z7" i="8"/>
  <c r="AA1" i="8"/>
  <c r="Z15" i="8"/>
  <c r="Z9" i="8"/>
  <c r="Z11" i="8"/>
  <c r="Z13" i="8"/>
  <c r="Z39" i="8"/>
  <c r="R39" i="1"/>
  <c r="W678" i="1"/>
  <c r="J390" i="18"/>
  <c r="W291" i="1" s="1"/>
  <c r="K678" i="1"/>
  <c r="E390" i="18"/>
  <c r="K291" i="1" s="1"/>
  <c r="BR39" i="1"/>
  <c r="X23" i="8"/>
  <c r="X35" i="8" s="1"/>
  <c r="J149" i="12"/>
  <c r="R149" i="12"/>
  <c r="G149" i="12"/>
  <c r="O149" i="12"/>
  <c r="H149" i="12"/>
  <c r="P149" i="12"/>
  <c r="K149" i="12"/>
  <c r="M149" i="12"/>
  <c r="N149" i="12"/>
  <c r="Q149" i="12"/>
  <c r="E149" i="12"/>
  <c r="S149" i="12"/>
  <c r="F149" i="12"/>
  <c r="I149" i="12"/>
  <c r="L149" i="12"/>
  <c r="H635" i="18"/>
  <c r="Q558" i="1" s="1"/>
  <c r="M635" i="18"/>
  <c r="BG558" i="1" s="1"/>
  <c r="H291" i="1"/>
  <c r="I525" i="2"/>
  <c r="Q525" i="2"/>
  <c r="R525" i="2"/>
  <c r="K525" i="2"/>
  <c r="E525" i="2"/>
  <c r="D526" i="2"/>
  <c r="L525" i="2"/>
  <c r="H525" i="2"/>
  <c r="X24" i="8"/>
  <c r="X36" i="8" s="1"/>
  <c r="CA36" i="1"/>
  <c r="H290" i="1"/>
  <c r="CG290" i="1" s="1"/>
  <c r="AT143" i="1"/>
  <c r="W453" i="1"/>
  <c r="CA678" i="1"/>
  <c r="R390" i="18"/>
  <c r="CA291" i="1" s="1"/>
  <c r="R37" i="2"/>
  <c r="K37" i="2"/>
  <c r="L37" i="2"/>
  <c r="E37" i="2"/>
  <c r="M37" i="2"/>
  <c r="N37" i="2"/>
  <c r="D38" i="2"/>
  <c r="O37" i="2"/>
  <c r="I37" i="2"/>
  <c r="Q37" i="2"/>
  <c r="H37" i="2"/>
  <c r="P37" i="2"/>
  <c r="C148" i="2"/>
  <c r="C271" i="2"/>
  <c r="C393" i="2"/>
  <c r="C29" i="1"/>
  <c r="C146" i="1"/>
  <c r="C572" i="1" s="1"/>
  <c r="C294" i="1"/>
  <c r="D294" i="1" s="1"/>
  <c r="BY38" i="1"/>
  <c r="BV452" i="1"/>
  <c r="G452" i="1"/>
  <c r="M635" i="2"/>
  <c r="BJ558" i="1" s="1"/>
  <c r="N635" i="2"/>
  <c r="F635" i="2"/>
  <c r="AB558" i="1" s="1"/>
  <c r="O635" i="2"/>
  <c r="BR558" i="1" s="1"/>
  <c r="J635" i="2"/>
  <c r="X558" i="1" s="1"/>
  <c r="G635" i="2"/>
  <c r="AP558" i="1" s="1"/>
  <c r="P635" i="2"/>
  <c r="AF558" i="1" s="1"/>
  <c r="K635" i="2"/>
  <c r="R635" i="2"/>
  <c r="L635" i="2"/>
  <c r="H635" i="2"/>
  <c r="E635" i="2"/>
  <c r="Q635" i="2"/>
  <c r="I635" i="2"/>
  <c r="X26" i="8"/>
  <c r="X38" i="8" s="1"/>
  <c r="Q678" i="1"/>
  <c r="H390" i="18"/>
  <c r="Q291" i="1" s="1"/>
  <c r="CB39" i="1"/>
  <c r="BN39" i="1"/>
  <c r="X19" i="8"/>
  <c r="X31" i="8" s="1"/>
  <c r="K635" i="18"/>
  <c r="BC558" i="1" s="1"/>
  <c r="B27" i="2"/>
  <c r="A27" i="2"/>
  <c r="C27" i="2" s="1"/>
  <c r="U38" i="1"/>
  <c r="R452" i="1"/>
  <c r="U143" i="1"/>
  <c r="R557" i="1"/>
  <c r="BU36" i="1"/>
  <c r="BU453" i="1"/>
  <c r="L390" i="18"/>
  <c r="AI291" i="1" s="1"/>
  <c r="AI678" i="1"/>
  <c r="Y3" i="8"/>
  <c r="Y4" i="8"/>
  <c r="Y24" i="8" s="1"/>
  <c r="Y36" i="8" s="1"/>
  <c r="E635" i="18"/>
  <c r="K558" i="1" s="1"/>
  <c r="W36" i="1"/>
  <c r="CA453" i="1"/>
  <c r="BH143" i="1"/>
  <c r="BD557" i="1"/>
  <c r="CG289" i="1"/>
  <c r="BU678" i="1"/>
  <c r="Q390" i="18"/>
  <c r="BU291" i="1" s="1"/>
  <c r="X25" i="8"/>
  <c r="X37" i="8" s="1"/>
  <c r="D27" i="1"/>
  <c r="E27" i="1"/>
  <c r="F27" i="1"/>
  <c r="C441" i="1"/>
  <c r="BD39" i="1"/>
  <c r="BJ39" i="1"/>
  <c r="G269" i="18"/>
  <c r="P269" i="18"/>
  <c r="J269" i="18"/>
  <c r="K269" i="18"/>
  <c r="L269" i="18"/>
  <c r="E269" i="18"/>
  <c r="O269" i="18"/>
  <c r="F269" i="18"/>
  <c r="H269" i="18"/>
  <c r="I269" i="18"/>
  <c r="Q269" i="18"/>
  <c r="M269" i="18"/>
  <c r="R269" i="18"/>
  <c r="H451" i="1"/>
  <c r="I635" i="18"/>
  <c r="AW558" i="1" s="1"/>
  <c r="O38" i="1"/>
  <c r="L452" i="1"/>
  <c r="C514" i="18"/>
  <c r="C636" i="18" s="1"/>
  <c r="AW36" i="1"/>
  <c r="C26" i="18"/>
  <c r="Q453" i="1"/>
  <c r="X17" i="8"/>
  <c r="X29" i="8" s="1"/>
  <c r="X20" i="8"/>
  <c r="X32" i="8" s="1"/>
  <c r="AW678" i="1"/>
  <c r="I390" i="18"/>
  <c r="AW291" i="1" s="1"/>
  <c r="AO678" i="1"/>
  <c r="G390" i="18"/>
  <c r="AO291" i="1" s="1"/>
  <c r="H143" i="1"/>
  <c r="A515" i="2"/>
  <c r="B515" i="2"/>
  <c r="BV39" i="1"/>
  <c r="L39" i="1"/>
  <c r="CE143" i="1"/>
  <c r="CB557" i="1"/>
  <c r="F146" i="18"/>
  <c r="AA144" i="1" s="1"/>
  <c r="P146" i="18"/>
  <c r="AE144" i="1" s="1"/>
  <c r="L146" i="18"/>
  <c r="AI144" i="1" s="1"/>
  <c r="O146" i="18"/>
  <c r="BQ144" i="1" s="1"/>
  <c r="M146" i="18"/>
  <c r="BG144" i="1" s="1"/>
  <c r="A145" i="13"/>
  <c r="C145" i="13" s="1"/>
  <c r="K146" i="18"/>
  <c r="BC144" i="1" s="1"/>
  <c r="I146" i="18"/>
  <c r="AW144" i="1" s="1"/>
  <c r="Q146" i="18"/>
  <c r="BU144" i="1" s="1"/>
  <c r="E146" i="18"/>
  <c r="K144" i="1" s="1"/>
  <c r="J146" i="18"/>
  <c r="W144" i="1" s="1"/>
  <c r="H146" i="18"/>
  <c r="Q144" i="1" s="1"/>
  <c r="R146" i="18"/>
  <c r="CA144" i="1" s="1"/>
  <c r="G146" i="18"/>
  <c r="AO144" i="1" s="1"/>
  <c r="I37" i="1"/>
  <c r="R635" i="18"/>
  <c r="CA558" i="1" s="1"/>
  <c r="AM38" i="1"/>
  <c r="AJ453" i="1"/>
  <c r="A515" i="18"/>
  <c r="C515" i="18" s="1"/>
  <c r="C637" i="18" s="1"/>
  <c r="B515" i="18"/>
  <c r="Q36" i="1"/>
  <c r="B27" i="18"/>
  <c r="A27" i="18"/>
  <c r="BA143" i="1"/>
  <c r="AX557" i="1"/>
  <c r="J525" i="18"/>
  <c r="L525" i="18"/>
  <c r="E525" i="18"/>
  <c r="D526" i="18"/>
  <c r="H525" i="18"/>
  <c r="Q525" i="18"/>
  <c r="R525" i="18"/>
  <c r="A24" i="10"/>
  <c r="N636" i="2" s="1"/>
  <c r="C147" i="18"/>
  <c r="C270" i="18"/>
  <c r="C392" i="18"/>
  <c r="A24" i="13"/>
  <c r="C24" i="13" s="1"/>
  <c r="C150" i="12"/>
  <c r="Y23" i="8" l="1"/>
  <c r="Y35" i="8" s="1"/>
  <c r="Y21" i="8"/>
  <c r="Y33" i="8" s="1"/>
  <c r="Y20" i="8"/>
  <c r="Y32" i="8" s="1"/>
  <c r="Y22" i="8"/>
  <c r="Y34" i="8" s="1"/>
  <c r="Y19" i="8"/>
  <c r="Y31" i="8" s="1"/>
  <c r="BC679" i="1"/>
  <c r="K391" i="18"/>
  <c r="BC292" i="1" s="1"/>
  <c r="BD144" i="1"/>
  <c r="CE145" i="1"/>
  <c r="CB559" i="1"/>
  <c r="G636" i="18"/>
  <c r="AO559" i="1" s="1"/>
  <c r="P636" i="18"/>
  <c r="AE559" i="1" s="1"/>
  <c r="I636" i="18"/>
  <c r="AW559" i="1" s="1"/>
  <c r="K636" i="18"/>
  <c r="BC559" i="1" s="1"/>
  <c r="F636" i="18"/>
  <c r="AA559" i="1" s="1"/>
  <c r="O636" i="18"/>
  <c r="BQ559" i="1" s="1"/>
  <c r="M636" i="18"/>
  <c r="BG559" i="1" s="1"/>
  <c r="H636" i="18"/>
  <c r="Q559" i="1" s="1"/>
  <c r="J636" i="18"/>
  <c r="W559" i="1" s="1"/>
  <c r="E636" i="18"/>
  <c r="K559" i="1" s="1"/>
  <c r="G559" i="1" s="1"/>
  <c r="Q636" i="18"/>
  <c r="BU559" i="1" s="1"/>
  <c r="R636" i="18"/>
  <c r="CA559" i="1" s="1"/>
  <c r="L636" i="18"/>
  <c r="AI559" i="1" s="1"/>
  <c r="F391" i="2"/>
  <c r="AB292" i="1" s="1"/>
  <c r="AB679" i="1"/>
  <c r="AO37" i="1"/>
  <c r="E636" i="2"/>
  <c r="H39" i="1"/>
  <c r="P391" i="18"/>
  <c r="AE292" i="1" s="1"/>
  <c r="AE679" i="1"/>
  <c r="E441" i="1"/>
  <c r="D441" i="1"/>
  <c r="B28" i="2"/>
  <c r="A28" i="2"/>
  <c r="O144" i="1"/>
  <c r="L558" i="1"/>
  <c r="BV40" i="1"/>
  <c r="BD40" i="1"/>
  <c r="BH39" i="1"/>
  <c r="BD453" i="1"/>
  <c r="AB1" i="8"/>
  <c r="AA2" i="8"/>
  <c r="AA9" i="8"/>
  <c r="AA11" i="8"/>
  <c r="AA7" i="8"/>
  <c r="AA13" i="8"/>
  <c r="AA8" i="8"/>
  <c r="AA10" i="8"/>
  <c r="AA6" i="8"/>
  <c r="AA15" i="8"/>
  <c r="AA12" i="8"/>
  <c r="AA14" i="8"/>
  <c r="AA39" i="8"/>
  <c r="Y26" i="8"/>
  <c r="Y38" i="8" s="1"/>
  <c r="AX144" i="1"/>
  <c r="J391" i="2"/>
  <c r="X292" i="1" s="1"/>
  <c r="X679" i="1"/>
  <c r="J35" i="18"/>
  <c r="R35" i="18"/>
  <c r="K35" i="18"/>
  <c r="E35" i="18"/>
  <c r="D36" i="18"/>
  <c r="H35" i="18"/>
  <c r="I35" i="18"/>
  <c r="G35" i="18"/>
  <c r="Q35" i="18"/>
  <c r="H636" i="2"/>
  <c r="G636" i="2"/>
  <c r="AP559" i="1" s="1"/>
  <c r="A516" i="2"/>
  <c r="C516" i="2" s="1"/>
  <c r="C638" i="2" s="1"/>
  <c r="B516" i="2"/>
  <c r="M391" i="18"/>
  <c r="BG292" i="1" s="1"/>
  <c r="BG679" i="1"/>
  <c r="L40" i="1"/>
  <c r="H526" i="2"/>
  <c r="I526" i="2"/>
  <c r="Q526" i="2"/>
  <c r="K526" i="2"/>
  <c r="L526" i="2"/>
  <c r="D527" i="2"/>
  <c r="E526" i="2"/>
  <c r="R526" i="2"/>
  <c r="BR144" i="1"/>
  <c r="G36" i="1"/>
  <c r="K454" i="1"/>
  <c r="W679" i="1"/>
  <c r="J391" i="18"/>
  <c r="W292" i="1" s="1"/>
  <c r="R40" i="1"/>
  <c r="O39" i="1"/>
  <c r="L453" i="1"/>
  <c r="BV144" i="1"/>
  <c r="BJ679" i="1"/>
  <c r="M391" i="2"/>
  <c r="BJ292" i="1" s="1"/>
  <c r="E28" i="1"/>
  <c r="F28" i="1"/>
  <c r="D28" i="1"/>
  <c r="C442" i="1"/>
  <c r="P636" i="2"/>
  <c r="AF559" i="1" s="1"/>
  <c r="I270" i="18"/>
  <c r="R270" i="18"/>
  <c r="E270" i="18"/>
  <c r="O270" i="18"/>
  <c r="F270" i="18"/>
  <c r="P270" i="18"/>
  <c r="G270" i="18"/>
  <c r="Q270" i="18"/>
  <c r="J270" i="18"/>
  <c r="H270" i="18"/>
  <c r="K270" i="18"/>
  <c r="L270" i="18"/>
  <c r="M270" i="18"/>
  <c r="AI454" i="1"/>
  <c r="H452" i="1"/>
  <c r="AW679" i="1"/>
  <c r="I391" i="18"/>
  <c r="AW292" i="1" s="1"/>
  <c r="G558" i="1"/>
  <c r="L147" i="18"/>
  <c r="AI145" i="1" s="1"/>
  <c r="M147" i="18"/>
  <c r="BG145" i="1" s="1"/>
  <c r="O147" i="18"/>
  <c r="BQ145" i="1" s="1"/>
  <c r="P147" i="18"/>
  <c r="AE145" i="1" s="1"/>
  <c r="F147" i="18"/>
  <c r="AA145" i="1" s="1"/>
  <c r="A146" i="13"/>
  <c r="C146" i="13" s="1"/>
  <c r="G147" i="18"/>
  <c r="AO145" i="1" s="1"/>
  <c r="E147" i="18"/>
  <c r="K145" i="1" s="1"/>
  <c r="H147" i="18"/>
  <c r="Q145" i="1" s="1"/>
  <c r="I147" i="18"/>
  <c r="AW145" i="1" s="1"/>
  <c r="J147" i="18"/>
  <c r="W145" i="1" s="1"/>
  <c r="K147" i="18"/>
  <c r="BC145" i="1" s="1"/>
  <c r="R147" i="18"/>
  <c r="CA145" i="1" s="1"/>
  <c r="Q147" i="18"/>
  <c r="BU145" i="1" s="1"/>
  <c r="W454" i="1"/>
  <c r="A516" i="18"/>
  <c r="C516" i="18" s="1"/>
  <c r="C638" i="18" s="1"/>
  <c r="B516" i="18"/>
  <c r="I38" i="1"/>
  <c r="Q679" i="1"/>
  <c r="H391" i="18"/>
  <c r="Q292" i="1" s="1"/>
  <c r="AO679" i="1"/>
  <c r="G391" i="18"/>
  <c r="AO292" i="1" s="1"/>
  <c r="Y17" i="8"/>
  <c r="Y29" i="8" s="1"/>
  <c r="U144" i="1"/>
  <c r="R558" i="1"/>
  <c r="AX40" i="1"/>
  <c r="CB40" i="1"/>
  <c r="CE39" i="1"/>
  <c r="CB453" i="1"/>
  <c r="Z18" i="8"/>
  <c r="Z30" i="8" s="1"/>
  <c r="BJ144" i="1"/>
  <c r="AX679" i="1"/>
  <c r="I391" i="2"/>
  <c r="AX292" i="1" s="1"/>
  <c r="BD679" i="1"/>
  <c r="K391" i="2"/>
  <c r="BD292" i="1" s="1"/>
  <c r="BC37" i="1"/>
  <c r="K37" i="1"/>
  <c r="C680" i="1"/>
  <c r="P270" i="2"/>
  <c r="J270" i="2"/>
  <c r="F270" i="2"/>
  <c r="E270" i="2"/>
  <c r="H270" i="2"/>
  <c r="L270" i="2"/>
  <c r="O270" i="2"/>
  <c r="K270" i="2"/>
  <c r="R270" i="2"/>
  <c r="Q270" i="2"/>
  <c r="G270" i="2"/>
  <c r="N270" i="2"/>
  <c r="N392" i="2" s="1"/>
  <c r="BN293" i="1" s="1"/>
  <c r="M270" i="2"/>
  <c r="I270" i="2"/>
  <c r="L636" i="2"/>
  <c r="O636" i="2"/>
  <c r="BR559" i="1" s="1"/>
  <c r="Q37" i="1"/>
  <c r="C149" i="2"/>
  <c r="C272" i="2"/>
  <c r="C394" i="2"/>
  <c r="C30" i="1"/>
  <c r="C148" i="1"/>
  <c r="C573" i="1" s="1"/>
  <c r="C295" i="1"/>
  <c r="D295" i="1" s="1"/>
  <c r="AM144" i="1"/>
  <c r="AJ558" i="1"/>
  <c r="D29" i="1"/>
  <c r="C443" i="1"/>
  <c r="BR40" i="1"/>
  <c r="BY39" i="1"/>
  <c r="BV453" i="1"/>
  <c r="CB144" i="1"/>
  <c r="G391" i="2"/>
  <c r="AP292" i="1" s="1"/>
  <c r="AP679" i="1"/>
  <c r="AW37" i="1"/>
  <c r="J147" i="2"/>
  <c r="X145" i="1" s="1"/>
  <c r="F147" i="2"/>
  <c r="AB145" i="1" s="1"/>
  <c r="G147" i="2"/>
  <c r="AP145" i="1" s="1"/>
  <c r="O147" i="2"/>
  <c r="BR145" i="1" s="1"/>
  <c r="R147" i="2"/>
  <c r="CB145" i="1" s="1"/>
  <c r="E147" i="2"/>
  <c r="L145" i="1" s="1"/>
  <c r="K147" i="2"/>
  <c r="BD145" i="1" s="1"/>
  <c r="N147" i="2"/>
  <c r="BN145" i="1" s="1"/>
  <c r="P147" i="2"/>
  <c r="AF145" i="1" s="1"/>
  <c r="M147" i="2"/>
  <c r="BJ145" i="1" s="1"/>
  <c r="H147" i="2"/>
  <c r="R145" i="1" s="1"/>
  <c r="I147" i="2"/>
  <c r="AX145" i="1" s="1"/>
  <c r="L147" i="2"/>
  <c r="AJ145" i="1" s="1"/>
  <c r="Q147" i="2"/>
  <c r="BV145" i="1" s="1"/>
  <c r="Q636" i="2"/>
  <c r="F636" i="2"/>
  <c r="AB559" i="1" s="1"/>
  <c r="R526" i="18"/>
  <c r="J526" i="18"/>
  <c r="L526" i="18"/>
  <c r="Q526" i="18"/>
  <c r="D527" i="18"/>
  <c r="H526" i="18"/>
  <c r="E526" i="18"/>
  <c r="L679" i="1"/>
  <c r="E391" i="2"/>
  <c r="L292" i="1" s="1"/>
  <c r="BU679" i="1"/>
  <c r="Q391" i="18"/>
  <c r="BU292" i="1" s="1"/>
  <c r="Z17" i="8"/>
  <c r="Z29" i="8" s="1"/>
  <c r="I637" i="18"/>
  <c r="AW560" i="1" s="1"/>
  <c r="L637" i="18"/>
  <c r="AI560" i="1" s="1"/>
  <c r="J637" i="18"/>
  <c r="W560" i="1" s="1"/>
  <c r="Q637" i="18"/>
  <c r="BU560" i="1" s="1"/>
  <c r="F391" i="18"/>
  <c r="AA292" i="1" s="1"/>
  <c r="AA679" i="1"/>
  <c r="CA454" i="1"/>
  <c r="AV143" i="1"/>
  <c r="A25" i="10"/>
  <c r="K637" i="18" s="1"/>
  <c r="BC560" i="1" s="1"/>
  <c r="C148" i="18"/>
  <c r="C393" i="18"/>
  <c r="C271" i="18"/>
  <c r="A25" i="13"/>
  <c r="C25" i="13" s="1"/>
  <c r="C151" i="12"/>
  <c r="O391" i="18"/>
  <c r="BQ292" i="1" s="1"/>
  <c r="BQ679" i="1"/>
  <c r="CE144" i="1"/>
  <c r="CB558" i="1"/>
  <c r="H38" i="2"/>
  <c r="P38" i="2"/>
  <c r="I38" i="2"/>
  <c r="Q38" i="2"/>
  <c r="R38" i="2"/>
  <c r="K38" i="2"/>
  <c r="L38" i="2"/>
  <c r="E38" i="2"/>
  <c r="M38" i="2"/>
  <c r="O38" i="2"/>
  <c r="N38" i="2"/>
  <c r="D39" i="2"/>
  <c r="BA39" i="1"/>
  <c r="AX453" i="1"/>
  <c r="Y25" i="8"/>
  <c r="Y37" i="8" s="1"/>
  <c r="Z3" i="8"/>
  <c r="Z4" i="8"/>
  <c r="Z22" i="8" s="1"/>
  <c r="Z34" i="8" s="1"/>
  <c r="L144" i="1"/>
  <c r="H144" i="1" s="1"/>
  <c r="Y18" i="8"/>
  <c r="Y30" i="8" s="1"/>
  <c r="AF679" i="1"/>
  <c r="P391" i="2"/>
  <c r="AF292" i="1" s="1"/>
  <c r="BU37" i="1"/>
  <c r="K636" i="2"/>
  <c r="BD559" i="1" s="1"/>
  <c r="J636" i="2"/>
  <c r="X559" i="1" s="1"/>
  <c r="AF40" i="1"/>
  <c r="BR679" i="1"/>
  <c r="O391" i="2"/>
  <c r="BR292" i="1" s="1"/>
  <c r="AJ40" i="1"/>
  <c r="R144" i="1"/>
  <c r="BU454" i="1"/>
  <c r="C27" i="18"/>
  <c r="G144" i="1"/>
  <c r="K679" i="1"/>
  <c r="E391" i="18"/>
  <c r="K292" i="1" s="1"/>
  <c r="BD558" i="1"/>
  <c r="C681" i="1"/>
  <c r="O271" i="2"/>
  <c r="N271" i="2"/>
  <c r="N393" i="2" s="1"/>
  <c r="BN294" i="1" s="1"/>
  <c r="L271" i="2"/>
  <c r="G271" i="2"/>
  <c r="R271" i="2"/>
  <c r="I271" i="2"/>
  <c r="K271" i="2"/>
  <c r="P271" i="2"/>
  <c r="F271" i="2"/>
  <c r="E271" i="2"/>
  <c r="J271" i="2"/>
  <c r="H271" i="2"/>
  <c r="Q271" i="2"/>
  <c r="M271" i="2"/>
  <c r="BN40" i="1"/>
  <c r="U39" i="1"/>
  <c r="R453" i="1"/>
  <c r="G291" i="1"/>
  <c r="CG291" i="1" s="1"/>
  <c r="Z24" i="8"/>
  <c r="Z36" i="8" s="1"/>
  <c r="BN144" i="1"/>
  <c r="AJ679" i="1"/>
  <c r="L391" i="2"/>
  <c r="AJ292" i="1" s="1"/>
  <c r="CB679" i="1"/>
  <c r="R391" i="2"/>
  <c r="CB292" i="1" s="1"/>
  <c r="H557" i="1"/>
  <c r="CA37" i="1"/>
  <c r="I636" i="2"/>
  <c r="BA144" i="1"/>
  <c r="AX558" i="1"/>
  <c r="C515" i="2"/>
  <c r="C637" i="2" s="1"/>
  <c r="BY144" i="1"/>
  <c r="BV558" i="1"/>
  <c r="J150" i="12"/>
  <c r="R150" i="12"/>
  <c r="G150" i="12"/>
  <c r="H150" i="12"/>
  <c r="P150" i="12"/>
  <c r="F150" i="12"/>
  <c r="S150" i="12"/>
  <c r="I150" i="12"/>
  <c r="L150" i="12"/>
  <c r="M150" i="12"/>
  <c r="K150" i="12"/>
  <c r="N150" i="12"/>
  <c r="O150" i="12"/>
  <c r="E150" i="12"/>
  <c r="Q150" i="12"/>
  <c r="Q454" i="1"/>
  <c r="A28" i="18"/>
  <c r="B28" i="18"/>
  <c r="CA679" i="1"/>
  <c r="R391" i="18"/>
  <c r="CA292" i="1" s="1"/>
  <c r="L391" i="18"/>
  <c r="AI292" i="1" s="1"/>
  <c r="AI679" i="1"/>
  <c r="F148" i="2"/>
  <c r="R148" i="2"/>
  <c r="K148" i="2"/>
  <c r="H148" i="2"/>
  <c r="O148" i="2"/>
  <c r="I148" i="2"/>
  <c r="N148" i="2"/>
  <c r="BJ40" i="1"/>
  <c r="AM39" i="1"/>
  <c r="AJ454" i="1"/>
  <c r="Z21" i="8"/>
  <c r="Z33" i="8" s="1"/>
  <c r="AJ144" i="1"/>
  <c r="AF144" i="1"/>
  <c r="R679" i="1"/>
  <c r="H391" i="2"/>
  <c r="R292" i="1" s="1"/>
  <c r="BV679" i="1"/>
  <c r="Q391" i="2"/>
  <c r="BV292" i="1" s="1"/>
  <c r="I143" i="1"/>
  <c r="W37" i="1"/>
  <c r="R681" i="1" l="1"/>
  <c r="H393" i="2"/>
  <c r="R294" i="1" s="1"/>
  <c r="L680" i="1"/>
  <c r="E392" i="2"/>
  <c r="L293" i="1" s="1"/>
  <c r="BU38" i="1"/>
  <c r="J393" i="2"/>
  <c r="X294" i="1" s="1"/>
  <c r="X681" i="1"/>
  <c r="BU455" i="1"/>
  <c r="G392" i="2"/>
  <c r="AP293" i="1" s="1"/>
  <c r="AP680" i="1"/>
  <c r="BU680" i="1"/>
  <c r="Q392" i="18"/>
  <c r="BU293" i="1" s="1"/>
  <c r="AO38" i="1"/>
  <c r="G148" i="2"/>
  <c r="AP146" i="1" s="1"/>
  <c r="BA145" i="1"/>
  <c r="AX559" i="1"/>
  <c r="BR41" i="1"/>
  <c r="AI455" i="1"/>
  <c r="CB146" i="1"/>
  <c r="BV680" i="1"/>
  <c r="Q392" i="2"/>
  <c r="BV293" i="1" s="1"/>
  <c r="J392" i="2"/>
  <c r="X293" i="1" s="1"/>
  <c r="X680" i="1"/>
  <c r="AO680" i="1"/>
  <c r="G392" i="18"/>
  <c r="AO293" i="1" s="1"/>
  <c r="D442" i="1"/>
  <c r="E442" i="1"/>
  <c r="H453" i="1"/>
  <c r="G454" i="1"/>
  <c r="AM40" i="1"/>
  <c r="AJ455" i="1"/>
  <c r="AW38" i="1"/>
  <c r="AB2" i="8"/>
  <c r="AB6" i="8"/>
  <c r="AB8" i="8"/>
  <c r="AB10" i="8"/>
  <c r="AB12" i="8"/>
  <c r="AB14" i="8"/>
  <c r="AC1" i="8"/>
  <c r="AB7" i="8"/>
  <c r="AB15" i="8"/>
  <c r="AB9" i="8"/>
  <c r="AB13" i="8"/>
  <c r="AB11" i="8"/>
  <c r="AB39" i="8"/>
  <c r="E148" i="2"/>
  <c r="L146" i="1" s="1"/>
  <c r="J148" i="2"/>
  <c r="X146" i="1" s="1"/>
  <c r="BN146" i="1"/>
  <c r="F393" i="2"/>
  <c r="AB294" i="1" s="1"/>
  <c r="AB681" i="1"/>
  <c r="BR681" i="1"/>
  <c r="O393" i="2"/>
  <c r="BR294" i="1" s="1"/>
  <c r="BJ41" i="1"/>
  <c r="R41" i="1"/>
  <c r="K271" i="18"/>
  <c r="I271" i="18"/>
  <c r="J271" i="18"/>
  <c r="L271" i="18"/>
  <c r="E271" i="18"/>
  <c r="O271" i="18"/>
  <c r="H271" i="18"/>
  <c r="M271" i="18"/>
  <c r="P271" i="18"/>
  <c r="Q271" i="18"/>
  <c r="R271" i="18"/>
  <c r="F271" i="18"/>
  <c r="G271" i="18"/>
  <c r="O637" i="18"/>
  <c r="BQ560" i="1" s="1"/>
  <c r="W455" i="1"/>
  <c r="D443" i="1"/>
  <c r="E443" i="1"/>
  <c r="Z20" i="8"/>
  <c r="Z32" i="8" s="1"/>
  <c r="CB680" i="1"/>
  <c r="R392" i="2"/>
  <c r="CB293" i="1" s="1"/>
  <c r="AF680" i="1"/>
  <c r="P392" i="2"/>
  <c r="AF293" i="1" s="1"/>
  <c r="P392" i="18"/>
  <c r="AE293" i="1" s="1"/>
  <c r="AE680" i="1"/>
  <c r="I39" i="1"/>
  <c r="BH40" i="1"/>
  <c r="BD454" i="1"/>
  <c r="Q38" i="1"/>
  <c r="AX146" i="1"/>
  <c r="G393" i="2"/>
  <c r="AP294" i="1" s="1"/>
  <c r="AP681" i="1"/>
  <c r="N39" i="2"/>
  <c r="D40" i="2"/>
  <c r="O39" i="2"/>
  <c r="H39" i="2"/>
  <c r="P39" i="2"/>
  <c r="I39" i="2"/>
  <c r="Q39" i="2"/>
  <c r="R39" i="2"/>
  <c r="K39" i="2"/>
  <c r="E39" i="2"/>
  <c r="M39" i="2"/>
  <c r="L39" i="2"/>
  <c r="W38" i="1"/>
  <c r="C28" i="18"/>
  <c r="AX41" i="1"/>
  <c r="F392" i="2"/>
  <c r="AB293" i="1" s="1"/>
  <c r="AB680" i="1"/>
  <c r="E527" i="2"/>
  <c r="D528" i="2"/>
  <c r="I527" i="2"/>
  <c r="Q527" i="2"/>
  <c r="R527" i="2"/>
  <c r="K527" i="2"/>
  <c r="L527" i="2"/>
  <c r="H527" i="2"/>
  <c r="AA3" i="8"/>
  <c r="AA4" i="8"/>
  <c r="AA21" i="8" s="1"/>
  <c r="AA33" i="8" s="1"/>
  <c r="A26" i="10"/>
  <c r="C149" i="18"/>
  <c r="C272" i="18"/>
  <c r="C394" i="18"/>
  <c r="A26" i="13"/>
  <c r="C26" i="13" s="1"/>
  <c r="C152" i="12"/>
  <c r="P637" i="18"/>
  <c r="AE560" i="1" s="1"/>
  <c r="P148" i="2"/>
  <c r="AF146" i="1" s="1"/>
  <c r="AF681" i="1"/>
  <c r="P393" i="2"/>
  <c r="AF294" i="1" s="1"/>
  <c r="Z19" i="8"/>
  <c r="Z31" i="8" s="1"/>
  <c r="L41" i="1"/>
  <c r="E637" i="18"/>
  <c r="K560" i="1" s="1"/>
  <c r="G637" i="18"/>
  <c r="AO560" i="1" s="1"/>
  <c r="H292" i="1"/>
  <c r="CA455" i="1"/>
  <c r="Z25" i="8"/>
  <c r="Z37" i="8" s="1"/>
  <c r="E29" i="1"/>
  <c r="E30" i="1"/>
  <c r="D30" i="1"/>
  <c r="F30" i="1"/>
  <c r="C444" i="1"/>
  <c r="BD680" i="1"/>
  <c r="K392" i="2"/>
  <c r="BD293" i="1" s="1"/>
  <c r="B517" i="18"/>
  <c r="A517" i="18"/>
  <c r="M392" i="18"/>
  <c r="BG293" i="1" s="1"/>
  <c r="BG680" i="1"/>
  <c r="F392" i="18"/>
  <c r="AA293" i="1" s="1"/>
  <c r="AA680" i="1"/>
  <c r="BY40" i="1"/>
  <c r="BV454" i="1"/>
  <c r="A517" i="2"/>
  <c r="C517" i="2" s="1"/>
  <c r="C639" i="2" s="1"/>
  <c r="B517" i="2"/>
  <c r="H36" i="18"/>
  <c r="I36" i="18"/>
  <c r="Q36" i="18"/>
  <c r="J36" i="18"/>
  <c r="R36" i="18"/>
  <c r="K36" i="18"/>
  <c r="D37" i="18"/>
  <c r="G36" i="18"/>
  <c r="E36" i="18"/>
  <c r="H558" i="1"/>
  <c r="Z26" i="8"/>
  <c r="Z38" i="8" s="1"/>
  <c r="BD146" i="1"/>
  <c r="H527" i="18"/>
  <c r="Q527" i="18"/>
  <c r="R527" i="18"/>
  <c r="J527" i="18"/>
  <c r="E527" i="18"/>
  <c r="D528" i="18"/>
  <c r="L527" i="18"/>
  <c r="W680" i="1"/>
  <c r="J392" i="18"/>
  <c r="W293" i="1" s="1"/>
  <c r="BN41" i="1"/>
  <c r="L681" i="1"/>
  <c r="E393" i="2"/>
  <c r="L294" i="1" s="1"/>
  <c r="AF41" i="1"/>
  <c r="L148" i="2"/>
  <c r="AJ146" i="1" s="1"/>
  <c r="Z23" i="8"/>
  <c r="Z35" i="8" s="1"/>
  <c r="BD681" i="1"/>
  <c r="K393" i="2"/>
  <c r="BD294" i="1" s="1"/>
  <c r="R146" i="1"/>
  <c r="AJ41" i="1"/>
  <c r="L148" i="18"/>
  <c r="AI146" i="1" s="1"/>
  <c r="M148" i="18"/>
  <c r="BG146" i="1" s="1"/>
  <c r="F148" i="18"/>
  <c r="AA146" i="1" s="1"/>
  <c r="O148" i="18"/>
  <c r="BQ146" i="1" s="1"/>
  <c r="P148" i="18"/>
  <c r="AE146" i="1" s="1"/>
  <c r="A147" i="13"/>
  <c r="C147" i="13" s="1"/>
  <c r="Q148" i="18"/>
  <c r="BU146" i="1" s="1"/>
  <c r="K148" i="18"/>
  <c r="BC146" i="1" s="1"/>
  <c r="H148" i="18"/>
  <c r="Q146" i="1" s="1"/>
  <c r="R148" i="18"/>
  <c r="CA146" i="1" s="1"/>
  <c r="G148" i="18"/>
  <c r="AO146" i="1" s="1"/>
  <c r="J148" i="18"/>
  <c r="W146" i="1" s="1"/>
  <c r="E148" i="18"/>
  <c r="K146" i="1" s="1"/>
  <c r="I148" i="18"/>
  <c r="AW146" i="1" s="1"/>
  <c r="R637" i="18"/>
  <c r="CA560" i="1" s="1"/>
  <c r="F637" i="18"/>
  <c r="AA560" i="1" s="1"/>
  <c r="AM145" i="1"/>
  <c r="AJ559" i="1"/>
  <c r="BR680" i="1"/>
  <c r="O392" i="2"/>
  <c r="BR293" i="1" s="1"/>
  <c r="G37" i="1"/>
  <c r="K638" i="18"/>
  <c r="BC561" i="1" s="1"/>
  <c r="M638" i="18"/>
  <c r="BG561" i="1" s="1"/>
  <c r="F638" i="18"/>
  <c r="AA561" i="1" s="1"/>
  <c r="O638" i="18"/>
  <c r="BQ561" i="1" s="1"/>
  <c r="P638" i="18"/>
  <c r="AE561" i="1" s="1"/>
  <c r="I638" i="18"/>
  <c r="AW561" i="1" s="1"/>
  <c r="G638" i="18"/>
  <c r="AO561" i="1" s="1"/>
  <c r="R638" i="18"/>
  <c r="CA561" i="1" s="1"/>
  <c r="H638" i="18"/>
  <c r="Q561" i="1" s="1"/>
  <c r="Q638" i="18"/>
  <c r="BU561" i="1" s="1"/>
  <c r="L638" i="18"/>
  <c r="AI561" i="1" s="1"/>
  <c r="E638" i="18"/>
  <c r="K561" i="1" s="1"/>
  <c r="J638" i="18"/>
  <c r="W561" i="1" s="1"/>
  <c r="L392" i="18"/>
  <c r="AI293" i="1" s="1"/>
  <c r="AI680" i="1"/>
  <c r="O392" i="18"/>
  <c r="BQ293" i="1" s="1"/>
  <c r="BQ680" i="1"/>
  <c r="BA40" i="1"/>
  <c r="AX454" i="1"/>
  <c r="M638" i="2"/>
  <c r="BJ561" i="1" s="1"/>
  <c r="N638" i="2"/>
  <c r="F638" i="2"/>
  <c r="AB561" i="1" s="1"/>
  <c r="O638" i="2"/>
  <c r="BR561" i="1" s="1"/>
  <c r="G638" i="2"/>
  <c r="AP561" i="1" s="1"/>
  <c r="P638" i="2"/>
  <c r="AF561" i="1" s="1"/>
  <c r="J638" i="2"/>
  <c r="X561" i="1" s="1"/>
  <c r="R638" i="2"/>
  <c r="I638" i="2"/>
  <c r="H638" i="2"/>
  <c r="L638" i="2"/>
  <c r="K638" i="2"/>
  <c r="E638" i="2"/>
  <c r="Q638" i="2"/>
  <c r="K38" i="1"/>
  <c r="AA24" i="8"/>
  <c r="AA36" i="8" s="1"/>
  <c r="A29" i="18"/>
  <c r="B29" i="18"/>
  <c r="O40" i="1"/>
  <c r="L454" i="1"/>
  <c r="B29" i="2"/>
  <c r="A29" i="2"/>
  <c r="C29" i="2" s="1"/>
  <c r="J637" i="2"/>
  <c r="X560" i="1" s="1"/>
  <c r="M637" i="2"/>
  <c r="BJ560" i="1" s="1"/>
  <c r="G637" i="2"/>
  <c r="AP560" i="1" s="1"/>
  <c r="P637" i="2"/>
  <c r="AF560" i="1" s="1"/>
  <c r="O637" i="2"/>
  <c r="BR560" i="1" s="1"/>
  <c r="F637" i="2"/>
  <c r="AB560" i="1" s="1"/>
  <c r="N637" i="2"/>
  <c r="Q637" i="2"/>
  <c r="BV560" i="1" s="1"/>
  <c r="K637" i="2"/>
  <c r="BD560" i="1" s="1"/>
  <c r="I637" i="2"/>
  <c r="E637" i="2"/>
  <c r="L560" i="1" s="1"/>
  <c r="R637" i="2"/>
  <c r="H637" i="2"/>
  <c r="L637" i="2"/>
  <c r="AX681" i="1"/>
  <c r="I393" i="2"/>
  <c r="AX294" i="1" s="1"/>
  <c r="M637" i="18"/>
  <c r="BG560" i="1" s="1"/>
  <c r="BY145" i="1"/>
  <c r="BV559" i="1"/>
  <c r="F29" i="1"/>
  <c r="AX680" i="1"/>
  <c r="I392" i="2"/>
  <c r="AX293" i="1" s="1"/>
  <c r="AJ680" i="1"/>
  <c r="L392" i="2"/>
  <c r="AJ293" i="1" s="1"/>
  <c r="G145" i="1"/>
  <c r="BC680" i="1"/>
  <c r="K392" i="18"/>
  <c r="BC293" i="1" s="1"/>
  <c r="K680" i="1"/>
  <c r="E392" i="18"/>
  <c r="K293" i="1" s="1"/>
  <c r="BR146" i="1"/>
  <c r="U40" i="1"/>
  <c r="R454" i="1"/>
  <c r="BC38" i="1"/>
  <c r="AA18" i="8"/>
  <c r="AA30" i="8" s="1"/>
  <c r="O145" i="1"/>
  <c r="L559" i="1"/>
  <c r="BV41" i="1"/>
  <c r="AW680" i="1"/>
  <c r="I392" i="18"/>
  <c r="AW293" i="1" s="1"/>
  <c r="AA20" i="8"/>
  <c r="AA32" i="8" s="1"/>
  <c r="AJ681" i="1"/>
  <c r="L393" i="2"/>
  <c r="AJ294" i="1" s="1"/>
  <c r="J151" i="12"/>
  <c r="R151" i="12"/>
  <c r="H151" i="12"/>
  <c r="P151" i="12"/>
  <c r="M151" i="12"/>
  <c r="O151" i="12"/>
  <c r="N151" i="12"/>
  <c r="E151" i="12"/>
  <c r="F151" i="12"/>
  <c r="Q151" i="12"/>
  <c r="G151" i="12"/>
  <c r="S151" i="12"/>
  <c r="I151" i="12"/>
  <c r="K151" i="12"/>
  <c r="L151" i="12"/>
  <c r="BJ681" i="1"/>
  <c r="M393" i="2"/>
  <c r="BJ294" i="1" s="1"/>
  <c r="BH146" i="1"/>
  <c r="BD41" i="1"/>
  <c r="K455" i="1"/>
  <c r="C682" i="1"/>
  <c r="L272" i="2"/>
  <c r="R272" i="2"/>
  <c r="G272" i="2"/>
  <c r="N272" i="2"/>
  <c r="N394" i="2" s="1"/>
  <c r="BN295" i="1" s="1"/>
  <c r="M272" i="2"/>
  <c r="I272" i="2"/>
  <c r="F272" i="2"/>
  <c r="P272" i="2"/>
  <c r="J272" i="2"/>
  <c r="H272" i="2"/>
  <c r="O272" i="2"/>
  <c r="Q272" i="2"/>
  <c r="E272" i="2"/>
  <c r="K272" i="2"/>
  <c r="Q148" i="2"/>
  <c r="BV146" i="1" s="1"/>
  <c r="M148" i="2"/>
  <c r="BJ146" i="1" s="1"/>
  <c r="BV681" i="1"/>
  <c r="Q393" i="2"/>
  <c r="BV294" i="1" s="1"/>
  <c r="CB681" i="1"/>
  <c r="R393" i="2"/>
  <c r="CB294" i="1" s="1"/>
  <c r="G292" i="1"/>
  <c r="CG292" i="1" s="1"/>
  <c r="CB41" i="1"/>
  <c r="H637" i="18"/>
  <c r="Q560" i="1" s="1"/>
  <c r="Q455" i="1"/>
  <c r="H145" i="1"/>
  <c r="F149" i="2"/>
  <c r="J149" i="2"/>
  <c r="X148" i="1" s="1"/>
  <c r="G149" i="2"/>
  <c r="AP148" i="1" s="1"/>
  <c r="E149" i="2"/>
  <c r="H149" i="2"/>
  <c r="L149" i="2"/>
  <c r="K149" i="2"/>
  <c r="M149" i="2"/>
  <c r="R149" i="2"/>
  <c r="Q149" i="2"/>
  <c r="I149" i="2"/>
  <c r="P149" i="2"/>
  <c r="N149" i="2"/>
  <c r="O149" i="2"/>
  <c r="BJ680" i="1"/>
  <c r="M392" i="2"/>
  <c r="BJ293" i="1" s="1"/>
  <c r="R680" i="1"/>
  <c r="H392" i="2"/>
  <c r="R293" i="1" s="1"/>
  <c r="Q680" i="1"/>
  <c r="H392" i="18"/>
  <c r="Q293" i="1" s="1"/>
  <c r="CA680" i="1"/>
  <c r="R392" i="18"/>
  <c r="CA293" i="1" s="1"/>
  <c r="CE40" i="1"/>
  <c r="CB454" i="1"/>
  <c r="H40" i="1"/>
  <c r="U145" i="1"/>
  <c r="R559" i="1"/>
  <c r="CA38" i="1"/>
  <c r="AA25" i="8"/>
  <c r="AA37" i="8" s="1"/>
  <c r="AA22" i="8"/>
  <c r="AA34" i="8" s="1"/>
  <c r="C28" i="2"/>
  <c r="AA23" i="8" l="1"/>
  <c r="AA35" i="8" s="1"/>
  <c r="AA17" i="8"/>
  <c r="AA29" i="8" s="1"/>
  <c r="BR42" i="1"/>
  <c r="AB3" i="8"/>
  <c r="AB4" i="8"/>
  <c r="AB18" i="8" s="1"/>
  <c r="AB30" i="8" s="1"/>
  <c r="H560" i="1"/>
  <c r="BD561" i="1"/>
  <c r="G146" i="1"/>
  <c r="AI456" i="1"/>
  <c r="CE41" i="1"/>
  <c r="CB455" i="1"/>
  <c r="AX560" i="1"/>
  <c r="BA146" i="1"/>
  <c r="AV146" i="1" s="1"/>
  <c r="H528" i="18"/>
  <c r="Q528" i="18"/>
  <c r="R528" i="18"/>
  <c r="J528" i="18"/>
  <c r="L528" i="18"/>
  <c r="E528" i="18"/>
  <c r="D529" i="18"/>
  <c r="BU39" i="1"/>
  <c r="D444" i="1"/>
  <c r="E444" i="1"/>
  <c r="M149" i="18"/>
  <c r="BG148" i="1" s="1"/>
  <c r="F149" i="18"/>
  <c r="AA148" i="1" s="1"/>
  <c r="O149" i="18"/>
  <c r="BQ148" i="1" s="1"/>
  <c r="P149" i="18"/>
  <c r="AE148" i="1" s="1"/>
  <c r="L149" i="18"/>
  <c r="AI148" i="1" s="1"/>
  <c r="A148" i="13"/>
  <c r="C148" i="13" s="1"/>
  <c r="H149" i="18"/>
  <c r="Q148" i="1" s="1"/>
  <c r="G149" i="18"/>
  <c r="AO148" i="1" s="1"/>
  <c r="K149" i="18"/>
  <c r="BC148" i="1" s="1"/>
  <c r="R149" i="18"/>
  <c r="CA148" i="1" s="1"/>
  <c r="J149" i="18"/>
  <c r="W148" i="1" s="1"/>
  <c r="E149" i="18"/>
  <c r="K148" i="1" s="1"/>
  <c r="I149" i="18"/>
  <c r="AW148" i="1" s="1"/>
  <c r="Q149" i="18"/>
  <c r="BU148" i="1" s="1"/>
  <c r="BY41" i="1"/>
  <c r="BV455" i="1"/>
  <c r="BD42" i="1"/>
  <c r="BN42" i="1"/>
  <c r="AO681" i="1"/>
  <c r="G393" i="18"/>
  <c r="AO294" i="1" s="1"/>
  <c r="K681" i="1"/>
  <c r="E393" i="18"/>
  <c r="K294" i="1" s="1"/>
  <c r="AC7" i="8"/>
  <c r="AC9" i="8"/>
  <c r="AC11" i="8"/>
  <c r="AC2" i="8"/>
  <c r="AD1" i="8"/>
  <c r="AC14" i="8"/>
  <c r="AC13" i="8"/>
  <c r="AC12" i="8"/>
  <c r="AC15" i="8"/>
  <c r="AC6" i="8"/>
  <c r="AC8" i="8"/>
  <c r="AC39" i="8"/>
  <c r="AC10" i="8"/>
  <c r="H293" i="1"/>
  <c r="R682" i="1"/>
  <c r="H394" i="2"/>
  <c r="R295" i="1" s="1"/>
  <c r="CB682" i="1"/>
  <c r="R394" i="2"/>
  <c r="CB295" i="1" s="1"/>
  <c r="U148" i="1"/>
  <c r="R561" i="1"/>
  <c r="K456" i="1"/>
  <c r="AA19" i="8"/>
  <c r="AA31" i="8" s="1"/>
  <c r="AW39" i="1"/>
  <c r="BA41" i="1"/>
  <c r="AX455" i="1"/>
  <c r="A27" i="10"/>
  <c r="C150" i="18"/>
  <c r="C273" i="18"/>
  <c r="C395" i="18"/>
  <c r="A27" i="13"/>
  <c r="C27" i="13" s="1"/>
  <c r="C153" i="12"/>
  <c r="CB42" i="1"/>
  <c r="F393" i="18"/>
  <c r="AA294" i="1" s="1"/>
  <c r="AA681" i="1"/>
  <c r="L393" i="18"/>
  <c r="AI294" i="1" s="1"/>
  <c r="AI681" i="1"/>
  <c r="H146" i="1"/>
  <c r="AA26" i="8"/>
  <c r="AA38" i="8" s="1"/>
  <c r="L682" i="1"/>
  <c r="E394" i="2"/>
  <c r="L295" i="1" s="1"/>
  <c r="BH41" i="1"/>
  <c r="BD455" i="1"/>
  <c r="BV682" i="1"/>
  <c r="Q394" i="2"/>
  <c r="BV295" i="1" s="1"/>
  <c r="BR682" i="1"/>
  <c r="O394" i="2"/>
  <c r="BR295" i="1" s="1"/>
  <c r="AJ682" i="1"/>
  <c r="L394" i="2"/>
  <c r="AJ295" i="1" s="1"/>
  <c r="C151" i="2"/>
  <c r="C274" i="2"/>
  <c r="C396" i="2"/>
  <c r="C32" i="1"/>
  <c r="C150" i="1"/>
  <c r="C575" i="1" s="1"/>
  <c r="C297" i="1"/>
  <c r="D297" i="1" s="1"/>
  <c r="G38" i="1"/>
  <c r="BA148" i="1"/>
  <c r="AX561" i="1"/>
  <c r="W456" i="1"/>
  <c r="K39" i="1"/>
  <c r="Q39" i="1"/>
  <c r="G560" i="1"/>
  <c r="K528" i="2"/>
  <c r="L528" i="2"/>
  <c r="E528" i="2"/>
  <c r="H528" i="2"/>
  <c r="I528" i="2"/>
  <c r="D529" i="2"/>
  <c r="Q528" i="2"/>
  <c r="R528" i="2"/>
  <c r="BV42" i="1"/>
  <c r="CA681" i="1"/>
  <c r="R393" i="18"/>
  <c r="CA294" i="1" s="1"/>
  <c r="W681" i="1"/>
  <c r="J393" i="18"/>
  <c r="W294" i="1" s="1"/>
  <c r="BJ682" i="1"/>
  <c r="M394" i="2"/>
  <c r="BJ295" i="1" s="1"/>
  <c r="CB560" i="1"/>
  <c r="CE146" i="1"/>
  <c r="BJ42" i="1"/>
  <c r="W39" i="1"/>
  <c r="E272" i="18"/>
  <c r="M272" i="18"/>
  <c r="O272" i="18"/>
  <c r="F272" i="18"/>
  <c r="P272" i="18"/>
  <c r="G272" i="18"/>
  <c r="Q272" i="18"/>
  <c r="I272" i="18"/>
  <c r="L272" i="18"/>
  <c r="R272" i="18"/>
  <c r="J272" i="18"/>
  <c r="H272" i="18"/>
  <c r="K272" i="18"/>
  <c r="L40" i="2"/>
  <c r="E40" i="2"/>
  <c r="M40" i="2"/>
  <c r="N40" i="2"/>
  <c r="D41" i="2"/>
  <c r="O40" i="2"/>
  <c r="H40" i="2"/>
  <c r="P40" i="2"/>
  <c r="I40" i="2"/>
  <c r="Q40" i="2"/>
  <c r="K40" i="2"/>
  <c r="R40" i="2"/>
  <c r="AJ561" i="1"/>
  <c r="J394" i="2"/>
  <c r="X295" i="1" s="1"/>
  <c r="X682" i="1"/>
  <c r="AF682" i="1"/>
  <c r="P394" i="2"/>
  <c r="AF295" i="1" s="1"/>
  <c r="H559" i="1"/>
  <c r="A30" i="2"/>
  <c r="B30" i="2"/>
  <c r="CB561" i="1"/>
  <c r="G561" i="1"/>
  <c r="CA456" i="1"/>
  <c r="AO39" i="1"/>
  <c r="A518" i="2"/>
  <c r="C518" i="2" s="1"/>
  <c r="C640" i="2" s="1"/>
  <c r="B518" i="2"/>
  <c r="H41" i="1"/>
  <c r="O41" i="1"/>
  <c r="L455" i="1"/>
  <c r="AX42" i="1"/>
  <c r="BU681" i="1"/>
  <c r="Q393" i="18"/>
  <c r="BU294" i="1" s="1"/>
  <c r="AW681" i="1"/>
  <c r="I393" i="18"/>
  <c r="AW294" i="1" s="1"/>
  <c r="Q681" i="1"/>
  <c r="H393" i="18"/>
  <c r="Q294" i="1" s="1"/>
  <c r="H294" i="1"/>
  <c r="O393" i="18"/>
  <c r="BQ294" i="1" s="1"/>
  <c r="BQ681" i="1"/>
  <c r="G394" i="2"/>
  <c r="AP295" i="1" s="1"/>
  <c r="AP682" i="1"/>
  <c r="C29" i="18"/>
  <c r="F394" i="2"/>
  <c r="AB295" i="1" s="1"/>
  <c r="AB682" i="1"/>
  <c r="G455" i="1"/>
  <c r="AJ560" i="1"/>
  <c r="AM146" i="1"/>
  <c r="H454" i="1"/>
  <c r="BU456" i="1"/>
  <c r="D38" i="18"/>
  <c r="G37" i="18"/>
  <c r="H37" i="18"/>
  <c r="I37" i="18"/>
  <c r="Q37" i="18"/>
  <c r="J37" i="18"/>
  <c r="R37" i="18"/>
  <c r="E37" i="18"/>
  <c r="K37" i="18"/>
  <c r="M639" i="2"/>
  <c r="BJ562" i="1" s="1"/>
  <c r="G639" i="2"/>
  <c r="AP562" i="1" s="1"/>
  <c r="P639" i="2"/>
  <c r="AF562" i="1" s="1"/>
  <c r="J639" i="2"/>
  <c r="X562" i="1" s="1"/>
  <c r="N639" i="2"/>
  <c r="O639" i="2"/>
  <c r="BR562" i="1" s="1"/>
  <c r="F639" i="2"/>
  <c r="AB562" i="1" s="1"/>
  <c r="R639" i="2"/>
  <c r="I639" i="2"/>
  <c r="E639" i="2"/>
  <c r="Q639" i="2"/>
  <c r="K639" i="2"/>
  <c r="BD562" i="1" s="1"/>
  <c r="H639" i="2"/>
  <c r="L639" i="2"/>
  <c r="AM148" i="1" s="1"/>
  <c r="C517" i="18"/>
  <c r="C639" i="18" s="1"/>
  <c r="J152" i="12"/>
  <c r="R152" i="12"/>
  <c r="H152" i="12"/>
  <c r="P152" i="12"/>
  <c r="G152" i="12"/>
  <c r="S152" i="12"/>
  <c r="I152" i="12"/>
  <c r="L152" i="12"/>
  <c r="M152" i="12"/>
  <c r="K152" i="12"/>
  <c r="N152" i="12"/>
  <c r="E152" i="12"/>
  <c r="O152" i="12"/>
  <c r="F152" i="12"/>
  <c r="Q152" i="12"/>
  <c r="U41" i="1"/>
  <c r="R455" i="1"/>
  <c r="AF42" i="1"/>
  <c r="AT146" i="1"/>
  <c r="P393" i="18"/>
  <c r="AE294" i="1" s="1"/>
  <c r="AE681" i="1"/>
  <c r="BC681" i="1"/>
  <c r="K393" i="18"/>
  <c r="BC294" i="1" s="1"/>
  <c r="BY146" i="1"/>
  <c r="O148" i="1"/>
  <c r="L561" i="1"/>
  <c r="H561" i="1" s="1"/>
  <c r="CA39" i="1"/>
  <c r="B30" i="18"/>
  <c r="A30" i="18"/>
  <c r="L42" i="1"/>
  <c r="H42" i="1" s="1"/>
  <c r="C150" i="2"/>
  <c r="C395" i="2"/>
  <c r="C273" i="2"/>
  <c r="C31" i="1"/>
  <c r="C149" i="1"/>
  <c r="C574" i="1" s="1"/>
  <c r="C296" i="1"/>
  <c r="D296" i="1" s="1"/>
  <c r="BD682" i="1"/>
  <c r="K394" i="2"/>
  <c r="BD295" i="1" s="1"/>
  <c r="AX682" i="1"/>
  <c r="I394" i="2"/>
  <c r="AX295" i="1" s="1"/>
  <c r="G293" i="1"/>
  <c r="CG293" i="1" s="1"/>
  <c r="R560" i="1"/>
  <c r="U146" i="1"/>
  <c r="I40" i="1"/>
  <c r="BY148" i="1"/>
  <c r="BV561" i="1"/>
  <c r="Q456" i="1"/>
  <c r="BC39" i="1"/>
  <c r="A518" i="18"/>
  <c r="B518" i="18"/>
  <c r="AM41" i="1"/>
  <c r="AJ456" i="1"/>
  <c r="AJ42" i="1"/>
  <c r="R42" i="1"/>
  <c r="M393" i="18"/>
  <c r="BG294" i="1" s="1"/>
  <c r="BG681" i="1"/>
  <c r="O146" i="1"/>
  <c r="I146" i="1" s="1"/>
  <c r="AB20" i="8" l="1"/>
  <c r="AB32" i="8" s="1"/>
  <c r="AB25" i="8"/>
  <c r="AB37" i="8" s="1"/>
  <c r="AB24" i="8"/>
  <c r="AB36" i="8" s="1"/>
  <c r="AB22" i="8"/>
  <c r="AB34" i="8" s="1"/>
  <c r="AB23" i="8"/>
  <c r="AB35" i="8" s="1"/>
  <c r="AB19" i="8"/>
  <c r="AB31" i="8" s="1"/>
  <c r="AB21" i="8"/>
  <c r="AB33" i="8" s="1"/>
  <c r="AB26" i="8"/>
  <c r="AB38" i="8" s="1"/>
  <c r="BC682" i="1"/>
  <c r="K394" i="18"/>
  <c r="BC295" i="1" s="1"/>
  <c r="H151" i="2"/>
  <c r="R151" i="2"/>
  <c r="R43" i="1"/>
  <c r="Q682" i="1"/>
  <c r="H394" i="18"/>
  <c r="Q295" i="1" s="1"/>
  <c r="F394" i="18"/>
  <c r="AA295" i="1" s="1"/>
  <c r="AA682" i="1"/>
  <c r="I529" i="2"/>
  <c r="Q529" i="2"/>
  <c r="R529" i="2"/>
  <c r="K529" i="2"/>
  <c r="E529" i="2"/>
  <c r="D530" i="2"/>
  <c r="H529" i="2"/>
  <c r="L529" i="2"/>
  <c r="AV148" i="1"/>
  <c r="AC4" i="8"/>
  <c r="AC19" i="8" s="1"/>
  <c r="AC31" i="8" s="1"/>
  <c r="AC3" i="8"/>
  <c r="CA457" i="1"/>
  <c r="U149" i="1"/>
  <c r="R562" i="1"/>
  <c r="W40" i="1"/>
  <c r="H455" i="1"/>
  <c r="BR43" i="1"/>
  <c r="W682" i="1"/>
  <c r="J394" i="18"/>
  <c r="W295" i="1" s="1"/>
  <c r="O394" i="18"/>
  <c r="BQ295" i="1" s="1"/>
  <c r="BQ682" i="1"/>
  <c r="BA42" i="1"/>
  <c r="AX456" i="1"/>
  <c r="BU457" i="1"/>
  <c r="AB17" i="8"/>
  <c r="AB29" i="8" s="1"/>
  <c r="C30" i="18"/>
  <c r="BU40" i="1"/>
  <c r="I41" i="1"/>
  <c r="R41" i="2"/>
  <c r="K41" i="2"/>
  <c r="L41" i="2"/>
  <c r="E41" i="2"/>
  <c r="M41" i="2"/>
  <c r="N41" i="2"/>
  <c r="D42" i="2"/>
  <c r="O41" i="2"/>
  <c r="I41" i="2"/>
  <c r="Q41" i="2"/>
  <c r="H41" i="2"/>
  <c r="P41" i="2"/>
  <c r="CA682" i="1"/>
  <c r="R394" i="18"/>
  <c r="CA295" i="1" s="1"/>
  <c r="M394" i="18"/>
  <c r="BG295" i="1" s="1"/>
  <c r="BG682" i="1"/>
  <c r="U42" i="1"/>
  <c r="R456" i="1"/>
  <c r="G39" i="1"/>
  <c r="G273" i="18"/>
  <c r="P273" i="18"/>
  <c r="I273" i="18"/>
  <c r="J273" i="18"/>
  <c r="K273" i="18"/>
  <c r="M273" i="18"/>
  <c r="R273" i="18"/>
  <c r="E273" i="18"/>
  <c r="F273" i="18"/>
  <c r="H273" i="18"/>
  <c r="O273" i="18"/>
  <c r="Q273" i="18"/>
  <c r="L273" i="18"/>
  <c r="AC17" i="8"/>
  <c r="AC29" i="8" s="1"/>
  <c r="Q457" i="1"/>
  <c r="AF43" i="1"/>
  <c r="A28" i="10"/>
  <c r="L151" i="2" s="1"/>
  <c r="C151" i="18"/>
  <c r="C274" i="18"/>
  <c r="C396" i="18"/>
  <c r="A28" i="13"/>
  <c r="C28" i="13" s="1"/>
  <c r="C154" i="12"/>
  <c r="D31" i="1"/>
  <c r="E31" i="1"/>
  <c r="F31" i="1"/>
  <c r="C445" i="1"/>
  <c r="BY149" i="1"/>
  <c r="BV562" i="1"/>
  <c r="K40" i="1"/>
  <c r="BY42" i="1"/>
  <c r="BV456" i="1"/>
  <c r="AE1" i="8"/>
  <c r="AD7" i="8"/>
  <c r="AD9" i="8"/>
  <c r="AD11" i="8"/>
  <c r="AD2" i="8"/>
  <c r="AD6" i="8"/>
  <c r="AD8" i="8"/>
  <c r="AD10" i="8"/>
  <c r="AD13" i="8"/>
  <c r="AD15" i="8"/>
  <c r="AD12" i="8"/>
  <c r="AD14" i="8"/>
  <c r="AD39" i="8"/>
  <c r="C518" i="18"/>
  <c r="C640" i="18" s="1"/>
  <c r="I148" i="1"/>
  <c r="CA40" i="1"/>
  <c r="CB43" i="1"/>
  <c r="L394" i="18"/>
  <c r="AI295" i="1" s="1"/>
  <c r="AI682" i="1"/>
  <c r="O42" i="1"/>
  <c r="L456" i="1"/>
  <c r="AC26" i="8"/>
  <c r="AC38" i="8" s="1"/>
  <c r="G148" i="1"/>
  <c r="C683" i="1"/>
  <c r="H273" i="2"/>
  <c r="K273" i="2"/>
  <c r="N273" i="2"/>
  <c r="N395" i="2" s="1"/>
  <c r="BN296" i="1" s="1"/>
  <c r="I273" i="2"/>
  <c r="R273" i="2"/>
  <c r="M273" i="2"/>
  <c r="L273" i="2"/>
  <c r="P273" i="2"/>
  <c r="J273" i="2"/>
  <c r="Q273" i="2"/>
  <c r="G273" i="2"/>
  <c r="F273" i="2"/>
  <c r="E273" i="2"/>
  <c r="O273" i="2"/>
  <c r="O149" i="1"/>
  <c r="L562" i="1"/>
  <c r="Q40" i="1"/>
  <c r="BD43" i="1"/>
  <c r="BJ43" i="1"/>
  <c r="AW682" i="1"/>
  <c r="I394" i="18"/>
  <c r="AW295" i="1" s="1"/>
  <c r="AM42" i="1"/>
  <c r="AJ457" i="1"/>
  <c r="D32" i="1"/>
  <c r="C446" i="1"/>
  <c r="G456" i="1"/>
  <c r="AC23" i="8"/>
  <c r="AC35" i="8" s="1"/>
  <c r="G294" i="1"/>
  <c r="CG294" i="1" s="1"/>
  <c r="H529" i="18"/>
  <c r="Q529" i="18"/>
  <c r="R529" i="18"/>
  <c r="L529" i="18"/>
  <c r="E529" i="18"/>
  <c r="J529" i="18"/>
  <c r="D530" i="18"/>
  <c r="M639" i="18"/>
  <c r="BG562" i="1" s="1"/>
  <c r="F639" i="18"/>
  <c r="AA562" i="1" s="1"/>
  <c r="O639" i="18"/>
  <c r="BQ562" i="1" s="1"/>
  <c r="G639" i="18"/>
  <c r="AO562" i="1" s="1"/>
  <c r="P639" i="18"/>
  <c r="AE562" i="1" s="1"/>
  <c r="K639" i="18"/>
  <c r="BC562" i="1" s="1"/>
  <c r="I639" i="18"/>
  <c r="AW562" i="1" s="1"/>
  <c r="R639" i="18"/>
  <c r="CA562" i="1" s="1"/>
  <c r="H639" i="18"/>
  <c r="Q562" i="1" s="1"/>
  <c r="E639" i="18"/>
  <c r="K562" i="1" s="1"/>
  <c r="Q639" i="18"/>
  <c r="BU562" i="1" s="1"/>
  <c r="J639" i="18"/>
  <c r="W562" i="1" s="1"/>
  <c r="L639" i="18"/>
  <c r="AI562" i="1" s="1"/>
  <c r="A31" i="2"/>
  <c r="B31" i="2"/>
  <c r="P394" i="18"/>
  <c r="AE295" i="1" s="1"/>
  <c r="AE682" i="1"/>
  <c r="J153" i="12"/>
  <c r="R153" i="12"/>
  <c r="H153" i="12"/>
  <c r="P153" i="12"/>
  <c r="M153" i="12"/>
  <c r="O153" i="12"/>
  <c r="N153" i="12"/>
  <c r="E153" i="12"/>
  <c r="F153" i="12"/>
  <c r="Q153" i="12"/>
  <c r="G153" i="12"/>
  <c r="S153" i="12"/>
  <c r="I153" i="12"/>
  <c r="K153" i="12"/>
  <c r="L153" i="12"/>
  <c r="W457" i="1"/>
  <c r="AM149" i="1"/>
  <c r="AJ562" i="1"/>
  <c r="C30" i="2"/>
  <c r="B31" i="18"/>
  <c r="A31" i="18"/>
  <c r="C31" i="18" s="1"/>
  <c r="AW40" i="1"/>
  <c r="BN43" i="1"/>
  <c r="K682" i="1"/>
  <c r="E394" i="18"/>
  <c r="K295" i="1" s="1"/>
  <c r="G295" i="1" s="1"/>
  <c r="CG295" i="1" s="1"/>
  <c r="H295" i="1"/>
  <c r="P150" i="18"/>
  <c r="AE149" i="1" s="1"/>
  <c r="M150" i="18"/>
  <c r="BG149" i="1" s="1"/>
  <c r="O150" i="18"/>
  <c r="BQ149" i="1" s="1"/>
  <c r="L150" i="18"/>
  <c r="AI149" i="1" s="1"/>
  <c r="F150" i="18"/>
  <c r="AA149" i="1" s="1"/>
  <c r="A149" i="13"/>
  <c r="C149" i="13" s="1"/>
  <c r="J150" i="18"/>
  <c r="W149" i="1" s="1"/>
  <c r="G150" i="18"/>
  <c r="AO149" i="1" s="1"/>
  <c r="K150" i="18"/>
  <c r="BC149" i="1" s="1"/>
  <c r="Q150" i="18"/>
  <c r="BU149" i="1" s="1"/>
  <c r="I150" i="18"/>
  <c r="AW149" i="1" s="1"/>
  <c r="H150" i="18"/>
  <c r="Q149" i="1" s="1"/>
  <c r="R150" i="18"/>
  <c r="CA149" i="1" s="1"/>
  <c r="E150" i="18"/>
  <c r="K149" i="1" s="1"/>
  <c r="AC18" i="8"/>
  <c r="AC30" i="8" s="1"/>
  <c r="BA149" i="1"/>
  <c r="AX562" i="1"/>
  <c r="AO40" i="1"/>
  <c r="A519" i="2"/>
  <c r="B519" i="2"/>
  <c r="BV43" i="1"/>
  <c r="L43" i="1"/>
  <c r="BU682" i="1"/>
  <c r="Q394" i="18"/>
  <c r="BU295" i="1" s="1"/>
  <c r="BH42" i="1"/>
  <c r="BD456" i="1"/>
  <c r="AC24" i="8"/>
  <c r="AC36" i="8" s="1"/>
  <c r="K457" i="1"/>
  <c r="A519" i="18"/>
  <c r="B519" i="18"/>
  <c r="AC21" i="8"/>
  <c r="AC33" i="8" s="1"/>
  <c r="F150" i="2"/>
  <c r="J150" i="2"/>
  <c r="X149" i="1" s="1"/>
  <c r="G150" i="2"/>
  <c r="AP149" i="1" s="1"/>
  <c r="O150" i="2"/>
  <c r="Q150" i="2"/>
  <c r="N150" i="2"/>
  <c r="R150" i="2"/>
  <c r="E150" i="2"/>
  <c r="I150" i="2"/>
  <c r="P150" i="2"/>
  <c r="M150" i="2"/>
  <c r="L150" i="2"/>
  <c r="K150" i="2"/>
  <c r="H150" i="2"/>
  <c r="CE149" i="1"/>
  <c r="CB562" i="1"/>
  <c r="BC40" i="1"/>
  <c r="E38" i="18"/>
  <c r="D39" i="18"/>
  <c r="G38" i="18"/>
  <c r="H38" i="18"/>
  <c r="J38" i="18"/>
  <c r="R38" i="18"/>
  <c r="Q38" i="18"/>
  <c r="I38" i="18"/>
  <c r="K38" i="18"/>
  <c r="M640" i="2"/>
  <c r="BJ563" i="1" s="1"/>
  <c r="O640" i="2"/>
  <c r="BR563" i="1" s="1"/>
  <c r="I640" i="2"/>
  <c r="H640" i="2"/>
  <c r="CE148" i="1"/>
  <c r="AX43" i="1"/>
  <c r="AJ43" i="1"/>
  <c r="AO682" i="1"/>
  <c r="G394" i="18"/>
  <c r="AO295" i="1" s="1"/>
  <c r="CE42" i="1"/>
  <c r="CB456" i="1"/>
  <c r="C684" i="1"/>
  <c r="R274" i="2"/>
  <c r="G274" i="2"/>
  <c r="N274" i="2"/>
  <c r="N396" i="2" s="1"/>
  <c r="BN297" i="1" s="1"/>
  <c r="M274" i="2"/>
  <c r="I274" i="2"/>
  <c r="E274" i="2"/>
  <c r="P274" i="2"/>
  <c r="J274" i="2"/>
  <c r="L274" i="2"/>
  <c r="H274" i="2"/>
  <c r="O274" i="2"/>
  <c r="K274" i="2"/>
  <c r="Q274" i="2"/>
  <c r="F274" i="2"/>
  <c r="AC25" i="8"/>
  <c r="AC37" i="8" s="1"/>
  <c r="AI457" i="1"/>
  <c r="BH148" i="1"/>
  <c r="AC20" i="8" l="1"/>
  <c r="AC32" i="8" s="1"/>
  <c r="AC22" i="8"/>
  <c r="AC34" i="8" s="1"/>
  <c r="L149" i="1"/>
  <c r="L148" i="1"/>
  <c r="G395" i="2"/>
  <c r="AP296" i="1" s="1"/>
  <c r="AP683" i="1"/>
  <c r="M395" i="18"/>
  <c r="BG296" i="1" s="1"/>
  <c r="BG683" i="1"/>
  <c r="G149" i="1"/>
  <c r="C31" i="2"/>
  <c r="BC683" i="1"/>
  <c r="K395" i="18"/>
  <c r="BC296" i="1" s="1"/>
  <c r="BN149" i="1"/>
  <c r="BN148" i="1"/>
  <c r="C519" i="2"/>
  <c r="C641" i="2" s="1"/>
  <c r="C152" i="2"/>
  <c r="C275" i="2"/>
  <c r="C397" i="2"/>
  <c r="C33" i="1"/>
  <c r="C151" i="1"/>
  <c r="C576" i="1" s="1"/>
  <c r="C298" i="1"/>
  <c r="D298" i="1" s="1"/>
  <c r="AI458" i="1"/>
  <c r="F32" i="1"/>
  <c r="J395" i="2"/>
  <c r="X296" i="1" s="1"/>
  <c r="X683" i="1"/>
  <c r="R683" i="1"/>
  <c r="H395" i="2"/>
  <c r="R296" i="1" s="1"/>
  <c r="G640" i="18"/>
  <c r="AO563" i="1" s="1"/>
  <c r="P640" i="18"/>
  <c r="AE563" i="1" s="1"/>
  <c r="I640" i="18"/>
  <c r="AW563" i="1" s="1"/>
  <c r="K640" i="18"/>
  <c r="BC563" i="1" s="1"/>
  <c r="F640" i="18"/>
  <c r="AA563" i="1" s="1"/>
  <c r="O640" i="18"/>
  <c r="BQ563" i="1" s="1"/>
  <c r="M640" i="18"/>
  <c r="BG563" i="1" s="1"/>
  <c r="J640" i="18"/>
  <c r="W563" i="1" s="1"/>
  <c r="L640" i="18"/>
  <c r="AI563" i="1" s="1"/>
  <c r="R640" i="18"/>
  <c r="CA563" i="1" s="1"/>
  <c r="Q640" i="18"/>
  <c r="BU563" i="1" s="1"/>
  <c r="E640" i="18"/>
  <c r="K563" i="1" s="1"/>
  <c r="H640" i="18"/>
  <c r="Q563" i="1" s="1"/>
  <c r="BU683" i="1"/>
  <c r="Q395" i="18"/>
  <c r="BU296" i="1" s="1"/>
  <c r="W683" i="1"/>
  <c r="J395" i="18"/>
  <c r="W296" i="1" s="1"/>
  <c r="BR44" i="1"/>
  <c r="U43" i="1"/>
  <c r="R457" i="1"/>
  <c r="O151" i="2"/>
  <c r="E151" i="2"/>
  <c r="CB684" i="1"/>
  <c r="R396" i="2"/>
  <c r="CB297" i="1" s="1"/>
  <c r="A32" i="2"/>
  <c r="C32" i="2" s="1"/>
  <c r="B32" i="2"/>
  <c r="L151" i="18"/>
  <c r="AI150" i="1" s="1"/>
  <c r="M151" i="18"/>
  <c r="BG150" i="1" s="1"/>
  <c r="F151" i="18"/>
  <c r="AA150" i="1" s="1"/>
  <c r="O151" i="18"/>
  <c r="BQ150" i="1" s="1"/>
  <c r="P151" i="18"/>
  <c r="AE150" i="1" s="1"/>
  <c r="A150" i="13"/>
  <c r="C150" i="13" s="1"/>
  <c r="K151" i="18"/>
  <c r="BC150" i="1" s="1"/>
  <c r="Q151" i="18"/>
  <c r="BU150" i="1" s="1"/>
  <c r="I151" i="18"/>
  <c r="AW150" i="1" s="1"/>
  <c r="J151" i="18"/>
  <c r="W150" i="1" s="1"/>
  <c r="G151" i="18"/>
  <c r="AO150" i="1" s="1"/>
  <c r="E151" i="18"/>
  <c r="K150" i="1" s="1"/>
  <c r="H151" i="18"/>
  <c r="Q150" i="1" s="1"/>
  <c r="R151" i="18"/>
  <c r="CA150" i="1" s="1"/>
  <c r="AX563" i="1"/>
  <c r="A520" i="2"/>
  <c r="C520" i="2" s="1"/>
  <c r="C642" i="2" s="1"/>
  <c r="B520" i="2"/>
  <c r="L395" i="18"/>
  <c r="AI296" i="1" s="1"/>
  <c r="AI683" i="1"/>
  <c r="K151" i="2"/>
  <c r="C519" i="18"/>
  <c r="C641" i="18" s="1"/>
  <c r="E640" i="2"/>
  <c r="F640" i="2"/>
  <c r="AB563" i="1" s="1"/>
  <c r="J39" i="18"/>
  <c r="R39" i="18"/>
  <c r="K39" i="18"/>
  <c r="E39" i="18"/>
  <c r="D40" i="18"/>
  <c r="H39" i="18"/>
  <c r="Q39" i="18"/>
  <c r="G39" i="18"/>
  <c r="I39" i="18"/>
  <c r="BD149" i="1"/>
  <c r="BD148" i="1"/>
  <c r="BV149" i="1"/>
  <c r="BV148" i="1"/>
  <c r="G457" i="1"/>
  <c r="H43" i="1"/>
  <c r="CA458" i="1"/>
  <c r="E32" i="1"/>
  <c r="H562" i="1"/>
  <c r="AF683" i="1"/>
  <c r="P395" i="2"/>
  <c r="AF296" i="1" s="1"/>
  <c r="AD4" i="8"/>
  <c r="AD17" i="8" s="1"/>
  <c r="AD29" i="8" s="1"/>
  <c r="AD3" i="8"/>
  <c r="G40" i="1"/>
  <c r="O395" i="18"/>
  <c r="BQ296" i="1" s="1"/>
  <c r="BQ683" i="1"/>
  <c r="AW683" i="1"/>
  <c r="I395" i="18"/>
  <c r="AW296" i="1" s="1"/>
  <c r="H42" i="2"/>
  <c r="P42" i="2"/>
  <c r="I42" i="2"/>
  <c r="Q42" i="2"/>
  <c r="R42" i="2"/>
  <c r="K42" i="2"/>
  <c r="L42" i="2"/>
  <c r="E42" i="2"/>
  <c r="M42" i="2"/>
  <c r="O42" i="2"/>
  <c r="N42" i="2"/>
  <c r="D43" i="2"/>
  <c r="H530" i="2"/>
  <c r="I530" i="2"/>
  <c r="Q530" i="2"/>
  <c r="K530" i="2"/>
  <c r="L530" i="2"/>
  <c r="E530" i="2"/>
  <c r="R530" i="2"/>
  <c r="D531" i="2"/>
  <c r="I151" i="2"/>
  <c r="J151" i="2"/>
  <c r="X150" i="1" s="1"/>
  <c r="R563" i="1"/>
  <c r="BD44" i="1"/>
  <c r="A520" i="18"/>
  <c r="C520" i="18" s="1"/>
  <c r="C642" i="18" s="1"/>
  <c r="B520" i="18"/>
  <c r="BD683" i="1"/>
  <c r="K395" i="2"/>
  <c r="BD296" i="1" s="1"/>
  <c r="AM43" i="1"/>
  <c r="AJ458" i="1"/>
  <c r="L640" i="2"/>
  <c r="BV684" i="1"/>
  <c r="Q396" i="2"/>
  <c r="BV297" i="1" s="1"/>
  <c r="BC41" i="1"/>
  <c r="K41" i="1"/>
  <c r="AJ149" i="1"/>
  <c r="AJ148" i="1"/>
  <c r="BR149" i="1"/>
  <c r="BR148" i="1"/>
  <c r="BU458" i="1"/>
  <c r="AJ683" i="1"/>
  <c r="L395" i="2"/>
  <c r="AJ296" i="1" s="1"/>
  <c r="J154" i="12"/>
  <c r="R154" i="12"/>
  <c r="H154" i="12"/>
  <c r="P154" i="12"/>
  <c r="G154" i="12"/>
  <c r="S154" i="12"/>
  <c r="I154" i="12"/>
  <c r="K154" i="12"/>
  <c r="L154" i="12"/>
  <c r="M154" i="12"/>
  <c r="N154" i="12"/>
  <c r="E154" i="12"/>
  <c r="O154" i="12"/>
  <c r="F154" i="12"/>
  <c r="Q154" i="12"/>
  <c r="Q683" i="1"/>
  <c r="H395" i="18"/>
  <c r="Q296" i="1" s="1"/>
  <c r="P395" i="18"/>
  <c r="AE296" i="1" s="1"/>
  <c r="AE683" i="1"/>
  <c r="BN44" i="1"/>
  <c r="O43" i="1"/>
  <c r="L457" i="1"/>
  <c r="P151" i="2"/>
  <c r="G151" i="2"/>
  <c r="AP150" i="1" s="1"/>
  <c r="A30" i="10"/>
  <c r="C276" i="18"/>
  <c r="C153" i="18"/>
  <c r="C398" i="18"/>
  <c r="A30" i="13"/>
  <c r="C30" i="13" s="1"/>
  <c r="C156" i="12"/>
  <c r="D445" i="1"/>
  <c r="E445" i="1"/>
  <c r="BA43" i="1"/>
  <c r="AX457" i="1"/>
  <c r="Q41" i="1"/>
  <c r="BV683" i="1"/>
  <c r="Q395" i="2"/>
  <c r="BV296" i="1" s="1"/>
  <c r="CB44" i="1"/>
  <c r="J640" i="2"/>
  <c r="X563" i="1" s="1"/>
  <c r="L684" i="1"/>
  <c r="E396" i="2"/>
  <c r="L297" i="1" s="1"/>
  <c r="BD684" i="1"/>
  <c r="K396" i="2"/>
  <c r="BD297" i="1" s="1"/>
  <c r="N640" i="2"/>
  <c r="BJ149" i="1"/>
  <c r="BJ148" i="1"/>
  <c r="G562" i="1"/>
  <c r="Q458" i="1"/>
  <c r="BR683" i="1"/>
  <c r="O395" i="2"/>
  <c r="BR296" i="1" s="1"/>
  <c r="BJ683" i="1"/>
  <c r="M395" i="2"/>
  <c r="BJ296" i="1" s="1"/>
  <c r="F395" i="18"/>
  <c r="AA296" i="1" s="1"/>
  <c r="AA683" i="1"/>
  <c r="AO683" i="1"/>
  <c r="G395" i="18"/>
  <c r="AO296" i="1" s="1"/>
  <c r="BJ44" i="1"/>
  <c r="BH43" i="1"/>
  <c r="BD457" i="1"/>
  <c r="Q151" i="2"/>
  <c r="F151" i="2"/>
  <c r="BV44" i="1"/>
  <c r="AX44" i="1"/>
  <c r="AO41" i="1"/>
  <c r="K640" i="2"/>
  <c r="BR684" i="1"/>
  <c r="O396" i="2"/>
  <c r="BR297" i="1" s="1"/>
  <c r="G640" i="2"/>
  <c r="AP563" i="1" s="1"/>
  <c r="AF149" i="1"/>
  <c r="AF148" i="1"/>
  <c r="L683" i="1"/>
  <c r="E395" i="2"/>
  <c r="L296" i="1" s="1"/>
  <c r="H296" i="1" s="1"/>
  <c r="CB683" i="1"/>
  <c r="R395" i="2"/>
  <c r="CB296" i="1" s="1"/>
  <c r="H456" i="1"/>
  <c r="K683" i="1"/>
  <c r="E395" i="18"/>
  <c r="K296" i="1" s="1"/>
  <c r="G296" i="1" s="1"/>
  <c r="AF44" i="1"/>
  <c r="L44" i="1"/>
  <c r="A29" i="10"/>
  <c r="C152" i="18"/>
  <c r="C275" i="18"/>
  <c r="C397" i="18"/>
  <c r="A29" i="13"/>
  <c r="C29" i="13" s="1"/>
  <c r="C155" i="12"/>
  <c r="CE43" i="1"/>
  <c r="CB457" i="1"/>
  <c r="N151" i="2"/>
  <c r="AJ684" i="1"/>
  <c r="L396" i="2"/>
  <c r="AJ297" i="1" s="1"/>
  <c r="W41" i="1"/>
  <c r="W458" i="1"/>
  <c r="J396" i="2"/>
  <c r="X297" i="1" s="1"/>
  <c r="X684" i="1"/>
  <c r="CB149" i="1"/>
  <c r="CB148" i="1"/>
  <c r="A32" i="18"/>
  <c r="B32" i="18"/>
  <c r="K458" i="1"/>
  <c r="G458" i="1" s="1"/>
  <c r="D446" i="1"/>
  <c r="E446" i="1"/>
  <c r="M151" i="2"/>
  <c r="AF684" i="1"/>
  <c r="P396" i="2"/>
  <c r="AF297" i="1" s="1"/>
  <c r="R149" i="1"/>
  <c r="R148" i="1"/>
  <c r="F396" i="2"/>
  <c r="AB297" i="1" s="1"/>
  <c r="AB684" i="1"/>
  <c r="AX684" i="1"/>
  <c r="I396" i="2"/>
  <c r="AX297" i="1" s="1"/>
  <c r="BJ684" i="1"/>
  <c r="M396" i="2"/>
  <c r="BJ297" i="1" s="1"/>
  <c r="AW41" i="1"/>
  <c r="R640" i="2"/>
  <c r="BU41" i="1"/>
  <c r="R684" i="1"/>
  <c r="H396" i="2"/>
  <c r="R297" i="1" s="1"/>
  <c r="G396" i="2"/>
  <c r="AP297" i="1" s="1"/>
  <c r="AP684" i="1"/>
  <c r="Q640" i="2"/>
  <c r="P640" i="2"/>
  <c r="AF563" i="1" s="1"/>
  <c r="CA41" i="1"/>
  <c r="AX149" i="1"/>
  <c r="AX148" i="1"/>
  <c r="AT148" i="1" s="1"/>
  <c r="AB149" i="1"/>
  <c r="AB148" i="1"/>
  <c r="E530" i="18"/>
  <c r="D531" i="18"/>
  <c r="H530" i="18"/>
  <c r="Q530" i="18"/>
  <c r="J530" i="18"/>
  <c r="L530" i="18"/>
  <c r="R530" i="18"/>
  <c r="F395" i="2"/>
  <c r="AB296" i="1" s="1"/>
  <c r="AB683" i="1"/>
  <c r="AX683" i="1"/>
  <c r="I395" i="2"/>
  <c r="AX296" i="1" s="1"/>
  <c r="I42" i="1"/>
  <c r="AF1" i="8"/>
  <c r="AE2" i="8"/>
  <c r="AE6" i="8"/>
  <c r="AE12" i="8"/>
  <c r="AE9" i="8"/>
  <c r="AE11" i="8"/>
  <c r="AE14" i="8"/>
  <c r="AE13" i="8"/>
  <c r="AE8" i="8"/>
  <c r="AE10" i="8"/>
  <c r="AE39" i="8"/>
  <c r="AE15" i="8"/>
  <c r="AE7" i="8"/>
  <c r="I274" i="18"/>
  <c r="R274" i="18"/>
  <c r="M274" i="18"/>
  <c r="E274" i="18"/>
  <c r="O274" i="18"/>
  <c r="F274" i="18"/>
  <c r="P274" i="18"/>
  <c r="H274" i="18"/>
  <c r="G274" i="18"/>
  <c r="J274" i="18"/>
  <c r="K274" i="18"/>
  <c r="L274" i="18"/>
  <c r="Q274" i="18"/>
  <c r="CA683" i="1"/>
  <c r="R395" i="18"/>
  <c r="CA296" i="1" s="1"/>
  <c r="R44" i="1"/>
  <c r="AJ44" i="1"/>
  <c r="BY43" i="1"/>
  <c r="BV457" i="1"/>
  <c r="CA459" i="1" l="1"/>
  <c r="O44" i="1"/>
  <c r="L458" i="1"/>
  <c r="Q42" i="1"/>
  <c r="C154" i="2"/>
  <c r="C277" i="2"/>
  <c r="C399" i="2"/>
  <c r="C35" i="1"/>
  <c r="C153" i="1"/>
  <c r="C578" i="1" s="1"/>
  <c r="C300" i="1"/>
  <c r="D300" i="1" s="1"/>
  <c r="K684" i="1"/>
  <c r="E396" i="18"/>
  <c r="K297" i="1" s="1"/>
  <c r="L152" i="18"/>
  <c r="AI151" i="1" s="1"/>
  <c r="M152" i="18"/>
  <c r="BG151" i="1" s="1"/>
  <c r="F152" i="18"/>
  <c r="AA151" i="1" s="1"/>
  <c r="O152" i="18"/>
  <c r="BQ151" i="1" s="1"/>
  <c r="P152" i="18"/>
  <c r="AE151" i="1" s="1"/>
  <c r="A151" i="13"/>
  <c r="C151" i="13" s="1"/>
  <c r="R152" i="18"/>
  <c r="CA151" i="1" s="1"/>
  <c r="I152" i="18"/>
  <c r="AW151" i="1" s="1"/>
  <c r="H152" i="18"/>
  <c r="Q151" i="1" s="1"/>
  <c r="E152" i="18"/>
  <c r="K151" i="1" s="1"/>
  <c r="K152" i="18"/>
  <c r="BC151" i="1" s="1"/>
  <c r="G152" i="18"/>
  <c r="AO151" i="1" s="1"/>
  <c r="J152" i="18"/>
  <c r="W151" i="1" s="1"/>
  <c r="Q152" i="18"/>
  <c r="BU151" i="1" s="1"/>
  <c r="AM44" i="1"/>
  <c r="AJ459" i="1"/>
  <c r="G563" i="1"/>
  <c r="BC684" i="1"/>
  <c r="K396" i="18"/>
  <c r="BC297" i="1" s="1"/>
  <c r="W459" i="1"/>
  <c r="A33" i="18"/>
  <c r="C33" i="18" s="1"/>
  <c r="B33" i="18"/>
  <c r="BH44" i="1"/>
  <c r="BD458" i="1"/>
  <c r="L45" i="1"/>
  <c r="K42" i="1"/>
  <c r="G641" i="2"/>
  <c r="AP564" i="1" s="1"/>
  <c r="O641" i="2"/>
  <c r="BR564" i="1" s="1"/>
  <c r="M641" i="2"/>
  <c r="BJ564" i="1" s="1"/>
  <c r="N641" i="2"/>
  <c r="P641" i="2"/>
  <c r="AF564" i="1" s="1"/>
  <c r="F641" i="2"/>
  <c r="AB564" i="1" s="1"/>
  <c r="J641" i="2"/>
  <c r="X564" i="1" s="1"/>
  <c r="L641" i="2"/>
  <c r="Q641" i="2"/>
  <c r="H641" i="2"/>
  <c r="K641" i="2"/>
  <c r="BD564" i="1" s="1"/>
  <c r="I641" i="2"/>
  <c r="R641" i="2"/>
  <c r="E641" i="2"/>
  <c r="W684" i="1"/>
  <c r="J396" i="18"/>
  <c r="W297" i="1" s="1"/>
  <c r="CA684" i="1"/>
  <c r="R396" i="18"/>
  <c r="CA297" i="1" s="1"/>
  <c r="BU459" i="1"/>
  <c r="C32" i="18"/>
  <c r="H44" i="1"/>
  <c r="AD18" i="8"/>
  <c r="AD30" i="8" s="1"/>
  <c r="BY44" i="1"/>
  <c r="BV458" i="1"/>
  <c r="AJ45" i="1"/>
  <c r="BC42" i="1"/>
  <c r="G150" i="1"/>
  <c r="L150" i="1"/>
  <c r="O396" i="18"/>
  <c r="BQ297" i="1" s="1"/>
  <c r="BQ684" i="1"/>
  <c r="CG296" i="1"/>
  <c r="BJ45" i="1"/>
  <c r="H40" i="18"/>
  <c r="I40" i="18"/>
  <c r="Q40" i="18"/>
  <c r="J40" i="18"/>
  <c r="R40" i="18"/>
  <c r="K40" i="18"/>
  <c r="D41" i="18"/>
  <c r="G40" i="18"/>
  <c r="E40" i="18"/>
  <c r="AE24" i="8"/>
  <c r="AE36" i="8" s="1"/>
  <c r="AO684" i="1"/>
  <c r="G396" i="18"/>
  <c r="AO297" i="1" s="1"/>
  <c r="AW684" i="1"/>
  <c r="I396" i="18"/>
  <c r="AW297" i="1" s="1"/>
  <c r="Q459" i="1"/>
  <c r="AD26" i="8"/>
  <c r="AD38" i="8" s="1"/>
  <c r="H297" i="1"/>
  <c r="J156" i="12"/>
  <c r="R156" i="12"/>
  <c r="H156" i="12"/>
  <c r="P156" i="12"/>
  <c r="G156" i="12"/>
  <c r="S156" i="12"/>
  <c r="I156" i="12"/>
  <c r="K156" i="12"/>
  <c r="L156" i="12"/>
  <c r="M156" i="12"/>
  <c r="N156" i="12"/>
  <c r="E156" i="12"/>
  <c r="O156" i="12"/>
  <c r="F156" i="12"/>
  <c r="Q156" i="12"/>
  <c r="H457" i="1"/>
  <c r="BA44" i="1"/>
  <c r="AX458" i="1"/>
  <c r="BD45" i="1"/>
  <c r="CA42" i="1"/>
  <c r="A521" i="2"/>
  <c r="C521" i="2" s="1"/>
  <c r="C643" i="2" s="1"/>
  <c r="B521" i="2"/>
  <c r="AE4" i="8"/>
  <c r="AE19" i="8" s="1"/>
  <c r="AE31" i="8" s="1"/>
  <c r="AE3" i="8"/>
  <c r="K275" i="18"/>
  <c r="H275" i="18"/>
  <c r="R275" i="18"/>
  <c r="I275" i="18"/>
  <c r="J275" i="18"/>
  <c r="M275" i="18"/>
  <c r="G275" i="18"/>
  <c r="L275" i="18"/>
  <c r="O275" i="18"/>
  <c r="P275" i="18"/>
  <c r="Q275" i="18"/>
  <c r="E275" i="18"/>
  <c r="F275" i="18"/>
  <c r="E276" i="18"/>
  <c r="M276" i="18"/>
  <c r="L276" i="18"/>
  <c r="O276" i="18"/>
  <c r="F276" i="18"/>
  <c r="P276" i="18"/>
  <c r="H276" i="18"/>
  <c r="R276" i="18"/>
  <c r="K276" i="18"/>
  <c r="Q276" i="18"/>
  <c r="I276" i="18"/>
  <c r="G276" i="18"/>
  <c r="J276" i="18"/>
  <c r="AF45" i="1"/>
  <c r="I641" i="18"/>
  <c r="AW564" i="1" s="1"/>
  <c r="K641" i="18"/>
  <c r="BC564" i="1" s="1"/>
  <c r="M641" i="18"/>
  <c r="BG564" i="1" s="1"/>
  <c r="O641" i="18"/>
  <c r="BQ564" i="1" s="1"/>
  <c r="G641" i="18"/>
  <c r="AO564" i="1" s="1"/>
  <c r="F641" i="18"/>
  <c r="AA564" i="1" s="1"/>
  <c r="P641" i="18"/>
  <c r="AE564" i="1" s="1"/>
  <c r="E641" i="18"/>
  <c r="K564" i="1" s="1"/>
  <c r="J641" i="18"/>
  <c r="W564" i="1" s="1"/>
  <c r="R641" i="18"/>
  <c r="CA564" i="1" s="1"/>
  <c r="H641" i="18"/>
  <c r="Q564" i="1" s="1"/>
  <c r="Q641" i="18"/>
  <c r="BU564" i="1" s="1"/>
  <c r="L641" i="18"/>
  <c r="AI564" i="1" s="1"/>
  <c r="C685" i="1"/>
  <c r="H275" i="2"/>
  <c r="L275" i="2"/>
  <c r="Q275" i="2"/>
  <c r="G275" i="2"/>
  <c r="M275" i="2"/>
  <c r="R275" i="2"/>
  <c r="I275" i="2"/>
  <c r="P275" i="2"/>
  <c r="J275" i="2"/>
  <c r="O275" i="2"/>
  <c r="N275" i="2"/>
  <c r="N397" i="2" s="1"/>
  <c r="BN298" i="1" s="1"/>
  <c r="K275" i="2"/>
  <c r="F275" i="2"/>
  <c r="E275" i="2"/>
  <c r="F152" i="2"/>
  <c r="AB151" i="1" s="1"/>
  <c r="G152" i="2"/>
  <c r="AP151" i="1" s="1"/>
  <c r="J152" i="2"/>
  <c r="X151" i="1" s="1"/>
  <c r="I152" i="2"/>
  <c r="AX151" i="1" s="1"/>
  <c r="M152" i="2"/>
  <c r="BJ151" i="1" s="1"/>
  <c r="N152" i="2"/>
  <c r="BN151" i="1" s="1"/>
  <c r="Q152" i="2"/>
  <c r="BV151" i="1" s="1"/>
  <c r="R152" i="2"/>
  <c r="E152" i="2"/>
  <c r="L151" i="1" s="1"/>
  <c r="L152" i="2"/>
  <c r="K152" i="2"/>
  <c r="BD151" i="1" s="1"/>
  <c r="P152" i="2"/>
  <c r="AF151" i="1" s="1"/>
  <c r="O152" i="2"/>
  <c r="BR151" i="1" s="1"/>
  <c r="H152" i="2"/>
  <c r="M396" i="18"/>
  <c r="BG297" i="1" s="1"/>
  <c r="BG684" i="1"/>
  <c r="AD24" i="8"/>
  <c r="AD36" i="8" s="1"/>
  <c r="Q684" i="1"/>
  <c r="H396" i="18"/>
  <c r="Q297" i="1" s="1"/>
  <c r="L531" i="18"/>
  <c r="E531" i="18"/>
  <c r="D532" i="18"/>
  <c r="R531" i="18"/>
  <c r="J531" i="18"/>
  <c r="Q531" i="18"/>
  <c r="H531" i="18"/>
  <c r="BJ150" i="1"/>
  <c r="J155" i="12"/>
  <c r="R155" i="12"/>
  <c r="H155" i="12"/>
  <c r="P155" i="12"/>
  <c r="M155" i="12"/>
  <c r="N155" i="12"/>
  <c r="F155" i="12"/>
  <c r="Q155" i="12"/>
  <c r="G155" i="12"/>
  <c r="S155" i="12"/>
  <c r="O155" i="12"/>
  <c r="I155" i="12"/>
  <c r="K155" i="12"/>
  <c r="E155" i="12"/>
  <c r="L155" i="12"/>
  <c r="I43" i="1"/>
  <c r="AD22" i="8"/>
  <c r="AD34" i="8" s="1"/>
  <c r="A521" i="18"/>
  <c r="C521" i="18" s="1"/>
  <c r="C643" i="18" s="1"/>
  <c r="B521" i="18"/>
  <c r="AX150" i="1"/>
  <c r="U44" i="1"/>
  <c r="R458" i="1"/>
  <c r="CB45" i="1"/>
  <c r="AW42" i="1"/>
  <c r="W42" i="1"/>
  <c r="P642" i="2"/>
  <c r="AF565" i="1" s="1"/>
  <c r="G642" i="2"/>
  <c r="AP565" i="1" s="1"/>
  <c r="N642" i="2"/>
  <c r="F642" i="2"/>
  <c r="AB565" i="1" s="1"/>
  <c r="J642" i="2"/>
  <c r="X565" i="1" s="1"/>
  <c r="M642" i="2"/>
  <c r="BJ565" i="1" s="1"/>
  <c r="O642" i="2"/>
  <c r="BR565" i="1" s="1"/>
  <c r="E642" i="2"/>
  <c r="H642" i="2"/>
  <c r="I642" i="2"/>
  <c r="Q642" i="2"/>
  <c r="L642" i="2"/>
  <c r="K642" i="2"/>
  <c r="R642" i="2"/>
  <c r="H148" i="1"/>
  <c r="BU684" i="1"/>
  <c r="Q396" i="18"/>
  <c r="BU297" i="1" s="1"/>
  <c r="AI459" i="1"/>
  <c r="AD21" i="8"/>
  <c r="AD33" i="8" s="1"/>
  <c r="R45" i="1"/>
  <c r="P396" i="18"/>
  <c r="AE297" i="1" s="1"/>
  <c r="AE684" i="1"/>
  <c r="AD19" i="8"/>
  <c r="AD31" i="8" s="1"/>
  <c r="AD20" i="8"/>
  <c r="AD32" i="8" s="1"/>
  <c r="AD25" i="8"/>
  <c r="AD37" i="8" s="1"/>
  <c r="K642" i="18"/>
  <c r="BC565" i="1" s="1"/>
  <c r="M642" i="18"/>
  <c r="BG565" i="1" s="1"/>
  <c r="F642" i="18"/>
  <c r="AA565" i="1" s="1"/>
  <c r="O642" i="18"/>
  <c r="BQ565" i="1" s="1"/>
  <c r="G642" i="18"/>
  <c r="AO565" i="1" s="1"/>
  <c r="P642" i="18"/>
  <c r="AE565" i="1" s="1"/>
  <c r="I642" i="18"/>
  <c r="AW565" i="1" s="1"/>
  <c r="R642" i="18"/>
  <c r="CA565" i="1" s="1"/>
  <c r="L642" i="18"/>
  <c r="AI565" i="1" s="1"/>
  <c r="J642" i="18"/>
  <c r="W565" i="1" s="1"/>
  <c r="H642" i="18"/>
  <c r="Q565" i="1" s="1"/>
  <c r="E642" i="18"/>
  <c r="K565" i="1" s="1"/>
  <c r="Q642" i="18"/>
  <c r="BU565" i="1" s="1"/>
  <c r="E531" i="2"/>
  <c r="D532" i="2"/>
  <c r="I531" i="2"/>
  <c r="Q531" i="2"/>
  <c r="R531" i="2"/>
  <c r="H531" i="2"/>
  <c r="K531" i="2"/>
  <c r="L531" i="2"/>
  <c r="N43" i="2"/>
  <c r="D44" i="2"/>
  <c r="O43" i="2"/>
  <c r="H43" i="2"/>
  <c r="P43" i="2"/>
  <c r="I43" i="2"/>
  <c r="Q43" i="2"/>
  <c r="R43" i="2"/>
  <c r="K43" i="2"/>
  <c r="E43" i="2"/>
  <c r="M43" i="2"/>
  <c r="L43" i="2"/>
  <c r="BV45" i="1"/>
  <c r="AO42" i="1"/>
  <c r="F33" i="1"/>
  <c r="D33" i="1"/>
  <c r="E33" i="1"/>
  <c r="C447" i="1"/>
  <c r="H149" i="1"/>
  <c r="AE21" i="8"/>
  <c r="AE33" i="8" s="1"/>
  <c r="BR45" i="1"/>
  <c r="L396" i="18"/>
  <c r="AI297" i="1" s="1"/>
  <c r="AI684" i="1"/>
  <c r="AG1" i="8"/>
  <c r="AF7" i="8"/>
  <c r="AF9" i="8"/>
  <c r="AF11" i="8"/>
  <c r="AF13" i="8"/>
  <c r="AF15" i="8"/>
  <c r="AF6" i="8"/>
  <c r="AF2" i="8"/>
  <c r="AF8" i="8"/>
  <c r="AF10" i="8"/>
  <c r="AF39" i="8"/>
  <c r="AF14" i="8"/>
  <c r="AF12" i="8"/>
  <c r="BD150" i="1"/>
  <c r="AE26" i="8"/>
  <c r="AE38" i="8" s="1"/>
  <c r="K459" i="1"/>
  <c r="F396" i="18"/>
  <c r="AA297" i="1" s="1"/>
  <c r="AA684" i="1"/>
  <c r="BY150" i="1"/>
  <c r="BV563" i="1"/>
  <c r="CB563" i="1"/>
  <c r="BH150" i="1"/>
  <c r="BD563" i="1"/>
  <c r="AD23" i="8"/>
  <c r="AD35" i="8" s="1"/>
  <c r="M153" i="18"/>
  <c r="BG152" i="1" s="1"/>
  <c r="F153" i="18"/>
  <c r="AA152" i="1" s="1"/>
  <c r="P153" i="18"/>
  <c r="AE152" i="1" s="1"/>
  <c r="L153" i="18"/>
  <c r="AI152" i="1" s="1"/>
  <c r="A152" i="13"/>
  <c r="C152" i="13" s="1"/>
  <c r="O153" i="18"/>
  <c r="BQ152" i="1" s="1"/>
  <c r="R153" i="18"/>
  <c r="CA152" i="1" s="1"/>
  <c r="Q153" i="18"/>
  <c r="BU152" i="1" s="1"/>
  <c r="H153" i="18"/>
  <c r="Q152" i="1" s="1"/>
  <c r="I153" i="18"/>
  <c r="AW152" i="1" s="1"/>
  <c r="G153" i="18"/>
  <c r="AO152" i="1" s="1"/>
  <c r="E153" i="18"/>
  <c r="K152" i="1" s="1"/>
  <c r="K153" i="18"/>
  <c r="BC152" i="1" s="1"/>
  <c r="J153" i="18"/>
  <c r="W152" i="1" s="1"/>
  <c r="G41" i="1"/>
  <c r="AM150" i="1"/>
  <c r="AJ563" i="1"/>
  <c r="CE44" i="1"/>
  <c r="CB458" i="1"/>
  <c r="BN45" i="1"/>
  <c r="AX45" i="1"/>
  <c r="BU42" i="1"/>
  <c r="O150" i="1"/>
  <c r="L563" i="1"/>
  <c r="H563" i="1" s="1"/>
  <c r="B33" i="2"/>
  <c r="A33" i="2"/>
  <c r="C153" i="2"/>
  <c r="C276" i="2"/>
  <c r="C398" i="2"/>
  <c r="C34" i="1"/>
  <c r="C152" i="1"/>
  <c r="C577" i="1" s="1"/>
  <c r="C299" i="1"/>
  <c r="D299" i="1" s="1"/>
  <c r="AE17" i="8" l="1"/>
  <c r="AE29" i="8" s="1"/>
  <c r="AE23" i="8"/>
  <c r="AE35" i="8" s="1"/>
  <c r="AE20" i="8"/>
  <c r="AE32" i="8" s="1"/>
  <c r="A34" i="2"/>
  <c r="C34" i="2" s="1"/>
  <c r="B34" i="2"/>
  <c r="AM45" i="1"/>
  <c r="AJ460" i="1"/>
  <c r="K460" i="1"/>
  <c r="L685" i="1"/>
  <c r="E397" i="2"/>
  <c r="L298" i="1" s="1"/>
  <c r="AO686" i="1"/>
  <c r="G398" i="18"/>
  <c r="AO299" i="1" s="1"/>
  <c r="BC685" i="1"/>
  <c r="K397" i="18"/>
  <c r="BC298" i="1" s="1"/>
  <c r="AW43" i="1"/>
  <c r="CE151" i="1"/>
  <c r="CB564" i="1"/>
  <c r="H45" i="1"/>
  <c r="G565" i="1"/>
  <c r="F397" i="2"/>
  <c r="AB298" i="1" s="1"/>
  <c r="AB685" i="1"/>
  <c r="L397" i="18"/>
  <c r="AI298" i="1" s="1"/>
  <c r="AI685" i="1"/>
  <c r="BA151" i="1"/>
  <c r="AX564" i="1"/>
  <c r="BA150" i="1"/>
  <c r="E447" i="1"/>
  <c r="D447" i="1"/>
  <c r="U45" i="1"/>
  <c r="R459" i="1"/>
  <c r="O152" i="1"/>
  <c r="L565" i="1"/>
  <c r="BD685" i="1"/>
  <c r="K397" i="2"/>
  <c r="BD298" i="1" s="1"/>
  <c r="G397" i="2"/>
  <c r="AP298" i="1" s="1"/>
  <c r="AP685" i="1"/>
  <c r="BU686" i="1"/>
  <c r="Q398" i="18"/>
  <c r="BU299" i="1" s="1"/>
  <c r="M398" i="18"/>
  <c r="BG299" i="1" s="1"/>
  <c r="BG686" i="1"/>
  <c r="AO685" i="1"/>
  <c r="G397" i="18"/>
  <c r="AO298" i="1" s="1"/>
  <c r="AO43" i="1"/>
  <c r="AE25" i="8"/>
  <c r="AE37" i="8" s="1"/>
  <c r="D34" i="1"/>
  <c r="E34" i="1"/>
  <c r="F34" i="1"/>
  <c r="C448" i="1"/>
  <c r="AF4" i="8"/>
  <c r="AF20" i="8" s="1"/>
  <c r="AF32" i="8" s="1"/>
  <c r="AF3" i="8"/>
  <c r="AF46" i="1"/>
  <c r="CE45" i="1"/>
  <c r="CB459" i="1"/>
  <c r="Q460" i="1"/>
  <c r="AE18" i="8"/>
  <c r="AE30" i="8" s="1"/>
  <c r="BV685" i="1"/>
  <c r="Q397" i="2"/>
  <c r="BV298" i="1" s="1"/>
  <c r="BC686" i="1"/>
  <c r="K398" i="18"/>
  <c r="BC299" i="1" s="1"/>
  <c r="K686" i="1"/>
  <c r="E398" i="18"/>
  <c r="K299" i="1" s="1"/>
  <c r="M397" i="18"/>
  <c r="BG298" i="1" s="1"/>
  <c r="BG685" i="1"/>
  <c r="BR150" i="1"/>
  <c r="AE22" i="8"/>
  <c r="AE34" i="8" s="1"/>
  <c r="D42" i="18"/>
  <c r="G41" i="18"/>
  <c r="H41" i="18"/>
  <c r="I41" i="18"/>
  <c r="Q41" i="18"/>
  <c r="J41" i="18"/>
  <c r="R41" i="18"/>
  <c r="K41" i="18"/>
  <c r="E41" i="18"/>
  <c r="AF150" i="1"/>
  <c r="U151" i="1"/>
  <c r="R564" i="1"/>
  <c r="U150" i="1"/>
  <c r="I150" i="1" s="1"/>
  <c r="H458" i="1"/>
  <c r="K643" i="18"/>
  <c r="BC566" i="1" s="1"/>
  <c r="M643" i="18"/>
  <c r="BG566" i="1" s="1"/>
  <c r="CB685" i="1"/>
  <c r="R397" i="2"/>
  <c r="CB298" i="1" s="1"/>
  <c r="A32" i="10"/>
  <c r="C155" i="18"/>
  <c r="C278" i="18"/>
  <c r="C400" i="18"/>
  <c r="A32" i="13"/>
  <c r="C32" i="13" s="1"/>
  <c r="C158" i="12"/>
  <c r="BV46" i="1"/>
  <c r="R151" i="1"/>
  <c r="R150" i="1"/>
  <c r="AW686" i="1"/>
  <c r="I398" i="18"/>
  <c r="AW299" i="1" s="1"/>
  <c r="K43" i="1"/>
  <c r="G43" i="1" s="1"/>
  <c r="G152" i="1"/>
  <c r="CE150" i="1"/>
  <c r="AJ46" i="1"/>
  <c r="R46" i="1"/>
  <c r="BY45" i="1"/>
  <c r="BV459" i="1"/>
  <c r="CE152" i="1"/>
  <c r="CB565" i="1"/>
  <c r="BU460" i="1"/>
  <c r="BR685" i="1"/>
  <c r="O397" i="2"/>
  <c r="BR298" i="1" s="1"/>
  <c r="AJ685" i="1"/>
  <c r="L397" i="2"/>
  <c r="AJ298" i="1" s="1"/>
  <c r="G564" i="1"/>
  <c r="CA686" i="1"/>
  <c r="R398" i="18"/>
  <c r="CA299" i="1" s="1"/>
  <c r="F397" i="18"/>
  <c r="AA298" i="1" s="1"/>
  <c r="AA685" i="1"/>
  <c r="W685" i="1"/>
  <c r="J397" i="18"/>
  <c r="W298" i="1" s="1"/>
  <c r="A522" i="2"/>
  <c r="C522" i="2" s="1"/>
  <c r="C644" i="2" s="1"/>
  <c r="B522" i="2"/>
  <c r="BC43" i="1"/>
  <c r="BV150" i="1"/>
  <c r="BY151" i="1"/>
  <c r="BV564" i="1"/>
  <c r="D35" i="1"/>
  <c r="C449" i="1"/>
  <c r="I44" i="1"/>
  <c r="BH45" i="1"/>
  <c r="BD459" i="1"/>
  <c r="AI460" i="1"/>
  <c r="G459" i="1"/>
  <c r="AG6" i="8"/>
  <c r="AG8" i="8"/>
  <c r="AG10" i="8"/>
  <c r="AH1" i="8"/>
  <c r="AG2" i="8"/>
  <c r="AG12" i="8"/>
  <c r="AG7" i="8"/>
  <c r="AG15" i="8"/>
  <c r="AG14" i="8"/>
  <c r="AG13" i="8"/>
  <c r="AG9" i="8"/>
  <c r="AG11" i="8"/>
  <c r="AG39" i="8"/>
  <c r="C686" i="1"/>
  <c r="L276" i="2"/>
  <c r="R276" i="2"/>
  <c r="G276" i="2"/>
  <c r="N276" i="2"/>
  <c r="N398" i="2" s="1"/>
  <c r="BN299" i="1" s="1"/>
  <c r="M276" i="2"/>
  <c r="I276" i="2"/>
  <c r="K276" i="2"/>
  <c r="P276" i="2"/>
  <c r="J276" i="2"/>
  <c r="F276" i="2"/>
  <c r="E276" i="2"/>
  <c r="H276" i="2"/>
  <c r="O276" i="2"/>
  <c r="Q276" i="2"/>
  <c r="BJ46" i="1"/>
  <c r="BA45" i="1"/>
  <c r="AX459" i="1"/>
  <c r="BH152" i="1"/>
  <c r="BD565" i="1"/>
  <c r="W460" i="1"/>
  <c r="AJ151" i="1"/>
  <c r="H151" i="1" s="1"/>
  <c r="AJ150" i="1"/>
  <c r="J397" i="2"/>
  <c r="X298" i="1" s="1"/>
  <c r="X685" i="1"/>
  <c r="R685" i="1"/>
  <c r="H397" i="2"/>
  <c r="R298" i="1" s="1"/>
  <c r="Q686" i="1"/>
  <c r="H398" i="18"/>
  <c r="Q299" i="1" s="1"/>
  <c r="K685" i="1"/>
  <c r="E397" i="18"/>
  <c r="K298" i="1" s="1"/>
  <c r="AW685" i="1"/>
  <c r="I397" i="18"/>
  <c r="AW298" i="1" s="1"/>
  <c r="J643" i="2"/>
  <c r="X566" i="1" s="1"/>
  <c r="M643" i="2"/>
  <c r="BJ566" i="1" s="1"/>
  <c r="I643" i="2"/>
  <c r="H643" i="2"/>
  <c r="CA43" i="1"/>
  <c r="AM151" i="1"/>
  <c r="AJ564" i="1"/>
  <c r="G42" i="1"/>
  <c r="G151" i="1"/>
  <c r="CB46" i="1"/>
  <c r="BA152" i="1"/>
  <c r="AX565" i="1"/>
  <c r="O398" i="18"/>
  <c r="BQ299" i="1" s="1"/>
  <c r="BQ686" i="1"/>
  <c r="H150" i="1"/>
  <c r="U152" i="1"/>
  <c r="R565" i="1"/>
  <c r="L398" i="18"/>
  <c r="AI299" i="1" s="1"/>
  <c r="AI686" i="1"/>
  <c r="Q43" i="1"/>
  <c r="AX46" i="1"/>
  <c r="BR46" i="1"/>
  <c r="G153" i="2"/>
  <c r="AP152" i="1" s="1"/>
  <c r="F153" i="2"/>
  <c r="AB152" i="1" s="1"/>
  <c r="J153" i="2"/>
  <c r="X152" i="1" s="1"/>
  <c r="H153" i="2"/>
  <c r="R152" i="1" s="1"/>
  <c r="M153" i="2"/>
  <c r="BJ152" i="1" s="1"/>
  <c r="Q153" i="2"/>
  <c r="BV152" i="1" s="1"/>
  <c r="O153" i="2"/>
  <c r="BR152" i="1" s="1"/>
  <c r="K153" i="2"/>
  <c r="BD152" i="1" s="1"/>
  <c r="E153" i="2"/>
  <c r="L152" i="1" s="1"/>
  <c r="N153" i="2"/>
  <c r="BN152" i="1" s="1"/>
  <c r="R153" i="2"/>
  <c r="CB152" i="1" s="1"/>
  <c r="I153" i="2"/>
  <c r="AX152" i="1" s="1"/>
  <c r="P153" i="2"/>
  <c r="AF152" i="1" s="1"/>
  <c r="L153" i="2"/>
  <c r="AJ152" i="1" s="1"/>
  <c r="L46" i="1"/>
  <c r="H46" i="1" s="1"/>
  <c r="L44" i="2"/>
  <c r="E44" i="2"/>
  <c r="M44" i="2"/>
  <c r="N44" i="2"/>
  <c r="D45" i="2"/>
  <c r="O44" i="2"/>
  <c r="H44" i="2"/>
  <c r="P44" i="2"/>
  <c r="I44" i="2"/>
  <c r="Q44" i="2"/>
  <c r="K44" i="2"/>
  <c r="R44" i="2"/>
  <c r="K532" i="2"/>
  <c r="L532" i="2"/>
  <c r="E532" i="2"/>
  <c r="H532" i="2"/>
  <c r="Q532" i="2"/>
  <c r="I532" i="2"/>
  <c r="D533" i="2"/>
  <c r="R532" i="2"/>
  <c r="AM152" i="1"/>
  <c r="AJ565" i="1"/>
  <c r="AT150" i="1"/>
  <c r="CA460" i="1"/>
  <c r="AF685" i="1"/>
  <c r="P397" i="2"/>
  <c r="AF298" i="1" s="1"/>
  <c r="P398" i="18"/>
  <c r="AE299" i="1" s="1"/>
  <c r="AE686" i="1"/>
  <c r="BU685" i="1"/>
  <c r="Q397" i="18"/>
  <c r="BU298" i="1" s="1"/>
  <c r="CA685" i="1"/>
  <c r="R397" i="18"/>
  <c r="CA298" i="1" s="1"/>
  <c r="W43" i="1"/>
  <c r="AB150" i="1"/>
  <c r="C687" i="1"/>
  <c r="H277" i="2"/>
  <c r="Q277" i="2"/>
  <c r="I277" i="2"/>
  <c r="K277" i="2"/>
  <c r="O277" i="2"/>
  <c r="R277" i="2"/>
  <c r="N277" i="2"/>
  <c r="N399" i="2" s="1"/>
  <c r="BN300" i="1" s="1"/>
  <c r="L277" i="2"/>
  <c r="P277" i="2"/>
  <c r="J277" i="2"/>
  <c r="M277" i="2"/>
  <c r="F277" i="2"/>
  <c r="E277" i="2"/>
  <c r="G277" i="2"/>
  <c r="O397" i="18"/>
  <c r="BQ298" i="1" s="1"/>
  <c r="BQ685" i="1"/>
  <c r="G297" i="1"/>
  <c r="CG297" i="1" s="1"/>
  <c r="BJ685" i="1"/>
  <c r="M397" i="2"/>
  <c r="BJ298" i="1" s="1"/>
  <c r="C33" i="2"/>
  <c r="BD46" i="1"/>
  <c r="BN46" i="1"/>
  <c r="O45" i="1"/>
  <c r="I45" i="1" s="1"/>
  <c r="L459" i="1"/>
  <c r="H459" i="1" s="1"/>
  <c r="BY152" i="1"/>
  <c r="BV565" i="1"/>
  <c r="B522" i="18"/>
  <c r="A522" i="18"/>
  <c r="C522" i="18" s="1"/>
  <c r="C644" i="18" s="1"/>
  <c r="L532" i="18"/>
  <c r="E532" i="18"/>
  <c r="D533" i="18"/>
  <c r="H532" i="18"/>
  <c r="Q532" i="18"/>
  <c r="R532" i="18"/>
  <c r="J532" i="18"/>
  <c r="CB151" i="1"/>
  <c r="CB150" i="1"/>
  <c r="AX685" i="1"/>
  <c r="I397" i="2"/>
  <c r="AX298" i="1" s="1"/>
  <c r="W686" i="1"/>
  <c r="J398" i="18"/>
  <c r="W299" i="1" s="1"/>
  <c r="F398" i="18"/>
  <c r="AA299" i="1" s="1"/>
  <c r="AA686" i="1"/>
  <c r="P397" i="18"/>
  <c r="AE298" i="1" s="1"/>
  <c r="AE685" i="1"/>
  <c r="Q685" i="1"/>
  <c r="H397" i="18"/>
  <c r="Q298" i="1" s="1"/>
  <c r="BU43" i="1"/>
  <c r="A31" i="10"/>
  <c r="R643" i="18" s="1"/>
  <c r="CA566" i="1" s="1"/>
  <c r="C154" i="18"/>
  <c r="C277" i="18"/>
  <c r="C399" i="18"/>
  <c r="A31" i="13"/>
  <c r="C31" i="13" s="1"/>
  <c r="C157" i="12"/>
  <c r="O151" i="1"/>
  <c r="L564" i="1"/>
  <c r="B34" i="18"/>
  <c r="A34" i="18"/>
  <c r="C34" i="18" s="1"/>
  <c r="BN150" i="1"/>
  <c r="F154" i="2"/>
  <c r="AB153" i="1" s="1"/>
  <c r="G154" i="2"/>
  <c r="AP153" i="1" s="1"/>
  <c r="P154" i="2"/>
  <c r="AF153" i="1" s="1"/>
  <c r="E154" i="2"/>
  <c r="L153" i="1" s="1"/>
  <c r="R154" i="2"/>
  <c r="CB153" i="1" s="1"/>
  <c r="N154" i="2"/>
  <c r="BN153" i="1" s="1"/>
  <c r="K154" i="2"/>
  <c r="BD153" i="1" s="1"/>
  <c r="I154" i="2"/>
  <c r="AX153" i="1" s="1"/>
  <c r="L154" i="2"/>
  <c r="AJ153" i="1" s="1"/>
  <c r="H154" i="2"/>
  <c r="R153" i="1" s="1"/>
  <c r="O154" i="2"/>
  <c r="BR153" i="1" s="1"/>
  <c r="M154" i="2"/>
  <c r="BJ153" i="1" s="1"/>
  <c r="AF687" i="1" l="1"/>
  <c r="P399" i="2"/>
  <c r="AF300" i="1" s="1"/>
  <c r="U46" i="1"/>
  <c r="R460" i="1"/>
  <c r="AG26" i="8"/>
  <c r="AG38" i="8" s="1"/>
  <c r="AJ687" i="1"/>
  <c r="L399" i="2"/>
  <c r="AJ300" i="1" s="1"/>
  <c r="O46" i="1"/>
  <c r="L460" i="1"/>
  <c r="BA153" i="1"/>
  <c r="AX566" i="1"/>
  <c r="AJ686" i="1"/>
  <c r="L398" i="2"/>
  <c r="AJ299" i="1" s="1"/>
  <c r="G299" i="1"/>
  <c r="AF22" i="8"/>
  <c r="AF34" i="8" s="1"/>
  <c r="AM46" i="1"/>
  <c r="AJ461" i="1"/>
  <c r="BR47" i="1"/>
  <c r="H152" i="1"/>
  <c r="E643" i="2"/>
  <c r="G643" i="2"/>
  <c r="AP566" i="1" s="1"/>
  <c r="AF686" i="1"/>
  <c r="P398" i="2"/>
  <c r="AF299" i="1" s="1"/>
  <c r="F35" i="1"/>
  <c r="J158" i="12"/>
  <c r="R158" i="12"/>
  <c r="H158" i="12"/>
  <c r="P158" i="12"/>
  <c r="G158" i="12"/>
  <c r="S158" i="12"/>
  <c r="K158" i="12"/>
  <c r="L158" i="12"/>
  <c r="M158" i="12"/>
  <c r="N158" i="12"/>
  <c r="E158" i="12"/>
  <c r="O158" i="12"/>
  <c r="F158" i="12"/>
  <c r="Q158" i="12"/>
  <c r="I158" i="12"/>
  <c r="H643" i="18"/>
  <c r="Q566" i="1" s="1"/>
  <c r="I643" i="18"/>
  <c r="AW566" i="1" s="1"/>
  <c r="Q44" i="1"/>
  <c r="D448" i="1"/>
  <c r="E448" i="1"/>
  <c r="Q154" i="2"/>
  <c r="BV153" i="1" s="1"/>
  <c r="AT153" i="1" s="1"/>
  <c r="J154" i="2"/>
  <c r="X153" i="1" s="1"/>
  <c r="H153" i="1" s="1"/>
  <c r="K461" i="1"/>
  <c r="AF25" i="8"/>
  <c r="AF37" i="8" s="1"/>
  <c r="G399" i="2"/>
  <c r="AP300" i="1" s="1"/>
  <c r="AP687" i="1"/>
  <c r="CB687" i="1"/>
  <c r="R399" i="2"/>
  <c r="CB300" i="1" s="1"/>
  <c r="BH46" i="1"/>
  <c r="BD460" i="1"/>
  <c r="R45" i="2"/>
  <c r="K45" i="2"/>
  <c r="L45" i="2"/>
  <c r="E45" i="2"/>
  <c r="M45" i="2"/>
  <c r="N45" i="2"/>
  <c r="D46" i="2"/>
  <c r="O45" i="2"/>
  <c r="I45" i="2"/>
  <c r="Q45" i="2"/>
  <c r="H45" i="2"/>
  <c r="P45" i="2"/>
  <c r="AF24" i="8"/>
  <c r="AF36" i="8" s="1"/>
  <c r="Q643" i="2"/>
  <c r="F643" i="2"/>
  <c r="AB566" i="1" s="1"/>
  <c r="AF26" i="8"/>
  <c r="AF38" i="8" s="1"/>
  <c r="BD686" i="1"/>
  <c r="K398" i="2"/>
  <c r="BD299" i="1" s="1"/>
  <c r="AG3" i="8"/>
  <c r="AG4" i="8"/>
  <c r="AG23" i="8" s="1"/>
  <c r="AG35" i="8" s="1"/>
  <c r="E35" i="1"/>
  <c r="A523" i="2"/>
  <c r="B523" i="2"/>
  <c r="L643" i="18"/>
  <c r="AI566" i="1" s="1"/>
  <c r="P643" i="18"/>
  <c r="AE566" i="1" s="1"/>
  <c r="AO44" i="1"/>
  <c r="AF19" i="8"/>
  <c r="AF31" i="8" s="1"/>
  <c r="BU461" i="1"/>
  <c r="R687" i="1"/>
  <c r="H399" i="2"/>
  <c r="R300" i="1" s="1"/>
  <c r="CB686" i="1"/>
  <c r="R398" i="2"/>
  <c r="CB299" i="1" s="1"/>
  <c r="AW44" i="1"/>
  <c r="J533" i="18"/>
  <c r="L533" i="18"/>
  <c r="E533" i="18"/>
  <c r="D534" i="18"/>
  <c r="H533" i="18"/>
  <c r="Q533" i="18"/>
  <c r="R533" i="18"/>
  <c r="G277" i="18"/>
  <c r="P277" i="18"/>
  <c r="H277" i="18"/>
  <c r="R277" i="18"/>
  <c r="I277" i="18"/>
  <c r="J277" i="18"/>
  <c r="L277" i="18"/>
  <c r="Q277" i="18"/>
  <c r="E277" i="18"/>
  <c r="F277" i="18"/>
  <c r="M277" i="18"/>
  <c r="K277" i="18"/>
  <c r="O277" i="18"/>
  <c r="AI461" i="1"/>
  <c r="C155" i="2"/>
  <c r="C400" i="2"/>
  <c r="C278" i="2"/>
  <c r="C154" i="1"/>
  <c r="C579" i="1" s="1"/>
  <c r="C36" i="1"/>
  <c r="C301" i="1"/>
  <c r="D301" i="1" s="1"/>
  <c r="L687" i="1"/>
  <c r="E399" i="2"/>
  <c r="L300" i="1" s="1"/>
  <c r="BR687" i="1"/>
  <c r="O399" i="2"/>
  <c r="BR300" i="1" s="1"/>
  <c r="CE46" i="1"/>
  <c r="CB460" i="1"/>
  <c r="CB47" i="1"/>
  <c r="BN47" i="1"/>
  <c r="AF23" i="8"/>
  <c r="AF35" i="8" s="1"/>
  <c r="AV152" i="1"/>
  <c r="R643" i="2"/>
  <c r="N643" i="2"/>
  <c r="BV686" i="1"/>
  <c r="Q398" i="2"/>
  <c r="BV299" i="1" s="1"/>
  <c r="AX686" i="1"/>
  <c r="I398" i="2"/>
  <c r="AX299" i="1" s="1"/>
  <c r="AG22" i="8"/>
  <c r="AG34" i="8" s="1"/>
  <c r="AH6" i="8"/>
  <c r="AH8" i="8"/>
  <c r="AH10" i="8"/>
  <c r="AH12" i="8"/>
  <c r="AH2" i="8"/>
  <c r="AH13" i="8"/>
  <c r="AH9" i="8"/>
  <c r="AH11" i="8"/>
  <c r="AI1" i="8"/>
  <c r="AH7" i="8"/>
  <c r="AH15" i="8"/>
  <c r="AH39" i="8"/>
  <c r="AH14" i="8"/>
  <c r="J644" i="2"/>
  <c r="X567" i="1" s="1"/>
  <c r="N644" i="2"/>
  <c r="O644" i="2"/>
  <c r="BR567" i="1" s="1"/>
  <c r="G644" i="2"/>
  <c r="AP567" i="1" s="1"/>
  <c r="M644" i="2"/>
  <c r="BJ567" i="1" s="1"/>
  <c r="P644" i="2"/>
  <c r="AF567" i="1" s="1"/>
  <c r="F644" i="2"/>
  <c r="AB567" i="1" s="1"/>
  <c r="K644" i="2"/>
  <c r="BD567" i="1" s="1"/>
  <c r="L644" i="2"/>
  <c r="H644" i="2"/>
  <c r="I644" i="2"/>
  <c r="AX567" i="1" s="1"/>
  <c r="R644" i="2"/>
  <c r="E644" i="2"/>
  <c r="Q644" i="2"/>
  <c r="Q643" i="18"/>
  <c r="BU566" i="1" s="1"/>
  <c r="G643" i="18"/>
  <c r="AO566" i="1" s="1"/>
  <c r="K44" i="1"/>
  <c r="E42" i="18"/>
  <c r="D43" i="18"/>
  <c r="G42" i="18"/>
  <c r="H42" i="18"/>
  <c r="J42" i="18"/>
  <c r="R42" i="18"/>
  <c r="Q42" i="18"/>
  <c r="I42" i="18"/>
  <c r="K42" i="18"/>
  <c r="H565" i="1"/>
  <c r="AV150" i="1"/>
  <c r="AF21" i="8"/>
  <c r="AF33" i="8" s="1"/>
  <c r="U153" i="1"/>
  <c r="R566" i="1"/>
  <c r="E449" i="1"/>
  <c r="D449" i="1"/>
  <c r="G644" i="18"/>
  <c r="AO567" i="1" s="1"/>
  <c r="P644" i="18"/>
  <c r="AE567" i="1" s="1"/>
  <c r="I644" i="18"/>
  <c r="AW567" i="1" s="1"/>
  <c r="K644" i="18"/>
  <c r="BC567" i="1" s="1"/>
  <c r="F644" i="18"/>
  <c r="AA567" i="1" s="1"/>
  <c r="O644" i="18"/>
  <c r="BQ567" i="1" s="1"/>
  <c r="M644" i="18"/>
  <c r="BG567" i="1" s="1"/>
  <c r="H644" i="18"/>
  <c r="Q567" i="1" s="1"/>
  <c r="L644" i="18"/>
  <c r="AI567" i="1" s="1"/>
  <c r="R644" i="18"/>
  <c r="CA567" i="1" s="1"/>
  <c r="E644" i="18"/>
  <c r="K567" i="1" s="1"/>
  <c r="J644" i="18"/>
  <c r="W567" i="1" s="1"/>
  <c r="Q644" i="18"/>
  <c r="BU567" i="1" s="1"/>
  <c r="F399" i="2"/>
  <c r="AB300" i="1" s="1"/>
  <c r="AB687" i="1"/>
  <c r="BD687" i="1"/>
  <c r="K399" i="2"/>
  <c r="BD300" i="1" s="1"/>
  <c r="I533" i="2"/>
  <c r="Q533" i="2"/>
  <c r="R533" i="2"/>
  <c r="K533" i="2"/>
  <c r="E533" i="2"/>
  <c r="D534" i="2"/>
  <c r="L533" i="2"/>
  <c r="H533" i="2"/>
  <c r="BD47" i="1"/>
  <c r="BJ47" i="1"/>
  <c r="L643" i="2"/>
  <c r="BR686" i="1"/>
  <c r="O398" i="2"/>
  <c r="BR299" i="1" s="1"/>
  <c r="BJ686" i="1"/>
  <c r="M398" i="2"/>
  <c r="BJ299" i="1" s="1"/>
  <c r="AG20" i="8"/>
  <c r="AG32" i="8" s="1"/>
  <c r="AG21" i="8"/>
  <c r="AG33" i="8" s="1"/>
  <c r="AF17" i="8"/>
  <c r="AF29" i="8" s="1"/>
  <c r="I278" i="18"/>
  <c r="R278" i="18"/>
  <c r="L278" i="18"/>
  <c r="M278" i="18"/>
  <c r="E278" i="18"/>
  <c r="O278" i="18"/>
  <c r="G278" i="18"/>
  <c r="Q278" i="18"/>
  <c r="F278" i="18"/>
  <c r="H278" i="18"/>
  <c r="J278" i="18"/>
  <c r="K278" i="18"/>
  <c r="P278" i="18"/>
  <c r="E643" i="18"/>
  <c r="K566" i="1" s="1"/>
  <c r="O643" i="18"/>
  <c r="BQ566" i="1" s="1"/>
  <c r="BC44" i="1"/>
  <c r="I152" i="1"/>
  <c r="AF47" i="1"/>
  <c r="BU44" i="1"/>
  <c r="J157" i="12"/>
  <c r="R157" i="12"/>
  <c r="H157" i="12"/>
  <c r="P157" i="12"/>
  <c r="M157" i="12"/>
  <c r="N157" i="12"/>
  <c r="E157" i="12"/>
  <c r="F157" i="12"/>
  <c r="Q157" i="12"/>
  <c r="G157" i="12"/>
  <c r="S157" i="12"/>
  <c r="O157" i="12"/>
  <c r="I157" i="12"/>
  <c r="K157" i="12"/>
  <c r="L157" i="12"/>
  <c r="R47" i="1"/>
  <c r="G460" i="1"/>
  <c r="A33" i="10"/>
  <c r="C156" i="18"/>
  <c r="C279" i="18"/>
  <c r="C401" i="18"/>
  <c r="A33" i="13"/>
  <c r="C33" i="13" s="1"/>
  <c r="C159" i="12"/>
  <c r="P154" i="18"/>
  <c r="AE153" i="1" s="1"/>
  <c r="L154" i="18"/>
  <c r="AI153" i="1" s="1"/>
  <c r="M154" i="18"/>
  <c r="BG153" i="1" s="1"/>
  <c r="O154" i="18"/>
  <c r="BQ153" i="1" s="1"/>
  <c r="F154" i="18"/>
  <c r="AA153" i="1" s="1"/>
  <c r="A153" i="13"/>
  <c r="C153" i="13" s="1"/>
  <c r="Q154" i="18"/>
  <c r="BU153" i="1" s="1"/>
  <c r="G154" i="18"/>
  <c r="AO153" i="1" s="1"/>
  <c r="K154" i="18"/>
  <c r="BC153" i="1" s="1"/>
  <c r="J154" i="18"/>
  <c r="W153" i="1" s="1"/>
  <c r="I154" i="18"/>
  <c r="AW153" i="1" s="1"/>
  <c r="R154" i="18"/>
  <c r="CA153" i="1" s="1"/>
  <c r="E154" i="18"/>
  <c r="K153" i="1" s="1"/>
  <c r="G153" i="1" s="1"/>
  <c r="H154" i="18"/>
  <c r="Q153" i="1" s="1"/>
  <c r="B35" i="18"/>
  <c r="A35" i="18"/>
  <c r="C35" i="18" s="1"/>
  <c r="W461" i="1"/>
  <c r="A523" i="18"/>
  <c r="B523" i="18"/>
  <c r="BJ687" i="1"/>
  <c r="M399" i="2"/>
  <c r="BJ300" i="1" s="1"/>
  <c r="AX687" i="1"/>
  <c r="I399" i="2"/>
  <c r="AX300" i="1" s="1"/>
  <c r="BA46" i="1"/>
  <c r="AX460" i="1"/>
  <c r="BV47" i="1"/>
  <c r="L47" i="1"/>
  <c r="O643" i="2"/>
  <c r="BR566" i="1" s="1"/>
  <c r="R686" i="1"/>
  <c r="H398" i="2"/>
  <c r="R299" i="1" s="1"/>
  <c r="AG24" i="8"/>
  <c r="AG36" i="8" s="1"/>
  <c r="AG19" i="8"/>
  <c r="AG31" i="8" s="1"/>
  <c r="L155" i="18"/>
  <c r="AI154" i="1" s="1"/>
  <c r="O155" i="18"/>
  <c r="BQ154" i="1" s="1"/>
  <c r="P155" i="18"/>
  <c r="AE154" i="1" s="1"/>
  <c r="F155" i="18"/>
  <c r="AA154" i="1" s="1"/>
  <c r="A154" i="13"/>
  <c r="C154" i="13" s="1"/>
  <c r="M155" i="18"/>
  <c r="BG154" i="1" s="1"/>
  <c r="G155" i="18"/>
  <c r="AO154" i="1" s="1"/>
  <c r="I155" i="18"/>
  <c r="AW154" i="1" s="1"/>
  <c r="R155" i="18"/>
  <c r="CA154" i="1" s="1"/>
  <c r="K155" i="18"/>
  <c r="BC154" i="1" s="1"/>
  <c r="Q155" i="18"/>
  <c r="BU154" i="1" s="1"/>
  <c r="H155" i="18"/>
  <c r="Q154" i="1" s="1"/>
  <c r="E155" i="18"/>
  <c r="K154" i="1" s="1"/>
  <c r="J155" i="18"/>
  <c r="W154" i="1" s="1"/>
  <c r="J643" i="18"/>
  <c r="W566" i="1" s="1"/>
  <c r="F643" i="18"/>
  <c r="AA566" i="1" s="1"/>
  <c r="CA44" i="1"/>
  <c r="A35" i="2"/>
  <c r="B35" i="2"/>
  <c r="F398" i="2"/>
  <c r="AB299" i="1" s="1"/>
  <c r="AB686" i="1"/>
  <c r="Q461" i="1"/>
  <c r="J398" i="2"/>
  <c r="X299" i="1" s="1"/>
  <c r="X686" i="1"/>
  <c r="H564" i="1"/>
  <c r="CA461" i="1"/>
  <c r="AF18" i="8"/>
  <c r="AF30" i="8" s="1"/>
  <c r="J399" i="2"/>
  <c r="X300" i="1" s="1"/>
  <c r="X687" i="1"/>
  <c r="BV687" i="1"/>
  <c r="Q399" i="2"/>
  <c r="BV300" i="1" s="1"/>
  <c r="BY46" i="1"/>
  <c r="BV460" i="1"/>
  <c r="AX47" i="1"/>
  <c r="AJ47" i="1"/>
  <c r="AT152" i="1"/>
  <c r="K643" i="2"/>
  <c r="P643" i="2"/>
  <c r="AF566" i="1" s="1"/>
  <c r="G298" i="1"/>
  <c r="L686" i="1"/>
  <c r="E398" i="2"/>
  <c r="L299" i="1" s="1"/>
  <c r="G398" i="2"/>
  <c r="AP299" i="1" s="1"/>
  <c r="AP686" i="1"/>
  <c r="AG25" i="8"/>
  <c r="AG37" i="8" s="1"/>
  <c r="AG17" i="8"/>
  <c r="AG29" i="8" s="1"/>
  <c r="W44" i="1"/>
  <c r="H298" i="1"/>
  <c r="C156" i="2"/>
  <c r="C279" i="2"/>
  <c r="C401" i="2"/>
  <c r="C37" i="1"/>
  <c r="C155" i="1"/>
  <c r="C580" i="1" s="1"/>
  <c r="C302" i="1"/>
  <c r="D302" i="1" s="1"/>
  <c r="AG18" i="8" l="1"/>
  <c r="AG30" i="8" s="1"/>
  <c r="F37" i="1"/>
  <c r="D37" i="1"/>
  <c r="E37" i="1"/>
  <c r="C451" i="1"/>
  <c r="AO688" i="1"/>
  <c r="G400" i="18"/>
  <c r="AO301" i="1" s="1"/>
  <c r="AH24" i="8"/>
  <c r="AH36" i="8" s="1"/>
  <c r="AO687" i="1"/>
  <c r="G399" i="18"/>
  <c r="AO300" i="1" s="1"/>
  <c r="O400" i="18"/>
  <c r="BQ301" i="1" s="1"/>
  <c r="BQ688" i="1"/>
  <c r="W45" i="1"/>
  <c r="BU687" i="1"/>
  <c r="Q399" i="18"/>
  <c r="BU300" i="1" s="1"/>
  <c r="BY153" i="1"/>
  <c r="BV566" i="1"/>
  <c r="G154" i="1"/>
  <c r="P400" i="18"/>
  <c r="AE301" i="1" s="1"/>
  <c r="AE688" i="1"/>
  <c r="K688" i="1"/>
  <c r="E400" i="18"/>
  <c r="K301" i="1" s="1"/>
  <c r="G301" i="1" s="1"/>
  <c r="CE47" i="1"/>
  <c r="CB461" i="1"/>
  <c r="Q45" i="1"/>
  <c r="H300" i="1"/>
  <c r="L399" i="18"/>
  <c r="AI300" i="1" s="1"/>
  <c r="AI687" i="1"/>
  <c r="BU462" i="1"/>
  <c r="BJ48" i="1"/>
  <c r="J156" i="2"/>
  <c r="X155" i="1" s="1"/>
  <c r="G156" i="2"/>
  <c r="AP155" i="1" s="1"/>
  <c r="F156" i="2"/>
  <c r="AB155" i="1" s="1"/>
  <c r="R156" i="2"/>
  <c r="CB155" i="1" s="1"/>
  <c r="O156" i="2"/>
  <c r="BR155" i="1" s="1"/>
  <c r="M156" i="2"/>
  <c r="BJ155" i="1" s="1"/>
  <c r="N156" i="2"/>
  <c r="BN155" i="1" s="1"/>
  <c r="I156" i="2"/>
  <c r="AX155" i="1" s="1"/>
  <c r="K156" i="2"/>
  <c r="BD155" i="1" s="1"/>
  <c r="L156" i="2"/>
  <c r="AJ155" i="1" s="1"/>
  <c r="Q156" i="2"/>
  <c r="BV155" i="1" s="1"/>
  <c r="P156" i="2"/>
  <c r="AF155" i="1" s="1"/>
  <c r="H156" i="2"/>
  <c r="R155" i="1" s="1"/>
  <c r="E156" i="2"/>
  <c r="L155" i="1" s="1"/>
  <c r="C35" i="2"/>
  <c r="BC688" i="1"/>
  <c r="K400" i="18"/>
  <c r="BC301" i="1" s="1"/>
  <c r="M400" i="18"/>
  <c r="BG301" i="1" s="1"/>
  <c r="BG688" i="1"/>
  <c r="BY47" i="1"/>
  <c r="BV461" i="1"/>
  <c r="G567" i="1"/>
  <c r="AO45" i="1"/>
  <c r="BV567" i="1"/>
  <c r="W687" i="1"/>
  <c r="J399" i="18"/>
  <c r="W300" i="1" s="1"/>
  <c r="Q462" i="1"/>
  <c r="AF48" i="1"/>
  <c r="L48" i="1"/>
  <c r="A524" i="18"/>
  <c r="C524" i="18" s="1"/>
  <c r="C646" i="18" s="1"/>
  <c r="B524" i="18"/>
  <c r="BH47" i="1"/>
  <c r="BD461" i="1"/>
  <c r="J155" i="2"/>
  <c r="X154" i="1" s="1"/>
  <c r="F155" i="2"/>
  <c r="AB154" i="1" s="1"/>
  <c r="G155" i="2"/>
  <c r="AP154" i="1" s="1"/>
  <c r="Q155" i="2"/>
  <c r="BV154" i="1" s="1"/>
  <c r="N155" i="2"/>
  <c r="M155" i="2"/>
  <c r="BJ154" i="1" s="1"/>
  <c r="K155" i="2"/>
  <c r="L155" i="2"/>
  <c r="R155" i="2"/>
  <c r="O155" i="2"/>
  <c r="BR154" i="1" s="1"/>
  <c r="P155" i="2"/>
  <c r="AF154" i="1" s="1"/>
  <c r="I155" i="2"/>
  <c r="AX154" i="1" s="1"/>
  <c r="E155" i="2"/>
  <c r="L154" i="1" s="1"/>
  <c r="H155" i="2"/>
  <c r="R154" i="1" s="1"/>
  <c r="C523" i="2"/>
  <c r="C645" i="2" s="1"/>
  <c r="C689" i="1"/>
  <c r="H279" i="2"/>
  <c r="O279" i="2"/>
  <c r="G279" i="2"/>
  <c r="M279" i="2"/>
  <c r="L279" i="2"/>
  <c r="K279" i="2"/>
  <c r="R279" i="2"/>
  <c r="P279" i="2"/>
  <c r="J279" i="2"/>
  <c r="F279" i="2"/>
  <c r="E279" i="2"/>
  <c r="Q279" i="2"/>
  <c r="N279" i="2"/>
  <c r="N401" i="2" s="1"/>
  <c r="BN302" i="1" s="1"/>
  <c r="I279" i="2"/>
  <c r="A36" i="2"/>
  <c r="C36" i="2" s="1"/>
  <c r="B36" i="2"/>
  <c r="C523" i="18"/>
  <c r="C645" i="18" s="1"/>
  <c r="H299" i="1"/>
  <c r="CG299" i="1" s="1"/>
  <c r="H47" i="1"/>
  <c r="W688" i="1"/>
  <c r="J400" i="18"/>
  <c r="W301" i="1" s="1"/>
  <c r="L400" i="18"/>
  <c r="AI301" i="1" s="1"/>
  <c r="AI688" i="1"/>
  <c r="BA47" i="1"/>
  <c r="AX461" i="1"/>
  <c r="J43" i="18"/>
  <c r="R43" i="18"/>
  <c r="K43" i="18"/>
  <c r="E43" i="18"/>
  <c r="D44" i="18"/>
  <c r="H43" i="18"/>
  <c r="Q43" i="18"/>
  <c r="G43" i="18"/>
  <c r="I43" i="18"/>
  <c r="L567" i="1"/>
  <c r="CE153" i="1"/>
  <c r="CB566" i="1"/>
  <c r="O399" i="18"/>
  <c r="BQ300" i="1" s="1"/>
  <c r="BQ687" i="1"/>
  <c r="AW687" i="1"/>
  <c r="I399" i="18"/>
  <c r="AW300" i="1" s="1"/>
  <c r="R534" i="18"/>
  <c r="J534" i="18"/>
  <c r="L534" i="18"/>
  <c r="E534" i="18"/>
  <c r="Q534" i="18"/>
  <c r="D535" i="18"/>
  <c r="H534" i="18"/>
  <c r="R48" i="1"/>
  <c r="AJ48" i="1"/>
  <c r="AV153" i="1"/>
  <c r="O47" i="1"/>
  <c r="L461" i="1"/>
  <c r="G566" i="1"/>
  <c r="AH3" i="8"/>
  <c r="AH4" i="8"/>
  <c r="AH18" i="8" s="1"/>
  <c r="AH30" i="8" s="1"/>
  <c r="A34" i="10"/>
  <c r="C157" i="18"/>
  <c r="C280" i="18"/>
  <c r="C402" i="18"/>
  <c r="A34" i="13"/>
  <c r="C34" i="13" s="1"/>
  <c r="C160" i="12"/>
  <c r="J159" i="12"/>
  <c r="R159" i="12"/>
  <c r="H159" i="12"/>
  <c r="P159" i="12"/>
  <c r="M159" i="12"/>
  <c r="N159" i="12"/>
  <c r="E159" i="12"/>
  <c r="F159" i="12"/>
  <c r="Q159" i="12"/>
  <c r="G159" i="12"/>
  <c r="S159" i="12"/>
  <c r="I159" i="12"/>
  <c r="K159" i="12"/>
  <c r="L159" i="12"/>
  <c r="O159" i="12"/>
  <c r="Q688" i="1"/>
  <c r="H400" i="18"/>
  <c r="Q301" i="1" s="1"/>
  <c r="CA688" i="1"/>
  <c r="R400" i="18"/>
  <c r="CA301" i="1" s="1"/>
  <c r="U47" i="1"/>
  <c r="R461" i="1"/>
  <c r="BC45" i="1"/>
  <c r="K45" i="1"/>
  <c r="G45" i="1" s="1"/>
  <c r="CB567" i="1"/>
  <c r="AI2" i="8"/>
  <c r="AI14" i="8"/>
  <c r="AI6" i="8"/>
  <c r="AI8" i="8"/>
  <c r="AI10" i="8"/>
  <c r="AJ1" i="8"/>
  <c r="AI7" i="8"/>
  <c r="AI15" i="8"/>
  <c r="AI9" i="8"/>
  <c r="AI11" i="8"/>
  <c r="AI39" i="8"/>
  <c r="AI12" i="8"/>
  <c r="AI13" i="8"/>
  <c r="F36" i="1"/>
  <c r="D36" i="1"/>
  <c r="E36" i="1"/>
  <c r="C450" i="1"/>
  <c r="BC687" i="1"/>
  <c r="K399" i="18"/>
  <c r="BC300" i="1" s="1"/>
  <c r="CA687" i="1"/>
  <c r="R399" i="18"/>
  <c r="CA300" i="1" s="1"/>
  <c r="K462" i="1"/>
  <c r="BV48" i="1"/>
  <c r="BD48" i="1"/>
  <c r="H460" i="1"/>
  <c r="AJ567" i="1"/>
  <c r="CA462" i="1"/>
  <c r="CG298" i="1"/>
  <c r="A36" i="18"/>
  <c r="B36" i="18"/>
  <c r="F400" i="18"/>
  <c r="AA301" i="1" s="1"/>
  <c r="AA688" i="1"/>
  <c r="AW688" i="1"/>
  <c r="I400" i="18"/>
  <c r="AW301" i="1" s="1"/>
  <c r="AM153" i="1"/>
  <c r="AJ566" i="1"/>
  <c r="AM47" i="1"/>
  <c r="AJ462" i="1"/>
  <c r="AW45" i="1"/>
  <c r="G44" i="1"/>
  <c r="AH22" i="8"/>
  <c r="AH34" i="8" s="1"/>
  <c r="M399" i="18"/>
  <c r="BG300" i="1" s="1"/>
  <c r="BG687" i="1"/>
  <c r="Q687" i="1"/>
  <c r="H399" i="18"/>
  <c r="Q300" i="1" s="1"/>
  <c r="AI462" i="1"/>
  <c r="AX48" i="1"/>
  <c r="CB48" i="1"/>
  <c r="O153" i="1"/>
  <c r="I153" i="1" s="1"/>
  <c r="L566" i="1"/>
  <c r="I46" i="1"/>
  <c r="BH153" i="1"/>
  <c r="BD566" i="1"/>
  <c r="K279" i="18"/>
  <c r="G279" i="18"/>
  <c r="Q279" i="18"/>
  <c r="H279" i="18"/>
  <c r="R279" i="18"/>
  <c r="I279" i="18"/>
  <c r="L279" i="18"/>
  <c r="F279" i="18"/>
  <c r="J279" i="18"/>
  <c r="M279" i="18"/>
  <c r="O279" i="18"/>
  <c r="P279" i="18"/>
  <c r="E279" i="18"/>
  <c r="CA45" i="1"/>
  <c r="K687" i="1"/>
  <c r="E399" i="18"/>
  <c r="K300" i="1" s="1"/>
  <c r="A524" i="2"/>
  <c r="B524" i="2"/>
  <c r="H46" i="2"/>
  <c r="P46" i="2"/>
  <c r="I46" i="2"/>
  <c r="Q46" i="2"/>
  <c r="R46" i="2"/>
  <c r="K46" i="2"/>
  <c r="L46" i="2"/>
  <c r="E46" i="2"/>
  <c r="M46" i="2"/>
  <c r="O46" i="2"/>
  <c r="N46" i="2"/>
  <c r="D47" i="2"/>
  <c r="L156" i="18"/>
  <c r="AI155" i="1" s="1"/>
  <c r="M156" i="18"/>
  <c r="BG155" i="1" s="1"/>
  <c r="F156" i="18"/>
  <c r="AA155" i="1" s="1"/>
  <c r="O156" i="18"/>
  <c r="BQ155" i="1" s="1"/>
  <c r="P156" i="18"/>
  <c r="AE155" i="1" s="1"/>
  <c r="A155" i="13"/>
  <c r="C155" i="13" s="1"/>
  <c r="E156" i="18"/>
  <c r="K155" i="1" s="1"/>
  <c r="I156" i="18"/>
  <c r="AW155" i="1" s="1"/>
  <c r="R156" i="18"/>
  <c r="CA155" i="1" s="1"/>
  <c r="Q156" i="18"/>
  <c r="BU155" i="1" s="1"/>
  <c r="J156" i="18"/>
  <c r="W155" i="1" s="1"/>
  <c r="G156" i="18"/>
  <c r="AO155" i="1" s="1"/>
  <c r="K156" i="18"/>
  <c r="BC155" i="1" s="1"/>
  <c r="H156" i="18"/>
  <c r="Q155" i="1" s="1"/>
  <c r="BN48" i="1"/>
  <c r="BU688" i="1"/>
  <c r="Q400" i="18"/>
  <c r="BU301" i="1" s="1"/>
  <c r="H534" i="2"/>
  <c r="I534" i="2"/>
  <c r="Q534" i="2"/>
  <c r="K534" i="2"/>
  <c r="L534" i="2"/>
  <c r="D535" i="2"/>
  <c r="E534" i="2"/>
  <c r="R534" i="2"/>
  <c r="BU45" i="1"/>
  <c r="R567" i="1"/>
  <c r="AH20" i="8"/>
  <c r="AH32" i="8" s="1"/>
  <c r="C688" i="1"/>
  <c r="R278" i="2"/>
  <c r="F278" i="2"/>
  <c r="E278" i="2"/>
  <c r="G278" i="2"/>
  <c r="N278" i="2"/>
  <c r="N400" i="2" s="1"/>
  <c r="BN301" i="1" s="1"/>
  <c r="M278" i="2"/>
  <c r="I278" i="2"/>
  <c r="P278" i="2"/>
  <c r="J278" i="2"/>
  <c r="L278" i="2"/>
  <c r="H278" i="2"/>
  <c r="O278" i="2"/>
  <c r="K278" i="2"/>
  <c r="Q278" i="2"/>
  <c r="F399" i="18"/>
  <c r="AA300" i="1" s="1"/>
  <c r="AA687" i="1"/>
  <c r="P399" i="18"/>
  <c r="AE300" i="1" s="1"/>
  <c r="AE687" i="1"/>
  <c r="W462" i="1"/>
  <c r="BR48" i="1"/>
  <c r="G461" i="1"/>
  <c r="AH25" i="8" l="1"/>
  <c r="AH37" i="8" s="1"/>
  <c r="AH17" i="8"/>
  <c r="AH29" i="8" s="1"/>
  <c r="AH23" i="8"/>
  <c r="AH35" i="8" s="1"/>
  <c r="AX688" i="1"/>
  <c r="I400" i="2"/>
  <c r="AX301" i="1" s="1"/>
  <c r="CB49" i="1"/>
  <c r="A37" i="18"/>
  <c r="B37" i="18"/>
  <c r="Q463" i="1"/>
  <c r="CA46" i="1"/>
  <c r="BV688" i="1"/>
  <c r="Q400" i="2"/>
  <c r="BV301" i="1" s="1"/>
  <c r="AM48" i="1"/>
  <c r="AJ463" i="1"/>
  <c r="F401" i="18"/>
  <c r="AA302" i="1" s="1"/>
  <c r="AA689" i="1"/>
  <c r="C36" i="18"/>
  <c r="H535" i="18"/>
  <c r="Q535" i="18"/>
  <c r="R535" i="18"/>
  <c r="J535" i="18"/>
  <c r="E535" i="18"/>
  <c r="D536" i="18"/>
  <c r="L535" i="18"/>
  <c r="L689" i="1"/>
  <c r="E401" i="2"/>
  <c r="L302" i="1" s="1"/>
  <c r="H48" i="1"/>
  <c r="BH48" i="1"/>
  <c r="BD462" i="1"/>
  <c r="AX49" i="1"/>
  <c r="BU463" i="1"/>
  <c r="AO46" i="1"/>
  <c r="F401" i="2"/>
  <c r="AB302" i="1" s="1"/>
  <c r="AB689" i="1"/>
  <c r="BR689" i="1"/>
  <c r="O401" i="2"/>
  <c r="BR302" i="1" s="1"/>
  <c r="C157" i="2"/>
  <c r="C280" i="2"/>
  <c r="C402" i="2"/>
  <c r="C38" i="1"/>
  <c r="C156" i="1"/>
  <c r="C581" i="1" s="1"/>
  <c r="C303" i="1"/>
  <c r="D303" i="1" s="1"/>
  <c r="BR688" i="1"/>
  <c r="O400" i="2"/>
  <c r="BR301" i="1" s="1"/>
  <c r="G400" i="2"/>
  <c r="AP301" i="1" s="1"/>
  <c r="AP688" i="1"/>
  <c r="BY48" i="1"/>
  <c r="BV462" i="1"/>
  <c r="BR49" i="1"/>
  <c r="AF49" i="1"/>
  <c r="AW689" i="1"/>
  <c r="I401" i="18"/>
  <c r="AW302" i="1" s="1"/>
  <c r="K463" i="1"/>
  <c r="BU46" i="1"/>
  <c r="I645" i="18"/>
  <c r="AW568" i="1" s="1"/>
  <c r="K645" i="18"/>
  <c r="BC568" i="1" s="1"/>
  <c r="M645" i="18"/>
  <c r="BG568" i="1" s="1"/>
  <c r="F645" i="18"/>
  <c r="AA568" i="1" s="1"/>
  <c r="P645" i="18"/>
  <c r="AE568" i="1" s="1"/>
  <c r="G645" i="18"/>
  <c r="AO568" i="1" s="1"/>
  <c r="O645" i="18"/>
  <c r="BQ568" i="1" s="1"/>
  <c r="L645" i="18"/>
  <c r="AI568" i="1" s="1"/>
  <c r="E645" i="18"/>
  <c r="K568" i="1" s="1"/>
  <c r="Q645" i="18"/>
  <c r="BU568" i="1" s="1"/>
  <c r="J645" i="18"/>
  <c r="W568" i="1" s="1"/>
  <c r="H645" i="18"/>
  <c r="Q568" i="1" s="1"/>
  <c r="R645" i="18"/>
  <c r="CA568" i="1" s="1"/>
  <c r="J401" i="2"/>
  <c r="X302" i="1" s="1"/>
  <c r="X689" i="1"/>
  <c r="R689" i="1"/>
  <c r="H401" i="2"/>
  <c r="R302" i="1" s="1"/>
  <c r="CB154" i="1"/>
  <c r="AH21" i="8"/>
  <c r="AH33" i="8" s="1"/>
  <c r="H155" i="1"/>
  <c r="BV689" i="1"/>
  <c r="Q401" i="2"/>
  <c r="BV302" i="1" s="1"/>
  <c r="BV49" i="1"/>
  <c r="W46" i="1"/>
  <c r="L401" i="18"/>
  <c r="AI302" i="1" s="1"/>
  <c r="AI689" i="1"/>
  <c r="R688" i="1"/>
  <c r="H400" i="2"/>
  <c r="R301" i="1" s="1"/>
  <c r="L688" i="1"/>
  <c r="E400" i="2"/>
  <c r="L301" i="1" s="1"/>
  <c r="BA48" i="1"/>
  <c r="AX462" i="1"/>
  <c r="BJ49" i="1"/>
  <c r="R49" i="1"/>
  <c r="K689" i="1"/>
  <c r="E401" i="18"/>
  <c r="K302" i="1" s="1"/>
  <c r="CA689" i="1"/>
  <c r="R401" i="18"/>
  <c r="CA302" i="1" s="1"/>
  <c r="H566" i="1"/>
  <c r="D450" i="1"/>
  <c r="E450" i="1"/>
  <c r="J160" i="12"/>
  <c r="R160" i="12"/>
  <c r="H160" i="12"/>
  <c r="P160" i="12"/>
  <c r="G160" i="12"/>
  <c r="S160" i="12"/>
  <c r="L160" i="12"/>
  <c r="M160" i="12"/>
  <c r="K160" i="12"/>
  <c r="N160" i="12"/>
  <c r="E160" i="12"/>
  <c r="O160" i="12"/>
  <c r="F160" i="12"/>
  <c r="Q160" i="12"/>
  <c r="I160" i="12"/>
  <c r="AI463" i="1"/>
  <c r="Q46" i="1"/>
  <c r="B37" i="2"/>
  <c r="A37" i="2"/>
  <c r="AF689" i="1"/>
  <c r="P401" i="2"/>
  <c r="AF302" i="1" s="1"/>
  <c r="AJ154" i="1"/>
  <c r="H154" i="1" s="1"/>
  <c r="AH26" i="8"/>
  <c r="AH38" i="8" s="1"/>
  <c r="D451" i="1"/>
  <c r="E451" i="1"/>
  <c r="I535" i="2"/>
  <c r="Q535" i="2"/>
  <c r="K535" i="2"/>
  <c r="L535" i="2"/>
  <c r="D536" i="2"/>
  <c r="H535" i="2"/>
  <c r="R535" i="2"/>
  <c r="E535" i="2"/>
  <c r="W689" i="1"/>
  <c r="J401" i="18"/>
  <c r="W302" i="1" s="1"/>
  <c r="AJ2" i="8"/>
  <c r="AJ6" i="8"/>
  <c r="AJ8" i="8"/>
  <c r="AJ10" i="8"/>
  <c r="AJ12" i="8"/>
  <c r="AJ14" i="8"/>
  <c r="AK1" i="8"/>
  <c r="AJ7" i="8"/>
  <c r="AJ13" i="8"/>
  <c r="AJ9" i="8"/>
  <c r="AJ11" i="8"/>
  <c r="AJ39" i="8"/>
  <c r="AJ15" i="8"/>
  <c r="M157" i="18"/>
  <c r="BG156" i="1" s="1"/>
  <c r="F157" i="18"/>
  <c r="AA156" i="1" s="1"/>
  <c r="O157" i="18"/>
  <c r="BQ156" i="1" s="1"/>
  <c r="P157" i="18"/>
  <c r="AE156" i="1" s="1"/>
  <c r="L157" i="18"/>
  <c r="AI156" i="1" s="1"/>
  <c r="A156" i="13"/>
  <c r="C156" i="13" s="1"/>
  <c r="G157" i="18"/>
  <c r="AO156" i="1" s="1"/>
  <c r="J157" i="18"/>
  <c r="W156" i="1" s="1"/>
  <c r="E157" i="18"/>
  <c r="K156" i="1" s="1"/>
  <c r="R157" i="18"/>
  <c r="CA156" i="1" s="1"/>
  <c r="Q157" i="18"/>
  <c r="BU156" i="1" s="1"/>
  <c r="I157" i="18"/>
  <c r="AW156" i="1" s="1"/>
  <c r="H157" i="18"/>
  <c r="Q156" i="1" s="1"/>
  <c r="K157" i="18"/>
  <c r="BC156" i="1" s="1"/>
  <c r="BJ689" i="1"/>
  <c r="M401" i="2"/>
  <c r="BJ302" i="1" s="1"/>
  <c r="N47" i="2"/>
  <c r="D48" i="2"/>
  <c r="O47" i="2"/>
  <c r="H47" i="2"/>
  <c r="P47" i="2"/>
  <c r="I47" i="2"/>
  <c r="Q47" i="2"/>
  <c r="R47" i="2"/>
  <c r="K47" i="2"/>
  <c r="E47" i="2"/>
  <c r="M47" i="2"/>
  <c r="L47" i="2"/>
  <c r="G155" i="1"/>
  <c r="AJ688" i="1"/>
  <c r="L400" i="2"/>
  <c r="AJ301" i="1" s="1"/>
  <c r="U48" i="1"/>
  <c r="R462" i="1"/>
  <c r="L49" i="1"/>
  <c r="H49" i="1" s="1"/>
  <c r="P401" i="18"/>
  <c r="AE302" i="1" s="1"/>
  <c r="AE689" i="1"/>
  <c r="Q689" i="1"/>
  <c r="H401" i="18"/>
  <c r="Q302" i="1" s="1"/>
  <c r="AI3" i="8"/>
  <c r="AI4" i="8"/>
  <c r="AI24" i="8" s="1"/>
  <c r="AI36" i="8" s="1"/>
  <c r="W463" i="1"/>
  <c r="AH19" i="8"/>
  <c r="AH31" i="8" s="1"/>
  <c r="H44" i="18"/>
  <c r="I44" i="18"/>
  <c r="Q44" i="18"/>
  <c r="J44" i="18"/>
  <c r="R44" i="18"/>
  <c r="K44" i="18"/>
  <c r="D45" i="18"/>
  <c r="E44" i="18"/>
  <c r="G44" i="18"/>
  <c r="C158" i="2"/>
  <c r="C281" i="2"/>
  <c r="C403" i="2"/>
  <c r="C39" i="1"/>
  <c r="C157" i="1"/>
  <c r="C582" i="1" s="1"/>
  <c r="C304" i="1"/>
  <c r="D304" i="1" s="1"/>
  <c r="CB689" i="1"/>
  <c r="R401" i="2"/>
  <c r="CB302" i="1" s="1"/>
  <c r="F645" i="2"/>
  <c r="AB568" i="1" s="1"/>
  <c r="O645" i="2"/>
  <c r="BR568" i="1" s="1"/>
  <c r="J645" i="2"/>
  <c r="X568" i="1" s="1"/>
  <c r="M645" i="2"/>
  <c r="BJ568" i="1" s="1"/>
  <c r="N645" i="2"/>
  <c r="P645" i="2"/>
  <c r="AF568" i="1" s="1"/>
  <c r="G645" i="2"/>
  <c r="AP568" i="1" s="1"/>
  <c r="Q645" i="2"/>
  <c r="R645" i="2"/>
  <c r="I645" i="2"/>
  <c r="L645" i="2"/>
  <c r="H645" i="2"/>
  <c r="K645" i="2"/>
  <c r="E645" i="2"/>
  <c r="BD154" i="1"/>
  <c r="K646" i="18"/>
  <c r="BC569" i="1" s="1"/>
  <c r="M646" i="18"/>
  <c r="BG569" i="1" s="1"/>
  <c r="F646" i="18"/>
  <c r="AA569" i="1" s="1"/>
  <c r="O646" i="18"/>
  <c r="BQ569" i="1" s="1"/>
  <c r="I646" i="18"/>
  <c r="AW569" i="1" s="1"/>
  <c r="P646" i="18"/>
  <c r="AE569" i="1" s="1"/>
  <c r="G646" i="18"/>
  <c r="AO569" i="1" s="1"/>
  <c r="J646" i="18"/>
  <c r="W569" i="1" s="1"/>
  <c r="L646" i="18"/>
  <c r="AI569" i="1" s="1"/>
  <c r="R646" i="18"/>
  <c r="CA569" i="1" s="1"/>
  <c r="H646" i="18"/>
  <c r="Q569" i="1" s="1"/>
  <c r="E646" i="18"/>
  <c r="K569" i="1" s="1"/>
  <c r="Q646" i="18"/>
  <c r="BU569" i="1" s="1"/>
  <c r="BJ688" i="1"/>
  <c r="M400" i="2"/>
  <c r="BJ301" i="1" s="1"/>
  <c r="BD688" i="1"/>
  <c r="K400" i="2"/>
  <c r="BD301" i="1" s="1"/>
  <c r="BN49" i="1"/>
  <c r="F400" i="2"/>
  <c r="AB301" i="1" s="1"/>
  <c r="AB688" i="1"/>
  <c r="A525" i="2"/>
  <c r="C525" i="2" s="1"/>
  <c r="C647" i="2" s="1"/>
  <c r="B525" i="2"/>
  <c r="J400" i="2"/>
  <c r="X301" i="1" s="1"/>
  <c r="X688" i="1"/>
  <c r="CB688" i="1"/>
  <c r="R400" i="2"/>
  <c r="CB301" i="1" s="1"/>
  <c r="CE48" i="1"/>
  <c r="CB462" i="1"/>
  <c r="AJ49" i="1"/>
  <c r="C524" i="2"/>
  <c r="C646" i="2" s="1"/>
  <c r="O401" i="18"/>
  <c r="BQ302" i="1" s="1"/>
  <c r="BQ689" i="1"/>
  <c r="BU689" i="1"/>
  <c r="Q401" i="18"/>
  <c r="BU302" i="1" s="1"/>
  <c r="G462" i="1"/>
  <c r="H461" i="1"/>
  <c r="CA463" i="1"/>
  <c r="K46" i="1"/>
  <c r="G46" i="1" s="1"/>
  <c r="AX689" i="1"/>
  <c r="I401" i="2"/>
  <c r="AX302" i="1" s="1"/>
  <c r="BD689" i="1"/>
  <c r="K401" i="2"/>
  <c r="BD302" i="1" s="1"/>
  <c r="BC689" i="1"/>
  <c r="K401" i="18"/>
  <c r="BC302" i="1" s="1"/>
  <c r="AT154" i="1"/>
  <c r="AW46" i="1"/>
  <c r="G401" i="2"/>
  <c r="AP302" i="1" s="1"/>
  <c r="AP689" i="1"/>
  <c r="AF688" i="1"/>
  <c r="P400" i="2"/>
  <c r="AF301" i="1" s="1"/>
  <c r="O48" i="1"/>
  <c r="L462" i="1"/>
  <c r="BD49" i="1"/>
  <c r="G300" i="1"/>
  <c r="CG300" i="1" s="1"/>
  <c r="M401" i="18"/>
  <c r="BG302" i="1" s="1"/>
  <c r="BG689" i="1"/>
  <c r="AO689" i="1"/>
  <c r="G401" i="18"/>
  <c r="AO302" i="1" s="1"/>
  <c r="E280" i="18"/>
  <c r="M280" i="18"/>
  <c r="K280" i="18"/>
  <c r="L280" i="18"/>
  <c r="O280" i="18"/>
  <c r="G280" i="18"/>
  <c r="Q280" i="18"/>
  <c r="J280" i="18"/>
  <c r="P280" i="18"/>
  <c r="R280" i="18"/>
  <c r="H280" i="18"/>
  <c r="F280" i="18"/>
  <c r="I280" i="18"/>
  <c r="I47" i="1"/>
  <c r="H567" i="1"/>
  <c r="BC46" i="1"/>
  <c r="AJ689" i="1"/>
  <c r="L401" i="2"/>
  <c r="AJ302" i="1" s="1"/>
  <c r="BN154" i="1"/>
  <c r="B525" i="18"/>
  <c r="A525" i="18"/>
  <c r="F402" i="18" l="1"/>
  <c r="AA303" i="1" s="1"/>
  <c r="AA690" i="1"/>
  <c r="BC47" i="1"/>
  <c r="AF50" i="1"/>
  <c r="CA464" i="1"/>
  <c r="Q690" i="1"/>
  <c r="H402" i="18"/>
  <c r="Q303" i="1" s="1"/>
  <c r="D39" i="1"/>
  <c r="C453" i="1"/>
  <c r="BU464" i="1"/>
  <c r="M402" i="18"/>
  <c r="BG303" i="1" s="1"/>
  <c r="BG690" i="1"/>
  <c r="W47" i="1"/>
  <c r="BR50" i="1"/>
  <c r="AJ3" i="8"/>
  <c r="AJ4" i="8"/>
  <c r="AJ22" i="8" s="1"/>
  <c r="AJ34" i="8" s="1"/>
  <c r="BH49" i="1"/>
  <c r="BD463" i="1"/>
  <c r="AI22" i="8"/>
  <c r="AI34" i="8" s="1"/>
  <c r="AI17" i="8"/>
  <c r="AI29" i="8" s="1"/>
  <c r="AI23" i="8"/>
  <c r="AI35" i="8" s="1"/>
  <c r="H302" i="1"/>
  <c r="Q464" i="1"/>
  <c r="C37" i="18"/>
  <c r="P402" i="18"/>
  <c r="AE303" i="1" s="1"/>
  <c r="AE690" i="1"/>
  <c r="K690" i="1"/>
  <c r="E402" i="18"/>
  <c r="K303" i="1" s="1"/>
  <c r="M646" i="2"/>
  <c r="BJ569" i="1" s="1"/>
  <c r="F646" i="2"/>
  <c r="AB569" i="1" s="1"/>
  <c r="O646" i="2"/>
  <c r="BR569" i="1" s="1"/>
  <c r="N646" i="2"/>
  <c r="P646" i="2"/>
  <c r="AF569" i="1" s="1"/>
  <c r="G646" i="2"/>
  <c r="AP569" i="1" s="1"/>
  <c r="J646" i="2"/>
  <c r="X569" i="1" s="1"/>
  <c r="K646" i="2"/>
  <c r="L646" i="2"/>
  <c r="I646" i="2"/>
  <c r="BA154" i="1" s="1"/>
  <c r="AV154" i="1" s="1"/>
  <c r="R646" i="2"/>
  <c r="H646" i="2"/>
  <c r="E646" i="2"/>
  <c r="Q646" i="2"/>
  <c r="BA155" i="1"/>
  <c r="AX568" i="1"/>
  <c r="C691" i="1"/>
  <c r="H281" i="2"/>
  <c r="N281" i="2"/>
  <c r="N403" i="2" s="1"/>
  <c r="BN304" i="1" s="1"/>
  <c r="K281" i="2"/>
  <c r="R281" i="2"/>
  <c r="G281" i="2"/>
  <c r="L281" i="2"/>
  <c r="P281" i="2"/>
  <c r="J281" i="2"/>
  <c r="Q281" i="2"/>
  <c r="I281" i="2"/>
  <c r="F281" i="2"/>
  <c r="E281" i="2"/>
  <c r="O281" i="2"/>
  <c r="M281" i="2"/>
  <c r="BU47" i="1"/>
  <c r="AI20" i="8"/>
  <c r="AI32" i="8" s="1"/>
  <c r="L50" i="1"/>
  <c r="L48" i="2"/>
  <c r="E48" i="2"/>
  <c r="M48" i="2"/>
  <c r="N48" i="2"/>
  <c r="D49" i="2"/>
  <c r="O48" i="2"/>
  <c r="H48" i="2"/>
  <c r="P48" i="2"/>
  <c r="I48" i="2"/>
  <c r="Q48" i="2"/>
  <c r="K48" i="2"/>
  <c r="R48" i="2"/>
  <c r="BY49" i="1"/>
  <c r="BV463" i="1"/>
  <c r="C37" i="2"/>
  <c r="H301" i="1"/>
  <c r="CG301" i="1" s="1"/>
  <c r="AI21" i="8"/>
  <c r="AI33" i="8" s="1"/>
  <c r="R50" i="1"/>
  <c r="AI19" i="8"/>
  <c r="AI31" i="8" s="1"/>
  <c r="G569" i="1"/>
  <c r="BJ50" i="1"/>
  <c r="C525" i="18"/>
  <c r="C647" i="18" s="1"/>
  <c r="W690" i="1"/>
  <c r="J402" i="18"/>
  <c r="W303" i="1" s="1"/>
  <c r="AI18" i="8"/>
  <c r="AI30" i="8" s="1"/>
  <c r="CE155" i="1"/>
  <c r="CB568" i="1"/>
  <c r="CE154" i="1"/>
  <c r="AW47" i="1"/>
  <c r="BD50" i="1"/>
  <c r="BN50" i="1"/>
  <c r="AK7" i="8"/>
  <c r="AK9" i="8"/>
  <c r="AK11" i="8"/>
  <c r="AK2" i="8"/>
  <c r="AL1" i="8"/>
  <c r="AK15" i="8"/>
  <c r="AK6" i="8"/>
  <c r="AK8" i="8"/>
  <c r="AK10" i="8"/>
  <c r="AK12" i="8"/>
  <c r="AK13" i="8"/>
  <c r="AK14" i="8"/>
  <c r="AK39" i="8"/>
  <c r="BA49" i="1"/>
  <c r="AX463" i="1"/>
  <c r="A38" i="2"/>
  <c r="B38" i="2"/>
  <c r="G568" i="1"/>
  <c r="E38" i="1"/>
  <c r="F38" i="1"/>
  <c r="D38" i="1"/>
  <c r="C452" i="1"/>
  <c r="AI464" i="1"/>
  <c r="A35" i="10"/>
  <c r="G158" i="2" s="1"/>
  <c r="AP157" i="1" s="1"/>
  <c r="C281" i="18"/>
  <c r="C158" i="18"/>
  <c r="C403" i="18"/>
  <c r="A35" i="13"/>
  <c r="C35" i="13" s="1"/>
  <c r="C161" i="12"/>
  <c r="L402" i="18"/>
  <c r="AI303" i="1" s="1"/>
  <c r="AI690" i="1"/>
  <c r="E536" i="2"/>
  <c r="K536" i="2"/>
  <c r="L536" i="2"/>
  <c r="I536" i="2"/>
  <c r="Q536" i="2"/>
  <c r="R536" i="2"/>
  <c r="H536" i="2"/>
  <c r="D537" i="2"/>
  <c r="CA47" i="1"/>
  <c r="AM49" i="1"/>
  <c r="AJ464" i="1"/>
  <c r="CA690" i="1"/>
  <c r="R402" i="18"/>
  <c r="CA303" i="1" s="1"/>
  <c r="H462" i="1"/>
  <c r="AI26" i="8"/>
  <c r="AI38" i="8" s="1"/>
  <c r="BY155" i="1"/>
  <c r="BV568" i="1"/>
  <c r="BY154" i="1"/>
  <c r="AO47" i="1"/>
  <c r="Q47" i="1"/>
  <c r="CB50" i="1"/>
  <c r="G156" i="1"/>
  <c r="O49" i="1"/>
  <c r="I49" i="1" s="1"/>
  <c r="L463" i="1"/>
  <c r="H536" i="18"/>
  <c r="Q536" i="18"/>
  <c r="R536" i="18"/>
  <c r="J536" i="18"/>
  <c r="L536" i="18"/>
  <c r="E536" i="18"/>
  <c r="D537" i="18"/>
  <c r="BH154" i="1"/>
  <c r="BD568" i="1"/>
  <c r="G463" i="1"/>
  <c r="BC690" i="1"/>
  <c r="K402" i="18"/>
  <c r="BC303" i="1" s="1"/>
  <c r="U155" i="1"/>
  <c r="R568" i="1"/>
  <c r="U154" i="1"/>
  <c r="AJ50" i="1"/>
  <c r="AI25" i="8"/>
  <c r="AI37" i="8" s="1"/>
  <c r="B38" i="18"/>
  <c r="A38" i="18"/>
  <c r="C38" i="18" s="1"/>
  <c r="AM155" i="1"/>
  <c r="AJ568" i="1"/>
  <c r="AM154" i="1"/>
  <c r="A526" i="18"/>
  <c r="C526" i="18" s="1"/>
  <c r="C648" i="18" s="1"/>
  <c r="B526" i="18"/>
  <c r="BU690" i="1"/>
  <c r="Q402" i="18"/>
  <c r="BU303" i="1" s="1"/>
  <c r="AO690" i="1"/>
  <c r="G402" i="18"/>
  <c r="AO303" i="1" s="1"/>
  <c r="I48" i="1"/>
  <c r="A526" i="2"/>
  <c r="B526" i="2"/>
  <c r="K47" i="1"/>
  <c r="BV50" i="1"/>
  <c r="CE49" i="1"/>
  <c r="CB463" i="1"/>
  <c r="C690" i="1"/>
  <c r="L280" i="2"/>
  <c r="R280" i="2"/>
  <c r="G280" i="2"/>
  <c r="N280" i="2"/>
  <c r="N402" i="2" s="1"/>
  <c r="BN303" i="1" s="1"/>
  <c r="M280" i="2"/>
  <c r="I280" i="2"/>
  <c r="P280" i="2"/>
  <c r="J280" i="2"/>
  <c r="K280" i="2"/>
  <c r="H280" i="2"/>
  <c r="O280" i="2"/>
  <c r="Q280" i="2"/>
  <c r="F280" i="2"/>
  <c r="E280" i="2"/>
  <c r="K464" i="1"/>
  <c r="G464" i="1" s="1"/>
  <c r="G302" i="1"/>
  <c r="CG302" i="1" s="1"/>
  <c r="AW690" i="1"/>
  <c r="I402" i="18"/>
  <c r="AW303" i="1" s="1"/>
  <c r="O402" i="18"/>
  <c r="BQ303" i="1" s="1"/>
  <c r="BQ690" i="1"/>
  <c r="O647" i="2"/>
  <c r="BR570" i="1" s="1"/>
  <c r="E647" i="2"/>
  <c r="O155" i="1"/>
  <c r="L568" i="1"/>
  <c r="O154" i="1"/>
  <c r="D46" i="18"/>
  <c r="G45" i="18"/>
  <c r="H45" i="18"/>
  <c r="I45" i="18"/>
  <c r="Q45" i="18"/>
  <c r="J45" i="18"/>
  <c r="R45" i="18"/>
  <c r="E45" i="18"/>
  <c r="K45" i="18"/>
  <c r="AX50" i="1"/>
  <c r="U49" i="1"/>
  <c r="R463" i="1"/>
  <c r="G157" i="2"/>
  <c r="AP156" i="1" s="1"/>
  <c r="J157" i="2"/>
  <c r="X156" i="1" s="1"/>
  <c r="F157" i="2"/>
  <c r="AB156" i="1" s="1"/>
  <c r="L157" i="2"/>
  <c r="AJ156" i="1" s="1"/>
  <c r="O157" i="2"/>
  <c r="BR156" i="1" s="1"/>
  <c r="I157" i="2"/>
  <c r="AX156" i="1" s="1"/>
  <c r="P157" i="2"/>
  <c r="AF156" i="1" s="1"/>
  <c r="N157" i="2"/>
  <c r="BN156" i="1" s="1"/>
  <c r="Q157" i="2"/>
  <c r="BV156" i="1" s="1"/>
  <c r="H157" i="2"/>
  <c r="R156" i="1" s="1"/>
  <c r="K157" i="2"/>
  <c r="BD156" i="1" s="1"/>
  <c r="M157" i="2"/>
  <c r="BJ156" i="1" s="1"/>
  <c r="E157" i="2"/>
  <c r="L156" i="1" s="1"/>
  <c r="R157" i="2"/>
  <c r="CB156" i="1" s="1"/>
  <c r="W464" i="1"/>
  <c r="AJ19" i="8" l="1"/>
  <c r="AJ31" i="8" s="1"/>
  <c r="AJ25" i="8"/>
  <c r="AJ37" i="8" s="1"/>
  <c r="AO48" i="1"/>
  <c r="J402" i="2"/>
  <c r="X303" i="1" s="1"/>
  <c r="X690" i="1"/>
  <c r="AI465" i="1"/>
  <c r="E537" i="2"/>
  <c r="R537" i="2"/>
  <c r="K537" i="2"/>
  <c r="L537" i="2"/>
  <c r="H537" i="2"/>
  <c r="I537" i="2"/>
  <c r="Q537" i="2"/>
  <c r="D538" i="2"/>
  <c r="A39" i="2"/>
  <c r="C39" i="2" s="1"/>
  <c r="B39" i="2"/>
  <c r="H158" i="2"/>
  <c r="BV691" i="1"/>
  <c r="Q403" i="2"/>
  <c r="BV304" i="1" s="1"/>
  <c r="CE156" i="1"/>
  <c r="CB569" i="1"/>
  <c r="F647" i="2"/>
  <c r="AB570" i="1" s="1"/>
  <c r="G47" i="1"/>
  <c r="C38" i="2"/>
  <c r="BJ51" i="1"/>
  <c r="E39" i="1"/>
  <c r="I647" i="2"/>
  <c r="M647" i="2"/>
  <c r="BJ570" i="1" s="1"/>
  <c r="CA465" i="1"/>
  <c r="CE50" i="1"/>
  <c r="CB464" i="1"/>
  <c r="I158" i="2"/>
  <c r="BV51" i="1"/>
  <c r="L51" i="1"/>
  <c r="AF691" i="1"/>
  <c r="P403" i="2"/>
  <c r="AF304" i="1" s="1"/>
  <c r="AM156" i="1"/>
  <c r="AJ569" i="1"/>
  <c r="CA48" i="1"/>
  <c r="H568" i="1"/>
  <c r="Q647" i="2"/>
  <c r="F402" i="2"/>
  <c r="AB303" i="1" s="1"/>
  <c r="AB690" i="1"/>
  <c r="BJ690" i="1"/>
  <c r="M402" i="2"/>
  <c r="BJ303" i="1" s="1"/>
  <c r="A527" i="18"/>
  <c r="C527" i="18" s="1"/>
  <c r="C649" i="18" s="1"/>
  <c r="B527" i="18"/>
  <c r="BU465" i="1"/>
  <c r="BY50" i="1"/>
  <c r="BV464" i="1"/>
  <c r="J161" i="12"/>
  <c r="R161" i="12"/>
  <c r="H161" i="12"/>
  <c r="P161" i="12"/>
  <c r="M161" i="12"/>
  <c r="E161" i="12"/>
  <c r="O161" i="12"/>
  <c r="F161" i="12"/>
  <c r="Q161" i="12"/>
  <c r="G161" i="12"/>
  <c r="S161" i="12"/>
  <c r="I161" i="12"/>
  <c r="K161" i="12"/>
  <c r="L161" i="12"/>
  <c r="N161" i="12"/>
  <c r="D452" i="1"/>
  <c r="E452" i="1"/>
  <c r="K158" i="2"/>
  <c r="M158" i="2"/>
  <c r="C159" i="2"/>
  <c r="C282" i="2"/>
  <c r="C404" i="2"/>
  <c r="C40" i="1"/>
  <c r="C158" i="1"/>
  <c r="C583" i="1" s="1"/>
  <c r="C305" i="1"/>
  <c r="D305" i="1" s="1"/>
  <c r="AX51" i="1"/>
  <c r="AJ51" i="1"/>
  <c r="BJ691" i="1"/>
  <c r="M403" i="2"/>
  <c r="BJ304" i="1" s="1"/>
  <c r="AJ691" i="1"/>
  <c r="L403" i="2"/>
  <c r="AJ304" i="1" s="1"/>
  <c r="BH156" i="1"/>
  <c r="BD569" i="1"/>
  <c r="G303" i="1"/>
  <c r="AJ24" i="8"/>
  <c r="AJ36" i="8" s="1"/>
  <c r="O157" i="1"/>
  <c r="L570" i="1"/>
  <c r="CB51" i="1"/>
  <c r="R691" i="1"/>
  <c r="H403" i="2"/>
  <c r="R304" i="1" s="1"/>
  <c r="AF690" i="1"/>
  <c r="P402" i="2"/>
  <c r="AF303" i="1" s="1"/>
  <c r="B39" i="18"/>
  <c r="A39" i="18"/>
  <c r="C39" i="18" s="1"/>
  <c r="U50" i="1"/>
  <c r="R464" i="1"/>
  <c r="L158" i="2"/>
  <c r="J403" i="2"/>
  <c r="X304" i="1" s="1"/>
  <c r="X691" i="1"/>
  <c r="K48" i="1"/>
  <c r="L690" i="1"/>
  <c r="E402" i="2"/>
  <c r="L303" i="1" s="1"/>
  <c r="AT156" i="1"/>
  <c r="W48" i="1"/>
  <c r="P647" i="2"/>
  <c r="AF570" i="1" s="1"/>
  <c r="BV690" i="1"/>
  <c r="Q402" i="2"/>
  <c r="BV303" i="1" s="1"/>
  <c r="AJ23" i="8"/>
  <c r="AJ35" i="8" s="1"/>
  <c r="A527" i="2"/>
  <c r="B527" i="2"/>
  <c r="F648" i="18"/>
  <c r="AA571" i="1" s="1"/>
  <c r="J648" i="18"/>
  <c r="W571" i="1" s="1"/>
  <c r="Q465" i="1"/>
  <c r="BA50" i="1"/>
  <c r="AX464" i="1"/>
  <c r="R158" i="2"/>
  <c r="Q158" i="2"/>
  <c r="AF51" i="1"/>
  <c r="H50" i="1"/>
  <c r="BR691" i="1"/>
  <c r="O403" i="2"/>
  <c r="BR304" i="1" s="1"/>
  <c r="G403" i="2"/>
  <c r="AP304" i="1" s="1"/>
  <c r="AP691" i="1"/>
  <c r="A37" i="10"/>
  <c r="C160" i="18"/>
  <c r="C405" i="18"/>
  <c r="C283" i="18"/>
  <c r="A37" i="13"/>
  <c r="C37" i="13" s="1"/>
  <c r="C163" i="12"/>
  <c r="W465" i="1"/>
  <c r="BD51" i="1"/>
  <c r="BA156" i="1"/>
  <c r="AX569" i="1"/>
  <c r="I154" i="1"/>
  <c r="AX690" i="1"/>
  <c r="I402" i="2"/>
  <c r="AX303" i="1" s="1"/>
  <c r="H156" i="1"/>
  <c r="AJ21" i="8"/>
  <c r="AJ33" i="8" s="1"/>
  <c r="BU48" i="1"/>
  <c r="L647" i="2"/>
  <c r="N647" i="2"/>
  <c r="BR690" i="1"/>
  <c r="O402" i="2"/>
  <c r="BR303" i="1" s="1"/>
  <c r="G402" i="2"/>
  <c r="AP303" i="1" s="1"/>
  <c r="AP690" i="1"/>
  <c r="AJ26" i="8"/>
  <c r="AJ38" i="8" s="1"/>
  <c r="C526" i="2"/>
  <c r="C648" i="2" s="1"/>
  <c r="H463" i="1"/>
  <c r="AM50" i="1"/>
  <c r="AJ465" i="1"/>
  <c r="AM1" i="8"/>
  <c r="AL7" i="8"/>
  <c r="AL9" i="8"/>
  <c r="AL11" i="8"/>
  <c r="AL2" i="8"/>
  <c r="AL14" i="8"/>
  <c r="AL13" i="8"/>
  <c r="AL6" i="8"/>
  <c r="AL8" i="8"/>
  <c r="AL10" i="8"/>
  <c r="AL12" i="8"/>
  <c r="AL15" i="8"/>
  <c r="AL39" i="8"/>
  <c r="O158" i="2"/>
  <c r="N158" i="2"/>
  <c r="AJ17" i="8"/>
  <c r="AJ29" i="8" s="1"/>
  <c r="R51" i="1"/>
  <c r="L691" i="1"/>
  <c r="E403" i="2"/>
  <c r="L304" i="1" s="1"/>
  <c r="CB691" i="1"/>
  <c r="R403" i="2"/>
  <c r="CB304" i="1" s="1"/>
  <c r="BY156" i="1"/>
  <c r="BV569" i="1"/>
  <c r="BN51" i="1"/>
  <c r="BC48" i="1"/>
  <c r="E46" i="18"/>
  <c r="D47" i="18"/>
  <c r="G46" i="18"/>
  <c r="H46" i="18"/>
  <c r="J46" i="18"/>
  <c r="R46" i="18"/>
  <c r="K46" i="18"/>
  <c r="I46" i="18"/>
  <c r="Q46" i="18"/>
  <c r="H647" i="2"/>
  <c r="BH50" i="1"/>
  <c r="BD464" i="1"/>
  <c r="P158" i="18"/>
  <c r="AE157" i="1" s="1"/>
  <c r="F158" i="18"/>
  <c r="AA157" i="1" s="1"/>
  <c r="L158" i="18"/>
  <c r="AI157" i="1" s="1"/>
  <c r="M158" i="18"/>
  <c r="BG157" i="1" s="1"/>
  <c r="O158" i="18"/>
  <c r="BQ157" i="1" s="1"/>
  <c r="A157" i="13"/>
  <c r="C157" i="13" s="1"/>
  <c r="J158" i="18"/>
  <c r="W157" i="1" s="1"/>
  <c r="R158" i="18"/>
  <c r="CA157" i="1" s="1"/>
  <c r="Q158" i="18"/>
  <c r="BU157" i="1" s="1"/>
  <c r="E158" i="18"/>
  <c r="K157" i="1" s="1"/>
  <c r="K158" i="18"/>
  <c r="BC157" i="1" s="1"/>
  <c r="I158" i="18"/>
  <c r="AW157" i="1" s="1"/>
  <c r="H158" i="18"/>
  <c r="Q157" i="1" s="1"/>
  <c r="G158" i="18"/>
  <c r="AO157" i="1" s="1"/>
  <c r="AK4" i="8"/>
  <c r="AK20" i="8" s="1"/>
  <c r="AK32" i="8" s="1"/>
  <c r="AK3" i="8"/>
  <c r="P158" i="2"/>
  <c r="J158" i="2"/>
  <c r="X157" i="1" s="1"/>
  <c r="BR51" i="1"/>
  <c r="F403" i="2"/>
  <c r="AB304" i="1" s="1"/>
  <c r="AB691" i="1"/>
  <c r="BD691" i="1"/>
  <c r="K403" i="2"/>
  <c r="BD304" i="1" s="1"/>
  <c r="O156" i="1"/>
  <c r="L569" i="1"/>
  <c r="AJ20" i="8"/>
  <c r="AJ32" i="8" s="1"/>
  <c r="F158" i="2"/>
  <c r="F39" i="1"/>
  <c r="K647" i="2"/>
  <c r="AW48" i="1"/>
  <c r="J647" i="2"/>
  <c r="X570" i="1" s="1"/>
  <c r="R690" i="1"/>
  <c r="H402" i="2"/>
  <c r="R303" i="1" s="1"/>
  <c r="CB690" i="1"/>
  <c r="R402" i="2"/>
  <c r="CB303" i="1" s="1"/>
  <c r="H537" i="18"/>
  <c r="Q537" i="18"/>
  <c r="R537" i="18"/>
  <c r="L537" i="18"/>
  <c r="D538" i="18"/>
  <c r="J537" i="18"/>
  <c r="E537" i="18"/>
  <c r="Q48" i="1"/>
  <c r="R647" i="2"/>
  <c r="G647" i="2"/>
  <c r="AP570" i="1" s="1"/>
  <c r="BD690" i="1"/>
  <c r="K402" i="2"/>
  <c r="BD303" i="1" s="1"/>
  <c r="AJ690" i="1"/>
  <c r="L402" i="2"/>
  <c r="AJ303" i="1" s="1"/>
  <c r="K465" i="1"/>
  <c r="O50" i="1"/>
  <c r="L464" i="1"/>
  <c r="G281" i="18"/>
  <c r="P281" i="18"/>
  <c r="F281" i="18"/>
  <c r="Q281" i="18"/>
  <c r="H281" i="18"/>
  <c r="R281" i="18"/>
  <c r="I281" i="18"/>
  <c r="K281" i="18"/>
  <c r="O281" i="18"/>
  <c r="E281" i="18"/>
  <c r="L281" i="18"/>
  <c r="J281" i="18"/>
  <c r="M281" i="18"/>
  <c r="E158" i="2"/>
  <c r="M647" i="18"/>
  <c r="BG570" i="1" s="1"/>
  <c r="F647" i="18"/>
  <c r="AA570" i="1" s="1"/>
  <c r="O647" i="18"/>
  <c r="BQ570" i="1" s="1"/>
  <c r="G647" i="18"/>
  <c r="AO570" i="1" s="1"/>
  <c r="P647" i="18"/>
  <c r="AE570" i="1" s="1"/>
  <c r="I647" i="18"/>
  <c r="AW570" i="1" s="1"/>
  <c r="K647" i="18"/>
  <c r="BC570" i="1" s="1"/>
  <c r="J647" i="18"/>
  <c r="W570" i="1" s="1"/>
  <c r="Q647" i="18"/>
  <c r="BU570" i="1" s="1"/>
  <c r="R647" i="18"/>
  <c r="CA570" i="1" s="1"/>
  <c r="E647" i="18"/>
  <c r="K570" i="1" s="1"/>
  <c r="L647" i="18"/>
  <c r="AI570" i="1" s="1"/>
  <c r="H647" i="18"/>
  <c r="Q570" i="1" s="1"/>
  <c r="AJ18" i="8"/>
  <c r="AJ30" i="8" s="1"/>
  <c r="R49" i="2"/>
  <c r="K49" i="2"/>
  <c r="L49" i="2"/>
  <c r="E49" i="2"/>
  <c r="M49" i="2"/>
  <c r="N49" i="2"/>
  <c r="D50" i="2"/>
  <c r="O49" i="2"/>
  <c r="I49" i="2"/>
  <c r="Q49" i="2"/>
  <c r="H49" i="2"/>
  <c r="P49" i="2"/>
  <c r="AX691" i="1"/>
  <c r="I403" i="2"/>
  <c r="AX304" i="1" s="1"/>
  <c r="U156" i="1"/>
  <c r="R569" i="1"/>
  <c r="A36" i="10"/>
  <c r="O648" i="18" s="1"/>
  <c r="BQ571" i="1" s="1"/>
  <c r="C159" i="18"/>
  <c r="C282" i="18"/>
  <c r="C404" i="18"/>
  <c r="A36" i="13"/>
  <c r="C36" i="13" s="1"/>
  <c r="C162" i="12"/>
  <c r="D453" i="1"/>
  <c r="E453" i="1"/>
  <c r="H304" i="1" l="1"/>
  <c r="C161" i="2"/>
  <c r="C284" i="2"/>
  <c r="C406" i="2"/>
  <c r="C42" i="1"/>
  <c r="C161" i="1"/>
  <c r="C585" i="1" s="1"/>
  <c r="C307" i="1"/>
  <c r="D307" i="1" s="1"/>
  <c r="F403" i="18"/>
  <c r="AA304" i="1" s="1"/>
  <c r="AA691" i="1"/>
  <c r="W49" i="1"/>
  <c r="G48" i="1"/>
  <c r="K538" i="2"/>
  <c r="I538" i="2"/>
  <c r="R538" i="2"/>
  <c r="L538" i="2"/>
  <c r="H538" i="2"/>
  <c r="Q538" i="2"/>
  <c r="E538" i="2"/>
  <c r="D539" i="2"/>
  <c r="AF52" i="1"/>
  <c r="K466" i="1"/>
  <c r="AK25" i="8"/>
  <c r="AK37" i="8" s="1"/>
  <c r="Q49" i="1"/>
  <c r="AL23" i="8"/>
  <c r="AL35" i="8" s="1"/>
  <c r="AV156" i="1"/>
  <c r="J163" i="12"/>
  <c r="R163" i="12"/>
  <c r="H163" i="12"/>
  <c r="P163" i="12"/>
  <c r="M163" i="12"/>
  <c r="N163" i="12"/>
  <c r="E163" i="12"/>
  <c r="O163" i="12"/>
  <c r="F163" i="12"/>
  <c r="Q163" i="12"/>
  <c r="G163" i="12"/>
  <c r="S163" i="12"/>
  <c r="I163" i="12"/>
  <c r="K163" i="12"/>
  <c r="L163" i="12"/>
  <c r="AK26" i="8"/>
  <c r="AK38" i="8" s="1"/>
  <c r="L648" i="18"/>
  <c r="AI571" i="1" s="1"/>
  <c r="I648" i="18"/>
  <c r="AW571" i="1" s="1"/>
  <c r="A38" i="10"/>
  <c r="C161" i="18"/>
  <c r="C406" i="18"/>
  <c r="C284" i="18"/>
  <c r="A38" i="13"/>
  <c r="C38" i="13" s="1"/>
  <c r="C164" i="12"/>
  <c r="BJ157" i="1"/>
  <c r="H51" i="1"/>
  <c r="BY51" i="1"/>
  <c r="BV465" i="1"/>
  <c r="BN52" i="1"/>
  <c r="W691" i="1"/>
  <c r="J403" i="18"/>
  <c r="W304" i="1" s="1"/>
  <c r="AL4" i="8"/>
  <c r="AL20" i="8" s="1"/>
  <c r="AL32" i="8" s="1"/>
  <c r="AL3" i="8"/>
  <c r="BV157" i="1"/>
  <c r="L403" i="18"/>
  <c r="AI304" i="1" s="1"/>
  <c r="AI691" i="1"/>
  <c r="F648" i="2"/>
  <c r="AB571" i="1" s="1"/>
  <c r="J648" i="2"/>
  <c r="X571" i="1" s="1"/>
  <c r="G648" i="2"/>
  <c r="AP571" i="1" s="1"/>
  <c r="P648" i="2"/>
  <c r="AF571" i="1" s="1"/>
  <c r="O648" i="2"/>
  <c r="BR571" i="1" s="1"/>
  <c r="M648" i="2"/>
  <c r="BJ571" i="1" s="1"/>
  <c r="N648" i="2"/>
  <c r="L648" i="2"/>
  <c r="I648" i="2"/>
  <c r="E648" i="2"/>
  <c r="H648" i="2"/>
  <c r="R648" i="2"/>
  <c r="Q648" i="2"/>
  <c r="K648" i="2"/>
  <c r="BD571" i="1" s="1"/>
  <c r="AK23" i="8"/>
  <c r="AK35" i="8" s="1"/>
  <c r="CB157" i="1"/>
  <c r="H648" i="18"/>
  <c r="Q571" i="1" s="1"/>
  <c r="K648" i="18"/>
  <c r="BC571" i="1" s="1"/>
  <c r="F159" i="2"/>
  <c r="AB158" i="1" s="1"/>
  <c r="G159" i="2"/>
  <c r="AP158" i="1" s="1"/>
  <c r="J159" i="2"/>
  <c r="X158" i="1" s="1"/>
  <c r="H159" i="2"/>
  <c r="R158" i="1" s="1"/>
  <c r="R159" i="2"/>
  <c r="CB158" i="1" s="1"/>
  <c r="P159" i="2"/>
  <c r="AF158" i="1" s="1"/>
  <c r="L159" i="2"/>
  <c r="AJ158" i="1" s="1"/>
  <c r="N159" i="2"/>
  <c r="BN158" i="1" s="1"/>
  <c r="M159" i="2"/>
  <c r="BJ158" i="1" s="1"/>
  <c r="K159" i="2"/>
  <c r="BD158" i="1" s="1"/>
  <c r="E159" i="2"/>
  <c r="L158" i="1" s="1"/>
  <c r="H158" i="1" s="1"/>
  <c r="Q159" i="2"/>
  <c r="BV158" i="1" s="1"/>
  <c r="I159" i="2"/>
  <c r="AX158" i="1" s="1"/>
  <c r="O159" i="2"/>
  <c r="BR158" i="1" s="1"/>
  <c r="BY157" i="1"/>
  <c r="BV570" i="1"/>
  <c r="AK19" i="8"/>
  <c r="AK31" i="8" s="1"/>
  <c r="L52" i="1"/>
  <c r="K691" i="1"/>
  <c r="E403" i="18"/>
  <c r="K304" i="1" s="1"/>
  <c r="P403" i="18"/>
  <c r="AE304" i="1" s="1"/>
  <c r="AE691" i="1"/>
  <c r="I282" i="18"/>
  <c r="R282" i="18"/>
  <c r="K282" i="18"/>
  <c r="L282" i="18"/>
  <c r="M282" i="18"/>
  <c r="F282" i="18"/>
  <c r="P282" i="18"/>
  <c r="E282" i="18"/>
  <c r="G282" i="18"/>
  <c r="H282" i="18"/>
  <c r="J282" i="18"/>
  <c r="Q282" i="18"/>
  <c r="O282" i="18"/>
  <c r="R52" i="1"/>
  <c r="AJ52" i="1"/>
  <c r="O403" i="18"/>
  <c r="BQ304" i="1" s="1"/>
  <c r="BQ691" i="1"/>
  <c r="AO691" i="1"/>
  <c r="G403" i="18"/>
  <c r="AO304" i="1" s="1"/>
  <c r="W466" i="1"/>
  <c r="AB157" i="1"/>
  <c r="AO49" i="1"/>
  <c r="AL18" i="8"/>
  <c r="AL30" i="8" s="1"/>
  <c r="Q648" i="18"/>
  <c r="BU571" i="1" s="1"/>
  <c r="P648" i="18"/>
  <c r="AE571" i="1" s="1"/>
  <c r="A40" i="18"/>
  <c r="C40" i="18" s="1"/>
  <c r="B40" i="18"/>
  <c r="BD157" i="1"/>
  <c r="A528" i="18"/>
  <c r="B528" i="18"/>
  <c r="BA51" i="1"/>
  <c r="AX465" i="1"/>
  <c r="BA157" i="1"/>
  <c r="AX570" i="1"/>
  <c r="BV52" i="1"/>
  <c r="BD52" i="1"/>
  <c r="L157" i="1"/>
  <c r="BC691" i="1"/>
  <c r="K403" i="18"/>
  <c r="BC304" i="1" s="1"/>
  <c r="H464" i="1"/>
  <c r="E538" i="18"/>
  <c r="D539" i="18"/>
  <c r="H538" i="18"/>
  <c r="Q538" i="18"/>
  <c r="J538" i="18"/>
  <c r="R538" i="18"/>
  <c r="L538" i="18"/>
  <c r="U157" i="1"/>
  <c r="R570" i="1"/>
  <c r="J47" i="18"/>
  <c r="R47" i="18"/>
  <c r="K47" i="18"/>
  <c r="E47" i="18"/>
  <c r="D48" i="18"/>
  <c r="H47" i="18"/>
  <c r="Q47" i="18"/>
  <c r="G47" i="18"/>
  <c r="I47" i="18"/>
  <c r="AL19" i="8"/>
  <c r="AL31" i="8" s="1"/>
  <c r="AN1" i="8"/>
  <c r="AM2" i="8"/>
  <c r="AM6" i="8"/>
  <c r="AM8" i="8"/>
  <c r="AM10" i="8"/>
  <c r="AM12" i="8"/>
  <c r="AM14" i="8"/>
  <c r="AM11" i="8"/>
  <c r="AM15" i="8"/>
  <c r="AM39" i="8"/>
  <c r="AM13" i="8"/>
  <c r="AM9" i="8"/>
  <c r="AM7" i="8"/>
  <c r="K283" i="18"/>
  <c r="F283" i="18"/>
  <c r="P283" i="18"/>
  <c r="G283" i="18"/>
  <c r="Q283" i="18"/>
  <c r="H283" i="18"/>
  <c r="R283" i="18"/>
  <c r="J283" i="18"/>
  <c r="E283" i="18"/>
  <c r="I283" i="18"/>
  <c r="L283" i="18"/>
  <c r="M283" i="18"/>
  <c r="O283" i="18"/>
  <c r="R648" i="18"/>
  <c r="CA571" i="1" s="1"/>
  <c r="G648" i="18"/>
  <c r="AO571" i="1" s="1"/>
  <c r="AK17" i="8"/>
  <c r="AK29" i="8" s="1"/>
  <c r="I649" i="18"/>
  <c r="AW572" i="1" s="1"/>
  <c r="K649" i="18"/>
  <c r="BC572" i="1" s="1"/>
  <c r="M649" i="18"/>
  <c r="BG572" i="1" s="1"/>
  <c r="F649" i="18"/>
  <c r="AA572" i="1" s="1"/>
  <c r="G649" i="18"/>
  <c r="AO572" i="1" s="1"/>
  <c r="O649" i="18"/>
  <c r="BQ572" i="1" s="1"/>
  <c r="P649" i="18"/>
  <c r="AE572" i="1" s="1"/>
  <c r="J649" i="18"/>
  <c r="W572" i="1" s="1"/>
  <c r="E649" i="18"/>
  <c r="K572" i="1" s="1"/>
  <c r="H649" i="18"/>
  <c r="Q572" i="1" s="1"/>
  <c r="R649" i="18"/>
  <c r="CA572" i="1" s="1"/>
  <c r="L649" i="18"/>
  <c r="AI572" i="1" s="1"/>
  <c r="Q649" i="18"/>
  <c r="BU572" i="1" s="1"/>
  <c r="U51" i="1"/>
  <c r="R465" i="1"/>
  <c r="BU691" i="1"/>
  <c r="Q403" i="18"/>
  <c r="BU304" i="1" s="1"/>
  <c r="G570" i="1"/>
  <c r="AL26" i="8"/>
  <c r="AL38" i="8" s="1"/>
  <c r="CB52" i="1"/>
  <c r="AK22" i="8"/>
  <c r="AK34" i="8" s="1"/>
  <c r="AW691" i="1"/>
  <c r="I403" i="18"/>
  <c r="AW304" i="1" s="1"/>
  <c r="I50" i="1"/>
  <c r="AI466" i="1"/>
  <c r="H569" i="1"/>
  <c r="BU49" i="1"/>
  <c r="K49" i="1"/>
  <c r="E648" i="18"/>
  <c r="K571" i="1" s="1"/>
  <c r="B528" i="2"/>
  <c r="A528" i="2"/>
  <c r="AK18" i="8"/>
  <c r="AK30" i="8" s="1"/>
  <c r="R157" i="1"/>
  <c r="AM51" i="1"/>
  <c r="AJ466" i="1"/>
  <c r="J162" i="12"/>
  <c r="R162" i="12"/>
  <c r="H162" i="12"/>
  <c r="P162" i="12"/>
  <c r="G162" i="12"/>
  <c r="S162" i="12"/>
  <c r="I162" i="12"/>
  <c r="L162" i="12"/>
  <c r="M162" i="12"/>
  <c r="K162" i="12"/>
  <c r="N162" i="12"/>
  <c r="E162" i="12"/>
  <c r="O162" i="12"/>
  <c r="F162" i="12"/>
  <c r="Q162" i="12"/>
  <c r="Q466" i="1"/>
  <c r="C692" i="1"/>
  <c r="R282" i="2"/>
  <c r="F282" i="2"/>
  <c r="E282" i="2"/>
  <c r="G282" i="2"/>
  <c r="N282" i="2"/>
  <c r="N404" i="2" s="1"/>
  <c r="BN305" i="1" s="1"/>
  <c r="M282" i="2"/>
  <c r="I282" i="2"/>
  <c r="P282" i="2"/>
  <c r="J282" i="2"/>
  <c r="L282" i="2"/>
  <c r="H282" i="2"/>
  <c r="O282" i="2"/>
  <c r="K282" i="2"/>
  <c r="Q282" i="2"/>
  <c r="O51" i="1"/>
  <c r="L465" i="1"/>
  <c r="L159" i="18"/>
  <c r="AI158" i="1" s="1"/>
  <c r="M159" i="18"/>
  <c r="BG158" i="1" s="1"/>
  <c r="P159" i="18"/>
  <c r="AE158" i="1" s="1"/>
  <c r="F159" i="18"/>
  <c r="AA158" i="1" s="1"/>
  <c r="O159" i="18"/>
  <c r="BQ158" i="1" s="1"/>
  <c r="A158" i="13"/>
  <c r="C158" i="13" s="1"/>
  <c r="I159" i="18"/>
  <c r="AW158" i="1" s="1"/>
  <c r="K159" i="18"/>
  <c r="BC158" i="1" s="1"/>
  <c r="H159" i="18"/>
  <c r="Q158" i="1" s="1"/>
  <c r="J159" i="18"/>
  <c r="W158" i="1" s="1"/>
  <c r="R159" i="18"/>
  <c r="CA158" i="1" s="1"/>
  <c r="Q159" i="18"/>
  <c r="BU158" i="1" s="1"/>
  <c r="E159" i="18"/>
  <c r="K158" i="1" s="1"/>
  <c r="G158" i="1" s="1"/>
  <c r="G159" i="18"/>
  <c r="AO158" i="1" s="1"/>
  <c r="AX52" i="1"/>
  <c r="BR52" i="1"/>
  <c r="AK24" i="8"/>
  <c r="AK36" i="8" s="1"/>
  <c r="CA691" i="1"/>
  <c r="R403" i="18"/>
  <c r="CA304" i="1" s="1"/>
  <c r="CE157" i="1"/>
  <c r="CB570" i="1"/>
  <c r="CA466" i="1"/>
  <c r="I156" i="1"/>
  <c r="AW49" i="1"/>
  <c r="BN157" i="1"/>
  <c r="AL24" i="8"/>
  <c r="AL36" i="8" s="1"/>
  <c r="AK21" i="8"/>
  <c r="AK33" i="8" s="1"/>
  <c r="M160" i="18"/>
  <c r="BG159" i="1" s="1"/>
  <c r="F160" i="18"/>
  <c r="AA159" i="1" s="1"/>
  <c r="O160" i="18"/>
  <c r="BQ159" i="1" s="1"/>
  <c r="P160" i="18"/>
  <c r="AE159" i="1" s="1"/>
  <c r="L160" i="18"/>
  <c r="AI159" i="1" s="1"/>
  <c r="A159" i="13"/>
  <c r="C159" i="13" s="1"/>
  <c r="J160" i="18"/>
  <c r="W159" i="1" s="1"/>
  <c r="H160" i="18"/>
  <c r="Q159" i="1" s="1"/>
  <c r="Q160" i="18"/>
  <c r="BU159" i="1" s="1"/>
  <c r="R160" i="18"/>
  <c r="CA159" i="1" s="1"/>
  <c r="E160" i="18"/>
  <c r="K159" i="1" s="1"/>
  <c r="K160" i="18"/>
  <c r="BC159" i="1" s="1"/>
  <c r="G160" i="18"/>
  <c r="AO159" i="1" s="1"/>
  <c r="I160" i="18"/>
  <c r="AW159" i="1" s="1"/>
  <c r="M648" i="18"/>
  <c r="BG571" i="1" s="1"/>
  <c r="C527" i="2"/>
  <c r="C649" i="2" s="1"/>
  <c r="AJ157" i="1"/>
  <c r="D40" i="1"/>
  <c r="E40" i="1"/>
  <c r="F40" i="1"/>
  <c r="C454" i="1"/>
  <c r="C160" i="2"/>
  <c r="C405" i="2"/>
  <c r="C283" i="2"/>
  <c r="C41" i="1"/>
  <c r="C159" i="1"/>
  <c r="C584" i="1" s="1"/>
  <c r="C306" i="1"/>
  <c r="D306" i="1" s="1"/>
  <c r="BH51" i="1"/>
  <c r="BD465" i="1"/>
  <c r="CA49" i="1"/>
  <c r="AM157" i="1"/>
  <c r="AJ570" i="1"/>
  <c r="AX157" i="1"/>
  <c r="BJ52" i="1"/>
  <c r="BD570" i="1"/>
  <c r="H570" i="1" s="1"/>
  <c r="H50" i="2"/>
  <c r="P50" i="2"/>
  <c r="I50" i="2"/>
  <c r="Q50" i="2"/>
  <c r="R50" i="2"/>
  <c r="K50" i="2"/>
  <c r="L50" i="2"/>
  <c r="E50" i="2"/>
  <c r="M50" i="2"/>
  <c r="O50" i="2"/>
  <c r="N50" i="2"/>
  <c r="D51" i="2"/>
  <c r="M403" i="18"/>
  <c r="BG304" i="1" s="1"/>
  <c r="BG691" i="1"/>
  <c r="Q691" i="1"/>
  <c r="H403" i="18"/>
  <c r="Q304" i="1" s="1"/>
  <c r="G465" i="1"/>
  <c r="BU466" i="1"/>
  <c r="AF157" i="1"/>
  <c r="G157" i="1"/>
  <c r="BC49" i="1"/>
  <c r="BR157" i="1"/>
  <c r="AL25" i="8"/>
  <c r="AL37" i="8" s="1"/>
  <c r="H303" i="1"/>
  <c r="CG303" i="1" s="1"/>
  <c r="A40" i="2"/>
  <c r="B40" i="2"/>
  <c r="CE51" i="1"/>
  <c r="CB465" i="1"/>
  <c r="AL22" i="8" l="1"/>
  <c r="AL34" i="8" s="1"/>
  <c r="AL21" i="8"/>
  <c r="AL33" i="8" s="1"/>
  <c r="AL17" i="8"/>
  <c r="AL29" i="8" s="1"/>
  <c r="C693" i="1"/>
  <c r="H283" i="2"/>
  <c r="L283" i="2"/>
  <c r="Q283" i="2"/>
  <c r="G283" i="2"/>
  <c r="N283" i="2"/>
  <c r="N405" i="2" s="1"/>
  <c r="BN306" i="1" s="1"/>
  <c r="I283" i="2"/>
  <c r="R283" i="2"/>
  <c r="M283" i="2"/>
  <c r="P283" i="2"/>
  <c r="J283" i="2"/>
  <c r="O283" i="2"/>
  <c r="F283" i="2"/>
  <c r="E283" i="2"/>
  <c r="K283" i="2"/>
  <c r="BV53" i="1"/>
  <c r="G571" i="1"/>
  <c r="H48" i="18"/>
  <c r="I48" i="18"/>
  <c r="Q48" i="18"/>
  <c r="J48" i="18"/>
  <c r="R48" i="18"/>
  <c r="K48" i="18"/>
  <c r="D49" i="18"/>
  <c r="E48" i="18"/>
  <c r="G48" i="18"/>
  <c r="A529" i="18"/>
  <c r="B529" i="18"/>
  <c r="BY158" i="1"/>
  <c r="BV571" i="1"/>
  <c r="E284" i="18"/>
  <c r="M284" i="18"/>
  <c r="J284" i="18"/>
  <c r="K284" i="18"/>
  <c r="L284" i="18"/>
  <c r="F284" i="18"/>
  <c r="P284" i="18"/>
  <c r="I284" i="18"/>
  <c r="O284" i="18"/>
  <c r="Q284" i="18"/>
  <c r="R284" i="18"/>
  <c r="G284" i="18"/>
  <c r="H284" i="18"/>
  <c r="BA52" i="1"/>
  <c r="AX466" i="1"/>
  <c r="BN53" i="1"/>
  <c r="O405" i="18"/>
  <c r="BQ306" i="1" s="1"/>
  <c r="BQ693" i="1"/>
  <c r="BU693" i="1"/>
  <c r="Q405" i="18"/>
  <c r="BU306" i="1" s="1"/>
  <c r="AM4" i="8"/>
  <c r="AM24" i="8" s="1"/>
  <c r="AM36" i="8" s="1"/>
  <c r="AM3" i="8"/>
  <c r="K50" i="1"/>
  <c r="CA467" i="1"/>
  <c r="C528" i="18"/>
  <c r="C650" i="18" s="1"/>
  <c r="K692" i="1"/>
  <c r="E404" i="18"/>
  <c r="K305" i="1" s="1"/>
  <c r="CE158" i="1"/>
  <c r="CB571" i="1"/>
  <c r="BH52" i="1"/>
  <c r="BD466" i="1"/>
  <c r="CB53" i="1"/>
  <c r="CA693" i="1"/>
  <c r="R405" i="18"/>
  <c r="CA306" i="1" s="1"/>
  <c r="CA692" i="1"/>
  <c r="R404" i="18"/>
  <c r="CA305" i="1" s="1"/>
  <c r="CE52" i="1"/>
  <c r="CB466" i="1"/>
  <c r="G649" i="2"/>
  <c r="AP572" i="1" s="1"/>
  <c r="O649" i="2"/>
  <c r="BR572" i="1" s="1"/>
  <c r="M649" i="2"/>
  <c r="BJ572" i="1" s="1"/>
  <c r="F649" i="2"/>
  <c r="AB572" i="1" s="1"/>
  <c r="P649" i="2"/>
  <c r="AF572" i="1" s="1"/>
  <c r="J649" i="2"/>
  <c r="X572" i="1" s="1"/>
  <c r="N649" i="2"/>
  <c r="L649" i="2"/>
  <c r="E649" i="2"/>
  <c r="L572" i="1" s="1"/>
  <c r="I649" i="2"/>
  <c r="H649" i="2"/>
  <c r="K649" i="2"/>
  <c r="BD572" i="1" s="1"/>
  <c r="R649" i="2"/>
  <c r="Q649" i="2"/>
  <c r="BV572" i="1" s="1"/>
  <c r="Q693" i="1"/>
  <c r="H405" i="18"/>
  <c r="Q306" i="1" s="1"/>
  <c r="AI467" i="1"/>
  <c r="AO692" i="1"/>
  <c r="G404" i="18"/>
  <c r="AO305" i="1" s="1"/>
  <c r="AW692" i="1"/>
  <c r="I404" i="18"/>
  <c r="AW305" i="1" s="1"/>
  <c r="AX53" i="1"/>
  <c r="F160" i="2"/>
  <c r="AB159" i="1" s="1"/>
  <c r="G160" i="2"/>
  <c r="AP159" i="1" s="1"/>
  <c r="J160" i="2"/>
  <c r="X159" i="1" s="1"/>
  <c r="O160" i="2"/>
  <c r="BR159" i="1" s="1"/>
  <c r="E160" i="2"/>
  <c r="R160" i="2"/>
  <c r="CB159" i="1" s="1"/>
  <c r="N160" i="2"/>
  <c r="BN159" i="1" s="1"/>
  <c r="H160" i="2"/>
  <c r="R159" i="1" s="1"/>
  <c r="M160" i="2"/>
  <c r="BJ159" i="1" s="1"/>
  <c r="Q160" i="2"/>
  <c r="BV159" i="1" s="1"/>
  <c r="K160" i="2"/>
  <c r="I160" i="2"/>
  <c r="AX159" i="1" s="1"/>
  <c r="AT159" i="1" s="1"/>
  <c r="P160" i="2"/>
  <c r="AF159" i="1" s="1"/>
  <c r="L160" i="2"/>
  <c r="AJ159" i="1" s="1"/>
  <c r="BD692" i="1"/>
  <c r="K404" i="2"/>
  <c r="BD305" i="1" s="1"/>
  <c r="BR53" i="1"/>
  <c r="AF53" i="1"/>
  <c r="D454" i="1"/>
  <c r="E454" i="1"/>
  <c r="BR692" i="1"/>
  <c r="O404" i="2"/>
  <c r="BR305" i="1" s="1"/>
  <c r="G404" i="2"/>
  <c r="AP305" i="1" s="1"/>
  <c r="AP692" i="1"/>
  <c r="G49" i="1"/>
  <c r="M405" i="18"/>
  <c r="BG306" i="1" s="1"/>
  <c r="BG693" i="1"/>
  <c r="AO693" i="1"/>
  <c r="G405" i="18"/>
  <c r="AO306" i="1" s="1"/>
  <c r="AO1" i="8"/>
  <c r="AN7" i="8"/>
  <c r="AN9" i="8"/>
  <c r="AN11" i="8"/>
  <c r="AN13" i="8"/>
  <c r="AN15" i="8"/>
  <c r="AN6" i="8"/>
  <c r="AN2" i="8"/>
  <c r="AN14" i="8"/>
  <c r="AN12" i="8"/>
  <c r="AN8" i="8"/>
  <c r="AN10" i="8"/>
  <c r="AN39" i="8"/>
  <c r="BC50" i="1"/>
  <c r="W467" i="1"/>
  <c r="L159" i="1"/>
  <c r="H159" i="1" s="1"/>
  <c r="P404" i="18"/>
  <c r="AE305" i="1" s="1"/>
  <c r="AE692" i="1"/>
  <c r="U158" i="1"/>
  <c r="R571" i="1"/>
  <c r="M161" i="18"/>
  <c r="BG161" i="1" s="1"/>
  <c r="P161" i="18"/>
  <c r="AE161" i="1" s="1"/>
  <c r="F161" i="18"/>
  <c r="AA161" i="1" s="1"/>
  <c r="L161" i="18"/>
  <c r="AI161" i="1" s="1"/>
  <c r="O161" i="18"/>
  <c r="BQ161" i="1" s="1"/>
  <c r="A160" i="13"/>
  <c r="C160" i="13" s="1"/>
  <c r="E161" i="18"/>
  <c r="K161" i="1" s="1"/>
  <c r="I161" i="18"/>
  <c r="AW161" i="1" s="1"/>
  <c r="R161" i="18"/>
  <c r="CA161" i="1" s="1"/>
  <c r="Q161" i="18"/>
  <c r="BU161" i="1" s="1"/>
  <c r="G161" i="18"/>
  <c r="AO161" i="1" s="1"/>
  <c r="K161" i="18"/>
  <c r="BC161" i="1" s="1"/>
  <c r="J161" i="18"/>
  <c r="W161" i="1" s="1"/>
  <c r="H161" i="18"/>
  <c r="Q161" i="1" s="1"/>
  <c r="I539" i="2"/>
  <c r="Q539" i="2"/>
  <c r="K539" i="2"/>
  <c r="L539" i="2"/>
  <c r="H539" i="2"/>
  <c r="R539" i="2"/>
  <c r="E539" i="2"/>
  <c r="D540" i="2"/>
  <c r="D42" i="1"/>
  <c r="E42" i="1"/>
  <c r="F42" i="1"/>
  <c r="C456" i="1"/>
  <c r="A529" i="2"/>
  <c r="C529" i="2" s="1"/>
  <c r="C651" i="2" s="1"/>
  <c r="B529" i="2"/>
  <c r="Q50" i="1"/>
  <c r="BJ692" i="1"/>
  <c r="M404" i="2"/>
  <c r="BJ305" i="1" s="1"/>
  <c r="R53" i="1"/>
  <c r="R692" i="1"/>
  <c r="H404" i="2"/>
  <c r="R305" i="1" s="1"/>
  <c r="L692" i="1"/>
  <c r="E404" i="2"/>
  <c r="L305" i="1" s="1"/>
  <c r="L405" i="18"/>
  <c r="AI306" i="1" s="1"/>
  <c r="AI693" i="1"/>
  <c r="P405" i="18"/>
  <c r="AE306" i="1" s="1"/>
  <c r="AE693" i="1"/>
  <c r="AM22" i="8"/>
  <c r="AM34" i="8" s="1"/>
  <c r="CA50" i="1"/>
  <c r="BU467" i="1"/>
  <c r="H157" i="1"/>
  <c r="BD159" i="1"/>
  <c r="F404" i="18"/>
  <c r="AA305" i="1" s="1"/>
  <c r="AA692" i="1"/>
  <c r="G304" i="1"/>
  <c r="CG304" i="1" s="1"/>
  <c r="O158" i="1"/>
  <c r="L571" i="1"/>
  <c r="O159" i="1"/>
  <c r="O52" i="1"/>
  <c r="L466" i="1"/>
  <c r="AX692" i="1"/>
  <c r="I404" i="2"/>
  <c r="AX305" i="1" s="1"/>
  <c r="AM20" i="8"/>
  <c r="AM32" i="8" s="1"/>
  <c r="O51" i="2"/>
  <c r="D52" i="2"/>
  <c r="I51" i="2"/>
  <c r="Q51" i="2"/>
  <c r="R51" i="2"/>
  <c r="K51" i="2"/>
  <c r="E51" i="2"/>
  <c r="M51" i="2"/>
  <c r="N51" i="2"/>
  <c r="P51" i="2"/>
  <c r="H51" i="2"/>
  <c r="L51" i="2"/>
  <c r="BV692" i="1"/>
  <c r="Q404" i="2"/>
  <c r="BV305" i="1" s="1"/>
  <c r="BJ53" i="1"/>
  <c r="AJ692" i="1"/>
  <c r="L404" i="2"/>
  <c r="AJ305" i="1" s="1"/>
  <c r="F404" i="2"/>
  <c r="AB305" i="1" s="1"/>
  <c r="AB692" i="1"/>
  <c r="AW693" i="1"/>
  <c r="I405" i="18"/>
  <c r="AW306" i="1" s="1"/>
  <c r="F405" i="18"/>
  <c r="AA306" i="1" s="1"/>
  <c r="AA693" i="1"/>
  <c r="AM25" i="8"/>
  <c r="AM37" i="8" s="1"/>
  <c r="AW50" i="1"/>
  <c r="W50" i="1"/>
  <c r="Q467" i="1"/>
  <c r="O404" i="18"/>
  <c r="BQ305" i="1" s="1"/>
  <c r="BQ692" i="1"/>
  <c r="M404" i="18"/>
  <c r="BG305" i="1" s="1"/>
  <c r="BG692" i="1"/>
  <c r="BA158" i="1"/>
  <c r="AX571" i="1"/>
  <c r="BY52" i="1"/>
  <c r="BV466" i="1"/>
  <c r="C694" i="1"/>
  <c r="L284" i="2"/>
  <c r="R284" i="2"/>
  <c r="K284" i="2"/>
  <c r="G284" i="2"/>
  <c r="N284" i="2"/>
  <c r="N406" i="2" s="1"/>
  <c r="BN307" i="1" s="1"/>
  <c r="M284" i="2"/>
  <c r="I284" i="2"/>
  <c r="P284" i="2"/>
  <c r="J284" i="2"/>
  <c r="F284" i="2"/>
  <c r="H284" i="2"/>
  <c r="O284" i="2"/>
  <c r="Q284" i="2"/>
  <c r="E284" i="2"/>
  <c r="AM19" i="8"/>
  <c r="AM31" i="8" s="1"/>
  <c r="Q692" i="1"/>
  <c r="H404" i="18"/>
  <c r="Q305" i="1" s="1"/>
  <c r="B41" i="2"/>
  <c r="A41" i="2"/>
  <c r="L53" i="1"/>
  <c r="C40" i="2"/>
  <c r="AJ53" i="1"/>
  <c r="BH159" i="1"/>
  <c r="G159" i="1"/>
  <c r="H465" i="1"/>
  <c r="J404" i="2"/>
  <c r="X305" i="1" s="1"/>
  <c r="X692" i="1"/>
  <c r="CB692" i="1"/>
  <c r="R404" i="2"/>
  <c r="CB305" i="1" s="1"/>
  <c r="G572" i="1"/>
  <c r="K693" i="1"/>
  <c r="E405" i="18"/>
  <c r="K306" i="1" s="1"/>
  <c r="BC693" i="1"/>
  <c r="K405" i="18"/>
  <c r="BC306" i="1" s="1"/>
  <c r="AO50" i="1"/>
  <c r="L539" i="18"/>
  <c r="E539" i="18"/>
  <c r="D540" i="18"/>
  <c r="R539" i="18"/>
  <c r="J539" i="18"/>
  <c r="Q539" i="18"/>
  <c r="H539" i="18"/>
  <c r="A41" i="18"/>
  <c r="C41" i="18" s="1"/>
  <c r="B41" i="18"/>
  <c r="BU692" i="1"/>
  <c r="Q404" i="18"/>
  <c r="BU305" i="1" s="1"/>
  <c r="L404" i="18"/>
  <c r="AI305" i="1" s="1"/>
  <c r="AI692" i="1"/>
  <c r="H52" i="1"/>
  <c r="AM158" i="1"/>
  <c r="AJ571" i="1"/>
  <c r="G466" i="1"/>
  <c r="U52" i="1"/>
  <c r="R466" i="1"/>
  <c r="G161" i="2"/>
  <c r="AP161" i="1" s="1"/>
  <c r="F161" i="2"/>
  <c r="AB161" i="1" s="1"/>
  <c r="J161" i="2"/>
  <c r="X161" i="1" s="1"/>
  <c r="R161" i="2"/>
  <c r="CB161" i="1" s="1"/>
  <c r="H161" i="2"/>
  <c r="R161" i="1" s="1"/>
  <c r="O161" i="2"/>
  <c r="BR161" i="1" s="1"/>
  <c r="K161" i="2"/>
  <c r="BD161" i="1" s="1"/>
  <c r="Q161" i="2"/>
  <c r="BV161" i="1" s="1"/>
  <c r="P161" i="2"/>
  <c r="AF161" i="1" s="1"/>
  <c r="I161" i="2"/>
  <c r="AX161" i="1" s="1"/>
  <c r="L161" i="2"/>
  <c r="AJ161" i="1" s="1"/>
  <c r="N161" i="2"/>
  <c r="BN161" i="1" s="1"/>
  <c r="M161" i="2"/>
  <c r="BJ161" i="1" s="1"/>
  <c r="E161" i="2"/>
  <c r="L161" i="1" s="1"/>
  <c r="BD53" i="1"/>
  <c r="F41" i="1"/>
  <c r="D41" i="1"/>
  <c r="E41" i="1"/>
  <c r="C455" i="1"/>
  <c r="I51" i="1"/>
  <c r="AF692" i="1"/>
  <c r="P404" i="2"/>
  <c r="AF305" i="1" s="1"/>
  <c r="C528" i="2"/>
  <c r="C650" i="2" s="1"/>
  <c r="W693" i="1"/>
  <c r="J405" i="18"/>
  <c r="W306" i="1" s="1"/>
  <c r="BU50" i="1"/>
  <c r="K467" i="1"/>
  <c r="A39" i="10"/>
  <c r="C285" i="18"/>
  <c r="C162" i="18"/>
  <c r="C407" i="18"/>
  <c r="A39" i="13"/>
  <c r="C39" i="13" s="1"/>
  <c r="C165" i="12"/>
  <c r="W692" i="1"/>
  <c r="J404" i="18"/>
  <c r="W305" i="1" s="1"/>
  <c r="BC692" i="1"/>
  <c r="K404" i="18"/>
  <c r="BC305" i="1" s="1"/>
  <c r="J164" i="12"/>
  <c r="R164" i="12"/>
  <c r="H164" i="12"/>
  <c r="P164" i="12"/>
  <c r="G164" i="12"/>
  <c r="S164" i="12"/>
  <c r="I164" i="12"/>
  <c r="L164" i="12"/>
  <c r="M164" i="12"/>
  <c r="K164" i="12"/>
  <c r="N164" i="12"/>
  <c r="E164" i="12"/>
  <c r="O164" i="12"/>
  <c r="F164" i="12"/>
  <c r="Q164" i="12"/>
  <c r="AM52" i="1"/>
  <c r="AJ467" i="1"/>
  <c r="AM23" i="8" l="1"/>
  <c r="AM35" i="8" s="1"/>
  <c r="AM21" i="8"/>
  <c r="AM33" i="8" s="1"/>
  <c r="AM18" i="8"/>
  <c r="AM30" i="8" s="1"/>
  <c r="AX694" i="1"/>
  <c r="I406" i="2"/>
  <c r="AX307" i="1" s="1"/>
  <c r="P406" i="18"/>
  <c r="AE307" i="1" s="1"/>
  <c r="AE694" i="1"/>
  <c r="L694" i="1"/>
  <c r="E406" i="2"/>
  <c r="L307" i="1" s="1"/>
  <c r="L52" i="2"/>
  <c r="N52" i="2"/>
  <c r="O52" i="2"/>
  <c r="D53" i="2"/>
  <c r="R52" i="2"/>
  <c r="H52" i="2"/>
  <c r="I52" i="2"/>
  <c r="K52" i="2"/>
  <c r="M52" i="2"/>
  <c r="E52" i="2"/>
  <c r="P52" i="2"/>
  <c r="Q52" i="2"/>
  <c r="F406" i="18"/>
  <c r="AA307" i="1" s="1"/>
  <c r="AA694" i="1"/>
  <c r="B530" i="18"/>
  <c r="A530" i="18"/>
  <c r="C530" i="18" s="1"/>
  <c r="C652" i="18" s="1"/>
  <c r="BD693" i="1"/>
  <c r="K405" i="2"/>
  <c r="BD306" i="1" s="1"/>
  <c r="BN54" i="1"/>
  <c r="BR54" i="1"/>
  <c r="H571" i="1"/>
  <c r="BH53" i="1"/>
  <c r="BD467" i="1"/>
  <c r="AO6" i="8"/>
  <c r="AO8" i="8"/>
  <c r="AO10" i="8"/>
  <c r="AP1" i="8"/>
  <c r="AO7" i="8"/>
  <c r="AO9" i="8"/>
  <c r="AO11" i="8"/>
  <c r="AO12" i="8"/>
  <c r="AO13" i="8"/>
  <c r="AO15" i="8"/>
  <c r="AO14" i="8"/>
  <c r="AO2" i="8"/>
  <c r="AO39" i="8"/>
  <c r="CB572" i="1"/>
  <c r="CE159" i="1"/>
  <c r="Q694" i="1"/>
  <c r="H406" i="18"/>
  <c r="Q307" i="1" s="1"/>
  <c r="L406" i="18"/>
  <c r="AI307" i="1" s="1"/>
  <c r="AI694" i="1"/>
  <c r="C529" i="18"/>
  <c r="C651" i="18" s="1"/>
  <c r="AW51" i="1"/>
  <c r="L693" i="1"/>
  <c r="E405" i="2"/>
  <c r="L306" i="1" s="1"/>
  <c r="C162" i="2"/>
  <c r="C285" i="2"/>
  <c r="C407" i="2"/>
  <c r="C43" i="1"/>
  <c r="C162" i="1"/>
  <c r="C586" i="1" s="1"/>
  <c r="C308" i="1"/>
  <c r="D308" i="1" s="1"/>
  <c r="R54" i="1"/>
  <c r="J651" i="2"/>
  <c r="X574" i="1" s="1"/>
  <c r="M651" i="2"/>
  <c r="BJ574" i="1" s="1"/>
  <c r="G651" i="2"/>
  <c r="AP574" i="1" s="1"/>
  <c r="P651" i="2"/>
  <c r="AF574" i="1" s="1"/>
  <c r="N651" i="2"/>
  <c r="O651" i="2"/>
  <c r="BR574" i="1" s="1"/>
  <c r="F651" i="2"/>
  <c r="AB574" i="1" s="1"/>
  <c r="H651" i="2"/>
  <c r="Q651" i="2"/>
  <c r="E651" i="2"/>
  <c r="K651" i="2"/>
  <c r="BD574" i="1" s="1"/>
  <c r="R651" i="2"/>
  <c r="I651" i="2"/>
  <c r="L651" i="2"/>
  <c r="W51" i="1"/>
  <c r="AF54" i="1"/>
  <c r="BU51" i="1"/>
  <c r="AX693" i="1"/>
  <c r="I405" i="2"/>
  <c r="AX306" i="1" s="1"/>
  <c r="L540" i="18"/>
  <c r="E540" i="18"/>
  <c r="H540" i="18"/>
  <c r="Q540" i="18"/>
  <c r="D541" i="18"/>
  <c r="J540" i="18"/>
  <c r="R540" i="18"/>
  <c r="BV694" i="1"/>
  <c r="Q406" i="2"/>
  <c r="BV307" i="1" s="1"/>
  <c r="H161" i="1"/>
  <c r="K468" i="1"/>
  <c r="G306" i="1"/>
  <c r="BR694" i="1"/>
  <c r="O406" i="2"/>
  <c r="BR307" i="1" s="1"/>
  <c r="G406" i="2"/>
  <c r="AP307" i="1" s="1"/>
  <c r="AP694" i="1"/>
  <c r="BJ54" i="1"/>
  <c r="H305" i="1"/>
  <c r="BY53" i="1"/>
  <c r="BV467" i="1"/>
  <c r="AN4" i="8"/>
  <c r="AN20" i="8" s="1"/>
  <c r="AN32" i="8" s="1"/>
  <c r="AN3" i="8"/>
  <c r="AM26" i="8"/>
  <c r="AM38" i="8" s="1"/>
  <c r="G50" i="1"/>
  <c r="AO694" i="1"/>
  <c r="G406" i="18"/>
  <c r="AO307" i="1" s="1"/>
  <c r="BC694" i="1"/>
  <c r="K406" i="18"/>
  <c r="BC307" i="1" s="1"/>
  <c r="AO51" i="1"/>
  <c r="Q51" i="1"/>
  <c r="F405" i="2"/>
  <c r="AB306" i="1" s="1"/>
  <c r="AB693" i="1"/>
  <c r="G405" i="2"/>
  <c r="AP306" i="1" s="1"/>
  <c r="AP693" i="1"/>
  <c r="CB693" i="1"/>
  <c r="R405" i="2"/>
  <c r="CB306" i="1" s="1"/>
  <c r="J165" i="12"/>
  <c r="R165" i="12"/>
  <c r="H165" i="12"/>
  <c r="P165" i="12"/>
  <c r="M165" i="12"/>
  <c r="N165" i="12"/>
  <c r="E165" i="12"/>
  <c r="O165" i="12"/>
  <c r="F165" i="12"/>
  <c r="Q165" i="12"/>
  <c r="G165" i="12"/>
  <c r="S165" i="12"/>
  <c r="I165" i="12"/>
  <c r="K165" i="12"/>
  <c r="L165" i="12"/>
  <c r="H53" i="1"/>
  <c r="P162" i="18"/>
  <c r="AE162" i="1" s="1"/>
  <c r="F162" i="18"/>
  <c r="AA162" i="1" s="1"/>
  <c r="M162" i="18"/>
  <c r="BG162" i="1" s="1"/>
  <c r="O162" i="18"/>
  <c r="BQ162" i="1" s="1"/>
  <c r="L162" i="18"/>
  <c r="AI162" i="1" s="1"/>
  <c r="A161" i="13"/>
  <c r="C161" i="13" s="1"/>
  <c r="R162" i="18"/>
  <c r="CA162" i="1" s="1"/>
  <c r="J162" i="18"/>
  <c r="W162" i="1" s="1"/>
  <c r="H162" i="18"/>
  <c r="Q162" i="1" s="1"/>
  <c r="I162" i="18"/>
  <c r="AW162" i="1" s="1"/>
  <c r="E162" i="18"/>
  <c r="K162" i="1" s="1"/>
  <c r="K162" i="18"/>
  <c r="BC162" i="1" s="1"/>
  <c r="G162" i="18"/>
  <c r="AO162" i="1" s="1"/>
  <c r="Q162" i="18"/>
  <c r="BU162" i="1" s="1"/>
  <c r="E455" i="1"/>
  <c r="D455" i="1"/>
  <c r="B42" i="18"/>
  <c r="A42" i="18"/>
  <c r="C42" i="18" s="1"/>
  <c r="AI468" i="1"/>
  <c r="C41" i="2"/>
  <c r="R694" i="1"/>
  <c r="H406" i="2"/>
  <c r="R307" i="1" s="1"/>
  <c r="BD694" i="1"/>
  <c r="K406" i="2"/>
  <c r="BD307" i="1" s="1"/>
  <c r="L54" i="1"/>
  <c r="BA53" i="1"/>
  <c r="AX467" i="1"/>
  <c r="G161" i="1"/>
  <c r="R572" i="1"/>
  <c r="H572" i="1" s="1"/>
  <c r="U159" i="1"/>
  <c r="I159" i="1" s="1"/>
  <c r="CA694" i="1"/>
  <c r="R406" i="18"/>
  <c r="CA307" i="1" s="1"/>
  <c r="W694" i="1"/>
  <c r="J406" i="18"/>
  <c r="W307" i="1" s="1"/>
  <c r="K51" i="1"/>
  <c r="AM17" i="8"/>
  <c r="AM29" i="8" s="1"/>
  <c r="BR693" i="1"/>
  <c r="O405" i="2"/>
  <c r="BR306" i="1" s="1"/>
  <c r="BV693" i="1"/>
  <c r="Q405" i="2"/>
  <c r="BV306" i="1" s="1"/>
  <c r="P650" i="2"/>
  <c r="AF573" i="1" s="1"/>
  <c r="F650" i="2"/>
  <c r="AB573" i="1" s="1"/>
  <c r="O650" i="2"/>
  <c r="BR573" i="1" s="1"/>
  <c r="G650" i="2"/>
  <c r="AP573" i="1" s="1"/>
  <c r="J650" i="2"/>
  <c r="X573" i="1" s="1"/>
  <c r="M650" i="2"/>
  <c r="BJ573" i="1" s="1"/>
  <c r="N650" i="2"/>
  <c r="L650" i="2"/>
  <c r="R650" i="2"/>
  <c r="H650" i="2"/>
  <c r="K650" i="2"/>
  <c r="I650" i="2"/>
  <c r="E650" i="2"/>
  <c r="Q650" i="2"/>
  <c r="U53" i="1"/>
  <c r="R467" i="1"/>
  <c r="M650" i="18"/>
  <c r="BG573" i="1" s="1"/>
  <c r="F650" i="18"/>
  <c r="AA573" i="1" s="1"/>
  <c r="O650" i="18"/>
  <c r="BQ573" i="1" s="1"/>
  <c r="G650" i="18"/>
  <c r="AO573" i="1" s="1"/>
  <c r="P650" i="18"/>
  <c r="AE573" i="1" s="1"/>
  <c r="I650" i="18"/>
  <c r="AW573" i="1" s="1"/>
  <c r="K650" i="18"/>
  <c r="BC573" i="1" s="1"/>
  <c r="H650" i="18"/>
  <c r="Q573" i="1" s="1"/>
  <c r="J650" i="18"/>
  <c r="W573" i="1" s="1"/>
  <c r="Q650" i="18"/>
  <c r="BU573" i="1" s="1"/>
  <c r="R650" i="18"/>
  <c r="CA573" i="1" s="1"/>
  <c r="E650" i="18"/>
  <c r="K573" i="1" s="1"/>
  <c r="L650" i="18"/>
  <c r="AI573" i="1" s="1"/>
  <c r="AM53" i="1"/>
  <c r="AJ468" i="1"/>
  <c r="G285" i="18"/>
  <c r="P285" i="18"/>
  <c r="E285" i="18"/>
  <c r="O285" i="18"/>
  <c r="F285" i="18"/>
  <c r="Q285" i="18"/>
  <c r="H285" i="18"/>
  <c r="R285" i="18"/>
  <c r="J285" i="18"/>
  <c r="M285" i="18"/>
  <c r="K285" i="18"/>
  <c r="I285" i="18"/>
  <c r="L285" i="18"/>
  <c r="A40" i="10"/>
  <c r="C163" i="18"/>
  <c r="C286" i="18"/>
  <c r="C408" i="18"/>
  <c r="A40" i="13"/>
  <c r="C40" i="13" s="1"/>
  <c r="C166" i="12"/>
  <c r="A42" i="2"/>
  <c r="C42" i="2" s="1"/>
  <c r="B42" i="2"/>
  <c r="F406" i="2"/>
  <c r="AB307" i="1" s="1"/>
  <c r="AB694" i="1"/>
  <c r="CB694" i="1"/>
  <c r="R406" i="2"/>
  <c r="CB307" i="1" s="1"/>
  <c r="BD54" i="1"/>
  <c r="I540" i="2"/>
  <c r="Q540" i="2"/>
  <c r="R540" i="2"/>
  <c r="K540" i="2"/>
  <c r="H540" i="2"/>
  <c r="D541" i="2"/>
  <c r="L540" i="2"/>
  <c r="E540" i="2"/>
  <c r="BY159" i="1"/>
  <c r="AX572" i="1"/>
  <c r="BA159" i="1"/>
  <c r="AV159" i="1" s="1"/>
  <c r="BU694" i="1"/>
  <c r="Q406" i="18"/>
  <c r="BU307" i="1" s="1"/>
  <c r="M406" i="18"/>
  <c r="BG307" i="1" s="1"/>
  <c r="BG694" i="1"/>
  <c r="D50" i="18"/>
  <c r="G49" i="18"/>
  <c r="H49" i="18"/>
  <c r="I49" i="18"/>
  <c r="Q49" i="18"/>
  <c r="J49" i="18"/>
  <c r="R49" i="18"/>
  <c r="E49" i="18"/>
  <c r="K49" i="18"/>
  <c r="J405" i="2"/>
  <c r="X306" i="1" s="1"/>
  <c r="X693" i="1"/>
  <c r="AJ693" i="1"/>
  <c r="L405" i="2"/>
  <c r="AJ306" i="1" s="1"/>
  <c r="AX54" i="1"/>
  <c r="CA468" i="1"/>
  <c r="BJ694" i="1"/>
  <c r="M406" i="2"/>
  <c r="BJ307" i="1" s="1"/>
  <c r="D456" i="1"/>
  <c r="E456" i="1"/>
  <c r="Q468" i="1"/>
  <c r="J406" i="2"/>
  <c r="X307" i="1" s="1"/>
  <c r="X694" i="1"/>
  <c r="AJ694" i="1"/>
  <c r="L406" i="2"/>
  <c r="AJ307" i="1" s="1"/>
  <c r="CB54" i="1"/>
  <c r="H466" i="1"/>
  <c r="O53" i="1"/>
  <c r="I53" i="1" s="1"/>
  <c r="L467" i="1"/>
  <c r="H467" i="1" s="1"/>
  <c r="G305" i="1"/>
  <c r="CG305" i="1" s="1"/>
  <c r="O406" i="18"/>
  <c r="BQ307" i="1" s="1"/>
  <c r="BQ694" i="1"/>
  <c r="K694" i="1"/>
  <c r="E406" i="18"/>
  <c r="K307" i="1" s="1"/>
  <c r="G307" i="1" s="1"/>
  <c r="BC51" i="1"/>
  <c r="AF693" i="1"/>
  <c r="P405" i="2"/>
  <c r="AF306" i="1" s="1"/>
  <c r="R693" i="1"/>
  <c r="H405" i="2"/>
  <c r="R306" i="1" s="1"/>
  <c r="W468" i="1"/>
  <c r="G467" i="1"/>
  <c r="AT161" i="1"/>
  <c r="BU468" i="1"/>
  <c r="AF694" i="1"/>
  <c r="P406" i="2"/>
  <c r="AF307" i="1" s="1"/>
  <c r="AJ54" i="1"/>
  <c r="BV54" i="1"/>
  <c r="I52" i="1"/>
  <c r="A530" i="2"/>
  <c r="C530" i="2" s="1"/>
  <c r="C652" i="2" s="1"/>
  <c r="B530" i="2"/>
  <c r="CE53" i="1"/>
  <c r="CB467" i="1"/>
  <c r="AJ572" i="1"/>
  <c r="AM159" i="1"/>
  <c r="AW694" i="1"/>
  <c r="I406" i="18"/>
  <c r="AW307" i="1" s="1"/>
  <c r="CA51" i="1"/>
  <c r="BJ693" i="1"/>
  <c r="M405" i="2"/>
  <c r="BJ306" i="1" s="1"/>
  <c r="J652" i="2" l="1"/>
  <c r="X575" i="1" s="1"/>
  <c r="M652" i="2"/>
  <c r="BJ575" i="1" s="1"/>
  <c r="G652" i="2"/>
  <c r="AP575" i="1" s="1"/>
  <c r="P652" i="2"/>
  <c r="AF575" i="1" s="1"/>
  <c r="N652" i="2"/>
  <c r="O652" i="2"/>
  <c r="BR575" i="1" s="1"/>
  <c r="F652" i="2"/>
  <c r="AB575" i="1" s="1"/>
  <c r="I652" i="2"/>
  <c r="R652" i="2"/>
  <c r="E652" i="2"/>
  <c r="K652" i="2"/>
  <c r="H652" i="2"/>
  <c r="L652" i="2"/>
  <c r="Q652" i="2"/>
  <c r="BU52" i="1"/>
  <c r="BC695" i="1"/>
  <c r="K407" i="18"/>
  <c r="BC308" i="1" s="1"/>
  <c r="BD55" i="1"/>
  <c r="CG307" i="1"/>
  <c r="M407" i="18"/>
  <c r="BG308" i="1" s="1"/>
  <c r="BG695" i="1"/>
  <c r="G51" i="1"/>
  <c r="Q469" i="1"/>
  <c r="CE54" i="1"/>
  <c r="CB468" i="1"/>
  <c r="L163" i="18"/>
  <c r="AI164" i="1" s="1"/>
  <c r="M163" i="18"/>
  <c r="BG164" i="1" s="1"/>
  <c r="P163" i="18"/>
  <c r="AE164" i="1" s="1"/>
  <c r="F163" i="18"/>
  <c r="AA164" i="1" s="1"/>
  <c r="O163" i="18"/>
  <c r="BQ164" i="1" s="1"/>
  <c r="A162" i="13"/>
  <c r="C162" i="13" s="1"/>
  <c r="H163" i="18"/>
  <c r="Q164" i="1" s="1"/>
  <c r="K163" i="18"/>
  <c r="BC164" i="1" s="1"/>
  <c r="J163" i="18"/>
  <c r="W164" i="1" s="1"/>
  <c r="R163" i="18"/>
  <c r="CA164" i="1" s="1"/>
  <c r="G163" i="18"/>
  <c r="AO164" i="1" s="1"/>
  <c r="E163" i="18"/>
  <c r="K164" i="1" s="1"/>
  <c r="Q163" i="18"/>
  <c r="BU164" i="1" s="1"/>
  <c r="I163" i="18"/>
  <c r="AW164" i="1" s="1"/>
  <c r="AN17" i="8"/>
  <c r="AN29" i="8" s="1"/>
  <c r="G162" i="1"/>
  <c r="K469" i="1"/>
  <c r="AN18" i="8"/>
  <c r="AN30" i="8" s="1"/>
  <c r="H306" i="1"/>
  <c r="R55" i="1"/>
  <c r="AN21" i="8"/>
  <c r="AN33" i="8" s="1"/>
  <c r="AO52" i="1"/>
  <c r="AN26" i="8"/>
  <c r="AN38" i="8" s="1"/>
  <c r="BY54" i="1"/>
  <c r="BV468" i="1"/>
  <c r="CA695" i="1"/>
  <c r="R407" i="18"/>
  <c r="CA308" i="1" s="1"/>
  <c r="CE161" i="1"/>
  <c r="CB573" i="1"/>
  <c r="AI469" i="1"/>
  <c r="AN23" i="8"/>
  <c r="AN35" i="8" s="1"/>
  <c r="AM162" i="1"/>
  <c r="AJ574" i="1"/>
  <c r="AN25" i="8"/>
  <c r="AN37" i="8" s="1"/>
  <c r="CB55" i="1"/>
  <c r="BY162" i="1"/>
  <c r="BV574" i="1"/>
  <c r="G652" i="18"/>
  <c r="AO575" i="1" s="1"/>
  <c r="P652" i="18"/>
  <c r="AE575" i="1" s="1"/>
  <c r="I652" i="18"/>
  <c r="AW575" i="1" s="1"/>
  <c r="K652" i="18"/>
  <c r="BC575" i="1" s="1"/>
  <c r="F652" i="18"/>
  <c r="AA575" i="1" s="1"/>
  <c r="O652" i="18"/>
  <c r="BQ575" i="1" s="1"/>
  <c r="M652" i="18"/>
  <c r="BG575" i="1" s="1"/>
  <c r="R652" i="18"/>
  <c r="CA575" i="1" s="1"/>
  <c r="Q652" i="18"/>
  <c r="BU575" i="1" s="1"/>
  <c r="E652" i="18"/>
  <c r="K575" i="1" s="1"/>
  <c r="J652" i="18"/>
  <c r="W575" i="1" s="1"/>
  <c r="H652" i="18"/>
  <c r="Q575" i="1" s="1"/>
  <c r="L652" i="18"/>
  <c r="AI575" i="1" s="1"/>
  <c r="AW52" i="1"/>
  <c r="P407" i="18"/>
  <c r="AE308" i="1" s="1"/>
  <c r="AE695" i="1"/>
  <c r="J162" i="2"/>
  <c r="X162" i="1" s="1"/>
  <c r="F162" i="2"/>
  <c r="AB162" i="1" s="1"/>
  <c r="AB163" i="1" s="1"/>
  <c r="G162" i="2"/>
  <c r="AP162" i="1" s="1"/>
  <c r="H162" i="2"/>
  <c r="R162" i="1" s="1"/>
  <c r="R163" i="1" s="1"/>
  <c r="K162" i="2"/>
  <c r="BD162" i="1" s="1"/>
  <c r="BD163" i="1" s="1"/>
  <c r="I162" i="2"/>
  <c r="AX162" i="1" s="1"/>
  <c r="L162" i="2"/>
  <c r="AJ162" i="1" s="1"/>
  <c r="AJ163" i="1" s="1"/>
  <c r="Q162" i="2"/>
  <c r="BV162" i="1" s="1"/>
  <c r="BV163" i="1" s="1"/>
  <c r="O162" i="2"/>
  <c r="BR162" i="1" s="1"/>
  <c r="BR163" i="1" s="1"/>
  <c r="R162" i="2"/>
  <c r="CB162" i="1" s="1"/>
  <c r="CB163" i="1" s="1"/>
  <c r="E162" i="2"/>
  <c r="L162" i="1" s="1"/>
  <c r="P162" i="2"/>
  <c r="AF162" i="1" s="1"/>
  <c r="AF163" i="1" s="1"/>
  <c r="M162" i="2"/>
  <c r="BJ162" i="1" s="1"/>
  <c r="BJ163" i="1" s="1"/>
  <c r="N162" i="2"/>
  <c r="BN162" i="1" s="1"/>
  <c r="BN163" i="1" s="1"/>
  <c r="A531" i="18"/>
  <c r="B531" i="18"/>
  <c r="Q52" i="1"/>
  <c r="W695" i="1"/>
  <c r="J407" i="18"/>
  <c r="W308" i="1" s="1"/>
  <c r="B43" i="18"/>
  <c r="A43" i="18"/>
  <c r="BC52" i="1"/>
  <c r="E50" i="18"/>
  <c r="D51" i="18"/>
  <c r="G50" i="18"/>
  <c r="H50" i="18"/>
  <c r="J50" i="18"/>
  <c r="R50" i="18"/>
  <c r="Q50" i="18"/>
  <c r="I50" i="18"/>
  <c r="K50" i="18"/>
  <c r="BA54" i="1"/>
  <c r="AX468" i="1"/>
  <c r="A43" i="2"/>
  <c r="C43" i="2" s="1"/>
  <c r="B43" i="2"/>
  <c r="Q695" i="1"/>
  <c r="H407" i="18"/>
  <c r="Q308" i="1" s="1"/>
  <c r="AM161" i="1"/>
  <c r="AJ573" i="1"/>
  <c r="BA162" i="1"/>
  <c r="AV162" i="1" s="1"/>
  <c r="AX574" i="1"/>
  <c r="BV55" i="1"/>
  <c r="I53" i="2"/>
  <c r="Q53" i="2"/>
  <c r="K53" i="2"/>
  <c r="L53" i="2"/>
  <c r="O53" i="2"/>
  <c r="D54" i="2"/>
  <c r="P53" i="2"/>
  <c r="E53" i="2"/>
  <c r="R53" i="2"/>
  <c r="H53" i="2"/>
  <c r="M53" i="2"/>
  <c r="N53" i="2"/>
  <c r="U54" i="1"/>
  <c r="R468" i="1"/>
  <c r="C695" i="1"/>
  <c r="H285" i="2"/>
  <c r="Q285" i="2"/>
  <c r="K285" i="2"/>
  <c r="O285" i="2"/>
  <c r="M285" i="2"/>
  <c r="R285" i="2"/>
  <c r="I285" i="2"/>
  <c r="L285" i="2"/>
  <c r="P285" i="2"/>
  <c r="J285" i="2"/>
  <c r="G285" i="2"/>
  <c r="N285" i="2"/>
  <c r="N407" i="2" s="1"/>
  <c r="BN308" i="1" s="1"/>
  <c r="F285" i="2"/>
  <c r="E285" i="2"/>
  <c r="BH54" i="1"/>
  <c r="BD468" i="1"/>
  <c r="I286" i="18"/>
  <c r="R286" i="18"/>
  <c r="J286" i="18"/>
  <c r="K286" i="18"/>
  <c r="L286" i="18"/>
  <c r="E286" i="18"/>
  <c r="O286" i="18"/>
  <c r="F286" i="18"/>
  <c r="G286" i="18"/>
  <c r="H286" i="18"/>
  <c r="P286" i="18"/>
  <c r="M286" i="18"/>
  <c r="Q286" i="18"/>
  <c r="AX55" i="1"/>
  <c r="AN22" i="8"/>
  <c r="AN34" i="8" s="1"/>
  <c r="AO695" i="1"/>
  <c r="G407" i="18"/>
  <c r="AO308" i="1" s="1"/>
  <c r="U161" i="1"/>
  <c r="R573" i="1"/>
  <c r="K52" i="1"/>
  <c r="G52" i="1" s="1"/>
  <c r="O54" i="1"/>
  <c r="L468" i="1"/>
  <c r="C164" i="2"/>
  <c r="C287" i="2"/>
  <c r="C409" i="2"/>
  <c r="C45" i="1"/>
  <c r="C165" i="1"/>
  <c r="C588" i="1" s="1"/>
  <c r="C310" i="1"/>
  <c r="D310" i="1" s="1"/>
  <c r="BU695" i="1"/>
  <c r="Q407" i="18"/>
  <c r="BU308" i="1" s="1"/>
  <c r="CG306" i="1"/>
  <c r="CA469" i="1"/>
  <c r="CE162" i="1"/>
  <c r="CB574" i="1"/>
  <c r="AF55" i="1"/>
  <c r="BR55" i="1"/>
  <c r="AN19" i="8"/>
  <c r="AN31" i="8" s="1"/>
  <c r="K695" i="1"/>
  <c r="E407" i="18"/>
  <c r="K308" i="1" s="1"/>
  <c r="BH163" i="1"/>
  <c r="BD573" i="1"/>
  <c r="U162" i="1"/>
  <c r="R574" i="1"/>
  <c r="CA52" i="1"/>
  <c r="AM54" i="1"/>
  <c r="AJ469" i="1"/>
  <c r="J166" i="12"/>
  <c r="R166" i="12"/>
  <c r="H166" i="12"/>
  <c r="P166" i="12"/>
  <c r="G166" i="12"/>
  <c r="S166" i="12"/>
  <c r="I166" i="12"/>
  <c r="L166" i="12"/>
  <c r="M166" i="12"/>
  <c r="K166" i="12"/>
  <c r="N166" i="12"/>
  <c r="E166" i="12"/>
  <c r="O166" i="12"/>
  <c r="F166" i="12"/>
  <c r="Q166" i="12"/>
  <c r="L407" i="18"/>
  <c r="AI308" i="1" s="1"/>
  <c r="AI695" i="1"/>
  <c r="F407" i="18"/>
  <c r="AA308" i="1" s="1"/>
  <c r="AA695" i="1"/>
  <c r="BY161" i="1"/>
  <c r="BV573" i="1"/>
  <c r="C163" i="2"/>
  <c r="C286" i="2"/>
  <c r="C408" i="2"/>
  <c r="C44" i="1"/>
  <c r="C164" i="1"/>
  <c r="C587" i="1" s="1"/>
  <c r="C309" i="1"/>
  <c r="D309" i="1" s="1"/>
  <c r="G468" i="1"/>
  <c r="W469" i="1"/>
  <c r="D43" i="1"/>
  <c r="E43" i="1"/>
  <c r="F43" i="1"/>
  <c r="C457" i="1"/>
  <c r="L55" i="1"/>
  <c r="BN55" i="1"/>
  <c r="BA161" i="1"/>
  <c r="AX573" i="1"/>
  <c r="BU469" i="1"/>
  <c r="H307" i="1"/>
  <c r="A41" i="10"/>
  <c r="C287" i="18"/>
  <c r="C164" i="18"/>
  <c r="C409" i="18"/>
  <c r="A41" i="13"/>
  <c r="C41" i="13" s="1"/>
  <c r="C167" i="12"/>
  <c r="A531" i="2"/>
  <c r="C531" i="2" s="1"/>
  <c r="C653" i="2" s="1"/>
  <c r="B531" i="2"/>
  <c r="AN24" i="8"/>
  <c r="AN36" i="8" s="1"/>
  <c r="W52" i="1"/>
  <c r="E541" i="2"/>
  <c r="H541" i="2"/>
  <c r="I541" i="2"/>
  <c r="Q541" i="2"/>
  <c r="R541" i="2"/>
  <c r="K541" i="2"/>
  <c r="D542" i="2"/>
  <c r="L541" i="2"/>
  <c r="AW695" i="1"/>
  <c r="I407" i="18"/>
  <c r="AW308" i="1" s="1"/>
  <c r="O407" i="18"/>
  <c r="BQ308" i="1" s="1"/>
  <c r="BQ695" i="1"/>
  <c r="G573" i="1"/>
  <c r="O161" i="1"/>
  <c r="L573" i="1"/>
  <c r="H573" i="1" s="1"/>
  <c r="H54" i="1"/>
  <c r="CR414" i="1"/>
  <c r="AH414" i="1" s="1"/>
  <c r="CP416" i="1"/>
  <c r="AD416" i="1" s="1"/>
  <c r="CO412" i="1"/>
  <c r="AB412" i="1" s="1"/>
  <c r="CO414" i="1"/>
  <c r="AB414" i="1" s="1"/>
  <c r="CR408" i="1"/>
  <c r="AH408" i="1" s="1"/>
  <c r="AH418" i="1" s="1"/>
  <c r="CR411" i="1"/>
  <c r="AH411" i="1" s="1"/>
  <c r="CP415" i="1"/>
  <c r="AD415" i="1" s="1"/>
  <c r="CO410" i="1"/>
  <c r="AB410" i="1" s="1"/>
  <c r="CO408" i="1"/>
  <c r="AB408" i="1" s="1"/>
  <c r="AB418" i="1" s="1"/>
  <c r="CQ413" i="1"/>
  <c r="AF413" i="1" s="1"/>
  <c r="CQ410" i="1"/>
  <c r="AF410" i="1" s="1"/>
  <c r="CS413" i="1"/>
  <c r="CR415" i="1"/>
  <c r="AH415" i="1" s="1"/>
  <c r="CR412" i="1"/>
  <c r="AH412" i="1" s="1"/>
  <c r="CP410" i="1"/>
  <c r="AD410" i="1" s="1"/>
  <c r="CS416" i="1"/>
  <c r="CQ415" i="1"/>
  <c r="AF415" i="1" s="1"/>
  <c r="CQ411" i="1"/>
  <c r="AF411" i="1" s="1"/>
  <c r="CO415" i="1"/>
  <c r="AB415" i="1" s="1"/>
  <c r="CR413" i="1"/>
  <c r="AH413" i="1" s="1"/>
  <c r="CO411" i="1"/>
  <c r="AB411" i="1" s="1"/>
  <c r="CO417" i="1"/>
  <c r="AB417" i="1" s="1"/>
  <c r="CP411" i="1"/>
  <c r="AD411" i="1" s="1"/>
  <c r="CQ417" i="1"/>
  <c r="AF417" i="1" s="1"/>
  <c r="CR409" i="1"/>
  <c r="AH409" i="1" s="1"/>
  <c r="CO413" i="1"/>
  <c r="AB413" i="1" s="1"/>
  <c r="CP414" i="1"/>
  <c r="AD414" i="1" s="1"/>
  <c r="CQ409" i="1"/>
  <c r="AF409" i="1" s="1"/>
  <c r="CO416" i="1"/>
  <c r="AB416" i="1" s="1"/>
  <c r="CP413" i="1"/>
  <c r="AD413" i="1" s="1"/>
  <c r="CR416" i="1"/>
  <c r="AH416" i="1" s="1"/>
  <c r="CP412" i="1"/>
  <c r="AD412" i="1" s="1"/>
  <c r="CO409" i="1"/>
  <c r="AB409" i="1" s="1"/>
  <c r="CR417" i="1"/>
  <c r="AH417" i="1" s="1"/>
  <c r="CQ412" i="1"/>
  <c r="AF412" i="1" s="1"/>
  <c r="CS411" i="1"/>
  <c r="CQ414" i="1"/>
  <c r="AF414" i="1" s="1"/>
  <c r="CP408" i="1"/>
  <c r="AD408" i="1" s="1"/>
  <c r="AD418" i="1" s="1"/>
  <c r="CS409" i="1"/>
  <c r="CQ408" i="1"/>
  <c r="AF408" i="1" s="1"/>
  <c r="AF418" i="1" s="1"/>
  <c r="CS415" i="1"/>
  <c r="CQ416" i="1"/>
  <c r="AF416" i="1" s="1"/>
  <c r="CR410" i="1"/>
  <c r="AH410" i="1" s="1"/>
  <c r="CS410" i="1"/>
  <c r="CS414" i="1"/>
  <c r="CS408" i="1"/>
  <c r="CP417" i="1"/>
  <c r="AD417" i="1" s="1"/>
  <c r="CS412" i="1"/>
  <c r="CP409" i="1"/>
  <c r="AD409" i="1" s="1"/>
  <c r="J541" i="18"/>
  <c r="L541" i="18"/>
  <c r="E541" i="18"/>
  <c r="Q541" i="18"/>
  <c r="D542" i="18"/>
  <c r="R541" i="18"/>
  <c r="H541" i="18"/>
  <c r="O162" i="1"/>
  <c r="L574" i="1"/>
  <c r="M651" i="18"/>
  <c r="BG574" i="1" s="1"/>
  <c r="F651" i="18"/>
  <c r="AA574" i="1" s="1"/>
  <c r="O651" i="18"/>
  <c r="BQ574" i="1" s="1"/>
  <c r="G651" i="18"/>
  <c r="AO574" i="1" s="1"/>
  <c r="P651" i="18"/>
  <c r="AE574" i="1" s="1"/>
  <c r="I651" i="18"/>
  <c r="AW574" i="1" s="1"/>
  <c r="K651" i="18"/>
  <c r="BC574" i="1" s="1"/>
  <c r="R651" i="18"/>
  <c r="CA574" i="1" s="1"/>
  <c r="H651" i="18"/>
  <c r="Q574" i="1" s="1"/>
  <c r="E651" i="18"/>
  <c r="K574" i="1" s="1"/>
  <c r="L651" i="18"/>
  <c r="AI574" i="1" s="1"/>
  <c r="J651" i="18"/>
  <c r="W574" i="1" s="1"/>
  <c r="Q651" i="18"/>
  <c r="BU574" i="1" s="1"/>
  <c r="AO3" i="8"/>
  <c r="AO4" i="8"/>
  <c r="AO20" i="8" s="1"/>
  <c r="AO32" i="8" s="1"/>
  <c r="AP6" i="8"/>
  <c r="AP8" i="8"/>
  <c r="AP10" i="8"/>
  <c r="AP2" i="8"/>
  <c r="AP7" i="8"/>
  <c r="AP9" i="8"/>
  <c r="AP15" i="8"/>
  <c r="AP14" i="8"/>
  <c r="AP11" i="8"/>
  <c r="AP12" i="8"/>
  <c r="AQ1" i="8"/>
  <c r="AP13" i="8"/>
  <c r="AP39" i="8"/>
  <c r="BJ55" i="1"/>
  <c r="AJ55" i="1"/>
  <c r="K542" i="2" l="1"/>
  <c r="H542" i="2"/>
  <c r="Q542" i="2"/>
  <c r="I542" i="2"/>
  <c r="R542" i="2"/>
  <c r="E542" i="2"/>
  <c r="D543" i="2"/>
  <c r="L542" i="2"/>
  <c r="AO696" i="1"/>
  <c r="G408" i="18"/>
  <c r="AO309" i="1" s="1"/>
  <c r="BJ56" i="1"/>
  <c r="O163" i="1"/>
  <c r="I161" i="1"/>
  <c r="I163" i="1" s="1"/>
  <c r="J407" i="2"/>
  <c r="X308" i="1" s="1"/>
  <c r="X695" i="1"/>
  <c r="O408" i="18"/>
  <c r="BQ309" i="1" s="1"/>
  <c r="BQ696" i="1"/>
  <c r="AM163" i="1"/>
  <c r="BY55" i="1"/>
  <c r="BV469" i="1"/>
  <c r="A532" i="2"/>
  <c r="C532" i="2" s="1"/>
  <c r="C654" i="2" s="1"/>
  <c r="B532" i="2"/>
  <c r="C696" i="1"/>
  <c r="R286" i="2"/>
  <c r="G286" i="2"/>
  <c r="N286" i="2"/>
  <c r="N408" i="2" s="1"/>
  <c r="BN309" i="1" s="1"/>
  <c r="M286" i="2"/>
  <c r="I286" i="2"/>
  <c r="P286" i="2"/>
  <c r="J286" i="2"/>
  <c r="E286" i="2"/>
  <c r="L286" i="2"/>
  <c r="H286" i="2"/>
  <c r="O286" i="2"/>
  <c r="K286" i="2"/>
  <c r="Q286" i="2"/>
  <c r="F286" i="2"/>
  <c r="C697" i="1"/>
  <c r="H287" i="2"/>
  <c r="O287" i="2"/>
  <c r="M287" i="2"/>
  <c r="K287" i="2"/>
  <c r="I287" i="2"/>
  <c r="L287" i="2"/>
  <c r="R287" i="2"/>
  <c r="N287" i="2"/>
  <c r="N409" i="2" s="1"/>
  <c r="BN310" i="1" s="1"/>
  <c r="P287" i="2"/>
  <c r="J287" i="2"/>
  <c r="F287" i="2"/>
  <c r="E287" i="2"/>
  <c r="Q287" i="2"/>
  <c r="G287" i="2"/>
  <c r="K696" i="1"/>
  <c r="E408" i="18"/>
  <c r="K309" i="1" s="1"/>
  <c r="AJ695" i="1"/>
  <c r="L407" i="2"/>
  <c r="AJ308" i="1" s="1"/>
  <c r="L56" i="1"/>
  <c r="AW53" i="1"/>
  <c r="H162" i="1"/>
  <c r="H163" i="1" s="1"/>
  <c r="L163" i="1"/>
  <c r="AO17" i="8"/>
  <c r="AO29" i="8" s="1"/>
  <c r="AO26" i="8"/>
  <c r="AO38" i="8" s="1"/>
  <c r="AM164" i="1"/>
  <c r="AJ575" i="1"/>
  <c r="CA470" i="1"/>
  <c r="BD56" i="1"/>
  <c r="BH55" i="1"/>
  <c r="BD469" i="1"/>
  <c r="M164" i="18"/>
  <c r="BG165" i="1" s="1"/>
  <c r="F164" i="18"/>
  <c r="AA165" i="1" s="1"/>
  <c r="O164" i="18"/>
  <c r="BQ165" i="1" s="1"/>
  <c r="P164" i="18"/>
  <c r="AE165" i="1" s="1"/>
  <c r="L164" i="18"/>
  <c r="AI165" i="1" s="1"/>
  <c r="A163" i="13"/>
  <c r="C163" i="13" s="1"/>
  <c r="I164" i="18"/>
  <c r="AW165" i="1" s="1"/>
  <c r="K164" i="18"/>
  <c r="BC165" i="1" s="1"/>
  <c r="J164" i="18"/>
  <c r="W165" i="1" s="1"/>
  <c r="Q164" i="18"/>
  <c r="BU165" i="1" s="1"/>
  <c r="H164" i="18"/>
  <c r="Q165" i="1" s="1"/>
  <c r="R164" i="18"/>
  <c r="CA165" i="1" s="1"/>
  <c r="E164" i="18"/>
  <c r="K165" i="1" s="1"/>
  <c r="G164" i="18"/>
  <c r="AO165" i="1" s="1"/>
  <c r="D44" i="1"/>
  <c r="E44" i="1"/>
  <c r="F44" i="1"/>
  <c r="C458" i="1"/>
  <c r="BV695" i="1"/>
  <c r="Q407" i="2"/>
  <c r="BV308" i="1" s="1"/>
  <c r="AP3" i="8"/>
  <c r="AP4" i="8"/>
  <c r="AP23" i="8" s="1"/>
  <c r="AP35" i="8" s="1"/>
  <c r="R695" i="1"/>
  <c r="H407" i="2"/>
  <c r="R308" i="1" s="1"/>
  <c r="BY164" i="1"/>
  <c r="BV575" i="1"/>
  <c r="AI470" i="1"/>
  <c r="BA55" i="1"/>
  <c r="AX469" i="1"/>
  <c r="G653" i="2"/>
  <c r="AP576" i="1" s="1"/>
  <c r="P653" i="2"/>
  <c r="AF576" i="1" s="1"/>
  <c r="J653" i="2"/>
  <c r="X576" i="1" s="1"/>
  <c r="N653" i="2"/>
  <c r="M653" i="2"/>
  <c r="BJ576" i="1" s="1"/>
  <c r="O653" i="2"/>
  <c r="BR576" i="1" s="1"/>
  <c r="F653" i="2"/>
  <c r="AB576" i="1" s="1"/>
  <c r="I653" i="2"/>
  <c r="Q653" i="2"/>
  <c r="K653" i="2"/>
  <c r="BD576" i="1" s="1"/>
  <c r="L653" i="2"/>
  <c r="H653" i="2"/>
  <c r="R653" i="2"/>
  <c r="E653" i="2"/>
  <c r="H55" i="1"/>
  <c r="J163" i="2"/>
  <c r="X164" i="1" s="1"/>
  <c r="F163" i="2"/>
  <c r="AB164" i="1" s="1"/>
  <c r="G163" i="2"/>
  <c r="AP164" i="1" s="1"/>
  <c r="N163" i="2"/>
  <c r="BN164" i="1" s="1"/>
  <c r="Q163" i="2"/>
  <c r="BV164" i="1" s="1"/>
  <c r="P163" i="2"/>
  <c r="AF164" i="1" s="1"/>
  <c r="I163" i="2"/>
  <c r="AX164" i="1" s="1"/>
  <c r="E163" i="2"/>
  <c r="L164" i="1" s="1"/>
  <c r="H163" i="2"/>
  <c r="R164" i="1" s="1"/>
  <c r="R166" i="1" s="1"/>
  <c r="K163" i="2"/>
  <c r="BD164" i="1" s="1"/>
  <c r="L163" i="2"/>
  <c r="AJ164" i="1" s="1"/>
  <c r="O163" i="2"/>
  <c r="BR164" i="1" s="1"/>
  <c r="R163" i="2"/>
  <c r="CB164" i="1" s="1"/>
  <c r="M163" i="2"/>
  <c r="BJ164" i="1" s="1"/>
  <c r="J164" i="2"/>
  <c r="X165" i="1" s="1"/>
  <c r="G164" i="2"/>
  <c r="AP165" i="1" s="1"/>
  <c r="F164" i="2"/>
  <c r="AB165" i="1" s="1"/>
  <c r="L164" i="2"/>
  <c r="AJ165" i="1" s="1"/>
  <c r="O164" i="2"/>
  <c r="BR165" i="1" s="1"/>
  <c r="P164" i="2"/>
  <c r="AF165" i="1" s="1"/>
  <c r="H164" i="2"/>
  <c r="R165" i="1" s="1"/>
  <c r="M164" i="2"/>
  <c r="BJ165" i="1" s="1"/>
  <c r="K164" i="2"/>
  <c r="BD165" i="1" s="1"/>
  <c r="Q164" i="2"/>
  <c r="BV165" i="1" s="1"/>
  <c r="N164" i="2"/>
  <c r="BN165" i="1" s="1"/>
  <c r="E164" i="2"/>
  <c r="L165" i="1" s="1"/>
  <c r="R164" i="2"/>
  <c r="CB165" i="1" s="1"/>
  <c r="I164" i="2"/>
  <c r="AX165" i="1" s="1"/>
  <c r="BU696" i="1"/>
  <c r="Q408" i="18"/>
  <c r="BU309" i="1" s="1"/>
  <c r="L408" i="18"/>
  <c r="AI309" i="1" s="1"/>
  <c r="AI696" i="1"/>
  <c r="AO21" i="8"/>
  <c r="AO33" i="8" s="1"/>
  <c r="AX695" i="1"/>
  <c r="I407" i="2"/>
  <c r="AX308" i="1" s="1"/>
  <c r="AF56" i="1"/>
  <c r="BU53" i="1"/>
  <c r="G164" i="1"/>
  <c r="U164" i="1"/>
  <c r="R575" i="1"/>
  <c r="E457" i="1"/>
  <c r="D457" i="1"/>
  <c r="G407" i="2"/>
  <c r="AP308" i="1" s="1"/>
  <c r="AP695" i="1"/>
  <c r="R542" i="18"/>
  <c r="J542" i="18"/>
  <c r="E542" i="18"/>
  <c r="Q542" i="18"/>
  <c r="H542" i="18"/>
  <c r="L542" i="18"/>
  <c r="D543" i="18"/>
  <c r="BV56" i="1"/>
  <c r="J51" i="18"/>
  <c r="R51" i="18"/>
  <c r="K51" i="18"/>
  <c r="E51" i="18"/>
  <c r="D52" i="18"/>
  <c r="H51" i="18"/>
  <c r="I51" i="18"/>
  <c r="G51" i="18"/>
  <c r="Q51" i="18"/>
  <c r="BU470" i="1"/>
  <c r="AX56" i="1"/>
  <c r="G574" i="1"/>
  <c r="K470" i="1"/>
  <c r="H574" i="1"/>
  <c r="W470" i="1"/>
  <c r="U55" i="1"/>
  <c r="R469" i="1"/>
  <c r="AO19" i="8"/>
  <c r="AO31" i="8" s="1"/>
  <c r="AO25" i="8"/>
  <c r="AO37" i="8" s="1"/>
  <c r="H468" i="1"/>
  <c r="U163" i="1"/>
  <c r="M408" i="18"/>
  <c r="BG309" i="1" s="1"/>
  <c r="BG696" i="1"/>
  <c r="BC696" i="1"/>
  <c r="K408" i="18"/>
  <c r="BC309" i="1" s="1"/>
  <c r="L695" i="1"/>
  <c r="E407" i="2"/>
  <c r="L308" i="1" s="1"/>
  <c r="CB695" i="1"/>
  <c r="R407" i="2"/>
  <c r="CB308" i="1" s="1"/>
  <c r="N54" i="2"/>
  <c r="H54" i="2"/>
  <c r="I54" i="2"/>
  <c r="Q54" i="2"/>
  <c r="L54" i="2"/>
  <c r="D55" i="2"/>
  <c r="K54" i="2"/>
  <c r="M54" i="2"/>
  <c r="O54" i="2"/>
  <c r="P54" i="2"/>
  <c r="E54" i="2"/>
  <c r="R54" i="2"/>
  <c r="A44" i="2"/>
  <c r="C44" i="2" s="1"/>
  <c r="B44" i="2"/>
  <c r="CA53" i="1"/>
  <c r="CE163" i="1"/>
  <c r="BH166" i="1"/>
  <c r="BD575" i="1"/>
  <c r="BD695" i="1"/>
  <c r="K407" i="2"/>
  <c r="BD308" i="1" s="1"/>
  <c r="AT162" i="1"/>
  <c r="AT163" i="1" s="1"/>
  <c r="AX163" i="1"/>
  <c r="F45" i="1"/>
  <c r="D45" i="1"/>
  <c r="E45" i="1"/>
  <c r="C459" i="1"/>
  <c r="R56" i="1"/>
  <c r="AF695" i="1"/>
  <c r="P407" i="2"/>
  <c r="AF308" i="1" s="1"/>
  <c r="BC53" i="1"/>
  <c r="AP25" i="8"/>
  <c r="AP37" i="8" s="1"/>
  <c r="I162" i="1"/>
  <c r="O55" i="1"/>
  <c r="L469" i="1"/>
  <c r="J167" i="12"/>
  <c r="R167" i="12"/>
  <c r="H167" i="12"/>
  <c r="P167" i="12"/>
  <c r="M167" i="12"/>
  <c r="E167" i="12"/>
  <c r="O167" i="12"/>
  <c r="F167" i="12"/>
  <c r="Q167" i="12"/>
  <c r="G167" i="12"/>
  <c r="S167" i="12"/>
  <c r="I167" i="12"/>
  <c r="K167" i="12"/>
  <c r="L167" i="12"/>
  <c r="N167" i="12"/>
  <c r="BY163" i="1"/>
  <c r="G308" i="1"/>
  <c r="I54" i="1"/>
  <c r="P408" i="18"/>
  <c r="AE309" i="1" s="1"/>
  <c r="AE696" i="1"/>
  <c r="W696" i="1"/>
  <c r="J408" i="18"/>
  <c r="W309" i="1" s="1"/>
  <c r="F407" i="2"/>
  <c r="AB308" i="1" s="1"/>
  <c r="AB695" i="1"/>
  <c r="BJ695" i="1"/>
  <c r="M407" i="2"/>
  <c r="BJ308" i="1" s="1"/>
  <c r="BR56" i="1"/>
  <c r="AO22" i="8"/>
  <c r="AO34" i="8" s="1"/>
  <c r="C165" i="2"/>
  <c r="C288" i="2"/>
  <c r="C410" i="2"/>
  <c r="C46" i="1"/>
  <c r="C167" i="1"/>
  <c r="C589" i="1" s="1"/>
  <c r="C311" i="1"/>
  <c r="D311" i="1" s="1"/>
  <c r="W53" i="1"/>
  <c r="AO24" i="8"/>
  <c r="AO36" i="8" s="1"/>
  <c r="A532" i="18"/>
  <c r="C532" i="18" s="1"/>
  <c r="C654" i="18" s="1"/>
  <c r="B532" i="18"/>
  <c r="G575" i="1"/>
  <c r="AO23" i="8"/>
  <c r="AO35" i="8" s="1"/>
  <c r="G469" i="1"/>
  <c r="O164" i="1"/>
  <c r="L575" i="1"/>
  <c r="AV161" i="1"/>
  <c r="AV163" i="1" s="1"/>
  <c r="BA163" i="1"/>
  <c r="AW696" i="1"/>
  <c r="I408" i="18"/>
  <c r="AW309" i="1" s="1"/>
  <c r="AO53" i="1"/>
  <c r="A44" i="18"/>
  <c r="C44" i="18" s="1"/>
  <c r="B44" i="18"/>
  <c r="BA164" i="1"/>
  <c r="AX575" i="1"/>
  <c r="F408" i="18"/>
  <c r="AA309" i="1" s="1"/>
  <c r="AA696" i="1"/>
  <c r="AP24" i="8"/>
  <c r="AP36" i="8" s="1"/>
  <c r="CE55" i="1"/>
  <c r="CB469" i="1"/>
  <c r="K287" i="18"/>
  <c r="E287" i="18"/>
  <c r="O287" i="18"/>
  <c r="F287" i="18"/>
  <c r="P287" i="18"/>
  <c r="G287" i="18"/>
  <c r="Q287" i="18"/>
  <c r="I287" i="18"/>
  <c r="H287" i="18"/>
  <c r="J287" i="18"/>
  <c r="L287" i="18"/>
  <c r="M287" i="18"/>
  <c r="R287" i="18"/>
  <c r="CB56" i="1"/>
  <c r="K53" i="1"/>
  <c r="AQ2" i="8"/>
  <c r="AR1" i="8"/>
  <c r="AQ13" i="8"/>
  <c r="AQ7" i="8"/>
  <c r="AQ9" i="8"/>
  <c r="AQ11" i="8"/>
  <c r="AQ12" i="8"/>
  <c r="AQ6" i="8"/>
  <c r="AQ8" i="8"/>
  <c r="AQ10" i="8"/>
  <c r="AQ15" i="8"/>
  <c r="AQ14" i="8"/>
  <c r="AQ39" i="8"/>
  <c r="Q470" i="1"/>
  <c r="AM55" i="1"/>
  <c r="AJ470" i="1"/>
  <c r="AO18" i="8"/>
  <c r="AO30" i="8" s="1"/>
  <c r="Q696" i="1"/>
  <c r="H408" i="18"/>
  <c r="Q309" i="1" s="1"/>
  <c r="CA696" i="1"/>
  <c r="R408" i="18"/>
  <c r="CA309" i="1" s="1"/>
  <c r="BR695" i="1"/>
  <c r="O407" i="2"/>
  <c r="BR308" i="1" s="1"/>
  <c r="BN56" i="1"/>
  <c r="AJ56" i="1"/>
  <c r="Q53" i="1"/>
  <c r="C43" i="18"/>
  <c r="C531" i="18"/>
  <c r="C653" i="18" s="1"/>
  <c r="CE164" i="1"/>
  <c r="CB575" i="1"/>
  <c r="AP26" i="8" l="1"/>
  <c r="AP38" i="8" s="1"/>
  <c r="I164" i="1"/>
  <c r="BR57" i="1"/>
  <c r="AW54" i="1"/>
  <c r="G409" i="2"/>
  <c r="AP310" i="1" s="1"/>
  <c r="AP697" i="1"/>
  <c r="AJ697" i="1"/>
  <c r="L409" i="2"/>
  <c r="AJ310" i="1" s="1"/>
  <c r="H56" i="1"/>
  <c r="BV697" i="1"/>
  <c r="Q409" i="2"/>
  <c r="BV310" i="1" s="1"/>
  <c r="AX697" i="1"/>
  <c r="I409" i="2"/>
  <c r="AX310" i="1" s="1"/>
  <c r="AQ3" i="8"/>
  <c r="AQ4" i="8"/>
  <c r="AQ23" i="8" s="1"/>
  <c r="AQ35" i="8" s="1"/>
  <c r="F409" i="18"/>
  <c r="AA310" i="1" s="1"/>
  <c r="AA697" i="1"/>
  <c r="BD57" i="1"/>
  <c r="H52" i="18"/>
  <c r="I52" i="18"/>
  <c r="Q52" i="18"/>
  <c r="J52" i="18"/>
  <c r="R52" i="18"/>
  <c r="K52" i="18"/>
  <c r="D53" i="18"/>
  <c r="G52" i="18"/>
  <c r="E52" i="18"/>
  <c r="H543" i="18"/>
  <c r="Q543" i="18"/>
  <c r="R543" i="18"/>
  <c r="E543" i="18"/>
  <c r="J543" i="18"/>
  <c r="D544" i="18"/>
  <c r="L543" i="18"/>
  <c r="AX166" i="1"/>
  <c r="AT164" i="1"/>
  <c r="O165" i="1"/>
  <c r="L576" i="1"/>
  <c r="L697" i="1"/>
  <c r="E409" i="2"/>
  <c r="L310" i="1" s="1"/>
  <c r="BD697" i="1"/>
  <c r="K409" i="2"/>
  <c r="BD310" i="1" s="1"/>
  <c r="BR696" i="1"/>
  <c r="O408" i="2"/>
  <c r="BR309" i="1" s="1"/>
  <c r="AP18" i="8"/>
  <c r="AP30" i="8" s="1"/>
  <c r="O56" i="1"/>
  <c r="L470" i="1"/>
  <c r="G53" i="1"/>
  <c r="L409" i="18"/>
  <c r="AI310" i="1" s="1"/>
  <c r="AI697" i="1"/>
  <c r="O409" i="18"/>
  <c r="BQ310" i="1" s="1"/>
  <c r="BQ697" i="1"/>
  <c r="AP21" i="8"/>
  <c r="AP33" i="8" s="1"/>
  <c r="B45" i="2"/>
  <c r="A45" i="2"/>
  <c r="C45" i="2" s="1"/>
  <c r="K55" i="2"/>
  <c r="N55" i="2"/>
  <c r="M55" i="2"/>
  <c r="D56" i="2"/>
  <c r="E55" i="2"/>
  <c r="O55" i="2"/>
  <c r="P55" i="2"/>
  <c r="Q55" i="2"/>
  <c r="H55" i="2"/>
  <c r="R55" i="2"/>
  <c r="I55" i="2"/>
  <c r="L55" i="2"/>
  <c r="H308" i="1"/>
  <c r="AP17" i="8"/>
  <c r="AP29" i="8" s="1"/>
  <c r="K54" i="1"/>
  <c r="G54" i="1" s="1"/>
  <c r="AI471" i="1"/>
  <c r="BJ166" i="1"/>
  <c r="AF166" i="1"/>
  <c r="CE165" i="1"/>
  <c r="CB576" i="1"/>
  <c r="G165" i="1"/>
  <c r="F409" i="2"/>
  <c r="AB310" i="1" s="1"/>
  <c r="AB697" i="1"/>
  <c r="BJ697" i="1"/>
  <c r="M409" i="2"/>
  <c r="BJ310" i="1" s="1"/>
  <c r="R696" i="1"/>
  <c r="H408" i="2"/>
  <c r="R309" i="1" s="1"/>
  <c r="G408" i="2"/>
  <c r="AP309" i="1" s="1"/>
  <c r="AP696" i="1"/>
  <c r="CE56" i="1"/>
  <c r="CB470" i="1"/>
  <c r="AQ24" i="8"/>
  <c r="AQ36" i="8" s="1"/>
  <c r="CA471" i="1"/>
  <c r="AX696" i="1"/>
  <c r="I408" i="2"/>
  <c r="AX309" i="1" s="1"/>
  <c r="AR2" i="8"/>
  <c r="AR6" i="8"/>
  <c r="AR8" i="8"/>
  <c r="AR10" i="8"/>
  <c r="AR12" i="8"/>
  <c r="AR14" i="8"/>
  <c r="AS1" i="8"/>
  <c r="AR15" i="8"/>
  <c r="AR11" i="8"/>
  <c r="AR7" i="8"/>
  <c r="AR13" i="8"/>
  <c r="AR39" i="8"/>
  <c r="AR9" i="8"/>
  <c r="BD696" i="1"/>
  <c r="K408" i="2"/>
  <c r="BD309" i="1" s="1"/>
  <c r="AQ19" i="8"/>
  <c r="AQ31" i="8" s="1"/>
  <c r="M409" i="18"/>
  <c r="BG310" i="1" s="1"/>
  <c r="BG697" i="1"/>
  <c r="W697" i="1"/>
  <c r="J409" i="18"/>
  <c r="W310" i="1" s="1"/>
  <c r="K697" i="1"/>
  <c r="E409" i="18"/>
  <c r="K310" i="1" s="1"/>
  <c r="B533" i="18"/>
  <c r="A533" i="18"/>
  <c r="C533" i="18" s="1"/>
  <c r="C655" i="18" s="1"/>
  <c r="D46" i="1"/>
  <c r="F46" i="1"/>
  <c r="C460" i="1"/>
  <c r="D459" i="1"/>
  <c r="E459" i="1"/>
  <c r="AP20" i="8"/>
  <c r="AP32" i="8" s="1"/>
  <c r="C166" i="2"/>
  <c r="C289" i="2"/>
  <c r="C411" i="2"/>
  <c r="C47" i="1"/>
  <c r="C169" i="1"/>
  <c r="C590" i="1" s="1"/>
  <c r="C312" i="1"/>
  <c r="D312" i="1" s="1"/>
  <c r="AJ57" i="1"/>
  <c r="AP22" i="8"/>
  <c r="AP34" i="8" s="1"/>
  <c r="BC54" i="1"/>
  <c r="Q471" i="1"/>
  <c r="CB166" i="1"/>
  <c r="BV166" i="1"/>
  <c r="U165" i="1"/>
  <c r="R576" i="1"/>
  <c r="J409" i="2"/>
  <c r="X310" i="1" s="1"/>
  <c r="X697" i="1"/>
  <c r="BR697" i="1"/>
  <c r="O409" i="2"/>
  <c r="BR310" i="1" s="1"/>
  <c r="AJ696" i="1"/>
  <c r="L408" i="2"/>
  <c r="AJ309" i="1" s="1"/>
  <c r="CB696" i="1"/>
  <c r="R408" i="2"/>
  <c r="CB309" i="1" s="1"/>
  <c r="BA56" i="1"/>
  <c r="AX470" i="1"/>
  <c r="AO697" i="1"/>
  <c r="G409" i="18"/>
  <c r="AO310" i="1" s="1"/>
  <c r="BN57" i="1"/>
  <c r="BA165" i="1"/>
  <c r="AV165" i="1" s="1"/>
  <c r="AX576" i="1"/>
  <c r="BV696" i="1"/>
  <c r="Q408" i="2"/>
  <c r="BV309" i="1" s="1"/>
  <c r="CA697" i="1"/>
  <c r="R409" i="18"/>
  <c r="CA310" i="1" s="1"/>
  <c r="I543" i="2"/>
  <c r="Q543" i="2"/>
  <c r="H543" i="2"/>
  <c r="R543" i="2"/>
  <c r="E543" i="2"/>
  <c r="L543" i="2"/>
  <c r="D544" i="2"/>
  <c r="K543" i="2"/>
  <c r="Q697" i="1"/>
  <c r="H409" i="18"/>
  <c r="Q310" i="1" s="1"/>
  <c r="BC697" i="1"/>
  <c r="K409" i="18"/>
  <c r="BC310" i="1" s="1"/>
  <c r="AV164" i="1"/>
  <c r="K654" i="18"/>
  <c r="BC577" i="1" s="1"/>
  <c r="M654" i="18"/>
  <c r="BG577" i="1" s="1"/>
  <c r="P654" i="18"/>
  <c r="AE577" i="1" s="1"/>
  <c r="E654" i="18"/>
  <c r="K577" i="1" s="1"/>
  <c r="Q654" i="18"/>
  <c r="BU577" i="1" s="1"/>
  <c r="L654" i="18"/>
  <c r="AI577" i="1" s="1"/>
  <c r="CG308" i="1"/>
  <c r="CB57" i="1"/>
  <c r="BV57" i="1"/>
  <c r="AP19" i="8"/>
  <c r="AP31" i="8" s="1"/>
  <c r="CA54" i="1"/>
  <c r="BU471" i="1"/>
  <c r="AT165" i="1"/>
  <c r="BR166" i="1"/>
  <c r="BN166" i="1"/>
  <c r="AM165" i="1"/>
  <c r="AJ576" i="1"/>
  <c r="AF697" i="1"/>
  <c r="P409" i="2"/>
  <c r="AF310" i="1" s="1"/>
  <c r="R697" i="1"/>
  <c r="H409" i="2"/>
  <c r="R310" i="1" s="1"/>
  <c r="L696" i="1"/>
  <c r="E408" i="2"/>
  <c r="L309" i="1" s="1"/>
  <c r="BY56" i="1"/>
  <c r="BV470" i="1"/>
  <c r="AM56" i="1"/>
  <c r="AJ471" i="1"/>
  <c r="Q54" i="1"/>
  <c r="H164" i="1"/>
  <c r="L166" i="1"/>
  <c r="AM166" i="1"/>
  <c r="AQ22" i="8"/>
  <c r="AQ34" i="8" s="1"/>
  <c r="I653" i="18"/>
  <c r="AW576" i="1" s="1"/>
  <c r="K653" i="18"/>
  <c r="BC576" i="1" s="1"/>
  <c r="M653" i="18"/>
  <c r="BG576" i="1" s="1"/>
  <c r="F653" i="18"/>
  <c r="AA576" i="1" s="1"/>
  <c r="G653" i="18"/>
  <c r="AO576" i="1" s="1"/>
  <c r="O653" i="18"/>
  <c r="BQ576" i="1" s="1"/>
  <c r="P653" i="18"/>
  <c r="AE576" i="1" s="1"/>
  <c r="Q653" i="18"/>
  <c r="BU576" i="1" s="1"/>
  <c r="R653" i="18"/>
  <c r="CA576" i="1" s="1"/>
  <c r="L653" i="18"/>
  <c r="AI576" i="1" s="1"/>
  <c r="E653" i="18"/>
  <c r="K576" i="1" s="1"/>
  <c r="J653" i="18"/>
  <c r="W576" i="1" s="1"/>
  <c r="H653" i="18"/>
  <c r="Q576" i="1" s="1"/>
  <c r="AW697" i="1"/>
  <c r="I409" i="18"/>
  <c r="AW310" i="1" s="1"/>
  <c r="A45" i="18"/>
  <c r="C45" i="18" s="1"/>
  <c r="B45" i="18"/>
  <c r="C698" i="1"/>
  <c r="L288" i="2"/>
  <c r="R288" i="2"/>
  <c r="F288" i="2"/>
  <c r="E288" i="2"/>
  <c r="G288" i="2"/>
  <c r="N288" i="2"/>
  <c r="N410" i="2" s="1"/>
  <c r="BN311" i="1" s="1"/>
  <c r="M288" i="2"/>
  <c r="I288" i="2"/>
  <c r="P288" i="2"/>
  <c r="J288" i="2"/>
  <c r="H288" i="2"/>
  <c r="O288" i="2"/>
  <c r="Q288" i="2"/>
  <c r="K288" i="2"/>
  <c r="H469" i="1"/>
  <c r="L57" i="1"/>
  <c r="AX57" i="1"/>
  <c r="G470" i="1"/>
  <c r="BU54" i="1"/>
  <c r="W54" i="1"/>
  <c r="K471" i="1"/>
  <c r="U166" i="1"/>
  <c r="AJ166" i="1"/>
  <c r="D458" i="1"/>
  <c r="E458" i="1"/>
  <c r="G309" i="1"/>
  <c r="J408" i="2"/>
  <c r="X309" i="1" s="1"/>
  <c r="X696" i="1"/>
  <c r="A533" i="2"/>
  <c r="C533" i="2" s="1"/>
  <c r="C655" i="2" s="1"/>
  <c r="B533" i="2"/>
  <c r="U56" i="1"/>
  <c r="R470" i="1"/>
  <c r="P409" i="18"/>
  <c r="AE310" i="1" s="1"/>
  <c r="AE697" i="1"/>
  <c r="BJ57" i="1"/>
  <c r="BJ696" i="1"/>
  <c r="M408" i="2"/>
  <c r="BJ309" i="1" s="1"/>
  <c r="CE166" i="1"/>
  <c r="A42" i="10"/>
  <c r="E46" i="1" s="1"/>
  <c r="C288" i="18"/>
  <c r="C165" i="18"/>
  <c r="C410" i="18"/>
  <c r="A42" i="13"/>
  <c r="C42" i="13" s="1"/>
  <c r="C168" i="12"/>
  <c r="BU697" i="1"/>
  <c r="Q409" i="18"/>
  <c r="BU310" i="1" s="1"/>
  <c r="A43" i="10"/>
  <c r="C289" i="18"/>
  <c r="C166" i="18"/>
  <c r="C411" i="18"/>
  <c r="A43" i="13"/>
  <c r="C43" i="13" s="1"/>
  <c r="C169" i="12"/>
  <c r="H575" i="1"/>
  <c r="G165" i="2"/>
  <c r="AP167" i="1" s="1"/>
  <c r="J165" i="2"/>
  <c r="X167" i="1" s="1"/>
  <c r="F165" i="2"/>
  <c r="AB167" i="1" s="1"/>
  <c r="AB168" i="1" s="1"/>
  <c r="P165" i="2"/>
  <c r="AF167" i="1" s="1"/>
  <c r="AF168" i="1" s="1"/>
  <c r="R165" i="2"/>
  <c r="CB167" i="1" s="1"/>
  <c r="CB168" i="1" s="1"/>
  <c r="Q165" i="2"/>
  <c r="BV167" i="1" s="1"/>
  <c r="BV168" i="1" s="1"/>
  <c r="K165" i="2"/>
  <c r="BD167" i="1" s="1"/>
  <c r="BD168" i="1" s="1"/>
  <c r="I165" i="2"/>
  <c r="AX167" i="1" s="1"/>
  <c r="N165" i="2"/>
  <c r="BN167" i="1" s="1"/>
  <c r="BN168" i="1" s="1"/>
  <c r="O165" i="2"/>
  <c r="BR167" i="1" s="1"/>
  <c r="BR168" i="1" s="1"/>
  <c r="H165" i="2"/>
  <c r="R167" i="1" s="1"/>
  <c r="R168" i="1" s="1"/>
  <c r="L165" i="2"/>
  <c r="AJ167" i="1" s="1"/>
  <c r="AJ168" i="1" s="1"/>
  <c r="M165" i="2"/>
  <c r="BJ167" i="1" s="1"/>
  <c r="BJ168" i="1" s="1"/>
  <c r="E165" i="2"/>
  <c r="L167" i="1" s="1"/>
  <c r="I55" i="1"/>
  <c r="AF57" i="1"/>
  <c r="R57" i="1"/>
  <c r="AO54" i="1"/>
  <c r="W471" i="1"/>
  <c r="H165" i="1"/>
  <c r="BD166" i="1"/>
  <c r="AB166" i="1"/>
  <c r="BY165" i="1"/>
  <c r="BY166" i="1" s="1"/>
  <c r="BV576" i="1"/>
  <c r="CB697" i="1"/>
  <c r="R409" i="2"/>
  <c r="CB310" i="1" s="1"/>
  <c r="F408" i="2"/>
  <c r="AB309" i="1" s="1"/>
  <c r="AB696" i="1"/>
  <c r="AF696" i="1"/>
  <c r="P408" i="2"/>
  <c r="AF309" i="1" s="1"/>
  <c r="G654" i="2"/>
  <c r="AP577" i="1" s="1"/>
  <c r="M654" i="2"/>
  <c r="BJ577" i="1" s="1"/>
  <c r="N654" i="2"/>
  <c r="P654" i="2"/>
  <c r="AF577" i="1" s="1"/>
  <c r="O654" i="2"/>
  <c r="BR577" i="1" s="1"/>
  <c r="F654" i="2"/>
  <c r="AB577" i="1" s="1"/>
  <c r="J654" i="2"/>
  <c r="X577" i="1" s="1"/>
  <c r="E654" i="2"/>
  <c r="R654" i="2"/>
  <c r="Q654" i="2"/>
  <c r="K654" i="2"/>
  <c r="H654" i="2"/>
  <c r="L654" i="2"/>
  <c r="I654" i="2"/>
  <c r="BH56" i="1"/>
  <c r="BD470" i="1"/>
  <c r="BV698" i="1" l="1"/>
  <c r="Q410" i="2"/>
  <c r="BV311" i="1" s="1"/>
  <c r="M655" i="18"/>
  <c r="BG578" i="1" s="1"/>
  <c r="F655" i="18"/>
  <c r="AA578" i="1" s="1"/>
  <c r="O655" i="18"/>
  <c r="BQ578" i="1" s="1"/>
  <c r="G655" i="18"/>
  <c r="AO578" i="1" s="1"/>
  <c r="P655" i="18"/>
  <c r="AE578" i="1" s="1"/>
  <c r="K655" i="18"/>
  <c r="BC578" i="1" s="1"/>
  <c r="I655" i="18"/>
  <c r="AW578" i="1" s="1"/>
  <c r="E655" i="18"/>
  <c r="K578" i="1" s="1"/>
  <c r="Q655" i="18"/>
  <c r="BU578" i="1" s="1"/>
  <c r="L655" i="18"/>
  <c r="AI578" i="1" s="1"/>
  <c r="R655" i="18"/>
  <c r="CA578" i="1" s="1"/>
  <c r="J655" i="18"/>
  <c r="W578" i="1" s="1"/>
  <c r="H655" i="18"/>
  <c r="Q578" i="1" s="1"/>
  <c r="AR3" i="8"/>
  <c r="AR4" i="8"/>
  <c r="R58" i="1"/>
  <c r="BR698" i="1"/>
  <c r="O410" i="2"/>
  <c r="BR311" i="1" s="1"/>
  <c r="C167" i="2"/>
  <c r="C290" i="2"/>
  <c r="C412" i="2"/>
  <c r="C48" i="1"/>
  <c r="C171" i="1"/>
  <c r="C591" i="1" s="1"/>
  <c r="C313" i="1"/>
  <c r="D313" i="1" s="1"/>
  <c r="AQ17" i="8"/>
  <c r="AQ29" i="8" s="1"/>
  <c r="D54" i="18"/>
  <c r="G53" i="18"/>
  <c r="H53" i="18"/>
  <c r="I53" i="18"/>
  <c r="Q53" i="18"/>
  <c r="J53" i="18"/>
  <c r="R53" i="18"/>
  <c r="E53" i="18"/>
  <c r="K53" i="18"/>
  <c r="AQ26" i="8"/>
  <c r="AQ38" i="8" s="1"/>
  <c r="BY167" i="1"/>
  <c r="BY168" i="1" s="1"/>
  <c r="BV577" i="1"/>
  <c r="AT167" i="1"/>
  <c r="AT168" i="1" s="1"/>
  <c r="AX168" i="1"/>
  <c r="R698" i="1"/>
  <c r="H410" i="2"/>
  <c r="R311" i="1" s="1"/>
  <c r="F410" i="2"/>
  <c r="AB311" i="1" s="1"/>
  <c r="AB698" i="1"/>
  <c r="AQ20" i="8"/>
  <c r="AQ32" i="8" s="1"/>
  <c r="H654" i="18"/>
  <c r="Q577" i="1" s="1"/>
  <c r="BA166" i="1"/>
  <c r="AM57" i="1"/>
  <c r="AJ472" i="1"/>
  <c r="G310" i="1"/>
  <c r="AS7" i="8"/>
  <c r="AS9" i="8"/>
  <c r="AS11" i="8"/>
  <c r="AS2" i="8"/>
  <c r="AS14" i="8"/>
  <c r="AS13" i="8"/>
  <c r="AS6" i="8"/>
  <c r="AS8" i="8"/>
  <c r="AS10" i="8"/>
  <c r="AS12" i="8"/>
  <c r="AS15" i="8"/>
  <c r="AS39" i="8"/>
  <c r="AF58" i="1"/>
  <c r="A46" i="2"/>
  <c r="C46" i="2" s="1"/>
  <c r="B46" i="2"/>
  <c r="H470" i="1"/>
  <c r="H310" i="1"/>
  <c r="W472" i="1"/>
  <c r="BC55" i="1"/>
  <c r="U167" i="1"/>
  <c r="U168" i="1" s="1"/>
  <c r="R577" i="1"/>
  <c r="BH57" i="1"/>
  <c r="BD471" i="1"/>
  <c r="F166" i="2"/>
  <c r="AB169" i="1" s="1"/>
  <c r="AB170" i="1" s="1"/>
  <c r="G166" i="2"/>
  <c r="AP169" i="1" s="1"/>
  <c r="J166" i="2"/>
  <c r="X169" i="1" s="1"/>
  <c r="I166" i="2"/>
  <c r="AX169" i="1" s="1"/>
  <c r="H166" i="2"/>
  <c r="R169" i="1" s="1"/>
  <c r="R170" i="1" s="1"/>
  <c r="E166" i="2"/>
  <c r="L169" i="1" s="1"/>
  <c r="R166" i="2"/>
  <c r="CB169" i="1" s="1"/>
  <c r="CB170" i="1" s="1"/>
  <c r="K166" i="2"/>
  <c r="BD169" i="1" s="1"/>
  <c r="BD170" i="1" s="1"/>
  <c r="L166" i="2"/>
  <c r="AJ169" i="1" s="1"/>
  <c r="AJ170" i="1" s="1"/>
  <c r="N166" i="2"/>
  <c r="BN169" i="1" s="1"/>
  <c r="BN170" i="1" s="1"/>
  <c r="P166" i="2"/>
  <c r="AF169" i="1" s="1"/>
  <c r="AF170" i="1" s="1"/>
  <c r="O166" i="2"/>
  <c r="BR169" i="1" s="1"/>
  <c r="BR170" i="1" s="1"/>
  <c r="M166" i="2"/>
  <c r="BJ169" i="1" s="1"/>
  <c r="BJ170" i="1" s="1"/>
  <c r="Q166" i="2"/>
  <c r="BV169" i="1" s="1"/>
  <c r="BV170" i="1" s="1"/>
  <c r="BD58" i="1"/>
  <c r="AO55" i="1"/>
  <c r="BH168" i="1"/>
  <c r="BD577" i="1"/>
  <c r="H544" i="2"/>
  <c r="I544" i="2"/>
  <c r="Q544" i="2"/>
  <c r="E544" i="2"/>
  <c r="D545" i="2"/>
  <c r="K544" i="2"/>
  <c r="L544" i="2"/>
  <c r="R544" i="2"/>
  <c r="AR26" i="8"/>
  <c r="AR38" i="8" s="1"/>
  <c r="BV58" i="1"/>
  <c r="H544" i="18"/>
  <c r="Q544" i="18"/>
  <c r="L544" i="18"/>
  <c r="D545" i="18"/>
  <c r="E544" i="18"/>
  <c r="J544" i="18"/>
  <c r="R544" i="18"/>
  <c r="J169" i="12"/>
  <c r="R169" i="12"/>
  <c r="H169" i="12"/>
  <c r="P169" i="12"/>
  <c r="M169" i="12"/>
  <c r="F169" i="12"/>
  <c r="Q169" i="12"/>
  <c r="G169" i="12"/>
  <c r="S169" i="12"/>
  <c r="O169" i="12"/>
  <c r="I169" i="12"/>
  <c r="K169" i="12"/>
  <c r="E169" i="12"/>
  <c r="L169" i="12"/>
  <c r="N169" i="12"/>
  <c r="AQ18" i="8"/>
  <c r="AQ30" i="8" s="1"/>
  <c r="H57" i="1"/>
  <c r="J410" i="2"/>
  <c r="X311" i="1" s="1"/>
  <c r="X698" i="1"/>
  <c r="CB698" i="1"/>
  <c r="R410" i="2"/>
  <c r="CB311" i="1" s="1"/>
  <c r="H166" i="1"/>
  <c r="G654" i="18"/>
  <c r="AO577" i="1" s="1"/>
  <c r="AV166" i="1"/>
  <c r="O57" i="1"/>
  <c r="L471" i="1"/>
  <c r="AR25" i="8"/>
  <c r="AR37" i="8" s="1"/>
  <c r="BR58" i="1"/>
  <c r="I56" i="1"/>
  <c r="K472" i="1"/>
  <c r="CA55" i="1"/>
  <c r="AR22" i="8"/>
  <c r="AR34" i="8" s="1"/>
  <c r="AI472" i="1"/>
  <c r="E288" i="18"/>
  <c r="M288" i="18"/>
  <c r="I288" i="18"/>
  <c r="J288" i="18"/>
  <c r="K288" i="18"/>
  <c r="O288" i="18"/>
  <c r="H288" i="18"/>
  <c r="L288" i="18"/>
  <c r="P288" i="18"/>
  <c r="Q288" i="18"/>
  <c r="R288" i="18"/>
  <c r="F288" i="18"/>
  <c r="G288" i="18"/>
  <c r="L698" i="1"/>
  <c r="E410" i="2"/>
  <c r="L311" i="1" s="1"/>
  <c r="A534" i="18"/>
  <c r="B534" i="18"/>
  <c r="CE167" i="1"/>
  <c r="CE168" i="1" s="1"/>
  <c r="CB577" i="1"/>
  <c r="O167" i="1"/>
  <c r="L577" i="1"/>
  <c r="H167" i="1"/>
  <c r="H168" i="1" s="1"/>
  <c r="L168" i="1"/>
  <c r="AQ25" i="8"/>
  <c r="AQ37" i="8" s="1"/>
  <c r="AF698" i="1"/>
  <c r="P410" i="2"/>
  <c r="AF311" i="1" s="1"/>
  <c r="AJ698" i="1"/>
  <c r="L410" i="2"/>
  <c r="AJ311" i="1" s="1"/>
  <c r="I654" i="18"/>
  <c r="AW577" i="1" s="1"/>
  <c r="CE57" i="1"/>
  <c r="CB471" i="1"/>
  <c r="D460" i="1"/>
  <c r="E460" i="1"/>
  <c r="AR20" i="8"/>
  <c r="AR32" i="8" s="1"/>
  <c r="AR23" i="8"/>
  <c r="AR35" i="8" s="1"/>
  <c r="L58" i="1"/>
  <c r="H58" i="1" s="1"/>
  <c r="H576" i="1"/>
  <c r="CA472" i="1"/>
  <c r="W55" i="1"/>
  <c r="AQ21" i="8"/>
  <c r="AQ33" i="8" s="1"/>
  <c r="M165" i="18"/>
  <c r="BG167" i="1" s="1"/>
  <c r="P165" i="18"/>
  <c r="AE167" i="1" s="1"/>
  <c r="L165" i="18"/>
  <c r="AI167" i="1" s="1"/>
  <c r="O165" i="18"/>
  <c r="BQ167" i="1" s="1"/>
  <c r="F165" i="18"/>
  <c r="AA167" i="1" s="1"/>
  <c r="A164" i="13"/>
  <c r="C164" i="13" s="1"/>
  <c r="Q165" i="18"/>
  <c r="BU167" i="1" s="1"/>
  <c r="H165" i="18"/>
  <c r="Q167" i="1" s="1"/>
  <c r="R165" i="18"/>
  <c r="CA167" i="1" s="1"/>
  <c r="G165" i="18"/>
  <c r="AO167" i="1" s="1"/>
  <c r="I165" i="18"/>
  <c r="AW167" i="1" s="1"/>
  <c r="K165" i="18"/>
  <c r="BC167" i="1" s="1"/>
  <c r="J165" i="18"/>
  <c r="W167" i="1" s="1"/>
  <c r="E165" i="18"/>
  <c r="K167" i="1" s="1"/>
  <c r="AX698" i="1"/>
  <c r="I410" i="2"/>
  <c r="AX311" i="1" s="1"/>
  <c r="U57" i="1"/>
  <c r="R471" i="1"/>
  <c r="H56" i="2"/>
  <c r="P56" i="2"/>
  <c r="K56" i="2"/>
  <c r="N56" i="2"/>
  <c r="D57" i="2"/>
  <c r="E56" i="2"/>
  <c r="O56" i="2"/>
  <c r="Q56" i="2"/>
  <c r="R56" i="2"/>
  <c r="I56" i="2"/>
  <c r="L56" i="2"/>
  <c r="M56" i="2"/>
  <c r="BU472" i="1"/>
  <c r="BU55" i="1"/>
  <c r="BA167" i="1"/>
  <c r="AX577" i="1"/>
  <c r="P166" i="18"/>
  <c r="AE169" i="1" s="1"/>
  <c r="M166" i="18"/>
  <c r="BG169" i="1" s="1"/>
  <c r="O166" i="18"/>
  <c r="BQ169" i="1" s="1"/>
  <c r="F166" i="18"/>
  <c r="AA169" i="1" s="1"/>
  <c r="L166" i="18"/>
  <c r="AI169" i="1" s="1"/>
  <c r="A165" i="13"/>
  <c r="C165" i="13" s="1"/>
  <c r="R166" i="18"/>
  <c r="CA169" i="1" s="1"/>
  <c r="H166" i="18"/>
  <c r="Q169" i="1" s="1"/>
  <c r="K166" i="18"/>
  <c r="BC169" i="1" s="1"/>
  <c r="J166" i="18"/>
  <c r="W169" i="1" s="1"/>
  <c r="E166" i="18"/>
  <c r="K169" i="1" s="1"/>
  <c r="G169" i="1" s="1"/>
  <c r="Q166" i="18"/>
  <c r="BU169" i="1" s="1"/>
  <c r="I166" i="18"/>
  <c r="AW169" i="1" s="1"/>
  <c r="G166" i="18"/>
  <c r="AO169" i="1" s="1"/>
  <c r="A534" i="2"/>
  <c r="B534" i="2"/>
  <c r="BJ698" i="1"/>
  <c r="M410" i="2"/>
  <c r="BJ311" i="1" s="1"/>
  <c r="B46" i="18"/>
  <c r="A46" i="18"/>
  <c r="J654" i="18"/>
  <c r="W577" i="1" s="1"/>
  <c r="O654" i="18"/>
  <c r="BQ577" i="1" s="1"/>
  <c r="BY57" i="1"/>
  <c r="BV471" i="1"/>
  <c r="AR24" i="8"/>
  <c r="AR36" i="8" s="1"/>
  <c r="AR19" i="8"/>
  <c r="AR31" i="8" s="1"/>
  <c r="AX58" i="1"/>
  <c r="BJ58" i="1"/>
  <c r="AT166" i="1"/>
  <c r="Q472" i="1"/>
  <c r="AW55" i="1"/>
  <c r="G410" i="2"/>
  <c r="AP311" i="1" s="1"/>
  <c r="AP698" i="1"/>
  <c r="J168" i="12"/>
  <c r="R168" i="12"/>
  <c r="H168" i="12"/>
  <c r="P168" i="12"/>
  <c r="G168" i="12"/>
  <c r="S168" i="12"/>
  <c r="I168" i="12"/>
  <c r="K168" i="12"/>
  <c r="L168" i="12"/>
  <c r="M168" i="12"/>
  <c r="N168" i="12"/>
  <c r="E168" i="12"/>
  <c r="O168" i="12"/>
  <c r="F168" i="12"/>
  <c r="Q168" i="12"/>
  <c r="G576" i="1"/>
  <c r="H309" i="1"/>
  <c r="CG309" i="1" s="1"/>
  <c r="D47" i="1"/>
  <c r="E47" i="1"/>
  <c r="F47" i="1"/>
  <c r="C461" i="1"/>
  <c r="AR21" i="8"/>
  <c r="AR33" i="8" s="1"/>
  <c r="AJ58" i="1"/>
  <c r="I165" i="1"/>
  <c r="I166" i="1" s="1"/>
  <c r="AM167" i="1"/>
  <c r="AM168" i="1" s="1"/>
  <c r="AJ577" i="1"/>
  <c r="G289" i="18"/>
  <c r="P289" i="18"/>
  <c r="M289" i="18"/>
  <c r="E289" i="18"/>
  <c r="O289" i="18"/>
  <c r="F289" i="18"/>
  <c r="Q289" i="18"/>
  <c r="I289" i="18"/>
  <c r="L289" i="18"/>
  <c r="R289" i="18"/>
  <c r="J289" i="18"/>
  <c r="K289" i="18"/>
  <c r="H289" i="18"/>
  <c r="M655" i="2"/>
  <c r="BJ578" i="1" s="1"/>
  <c r="N655" i="2"/>
  <c r="F655" i="2"/>
  <c r="AB578" i="1" s="1"/>
  <c r="G655" i="2"/>
  <c r="AP578" i="1" s="1"/>
  <c r="J655" i="2"/>
  <c r="X578" i="1" s="1"/>
  <c r="O655" i="2"/>
  <c r="BR578" i="1" s="1"/>
  <c r="P655" i="2"/>
  <c r="AF578" i="1" s="1"/>
  <c r="R655" i="2"/>
  <c r="K655" i="2"/>
  <c r="E655" i="2"/>
  <c r="H655" i="2"/>
  <c r="Q655" i="2"/>
  <c r="I655" i="2"/>
  <c r="L655" i="2"/>
  <c r="G471" i="1"/>
  <c r="BD698" i="1"/>
  <c r="K410" i="2"/>
  <c r="BD311" i="1" s="1"/>
  <c r="A44" i="10"/>
  <c r="C167" i="18"/>
  <c r="C290" i="18"/>
  <c r="C412" i="18"/>
  <c r="A44" i="13"/>
  <c r="C44" i="13" s="1"/>
  <c r="C170" i="12"/>
  <c r="R654" i="18"/>
  <c r="CA577" i="1" s="1"/>
  <c r="F654" i="18"/>
  <c r="AA577" i="1" s="1"/>
  <c r="G577" i="1" s="1"/>
  <c r="BA57" i="1"/>
  <c r="AX471" i="1"/>
  <c r="C699" i="1"/>
  <c r="H289" i="2"/>
  <c r="G289" i="2"/>
  <c r="K289" i="2"/>
  <c r="Q289" i="2"/>
  <c r="R289" i="2"/>
  <c r="L289" i="2"/>
  <c r="P289" i="2"/>
  <c r="J289" i="2"/>
  <c r="M289" i="2"/>
  <c r="F289" i="2"/>
  <c r="E289" i="2"/>
  <c r="O289" i="2"/>
  <c r="N289" i="2"/>
  <c r="N411" i="2" s="1"/>
  <c r="BN312" i="1" s="1"/>
  <c r="I289" i="2"/>
  <c r="AR18" i="8"/>
  <c r="AR30" i="8" s="1"/>
  <c r="AR17" i="8"/>
  <c r="AR29" i="8" s="1"/>
  <c r="CB58" i="1"/>
  <c r="BN58" i="1"/>
  <c r="K55" i="1"/>
  <c r="Q55" i="1"/>
  <c r="O166" i="1"/>
  <c r="BV699" i="1" l="1"/>
  <c r="Q411" i="2"/>
  <c r="BV312" i="1" s="1"/>
  <c r="F411" i="18"/>
  <c r="AA312" i="1" s="1"/>
  <c r="AA699" i="1"/>
  <c r="Q698" i="1"/>
  <c r="H410" i="18"/>
  <c r="Q311" i="1" s="1"/>
  <c r="CA473" i="1"/>
  <c r="Q699" i="1"/>
  <c r="H411" i="18"/>
  <c r="Q312" i="1" s="1"/>
  <c r="A535" i="2"/>
  <c r="B535" i="2"/>
  <c r="G167" i="1"/>
  <c r="F410" i="18"/>
  <c r="AA311" i="1" s="1"/>
  <c r="AA698" i="1"/>
  <c r="L170" i="1"/>
  <c r="H169" i="1"/>
  <c r="H170" i="1" s="1"/>
  <c r="I290" i="18"/>
  <c r="R290" i="18"/>
  <c r="H290" i="18"/>
  <c r="J290" i="18"/>
  <c r="K290" i="18"/>
  <c r="M290" i="18"/>
  <c r="Q290" i="18"/>
  <c r="E290" i="18"/>
  <c r="F290" i="18"/>
  <c r="G290" i="18"/>
  <c r="O290" i="18"/>
  <c r="L290" i="18"/>
  <c r="P290" i="18"/>
  <c r="AX699" i="1"/>
  <c r="I411" i="2"/>
  <c r="AX312" i="1" s="1"/>
  <c r="AJ699" i="1"/>
  <c r="L411" i="2"/>
  <c r="AJ312" i="1" s="1"/>
  <c r="L167" i="18"/>
  <c r="AI171" i="1" s="1"/>
  <c r="M167" i="18"/>
  <c r="BG171" i="1" s="1"/>
  <c r="P167" i="18"/>
  <c r="AE171" i="1" s="1"/>
  <c r="F167" i="18"/>
  <c r="AA171" i="1" s="1"/>
  <c r="O167" i="18"/>
  <c r="BQ171" i="1" s="1"/>
  <c r="A166" i="13"/>
  <c r="C166" i="13" s="1"/>
  <c r="G167" i="18"/>
  <c r="AO171" i="1" s="1"/>
  <c r="R167" i="18"/>
  <c r="CA171" i="1" s="1"/>
  <c r="J167" i="18"/>
  <c r="W171" i="1" s="1"/>
  <c r="K167" i="18"/>
  <c r="BC171" i="1" s="1"/>
  <c r="E167" i="18"/>
  <c r="K171" i="1" s="1"/>
  <c r="Q167" i="18"/>
  <c r="BU171" i="1" s="1"/>
  <c r="H167" i="18"/>
  <c r="Q171" i="1" s="1"/>
  <c r="I167" i="18"/>
  <c r="AW171" i="1" s="1"/>
  <c r="U169" i="1"/>
  <c r="U170" i="1" s="1"/>
  <c r="R578" i="1"/>
  <c r="AW699" i="1"/>
  <c r="I411" i="18"/>
  <c r="AW312" i="1" s="1"/>
  <c r="BV59" i="1"/>
  <c r="A535" i="18"/>
  <c r="C535" i="18" s="1"/>
  <c r="C657" i="18" s="1"/>
  <c r="B535" i="18"/>
  <c r="P410" i="18"/>
  <c r="AE311" i="1" s="1"/>
  <c r="AE698" i="1"/>
  <c r="K698" i="1"/>
  <c r="E410" i="18"/>
  <c r="K311" i="1" s="1"/>
  <c r="G472" i="1"/>
  <c r="I57" i="1"/>
  <c r="Q473" i="1"/>
  <c r="E545" i="2"/>
  <c r="H545" i="2"/>
  <c r="L545" i="2"/>
  <c r="D546" i="2"/>
  <c r="Q545" i="2"/>
  <c r="K545" i="2"/>
  <c r="R545" i="2"/>
  <c r="I545" i="2"/>
  <c r="C168" i="2"/>
  <c r="C291" i="2"/>
  <c r="C413" i="2"/>
  <c r="C49" i="1"/>
  <c r="C172" i="1"/>
  <c r="C592" i="1" s="1"/>
  <c r="C314" i="1"/>
  <c r="D314" i="1" s="1"/>
  <c r="CG310" i="1"/>
  <c r="AO56" i="1"/>
  <c r="F167" i="2"/>
  <c r="AB171" i="1" s="1"/>
  <c r="G167" i="2"/>
  <c r="AP171" i="1" s="1"/>
  <c r="J167" i="2"/>
  <c r="X171" i="1" s="1"/>
  <c r="H167" i="2"/>
  <c r="R171" i="1" s="1"/>
  <c r="P167" i="2"/>
  <c r="AF171" i="1" s="1"/>
  <c r="Q167" i="2"/>
  <c r="BV171" i="1" s="1"/>
  <c r="O167" i="2"/>
  <c r="BR171" i="1" s="1"/>
  <c r="L167" i="2"/>
  <c r="AJ171" i="1" s="1"/>
  <c r="M167" i="2"/>
  <c r="BJ171" i="1" s="1"/>
  <c r="E167" i="2"/>
  <c r="L171" i="1" s="1"/>
  <c r="I167" i="2"/>
  <c r="AX171" i="1" s="1"/>
  <c r="K167" i="2"/>
  <c r="BD171" i="1" s="1"/>
  <c r="N167" i="2"/>
  <c r="BN171" i="1" s="1"/>
  <c r="R167" i="2"/>
  <c r="CB171" i="1" s="1"/>
  <c r="BH170" i="1"/>
  <c r="BD578" i="1"/>
  <c r="L59" i="1"/>
  <c r="H311" i="1"/>
  <c r="BY58" i="1"/>
  <c r="BV472" i="1"/>
  <c r="K56" i="1"/>
  <c r="R699" i="1"/>
  <c r="H411" i="2"/>
  <c r="R312" i="1" s="1"/>
  <c r="AM169" i="1"/>
  <c r="AM170" i="1" s="1"/>
  <c r="AJ578" i="1"/>
  <c r="W699" i="1"/>
  <c r="J411" i="18"/>
  <c r="W312" i="1" s="1"/>
  <c r="BD59" i="1"/>
  <c r="W698" i="1"/>
  <c r="J410" i="18"/>
  <c r="W311" i="1" s="1"/>
  <c r="L545" i="18"/>
  <c r="E545" i="18"/>
  <c r="D546" i="18"/>
  <c r="J545" i="18"/>
  <c r="R545" i="18"/>
  <c r="H545" i="18"/>
  <c r="Q545" i="18"/>
  <c r="BY169" i="1"/>
  <c r="BY170" i="1" s="1"/>
  <c r="BV578" i="1"/>
  <c r="CB699" i="1"/>
  <c r="R411" i="2"/>
  <c r="CB312" i="1" s="1"/>
  <c r="O169" i="1"/>
  <c r="L578" i="1"/>
  <c r="BU699" i="1"/>
  <c r="Q411" i="18"/>
  <c r="BU312" i="1" s="1"/>
  <c r="C46" i="18"/>
  <c r="BR59" i="1"/>
  <c r="C534" i="18"/>
  <c r="C656" i="18" s="1"/>
  <c r="L410" i="18"/>
  <c r="AI311" i="1" s="1"/>
  <c r="AI698" i="1"/>
  <c r="O58" i="1"/>
  <c r="L472" i="1"/>
  <c r="BC56" i="1"/>
  <c r="E54" i="18"/>
  <c r="D55" i="18"/>
  <c r="G54" i="18"/>
  <c r="H54" i="18"/>
  <c r="J54" i="18"/>
  <c r="R54" i="18"/>
  <c r="Q54" i="18"/>
  <c r="I54" i="18"/>
  <c r="K54" i="18"/>
  <c r="BR699" i="1"/>
  <c r="O411" i="2"/>
  <c r="BR312" i="1" s="1"/>
  <c r="CE169" i="1"/>
  <c r="CE170" i="1" s="1"/>
  <c r="CB578" i="1"/>
  <c r="E57" i="2"/>
  <c r="M57" i="2"/>
  <c r="H57" i="2"/>
  <c r="P57" i="2"/>
  <c r="O57" i="2"/>
  <c r="Q57" i="2"/>
  <c r="R57" i="2"/>
  <c r="I57" i="2"/>
  <c r="K57" i="2"/>
  <c r="L57" i="2"/>
  <c r="D58" i="2"/>
  <c r="N57" i="2"/>
  <c r="W473" i="1"/>
  <c r="BA58" i="1"/>
  <c r="AX472" i="1"/>
  <c r="CA56" i="1"/>
  <c r="F411" i="2"/>
  <c r="AB312" i="1" s="1"/>
  <c r="AB699" i="1"/>
  <c r="G411" i="2"/>
  <c r="AP312" i="1" s="1"/>
  <c r="AP699" i="1"/>
  <c r="J170" i="12"/>
  <c r="R170" i="12"/>
  <c r="H170" i="12"/>
  <c r="P170" i="12"/>
  <c r="G170" i="12"/>
  <c r="S170" i="12"/>
  <c r="K170" i="12"/>
  <c r="I170" i="12"/>
  <c r="L170" i="12"/>
  <c r="M170" i="12"/>
  <c r="N170" i="12"/>
  <c r="E170" i="12"/>
  <c r="O170" i="12"/>
  <c r="F170" i="12"/>
  <c r="Q170" i="12"/>
  <c r="BC699" i="1"/>
  <c r="K411" i="18"/>
  <c r="BC312" i="1" s="1"/>
  <c r="K699" i="1"/>
  <c r="E411" i="18"/>
  <c r="K312" i="1" s="1"/>
  <c r="BJ59" i="1"/>
  <c r="BN59" i="1"/>
  <c r="H577" i="1"/>
  <c r="AO698" i="1"/>
  <c r="G410" i="18"/>
  <c r="AO311" i="1" s="1"/>
  <c r="BC698" i="1"/>
  <c r="K410" i="18"/>
  <c r="BC311" i="1" s="1"/>
  <c r="K473" i="1"/>
  <c r="G473" i="1" s="1"/>
  <c r="U58" i="1"/>
  <c r="R472" i="1"/>
  <c r="AS4" i="8"/>
  <c r="AS19" i="8" s="1"/>
  <c r="AS31" i="8" s="1"/>
  <c r="AS3" i="8"/>
  <c r="W56" i="1"/>
  <c r="B47" i="18"/>
  <c r="A47" i="18"/>
  <c r="AS24" i="8"/>
  <c r="AS36" i="8" s="1"/>
  <c r="BD699" i="1"/>
  <c r="K411" i="2"/>
  <c r="BD312" i="1" s="1"/>
  <c r="O411" i="18"/>
  <c r="BQ312" i="1" s="1"/>
  <c r="BQ699" i="1"/>
  <c r="BJ699" i="1"/>
  <c r="M411" i="2"/>
  <c r="BJ312" i="1" s="1"/>
  <c r="M411" i="18"/>
  <c r="BG312" i="1" s="1"/>
  <c r="BG699" i="1"/>
  <c r="AJ59" i="1"/>
  <c r="I167" i="1"/>
  <c r="I168" i="1" s="1"/>
  <c r="O168" i="1"/>
  <c r="CE58" i="1"/>
  <c r="CB472" i="1"/>
  <c r="BU56" i="1"/>
  <c r="E48" i="1"/>
  <c r="F48" i="1"/>
  <c r="D48" i="1"/>
  <c r="C462" i="1"/>
  <c r="J411" i="2"/>
  <c r="X312" i="1" s="1"/>
  <c r="X699" i="1"/>
  <c r="BA169" i="1"/>
  <c r="AX578" i="1"/>
  <c r="CA699" i="1"/>
  <c r="R411" i="18"/>
  <c r="CA312" i="1" s="1"/>
  <c r="P411" i="18"/>
  <c r="AE312" i="1" s="1"/>
  <c r="AE699" i="1"/>
  <c r="C534" i="2"/>
  <c r="C656" i="2" s="1"/>
  <c r="AV167" i="1"/>
  <c r="AV168" i="1" s="1"/>
  <c r="BA168" i="1"/>
  <c r="AX59" i="1"/>
  <c r="AF59" i="1"/>
  <c r="CA698" i="1"/>
  <c r="R410" i="18"/>
  <c r="CA311" i="1" s="1"/>
  <c r="AW698" i="1"/>
  <c r="I410" i="18"/>
  <c r="AW311" i="1" s="1"/>
  <c r="AI473" i="1"/>
  <c r="AM58" i="1"/>
  <c r="AJ473" i="1"/>
  <c r="AS23" i="8"/>
  <c r="AS35" i="8" s="1"/>
  <c r="AS20" i="8"/>
  <c r="AS32" i="8" s="1"/>
  <c r="AW56" i="1"/>
  <c r="G578" i="1"/>
  <c r="L699" i="1"/>
  <c r="E411" i="2"/>
  <c r="L312" i="1" s="1"/>
  <c r="O410" i="18"/>
  <c r="BQ311" i="1" s="1"/>
  <c r="BQ698" i="1"/>
  <c r="G55" i="1"/>
  <c r="AF699" i="1"/>
  <c r="P411" i="2"/>
  <c r="AF312" i="1" s="1"/>
  <c r="L411" i="18"/>
  <c r="AI312" i="1" s="1"/>
  <c r="AI699" i="1"/>
  <c r="AO699" i="1"/>
  <c r="G411" i="18"/>
  <c r="AO312" i="1" s="1"/>
  <c r="D461" i="1"/>
  <c r="E461" i="1"/>
  <c r="CB59" i="1"/>
  <c r="R59" i="1"/>
  <c r="BU698" i="1"/>
  <c r="Q410" i="18"/>
  <c r="BU311" i="1" s="1"/>
  <c r="M410" i="18"/>
  <c r="BG311" i="1" s="1"/>
  <c r="BG698" i="1"/>
  <c r="H471" i="1"/>
  <c r="BU473" i="1"/>
  <c r="BH58" i="1"/>
  <c r="BD472" i="1"/>
  <c r="AT169" i="1"/>
  <c r="AT170" i="1" s="1"/>
  <c r="AX170" i="1"/>
  <c r="A47" i="2"/>
  <c r="B47" i="2"/>
  <c r="AS21" i="8"/>
  <c r="AS33" i="8" s="1"/>
  <c r="AS18" i="8"/>
  <c r="AS30" i="8" s="1"/>
  <c r="Q56" i="1"/>
  <c r="C700" i="1"/>
  <c r="R290" i="2"/>
  <c r="G290" i="2"/>
  <c r="N290" i="2"/>
  <c r="N412" i="2" s="1"/>
  <c r="BN313" i="1" s="1"/>
  <c r="M290" i="2"/>
  <c r="I290" i="2"/>
  <c r="F290" i="2"/>
  <c r="E290" i="2"/>
  <c r="P290" i="2"/>
  <c r="J290" i="2"/>
  <c r="L290" i="2"/>
  <c r="H290" i="2"/>
  <c r="O290" i="2"/>
  <c r="K290" i="2"/>
  <c r="Q290" i="2"/>
  <c r="CB60" i="1" l="1"/>
  <c r="G412" i="2"/>
  <c r="AP313" i="1" s="1"/>
  <c r="AP700" i="1"/>
  <c r="J412" i="2"/>
  <c r="X313" i="1" s="1"/>
  <c r="X700" i="1"/>
  <c r="CB700" i="1"/>
  <c r="R412" i="2"/>
  <c r="CB313" i="1" s="1"/>
  <c r="C47" i="2"/>
  <c r="D462" i="1"/>
  <c r="E462" i="1"/>
  <c r="C47" i="18"/>
  <c r="E58" i="2"/>
  <c r="M58" i="2"/>
  <c r="P58" i="2"/>
  <c r="H58" i="2"/>
  <c r="Q58" i="2"/>
  <c r="I58" i="2"/>
  <c r="R58" i="2"/>
  <c r="K58" i="2"/>
  <c r="L58" i="2"/>
  <c r="N58" i="2"/>
  <c r="O58" i="2"/>
  <c r="D59" i="2"/>
  <c r="R60" i="1"/>
  <c r="AW57" i="1"/>
  <c r="H578" i="1"/>
  <c r="Q474" i="1"/>
  <c r="H59" i="1"/>
  <c r="AT171" i="1"/>
  <c r="BH59" i="1"/>
  <c r="BD473" i="1"/>
  <c r="M412" i="18"/>
  <c r="BG313" i="1" s="1"/>
  <c r="BG700" i="1"/>
  <c r="AX700" i="1"/>
  <c r="I412" i="2"/>
  <c r="AX313" i="1" s="1"/>
  <c r="U59" i="1"/>
  <c r="R473" i="1"/>
  <c r="AJ700" i="1"/>
  <c r="L412" i="2"/>
  <c r="AJ313" i="1" s="1"/>
  <c r="A48" i="2"/>
  <c r="B48" i="2"/>
  <c r="AF700" i="1"/>
  <c r="P412" i="2"/>
  <c r="AF313" i="1" s="1"/>
  <c r="A48" i="18"/>
  <c r="C48" i="18" s="1"/>
  <c r="B48" i="18"/>
  <c r="AS25" i="8"/>
  <c r="AS37" i="8" s="1"/>
  <c r="AJ60" i="1"/>
  <c r="BJ60" i="1"/>
  <c r="BU57" i="1"/>
  <c r="G656" i="18"/>
  <c r="AO579" i="1" s="1"/>
  <c r="P656" i="18"/>
  <c r="AE579" i="1" s="1"/>
  <c r="I656" i="18"/>
  <c r="AW579" i="1" s="1"/>
  <c r="K656" i="18"/>
  <c r="BC579" i="1" s="1"/>
  <c r="F656" i="18"/>
  <c r="AA579" i="1" s="1"/>
  <c r="O656" i="18"/>
  <c r="BQ579" i="1" s="1"/>
  <c r="M656" i="18"/>
  <c r="BG579" i="1" s="1"/>
  <c r="H656" i="18"/>
  <c r="Q579" i="1" s="1"/>
  <c r="Q656" i="18"/>
  <c r="BU579" i="1" s="1"/>
  <c r="L656" i="18"/>
  <c r="AI579" i="1" s="1"/>
  <c r="J656" i="18"/>
  <c r="W579" i="1" s="1"/>
  <c r="R656" i="18"/>
  <c r="CA579" i="1" s="1"/>
  <c r="E656" i="18"/>
  <c r="K579" i="1" s="1"/>
  <c r="G579" i="1" s="1"/>
  <c r="I169" i="1"/>
  <c r="I170" i="1" s="1"/>
  <c r="O170" i="1"/>
  <c r="CA474" i="1"/>
  <c r="G56" i="1"/>
  <c r="H171" i="1"/>
  <c r="BY59" i="1"/>
  <c r="BV473" i="1"/>
  <c r="P412" i="18"/>
  <c r="AE313" i="1" s="1"/>
  <c r="AE700" i="1"/>
  <c r="BC700" i="1"/>
  <c r="K412" i="18"/>
  <c r="BC313" i="1" s="1"/>
  <c r="BD60" i="1"/>
  <c r="L60" i="1"/>
  <c r="CA57" i="1"/>
  <c r="W474" i="1"/>
  <c r="D49" i="1"/>
  <c r="F49" i="1"/>
  <c r="C463" i="1"/>
  <c r="K546" i="2"/>
  <c r="E546" i="2"/>
  <c r="L546" i="2"/>
  <c r="D547" i="2"/>
  <c r="H546" i="2"/>
  <c r="R546" i="2"/>
  <c r="I546" i="2"/>
  <c r="Q546" i="2"/>
  <c r="G311" i="1"/>
  <c r="CG311" i="1" s="1"/>
  <c r="G171" i="1"/>
  <c r="L412" i="18"/>
  <c r="AI313" i="1" s="1"/>
  <c r="AI700" i="1"/>
  <c r="W700" i="1"/>
  <c r="J412" i="18"/>
  <c r="W313" i="1" s="1"/>
  <c r="BV700" i="1"/>
  <c r="Q412" i="2"/>
  <c r="BV313" i="1" s="1"/>
  <c r="F412" i="2"/>
  <c r="AB313" i="1" s="1"/>
  <c r="AB700" i="1"/>
  <c r="AX60" i="1"/>
  <c r="W57" i="1"/>
  <c r="AS17" i="8"/>
  <c r="AS29" i="8" s="1"/>
  <c r="E546" i="18"/>
  <c r="D547" i="18"/>
  <c r="L546" i="18"/>
  <c r="J546" i="18"/>
  <c r="Q546" i="18"/>
  <c r="R546" i="18"/>
  <c r="H546" i="18"/>
  <c r="AJ173" i="1"/>
  <c r="AM59" i="1"/>
  <c r="AJ474" i="1"/>
  <c r="O412" i="18"/>
  <c r="BQ313" i="1" s="1"/>
  <c r="BQ700" i="1"/>
  <c r="Q700" i="1"/>
  <c r="H412" i="18"/>
  <c r="Q313" i="1" s="1"/>
  <c r="C701" i="1"/>
  <c r="H291" i="2"/>
  <c r="N291" i="2"/>
  <c r="N413" i="2" s="1"/>
  <c r="BN314" i="1" s="1"/>
  <c r="L291" i="2"/>
  <c r="R291" i="2"/>
  <c r="G291" i="2"/>
  <c r="K291" i="2"/>
  <c r="P291" i="2"/>
  <c r="J291" i="2"/>
  <c r="O291" i="2"/>
  <c r="Q291" i="2"/>
  <c r="I291" i="2"/>
  <c r="F291" i="2"/>
  <c r="E291" i="2"/>
  <c r="M291" i="2"/>
  <c r="CA700" i="1"/>
  <c r="R412" i="18"/>
  <c r="CA313" i="1" s="1"/>
  <c r="BJ700" i="1"/>
  <c r="M412" i="2"/>
  <c r="BJ313" i="1" s="1"/>
  <c r="AV169" i="1"/>
  <c r="AV170" i="1" s="1"/>
  <c r="BA170" i="1"/>
  <c r="BV60" i="1"/>
  <c r="AO57" i="1"/>
  <c r="I58" i="1"/>
  <c r="A45" i="10"/>
  <c r="M168" i="2" s="1"/>
  <c r="BJ172" i="1" s="1"/>
  <c r="BJ173" i="1" s="1"/>
  <c r="C291" i="18"/>
  <c r="C168" i="18"/>
  <c r="C413" i="18"/>
  <c r="A45" i="13"/>
  <c r="C45" i="13" s="1"/>
  <c r="C171" i="12"/>
  <c r="AI474" i="1"/>
  <c r="J168" i="2"/>
  <c r="X172" i="1" s="1"/>
  <c r="L168" i="2"/>
  <c r="AJ172" i="1" s="1"/>
  <c r="R168" i="2"/>
  <c r="CB172" i="1" s="1"/>
  <c r="CB173" i="1" s="1"/>
  <c r="H168" i="2"/>
  <c r="R172" i="1" s="1"/>
  <c r="R173" i="1" s="1"/>
  <c r="N168" i="2"/>
  <c r="BN172" i="1" s="1"/>
  <c r="K168" i="2"/>
  <c r="BD172" i="1" s="1"/>
  <c r="E168" i="2"/>
  <c r="L172" i="1" s="1"/>
  <c r="L173" i="1" s="1"/>
  <c r="O59" i="1"/>
  <c r="I59" i="1" s="1"/>
  <c r="L473" i="1"/>
  <c r="F412" i="18"/>
  <c r="AA313" i="1" s="1"/>
  <c r="AA700" i="1"/>
  <c r="AW700" i="1"/>
  <c r="I412" i="18"/>
  <c r="AW313" i="1" s="1"/>
  <c r="C535" i="2"/>
  <c r="C657" i="2" s="1"/>
  <c r="BD700" i="1"/>
  <c r="K412" i="2"/>
  <c r="BD313" i="1" s="1"/>
  <c r="H472" i="1"/>
  <c r="K474" i="1"/>
  <c r="AO700" i="1"/>
  <c r="G412" i="18"/>
  <c r="AO313" i="1" s="1"/>
  <c r="B536" i="2"/>
  <c r="A536" i="2"/>
  <c r="BR700" i="1"/>
  <c r="O412" i="2"/>
  <c r="BR313" i="1" s="1"/>
  <c r="R700" i="1"/>
  <c r="H412" i="2"/>
  <c r="R313" i="1" s="1"/>
  <c r="H312" i="1"/>
  <c r="BR60" i="1"/>
  <c r="J55" i="18"/>
  <c r="R55" i="18"/>
  <c r="K55" i="18"/>
  <c r="E55" i="18"/>
  <c r="D56" i="18"/>
  <c r="H55" i="18"/>
  <c r="Q55" i="18"/>
  <c r="G55" i="18"/>
  <c r="I55" i="18"/>
  <c r="AS26" i="8"/>
  <c r="AS38" i="8" s="1"/>
  <c r="BN173" i="1"/>
  <c r="BA59" i="1"/>
  <c r="AX473" i="1"/>
  <c r="A536" i="18"/>
  <c r="B536" i="18"/>
  <c r="K700" i="1"/>
  <c r="E412" i="18"/>
  <c r="K313" i="1" s="1"/>
  <c r="G313" i="1" s="1"/>
  <c r="AS22" i="8"/>
  <c r="AS34" i="8" s="1"/>
  <c r="L700" i="1"/>
  <c r="E412" i="2"/>
  <c r="L313" i="1" s="1"/>
  <c r="Q57" i="1"/>
  <c r="F656" i="2"/>
  <c r="AB579" i="1" s="1"/>
  <c r="O656" i="2"/>
  <c r="BR579" i="1" s="1"/>
  <c r="M656" i="2"/>
  <c r="BJ579" i="1" s="1"/>
  <c r="P656" i="2"/>
  <c r="AF579" i="1" s="1"/>
  <c r="G656" i="2"/>
  <c r="AP579" i="1" s="1"/>
  <c r="J656" i="2"/>
  <c r="X579" i="1" s="1"/>
  <c r="N656" i="2"/>
  <c r="E656" i="2"/>
  <c r="K656" i="2"/>
  <c r="Q656" i="2"/>
  <c r="H656" i="2"/>
  <c r="R656" i="2"/>
  <c r="L656" i="2"/>
  <c r="I656" i="2"/>
  <c r="G312" i="1"/>
  <c r="CG312" i="1" s="1"/>
  <c r="BN60" i="1"/>
  <c r="AF60" i="1"/>
  <c r="BC57" i="1"/>
  <c r="K57" i="1"/>
  <c r="BU474" i="1"/>
  <c r="BD173" i="1"/>
  <c r="CE59" i="1"/>
  <c r="CB473" i="1"/>
  <c r="I657" i="18"/>
  <c r="AW580" i="1" s="1"/>
  <c r="K657" i="18"/>
  <c r="BC580" i="1" s="1"/>
  <c r="M657" i="18"/>
  <c r="BG580" i="1" s="1"/>
  <c r="O657" i="18"/>
  <c r="BQ580" i="1" s="1"/>
  <c r="P657" i="18"/>
  <c r="AE580" i="1" s="1"/>
  <c r="G657" i="18"/>
  <c r="AO580" i="1" s="1"/>
  <c r="F657" i="18"/>
  <c r="AA580" i="1" s="1"/>
  <c r="R657" i="18"/>
  <c r="CA580" i="1" s="1"/>
  <c r="Q657" i="18"/>
  <c r="BU580" i="1" s="1"/>
  <c r="H657" i="18"/>
  <c r="Q580" i="1" s="1"/>
  <c r="J657" i="18"/>
  <c r="W580" i="1" s="1"/>
  <c r="L657" i="18"/>
  <c r="AI580" i="1" s="1"/>
  <c r="E657" i="18"/>
  <c r="K580" i="1" s="1"/>
  <c r="BU700" i="1"/>
  <c r="Q412" i="18"/>
  <c r="BU313" i="1" s="1"/>
  <c r="A537" i="18" l="1"/>
  <c r="C537" i="18" s="1"/>
  <c r="C659" i="18" s="1"/>
  <c r="B537" i="18"/>
  <c r="CE171" i="1"/>
  <c r="CB579" i="1"/>
  <c r="H56" i="18"/>
  <c r="I56" i="18"/>
  <c r="Q56" i="18"/>
  <c r="J56" i="18"/>
  <c r="R56" i="18"/>
  <c r="K56" i="18"/>
  <c r="D57" i="18"/>
  <c r="G56" i="18"/>
  <c r="E56" i="18"/>
  <c r="P168" i="2"/>
  <c r="AF172" i="1" s="1"/>
  <c r="AF173" i="1" s="1"/>
  <c r="J171" i="12"/>
  <c r="R171" i="12"/>
  <c r="H171" i="12"/>
  <c r="P171" i="12"/>
  <c r="M171" i="12"/>
  <c r="N171" i="12"/>
  <c r="E171" i="12"/>
  <c r="F171" i="12"/>
  <c r="Q171" i="12"/>
  <c r="G171" i="12"/>
  <c r="S171" i="12"/>
  <c r="O171" i="12"/>
  <c r="I171" i="12"/>
  <c r="K171" i="12"/>
  <c r="L171" i="12"/>
  <c r="BR701" i="1"/>
  <c r="O413" i="2"/>
  <c r="BR314" i="1" s="1"/>
  <c r="R701" i="1"/>
  <c r="H413" i="2"/>
  <c r="R314" i="1" s="1"/>
  <c r="L547" i="18"/>
  <c r="E547" i="18"/>
  <c r="D548" i="18"/>
  <c r="Q547" i="18"/>
  <c r="H547" i="18"/>
  <c r="R547" i="18"/>
  <c r="J547" i="18"/>
  <c r="AM60" i="1"/>
  <c r="AJ475" i="1"/>
  <c r="BR61" i="1"/>
  <c r="AF61" i="1"/>
  <c r="AF701" i="1"/>
  <c r="P413" i="2"/>
  <c r="AF314" i="1" s="1"/>
  <c r="G57" i="1"/>
  <c r="U171" i="1"/>
  <c r="R579" i="1"/>
  <c r="K58" i="1"/>
  <c r="G474" i="1"/>
  <c r="F168" i="2"/>
  <c r="AB172" i="1" s="1"/>
  <c r="AB173" i="1" s="1"/>
  <c r="J413" i="2"/>
  <c r="X314" i="1" s="1"/>
  <c r="X701" i="1"/>
  <c r="K475" i="1"/>
  <c r="O60" i="1"/>
  <c r="L474" i="1"/>
  <c r="A49" i="18"/>
  <c r="C49" i="18" s="1"/>
  <c r="B49" i="18"/>
  <c r="BN61" i="1"/>
  <c r="BJ61" i="1"/>
  <c r="BY171" i="1"/>
  <c r="BV579" i="1"/>
  <c r="BH60" i="1"/>
  <c r="BD474" i="1"/>
  <c r="A47" i="10"/>
  <c r="C293" i="18"/>
  <c r="C170" i="18"/>
  <c r="C415" i="18"/>
  <c r="A47" i="13"/>
  <c r="C47" i="13" s="1"/>
  <c r="C173" i="12"/>
  <c r="AJ61" i="1"/>
  <c r="L61" i="1"/>
  <c r="BD579" i="1"/>
  <c r="CT410" i="1"/>
  <c r="CT408" i="1"/>
  <c r="CT415" i="1"/>
  <c r="CT412" i="1"/>
  <c r="CT413" i="1"/>
  <c r="CT416" i="1"/>
  <c r="CT414" i="1"/>
  <c r="CT409" i="1"/>
  <c r="CT411" i="1"/>
  <c r="CA58" i="1"/>
  <c r="H473" i="1"/>
  <c r="I168" i="2"/>
  <c r="AX172" i="1" s="1"/>
  <c r="G168" i="2"/>
  <c r="AP172" i="1" s="1"/>
  <c r="M168" i="18"/>
  <c r="BG172" i="1" s="1"/>
  <c r="F168" i="18"/>
  <c r="AA172" i="1" s="1"/>
  <c r="O168" i="18"/>
  <c r="BQ172" i="1" s="1"/>
  <c r="P168" i="18"/>
  <c r="AE172" i="1" s="1"/>
  <c r="L168" i="18"/>
  <c r="AI172" i="1" s="1"/>
  <c r="A167" i="13"/>
  <c r="C167" i="13" s="1"/>
  <c r="I168" i="18"/>
  <c r="AW172" i="1" s="1"/>
  <c r="J168" i="18"/>
  <c r="W172" i="1" s="1"/>
  <c r="G168" i="18"/>
  <c r="AO172" i="1" s="1"/>
  <c r="K168" i="18"/>
  <c r="BC172" i="1" s="1"/>
  <c r="E168" i="18"/>
  <c r="K172" i="1" s="1"/>
  <c r="G172" i="1" s="1"/>
  <c r="R168" i="18"/>
  <c r="CA172" i="1" s="1"/>
  <c r="H168" i="18"/>
  <c r="Q172" i="1" s="1"/>
  <c r="Q168" i="18"/>
  <c r="BU172" i="1" s="1"/>
  <c r="BJ701" i="1"/>
  <c r="M413" i="2"/>
  <c r="BJ314" i="1" s="1"/>
  <c r="BD701" i="1"/>
  <c r="K413" i="2"/>
  <c r="BD314" i="1" s="1"/>
  <c r="Q475" i="1"/>
  <c r="BY60" i="1"/>
  <c r="BV474" i="1"/>
  <c r="E463" i="1"/>
  <c r="D463" i="1"/>
  <c r="BD61" i="1"/>
  <c r="A46" i="10"/>
  <c r="C169" i="18"/>
  <c r="C292" i="18"/>
  <c r="C414" i="18"/>
  <c r="A46" i="13"/>
  <c r="C46" i="13" s="1"/>
  <c r="C172" i="12"/>
  <c r="W58" i="1"/>
  <c r="K291" i="18"/>
  <c r="M291" i="18"/>
  <c r="E291" i="18"/>
  <c r="O291" i="18"/>
  <c r="F291" i="18"/>
  <c r="P291" i="18"/>
  <c r="H291" i="18"/>
  <c r="R291" i="18"/>
  <c r="G291" i="18"/>
  <c r="I291" i="18"/>
  <c r="J291" i="18"/>
  <c r="L291" i="18"/>
  <c r="Q291" i="18"/>
  <c r="L701" i="1"/>
  <c r="E413" i="2"/>
  <c r="L314" i="1" s="1"/>
  <c r="G413" i="2"/>
  <c r="AP314" i="1" s="1"/>
  <c r="AP701" i="1"/>
  <c r="CA475" i="1"/>
  <c r="BA60" i="1"/>
  <c r="AX474" i="1"/>
  <c r="CB61" i="1"/>
  <c r="O171" i="1"/>
  <c r="L579" i="1"/>
  <c r="G580" i="1"/>
  <c r="C536" i="18"/>
  <c r="C658" i="18" s="1"/>
  <c r="AO58" i="1"/>
  <c r="C536" i="2"/>
  <c r="C658" i="2" s="1"/>
  <c r="F413" i="2"/>
  <c r="AB314" i="1" s="1"/>
  <c r="AB701" i="1"/>
  <c r="CB701" i="1"/>
  <c r="R413" i="2"/>
  <c r="CB314" i="1" s="1"/>
  <c r="BU475" i="1"/>
  <c r="CE60" i="1"/>
  <c r="CB474" i="1"/>
  <c r="E49" i="1"/>
  <c r="B49" i="2"/>
  <c r="A49" i="2"/>
  <c r="AX61" i="1"/>
  <c r="AW58" i="1"/>
  <c r="BA171" i="1"/>
  <c r="AX579" i="1"/>
  <c r="BU58" i="1"/>
  <c r="A537" i="2"/>
  <c r="B537" i="2"/>
  <c r="G657" i="2"/>
  <c r="AP580" i="1" s="1"/>
  <c r="O657" i="2"/>
  <c r="BR580" i="1" s="1"/>
  <c r="M657" i="2"/>
  <c r="BJ580" i="1" s="1"/>
  <c r="N657" i="2"/>
  <c r="P657" i="2"/>
  <c r="AF580" i="1" s="1"/>
  <c r="J657" i="2"/>
  <c r="X580" i="1" s="1"/>
  <c r="F657" i="2"/>
  <c r="AB580" i="1" s="1"/>
  <c r="E657" i="2"/>
  <c r="Q657" i="2"/>
  <c r="I657" i="2"/>
  <c r="L657" i="2"/>
  <c r="H657" i="2"/>
  <c r="K657" i="2"/>
  <c r="BD580" i="1" s="1"/>
  <c r="R657" i="2"/>
  <c r="Q168" i="2"/>
  <c r="BV172" i="1" s="1"/>
  <c r="BV173" i="1" s="1"/>
  <c r="AX701" i="1"/>
  <c r="I413" i="2"/>
  <c r="AX314" i="1" s="1"/>
  <c r="AJ701" i="1"/>
  <c r="L413" i="2"/>
  <c r="AJ314" i="1" s="1"/>
  <c r="W475" i="1"/>
  <c r="U60" i="1"/>
  <c r="R474" i="1"/>
  <c r="H60" i="1"/>
  <c r="C48" i="2"/>
  <c r="BV61" i="1"/>
  <c r="C169" i="2"/>
  <c r="C292" i="2"/>
  <c r="C414" i="2"/>
  <c r="C50" i="1"/>
  <c r="C174" i="1"/>
  <c r="C593" i="1" s="1"/>
  <c r="C315" i="1"/>
  <c r="D315" i="1" s="1"/>
  <c r="BC58" i="1"/>
  <c r="AM171" i="1"/>
  <c r="AJ579" i="1"/>
  <c r="H313" i="1"/>
  <c r="CG313" i="1" s="1"/>
  <c r="Q58" i="1"/>
  <c r="O168" i="2"/>
  <c r="BR172" i="1" s="1"/>
  <c r="BR173" i="1" s="1"/>
  <c r="BV701" i="1"/>
  <c r="Q413" i="2"/>
  <c r="BV314" i="1" s="1"/>
  <c r="AI475" i="1"/>
  <c r="I547" i="2"/>
  <c r="Q547" i="2"/>
  <c r="E547" i="2"/>
  <c r="L547" i="2"/>
  <c r="D548" i="2"/>
  <c r="R547" i="2"/>
  <c r="K547" i="2"/>
  <c r="H547" i="2"/>
  <c r="R59" i="2"/>
  <c r="N59" i="2"/>
  <c r="D60" i="2"/>
  <c r="O59" i="2"/>
  <c r="H59" i="2"/>
  <c r="P59" i="2"/>
  <c r="I59" i="2"/>
  <c r="Q59" i="2"/>
  <c r="K59" i="2"/>
  <c r="L59" i="2"/>
  <c r="M59" i="2"/>
  <c r="E59" i="2"/>
  <c r="R61" i="1"/>
  <c r="D50" i="1" l="1"/>
  <c r="E50" i="1"/>
  <c r="F50" i="1"/>
  <c r="C464" i="1"/>
  <c r="F413" i="18"/>
  <c r="AA314" i="1" s="1"/>
  <c r="AA701" i="1"/>
  <c r="G475" i="1"/>
  <c r="BU59" i="1"/>
  <c r="AX62" i="1"/>
  <c r="BH61" i="1"/>
  <c r="BD475" i="1"/>
  <c r="BY172" i="1"/>
  <c r="BV580" i="1"/>
  <c r="H579" i="1"/>
  <c r="L413" i="18"/>
  <c r="AI314" i="1" s="1"/>
  <c r="AI701" i="1"/>
  <c r="O413" i="18"/>
  <c r="BQ314" i="1" s="1"/>
  <c r="BQ701" i="1"/>
  <c r="Q476" i="1"/>
  <c r="AW59" i="1"/>
  <c r="U61" i="1"/>
  <c r="R475" i="1"/>
  <c r="BA172" i="1"/>
  <c r="AX580" i="1"/>
  <c r="A50" i="2"/>
  <c r="B50" i="2"/>
  <c r="K701" i="1"/>
  <c r="E413" i="18"/>
  <c r="K314" i="1" s="1"/>
  <c r="J173" i="12"/>
  <c r="R173" i="12"/>
  <c r="H173" i="12"/>
  <c r="P173" i="12"/>
  <c r="M173" i="12"/>
  <c r="E173" i="12"/>
  <c r="F173" i="12"/>
  <c r="Q173" i="12"/>
  <c r="G173" i="12"/>
  <c r="S173" i="12"/>
  <c r="O173" i="12"/>
  <c r="I173" i="12"/>
  <c r="K173" i="12"/>
  <c r="L173" i="12"/>
  <c r="N173" i="12"/>
  <c r="BU476" i="1"/>
  <c r="K59" i="1"/>
  <c r="Q59" i="1"/>
  <c r="R62" i="1"/>
  <c r="E548" i="2"/>
  <c r="D549" i="2"/>
  <c r="K548" i="2"/>
  <c r="L548" i="2"/>
  <c r="H548" i="2"/>
  <c r="R548" i="2"/>
  <c r="I548" i="2"/>
  <c r="Q548" i="2"/>
  <c r="J169" i="2"/>
  <c r="X174" i="1" s="1"/>
  <c r="F169" i="2"/>
  <c r="AB174" i="1" s="1"/>
  <c r="AB175" i="1" s="1"/>
  <c r="G169" i="2"/>
  <c r="AP174" i="1" s="1"/>
  <c r="K169" i="2"/>
  <c r="BD174" i="1" s="1"/>
  <c r="BD175" i="1" s="1"/>
  <c r="O169" i="2"/>
  <c r="BR174" i="1" s="1"/>
  <c r="BR175" i="1" s="1"/>
  <c r="E169" i="2"/>
  <c r="L174" i="1" s="1"/>
  <c r="Q169" i="2"/>
  <c r="BV174" i="1" s="1"/>
  <c r="BV175" i="1" s="1"/>
  <c r="L169" i="2"/>
  <c r="AJ174" i="1" s="1"/>
  <c r="AJ175" i="1" s="1"/>
  <c r="I169" i="2"/>
  <c r="AX174" i="1" s="1"/>
  <c r="N169" i="2"/>
  <c r="BN174" i="1" s="1"/>
  <c r="BN175" i="1" s="1"/>
  <c r="R169" i="2"/>
  <c r="CB174" i="1" s="1"/>
  <c r="CB175" i="1" s="1"/>
  <c r="P169" i="2"/>
  <c r="AF174" i="1" s="1"/>
  <c r="AF175" i="1" s="1"/>
  <c r="M169" i="2"/>
  <c r="BJ174" i="1" s="1"/>
  <c r="BJ175" i="1" s="1"/>
  <c r="H169" i="2"/>
  <c r="R174" i="1" s="1"/>
  <c r="R175" i="1" s="1"/>
  <c r="H172" i="1"/>
  <c r="H173" i="1" s="1"/>
  <c r="C537" i="2"/>
  <c r="C659" i="2" s="1"/>
  <c r="N658" i="2"/>
  <c r="J658" i="2"/>
  <c r="X581" i="1" s="1"/>
  <c r="M658" i="2"/>
  <c r="BJ581" i="1" s="1"/>
  <c r="O658" i="2"/>
  <c r="BR581" i="1" s="1"/>
  <c r="G658" i="2"/>
  <c r="AP581" i="1" s="1"/>
  <c r="F658" i="2"/>
  <c r="AB581" i="1" s="1"/>
  <c r="P658" i="2"/>
  <c r="AF581" i="1" s="1"/>
  <c r="L658" i="2"/>
  <c r="E658" i="2"/>
  <c r="Q658" i="2"/>
  <c r="I658" i="2"/>
  <c r="R658" i="2"/>
  <c r="K658" i="2"/>
  <c r="H658" i="2"/>
  <c r="AW701" i="1"/>
  <c r="I413" i="18"/>
  <c r="AW314" i="1" s="1"/>
  <c r="M413" i="18"/>
  <c r="BG314" i="1" s="1"/>
  <c r="BG701" i="1"/>
  <c r="E292" i="18"/>
  <c r="M292" i="18"/>
  <c r="H292" i="18"/>
  <c r="R292" i="18"/>
  <c r="I292" i="18"/>
  <c r="J292" i="18"/>
  <c r="L292" i="18"/>
  <c r="G292" i="18"/>
  <c r="K292" i="18"/>
  <c r="O292" i="18"/>
  <c r="P292" i="18"/>
  <c r="Q292" i="18"/>
  <c r="F292" i="18"/>
  <c r="BH173" i="1"/>
  <c r="B50" i="18"/>
  <c r="A50" i="18"/>
  <c r="L548" i="18"/>
  <c r="Q548" i="18"/>
  <c r="H548" i="18"/>
  <c r="R548" i="18"/>
  <c r="J548" i="18"/>
  <c r="D549" i="18"/>
  <c r="E548" i="18"/>
  <c r="AO59" i="1"/>
  <c r="CE61" i="1"/>
  <c r="CB475" i="1"/>
  <c r="C702" i="1"/>
  <c r="L292" i="2"/>
  <c r="R292" i="2"/>
  <c r="K292" i="2"/>
  <c r="G292" i="2"/>
  <c r="N292" i="2"/>
  <c r="N414" i="2" s="1"/>
  <c r="BN315" i="1" s="1"/>
  <c r="M292" i="2"/>
  <c r="I292" i="2"/>
  <c r="P292" i="2"/>
  <c r="J292" i="2"/>
  <c r="H292" i="2"/>
  <c r="O292" i="2"/>
  <c r="Q292" i="2"/>
  <c r="F292" i="2"/>
  <c r="E292" i="2"/>
  <c r="A538" i="2"/>
  <c r="C538" i="2" s="1"/>
  <c r="C660" i="2" s="1"/>
  <c r="B538" i="2"/>
  <c r="I171" i="1"/>
  <c r="BR62" i="1"/>
  <c r="AM61" i="1"/>
  <c r="AJ476" i="1"/>
  <c r="CE172" i="1"/>
  <c r="CB580" i="1"/>
  <c r="AO701" i="1"/>
  <c r="G413" i="18"/>
  <c r="AO314" i="1" s="1"/>
  <c r="BC701" i="1"/>
  <c r="K413" i="18"/>
  <c r="BC314" i="1" s="1"/>
  <c r="M169" i="18"/>
  <c r="BG174" i="1" s="1"/>
  <c r="P169" i="18"/>
  <c r="AE174" i="1" s="1"/>
  <c r="F169" i="18"/>
  <c r="AA174" i="1" s="1"/>
  <c r="L169" i="18"/>
  <c r="AI174" i="1" s="1"/>
  <c r="O169" i="18"/>
  <c r="BQ174" i="1" s="1"/>
  <c r="A168" i="13"/>
  <c r="C168" i="13" s="1"/>
  <c r="G169" i="18"/>
  <c r="AO174" i="1" s="1"/>
  <c r="I169" i="18"/>
  <c r="AW174" i="1" s="1"/>
  <c r="H169" i="18"/>
  <c r="Q174" i="1" s="1"/>
  <c r="E169" i="18"/>
  <c r="K174" i="1" s="1"/>
  <c r="K169" i="18"/>
  <c r="BC174" i="1" s="1"/>
  <c r="R169" i="18"/>
  <c r="CA174" i="1" s="1"/>
  <c r="J169" i="18"/>
  <c r="W174" i="1" s="1"/>
  <c r="Q169" i="18"/>
  <c r="BU174" i="1" s="1"/>
  <c r="AT172" i="1"/>
  <c r="AT173" i="1" s="1"/>
  <c r="AX173" i="1"/>
  <c r="H61" i="1"/>
  <c r="BY173" i="1"/>
  <c r="A48" i="10"/>
  <c r="C171" i="18"/>
  <c r="C416" i="18"/>
  <c r="C294" i="18"/>
  <c r="A48" i="13"/>
  <c r="C48" i="13" s="1"/>
  <c r="C174" i="12"/>
  <c r="K476" i="1"/>
  <c r="D58" i="18"/>
  <c r="G57" i="18"/>
  <c r="H57" i="18"/>
  <c r="I57" i="18"/>
  <c r="Q57" i="18"/>
  <c r="J57" i="18"/>
  <c r="R57" i="18"/>
  <c r="K57" i="18"/>
  <c r="E57" i="18"/>
  <c r="CE173" i="1"/>
  <c r="J172" i="12"/>
  <c r="R172" i="12"/>
  <c r="H172" i="12"/>
  <c r="P172" i="12"/>
  <c r="G172" i="12"/>
  <c r="S172" i="12"/>
  <c r="K172" i="12"/>
  <c r="L172" i="12"/>
  <c r="M172" i="12"/>
  <c r="N172" i="12"/>
  <c r="E172" i="12"/>
  <c r="O172" i="12"/>
  <c r="F172" i="12"/>
  <c r="Q172" i="12"/>
  <c r="I172" i="12"/>
  <c r="W701" i="1"/>
  <c r="J413" i="18"/>
  <c r="W314" i="1" s="1"/>
  <c r="L62" i="1"/>
  <c r="BJ62" i="1"/>
  <c r="O60" i="2"/>
  <c r="D61" i="2"/>
  <c r="L60" i="2"/>
  <c r="E60" i="2"/>
  <c r="M60" i="2"/>
  <c r="N60" i="2"/>
  <c r="P60" i="2"/>
  <c r="H60" i="2"/>
  <c r="Q60" i="2"/>
  <c r="I60" i="2"/>
  <c r="R60" i="2"/>
  <c r="K60" i="2"/>
  <c r="O61" i="1"/>
  <c r="L475" i="1"/>
  <c r="H475" i="1" s="1"/>
  <c r="CA701" i="1"/>
  <c r="R413" i="18"/>
  <c r="CA314" i="1" s="1"/>
  <c r="P170" i="18"/>
  <c r="AE176" i="1" s="1"/>
  <c r="F170" i="18"/>
  <c r="AA176" i="1" s="1"/>
  <c r="O170" i="18"/>
  <c r="BQ176" i="1" s="1"/>
  <c r="L170" i="18"/>
  <c r="AI176" i="1" s="1"/>
  <c r="A169" i="13"/>
  <c r="C169" i="13" s="1"/>
  <c r="M170" i="18"/>
  <c r="BG176" i="1" s="1"/>
  <c r="I170" i="18"/>
  <c r="AW176" i="1" s="1"/>
  <c r="H170" i="18"/>
  <c r="Q176" i="1" s="1"/>
  <c r="K170" i="18"/>
  <c r="BC176" i="1" s="1"/>
  <c r="R170" i="18"/>
  <c r="CA176" i="1" s="1"/>
  <c r="J170" i="18"/>
  <c r="W176" i="1" s="1"/>
  <c r="Q170" i="18"/>
  <c r="BU176" i="1" s="1"/>
  <c r="E170" i="18"/>
  <c r="K176" i="1" s="1"/>
  <c r="G170" i="18"/>
  <c r="AO176" i="1" s="1"/>
  <c r="H474" i="1"/>
  <c r="AI476" i="1"/>
  <c r="BC59" i="1"/>
  <c r="B538" i="18"/>
  <c r="A538" i="18"/>
  <c r="C538" i="18" s="1"/>
  <c r="C660" i="18" s="1"/>
  <c r="BV62" i="1"/>
  <c r="BU701" i="1"/>
  <c r="Q413" i="18"/>
  <c r="BU314" i="1" s="1"/>
  <c r="AF62" i="1"/>
  <c r="AJ62" i="1"/>
  <c r="BN62" i="1"/>
  <c r="BY61" i="1"/>
  <c r="BV475" i="1"/>
  <c r="U172" i="1"/>
  <c r="U173" i="1" s="1"/>
  <c r="R580" i="1"/>
  <c r="H314" i="1"/>
  <c r="Q701" i="1"/>
  <c r="H413" i="18"/>
  <c r="Q314" i="1" s="1"/>
  <c r="G293" i="18"/>
  <c r="P293" i="18"/>
  <c r="L293" i="18"/>
  <c r="M293" i="18"/>
  <c r="E293" i="18"/>
  <c r="O293" i="18"/>
  <c r="H293" i="18"/>
  <c r="R293" i="18"/>
  <c r="K293" i="18"/>
  <c r="Q293" i="18"/>
  <c r="I293" i="18"/>
  <c r="F293" i="18"/>
  <c r="J293" i="18"/>
  <c r="I60" i="1"/>
  <c r="G58" i="1"/>
  <c r="CA59" i="1"/>
  <c r="F659" i="18"/>
  <c r="AA582" i="1" s="1"/>
  <c r="O659" i="18"/>
  <c r="BQ582" i="1" s="1"/>
  <c r="G659" i="18"/>
  <c r="AO582" i="1" s="1"/>
  <c r="P659" i="18"/>
  <c r="AE582" i="1" s="1"/>
  <c r="I659" i="18"/>
  <c r="AW582" i="1" s="1"/>
  <c r="K659" i="18"/>
  <c r="BC582" i="1" s="1"/>
  <c r="M659" i="18"/>
  <c r="BG582" i="1" s="1"/>
  <c r="E659" i="18"/>
  <c r="K582" i="1" s="1"/>
  <c r="H659" i="18"/>
  <c r="Q582" i="1" s="1"/>
  <c r="L659" i="18"/>
  <c r="AI582" i="1" s="1"/>
  <c r="Q659" i="18"/>
  <c r="BU582" i="1" s="1"/>
  <c r="R659" i="18"/>
  <c r="CA582" i="1" s="1"/>
  <c r="J659" i="18"/>
  <c r="W582" i="1" s="1"/>
  <c r="BA173" i="1"/>
  <c r="AV171" i="1"/>
  <c r="CA476" i="1"/>
  <c r="O172" i="1"/>
  <c r="L580" i="1"/>
  <c r="H580" i="1" s="1"/>
  <c r="BD62" i="1"/>
  <c r="CB62" i="1"/>
  <c r="BA61" i="1"/>
  <c r="AX475" i="1"/>
  <c r="C170" i="2"/>
  <c r="C293" i="2"/>
  <c r="C415" i="2"/>
  <c r="C51" i="1"/>
  <c r="C176" i="1"/>
  <c r="C594" i="1" s="1"/>
  <c r="C316" i="1"/>
  <c r="D316" i="1" s="1"/>
  <c r="AM172" i="1"/>
  <c r="AM173" i="1" s="1"/>
  <c r="AJ580" i="1"/>
  <c r="C49" i="2"/>
  <c r="K658" i="18"/>
  <c r="BC581" i="1" s="1"/>
  <c r="M658" i="18"/>
  <c r="BG581" i="1" s="1"/>
  <c r="F658" i="18"/>
  <c r="AA581" i="1" s="1"/>
  <c r="O658" i="18"/>
  <c r="BQ581" i="1" s="1"/>
  <c r="G658" i="18"/>
  <c r="AO581" i="1" s="1"/>
  <c r="P658" i="18"/>
  <c r="AE581" i="1" s="1"/>
  <c r="I658" i="18"/>
  <c r="AW581" i="1" s="1"/>
  <c r="H658" i="18"/>
  <c r="Q581" i="1" s="1"/>
  <c r="R658" i="18"/>
  <c r="CA581" i="1" s="1"/>
  <c r="J658" i="18"/>
  <c r="W581" i="1" s="1"/>
  <c r="E658" i="18"/>
  <c r="K581" i="1" s="1"/>
  <c r="L658" i="18"/>
  <c r="AI581" i="1" s="1"/>
  <c r="Q658" i="18"/>
  <c r="BU581" i="1" s="1"/>
  <c r="P413" i="18"/>
  <c r="AE314" i="1" s="1"/>
  <c r="AE701" i="1"/>
  <c r="W476" i="1"/>
  <c r="W59" i="1"/>
  <c r="CE174" i="1" l="1"/>
  <c r="CE175" i="1" s="1"/>
  <c r="CB581" i="1"/>
  <c r="E51" i="1"/>
  <c r="F51" i="1"/>
  <c r="D51" i="1"/>
  <c r="C465" i="1"/>
  <c r="BC703" i="1"/>
  <c r="K415" i="18"/>
  <c r="BC316" i="1" s="1"/>
  <c r="AO703" i="1"/>
  <c r="G415" i="18"/>
  <c r="AO316" i="1" s="1"/>
  <c r="A539" i="18"/>
  <c r="B539" i="18"/>
  <c r="G176" i="1"/>
  <c r="I61" i="1"/>
  <c r="BN63" i="1"/>
  <c r="BC60" i="1"/>
  <c r="G476" i="1"/>
  <c r="G174" i="1"/>
  <c r="A539" i="2"/>
  <c r="B539" i="2"/>
  <c r="AF702" i="1"/>
  <c r="P414" i="2"/>
  <c r="AF315" i="1" s="1"/>
  <c r="J549" i="18"/>
  <c r="H549" i="18"/>
  <c r="R549" i="18"/>
  <c r="D550" i="18"/>
  <c r="L549" i="18"/>
  <c r="Q549" i="18"/>
  <c r="E549" i="18"/>
  <c r="W702" i="1"/>
  <c r="J414" i="18"/>
  <c r="W315" i="1" s="1"/>
  <c r="AM174" i="1"/>
  <c r="AM175" i="1" s="1"/>
  <c r="AJ581" i="1"/>
  <c r="O659" i="2"/>
  <c r="BR582" i="1" s="1"/>
  <c r="G659" i="2"/>
  <c r="AP582" i="1" s="1"/>
  <c r="J659" i="2"/>
  <c r="X582" i="1" s="1"/>
  <c r="N659" i="2"/>
  <c r="M659" i="2"/>
  <c r="BJ582" i="1" s="1"/>
  <c r="P659" i="2"/>
  <c r="AF582" i="1" s="1"/>
  <c r="F659" i="2"/>
  <c r="AB582" i="1" s="1"/>
  <c r="E659" i="2"/>
  <c r="I659" i="2"/>
  <c r="K659" i="2"/>
  <c r="R659" i="2"/>
  <c r="H659" i="2"/>
  <c r="Q659" i="2"/>
  <c r="L659" i="2"/>
  <c r="BY62" i="1"/>
  <c r="BV476" i="1"/>
  <c r="AV172" i="1"/>
  <c r="AV173" i="1" s="1"/>
  <c r="W703" i="1"/>
  <c r="J415" i="18"/>
  <c r="W316" i="1" s="1"/>
  <c r="BU477" i="1"/>
  <c r="AM62" i="1"/>
  <c r="AJ477" i="1"/>
  <c r="C703" i="1"/>
  <c r="H293" i="2"/>
  <c r="Q293" i="2"/>
  <c r="K293" i="2"/>
  <c r="O293" i="2"/>
  <c r="G293" i="2"/>
  <c r="N293" i="2"/>
  <c r="N415" i="2" s="1"/>
  <c r="BN316" i="1" s="1"/>
  <c r="I293" i="2"/>
  <c r="R293" i="2"/>
  <c r="M293" i="2"/>
  <c r="L293" i="2"/>
  <c r="P293" i="2"/>
  <c r="J293" i="2"/>
  <c r="F293" i="2"/>
  <c r="E293" i="2"/>
  <c r="CA703" i="1"/>
  <c r="R415" i="18"/>
  <c r="CA316" i="1" s="1"/>
  <c r="BJ63" i="1"/>
  <c r="H62" i="1"/>
  <c r="CA60" i="1"/>
  <c r="J660" i="2"/>
  <c r="X583" i="1" s="1"/>
  <c r="O660" i="2"/>
  <c r="BR583" i="1" s="1"/>
  <c r="P660" i="2"/>
  <c r="AF583" i="1" s="1"/>
  <c r="F660" i="2"/>
  <c r="AB583" i="1" s="1"/>
  <c r="G660" i="2"/>
  <c r="AP583" i="1" s="1"/>
  <c r="M660" i="2"/>
  <c r="BJ583" i="1" s="1"/>
  <c r="N660" i="2"/>
  <c r="E660" i="2"/>
  <c r="L660" i="2"/>
  <c r="K660" i="2"/>
  <c r="BD583" i="1" s="1"/>
  <c r="H660" i="2"/>
  <c r="I660" i="2"/>
  <c r="Q660" i="2"/>
  <c r="R660" i="2"/>
  <c r="AX702" i="1"/>
  <c r="I414" i="2"/>
  <c r="AX315" i="1" s="1"/>
  <c r="W477" i="1"/>
  <c r="F414" i="18"/>
  <c r="AA315" i="1" s="1"/>
  <c r="AA702" i="1"/>
  <c r="AW702" i="1"/>
  <c r="I414" i="18"/>
  <c r="AW315" i="1" s="1"/>
  <c r="BA62" i="1"/>
  <c r="AX476" i="1"/>
  <c r="C171" i="2"/>
  <c r="C294" i="2"/>
  <c r="C416" i="2"/>
  <c r="C52" i="1"/>
  <c r="C177" i="1"/>
  <c r="C595" i="1" s="1"/>
  <c r="C317" i="1"/>
  <c r="D317" i="1" s="1"/>
  <c r="F170" i="2"/>
  <c r="AB176" i="1" s="1"/>
  <c r="J170" i="2"/>
  <c r="X176" i="1" s="1"/>
  <c r="G170" i="2"/>
  <c r="AP176" i="1" s="1"/>
  <c r="Q170" i="2"/>
  <c r="BV176" i="1" s="1"/>
  <c r="P170" i="2"/>
  <c r="AF176" i="1" s="1"/>
  <c r="K170" i="2"/>
  <c r="BD176" i="1" s="1"/>
  <c r="O170" i="2"/>
  <c r="BR176" i="1" s="1"/>
  <c r="L170" i="2"/>
  <c r="AJ176" i="1" s="1"/>
  <c r="M170" i="2"/>
  <c r="BJ176" i="1" s="1"/>
  <c r="E170" i="2"/>
  <c r="L176" i="1" s="1"/>
  <c r="H170" i="2"/>
  <c r="R176" i="1" s="1"/>
  <c r="I170" i="2"/>
  <c r="AX176" i="1" s="1"/>
  <c r="N170" i="2"/>
  <c r="BN176" i="1" s="1"/>
  <c r="R170" i="2"/>
  <c r="CB176" i="1" s="1"/>
  <c r="Q703" i="1"/>
  <c r="H415" i="18"/>
  <c r="Q316" i="1" s="1"/>
  <c r="BD63" i="1"/>
  <c r="L63" i="1"/>
  <c r="W60" i="1"/>
  <c r="J174" i="12"/>
  <c r="R174" i="12"/>
  <c r="H174" i="12"/>
  <c r="P174" i="12"/>
  <c r="G174" i="12"/>
  <c r="S174" i="12"/>
  <c r="K174" i="12"/>
  <c r="I174" i="12"/>
  <c r="L174" i="12"/>
  <c r="M174" i="12"/>
  <c r="N174" i="12"/>
  <c r="E174" i="12"/>
  <c r="O174" i="12"/>
  <c r="F174" i="12"/>
  <c r="Q174" i="12"/>
  <c r="L702" i="1"/>
  <c r="E414" i="2"/>
  <c r="L315" i="1" s="1"/>
  <c r="BJ702" i="1"/>
  <c r="M414" i="2"/>
  <c r="BJ315" i="1" s="1"/>
  <c r="CA477" i="1"/>
  <c r="BU702" i="1"/>
  <c r="Q414" i="18"/>
  <c r="BU315" i="1" s="1"/>
  <c r="CA702" i="1"/>
  <c r="R414" i="18"/>
  <c r="CA315" i="1" s="1"/>
  <c r="U174" i="1"/>
  <c r="U175" i="1" s="1"/>
  <c r="R581" i="1"/>
  <c r="H174" i="1"/>
  <c r="H175" i="1" s="1"/>
  <c r="L175" i="1"/>
  <c r="CE62" i="1"/>
  <c r="CB476" i="1"/>
  <c r="O415" i="18"/>
  <c r="BQ316" i="1" s="1"/>
  <c r="BQ703" i="1"/>
  <c r="CB63" i="1"/>
  <c r="AJ63" i="1"/>
  <c r="BU60" i="1"/>
  <c r="F414" i="2"/>
  <c r="AB315" i="1" s="1"/>
  <c r="AB702" i="1"/>
  <c r="Q477" i="1"/>
  <c r="P414" i="18"/>
  <c r="AE315" i="1" s="1"/>
  <c r="AE702" i="1"/>
  <c r="Q702" i="1"/>
  <c r="H414" i="18"/>
  <c r="Q315" i="1" s="1"/>
  <c r="BH175" i="1"/>
  <c r="BD581" i="1"/>
  <c r="U62" i="1"/>
  <c r="R476" i="1"/>
  <c r="G314" i="1"/>
  <c r="CG314" i="1" s="1"/>
  <c r="K703" i="1"/>
  <c r="E415" i="18"/>
  <c r="K316" i="1" s="1"/>
  <c r="L61" i="2"/>
  <c r="K61" i="2"/>
  <c r="M61" i="2"/>
  <c r="E61" i="2"/>
  <c r="N61" i="2"/>
  <c r="D62" i="2"/>
  <c r="O61" i="2"/>
  <c r="P61" i="2"/>
  <c r="H61" i="2"/>
  <c r="Q61" i="2"/>
  <c r="R61" i="2"/>
  <c r="I61" i="2"/>
  <c r="AW60" i="1"/>
  <c r="BV702" i="1"/>
  <c r="Q414" i="2"/>
  <c r="BV315" i="1" s="1"/>
  <c r="O414" i="18"/>
  <c r="BQ315" i="1" s="1"/>
  <c r="BQ702" i="1"/>
  <c r="F415" i="18"/>
  <c r="AA316" i="1" s="1"/>
  <c r="AA703" i="1"/>
  <c r="M415" i="18"/>
  <c r="BG316" i="1" s="1"/>
  <c r="BG703" i="1"/>
  <c r="BV63" i="1"/>
  <c r="BR63" i="1"/>
  <c r="Q60" i="1"/>
  <c r="BR702" i="1"/>
  <c r="O414" i="2"/>
  <c r="BR315" i="1" s="1"/>
  <c r="BD702" i="1"/>
  <c r="K414" i="2"/>
  <c r="BD315" i="1" s="1"/>
  <c r="AI477" i="1"/>
  <c r="BC702" i="1"/>
  <c r="K414" i="18"/>
  <c r="BC315" i="1" s="1"/>
  <c r="K702" i="1"/>
  <c r="E414" i="18"/>
  <c r="K315" i="1" s="1"/>
  <c r="BA174" i="1"/>
  <c r="AX581" i="1"/>
  <c r="BH62" i="1"/>
  <c r="BD476" i="1"/>
  <c r="A51" i="2"/>
  <c r="B51" i="2"/>
  <c r="I294" i="18"/>
  <c r="R294" i="18"/>
  <c r="G294" i="18"/>
  <c r="Q294" i="18"/>
  <c r="H294" i="18"/>
  <c r="J294" i="18"/>
  <c r="L294" i="18"/>
  <c r="P294" i="18"/>
  <c r="E294" i="18"/>
  <c r="F294" i="18"/>
  <c r="M294" i="18"/>
  <c r="O294" i="18"/>
  <c r="K294" i="18"/>
  <c r="G414" i="2"/>
  <c r="AP315" i="1" s="1"/>
  <c r="AP702" i="1"/>
  <c r="M414" i="18"/>
  <c r="BG315" i="1" s="1"/>
  <c r="BG702" i="1"/>
  <c r="D464" i="1"/>
  <c r="E464" i="1"/>
  <c r="I172" i="1"/>
  <c r="AW703" i="1"/>
  <c r="I415" i="18"/>
  <c r="AW316" i="1" s="1"/>
  <c r="L415" i="18"/>
  <c r="AI316" i="1" s="1"/>
  <c r="AI703" i="1"/>
  <c r="R63" i="1"/>
  <c r="AO60" i="1"/>
  <c r="L171" i="18"/>
  <c r="AI177" i="1" s="1"/>
  <c r="P171" i="18"/>
  <c r="AE177" i="1" s="1"/>
  <c r="F171" i="18"/>
  <c r="AA177" i="1" s="1"/>
  <c r="O171" i="18"/>
  <c r="BQ177" i="1" s="1"/>
  <c r="A170" i="13"/>
  <c r="C170" i="13" s="1"/>
  <c r="M171" i="18"/>
  <c r="BG177" i="1" s="1"/>
  <c r="R171" i="18"/>
  <c r="CA177" i="1" s="1"/>
  <c r="J171" i="18"/>
  <c r="W177" i="1" s="1"/>
  <c r="G171" i="18"/>
  <c r="AO177" i="1" s="1"/>
  <c r="H171" i="18"/>
  <c r="Q177" i="1" s="1"/>
  <c r="K171" i="18"/>
  <c r="BC177" i="1" s="1"/>
  <c r="I171" i="18"/>
  <c r="AW177" i="1" s="1"/>
  <c r="E171" i="18"/>
  <c r="K177" i="1" s="1"/>
  <c r="G177" i="1" s="1"/>
  <c r="Q171" i="18"/>
  <c r="BU177" i="1" s="1"/>
  <c r="O173" i="1"/>
  <c r="R702" i="1"/>
  <c r="H414" i="2"/>
  <c r="R315" i="1" s="1"/>
  <c r="CB702" i="1"/>
  <c r="R414" i="2"/>
  <c r="CB315" i="1" s="1"/>
  <c r="C50" i="18"/>
  <c r="AO702" i="1"/>
  <c r="G414" i="18"/>
  <c r="AO315" i="1" s="1"/>
  <c r="BY174" i="1"/>
  <c r="BY175" i="1" s="1"/>
  <c r="BV581" i="1"/>
  <c r="E549" i="2"/>
  <c r="L549" i="2"/>
  <c r="D550" i="2"/>
  <c r="R549" i="2"/>
  <c r="K549" i="2"/>
  <c r="Q549" i="2"/>
  <c r="H549" i="2"/>
  <c r="I549" i="2"/>
  <c r="G59" i="1"/>
  <c r="C50" i="2"/>
  <c r="AX63" i="1"/>
  <c r="G581" i="1"/>
  <c r="G582" i="1"/>
  <c r="BU703" i="1"/>
  <c r="Q415" i="18"/>
  <c r="BU316" i="1" s="1"/>
  <c r="P415" i="18"/>
  <c r="AE316" i="1" s="1"/>
  <c r="AE703" i="1"/>
  <c r="G660" i="18"/>
  <c r="AO583" i="1" s="1"/>
  <c r="P660" i="18"/>
  <c r="AE583" i="1" s="1"/>
  <c r="I660" i="18"/>
  <c r="AW583" i="1" s="1"/>
  <c r="K660" i="18"/>
  <c r="BC583" i="1" s="1"/>
  <c r="F660" i="18"/>
  <c r="AA583" i="1" s="1"/>
  <c r="O660" i="18"/>
  <c r="BQ583" i="1" s="1"/>
  <c r="M660" i="18"/>
  <c r="BG583" i="1" s="1"/>
  <c r="L660" i="18"/>
  <c r="AI583" i="1" s="1"/>
  <c r="R660" i="18"/>
  <c r="CA583" i="1" s="1"/>
  <c r="J660" i="18"/>
  <c r="W583" i="1" s="1"/>
  <c r="Q660" i="18"/>
  <c r="BU583" i="1" s="1"/>
  <c r="H660" i="18"/>
  <c r="Q583" i="1" s="1"/>
  <c r="E660" i="18"/>
  <c r="K583" i="1" s="1"/>
  <c r="AF63" i="1"/>
  <c r="K60" i="1"/>
  <c r="E58" i="18"/>
  <c r="D59" i="18"/>
  <c r="G58" i="18"/>
  <c r="H58" i="18"/>
  <c r="J58" i="18"/>
  <c r="R58" i="18"/>
  <c r="Q58" i="18"/>
  <c r="I58" i="18"/>
  <c r="K58" i="18"/>
  <c r="I173" i="1"/>
  <c r="J414" i="2"/>
  <c r="X315" i="1" s="1"/>
  <c r="X702" i="1"/>
  <c r="AJ702" i="1"/>
  <c r="L414" i="2"/>
  <c r="AJ315" i="1" s="1"/>
  <c r="K477" i="1"/>
  <c r="B51" i="18"/>
  <c r="A51" i="18"/>
  <c r="C51" i="18" s="1"/>
  <c r="L414" i="18"/>
  <c r="AI315" i="1" s="1"/>
  <c r="AI702" i="1"/>
  <c r="O174" i="1"/>
  <c r="L581" i="1"/>
  <c r="AX175" i="1"/>
  <c r="AT174" i="1"/>
  <c r="AT175" i="1" s="1"/>
  <c r="O62" i="1"/>
  <c r="L476" i="1"/>
  <c r="M416" i="18" l="1"/>
  <c r="BG317" i="1" s="1"/>
  <c r="BG704" i="1"/>
  <c r="CA478" i="1"/>
  <c r="F416" i="18"/>
  <c r="AA317" i="1" s="1"/>
  <c r="AA704" i="1"/>
  <c r="G583" i="1"/>
  <c r="BC61" i="1"/>
  <c r="U63" i="1"/>
  <c r="R477" i="1"/>
  <c r="BC704" i="1"/>
  <c r="K416" i="18"/>
  <c r="BC317" i="1" s="1"/>
  <c r="Q704" i="1"/>
  <c r="H416" i="18"/>
  <c r="Q317" i="1" s="1"/>
  <c r="I62" i="2"/>
  <c r="Q62" i="2"/>
  <c r="K62" i="2"/>
  <c r="L62" i="2"/>
  <c r="M62" i="2"/>
  <c r="E62" i="2"/>
  <c r="N62" i="2"/>
  <c r="D63" i="2"/>
  <c r="O62" i="2"/>
  <c r="P62" i="2"/>
  <c r="R62" i="2"/>
  <c r="H62" i="2"/>
  <c r="H315" i="1"/>
  <c r="H176" i="1"/>
  <c r="AM177" i="1"/>
  <c r="AJ583" i="1"/>
  <c r="CB703" i="1"/>
  <c r="R415" i="2"/>
  <c r="CB316" i="1" s="1"/>
  <c r="BD582" i="1"/>
  <c r="AI478" i="1"/>
  <c r="C539" i="2"/>
  <c r="C661" i="2" s="1"/>
  <c r="BU61" i="1"/>
  <c r="L64" i="1"/>
  <c r="L703" i="1"/>
  <c r="E415" i="2"/>
  <c r="L316" i="1" s="1"/>
  <c r="E465" i="1"/>
  <c r="D465" i="1"/>
  <c r="A49" i="10"/>
  <c r="C295" i="18"/>
  <c r="C172" i="18"/>
  <c r="C417" i="18"/>
  <c r="A49" i="13"/>
  <c r="C49" i="13" s="1"/>
  <c r="C175" i="12"/>
  <c r="A50" i="10"/>
  <c r="C173" i="18"/>
  <c r="C418" i="18"/>
  <c r="C296" i="18"/>
  <c r="A50" i="13"/>
  <c r="C50" i="13" s="1"/>
  <c r="C176" i="12"/>
  <c r="J59" i="18"/>
  <c r="R59" i="18"/>
  <c r="K59" i="18"/>
  <c r="E59" i="18"/>
  <c r="D60" i="18"/>
  <c r="H59" i="18"/>
  <c r="Q59" i="18"/>
  <c r="G59" i="18"/>
  <c r="I59" i="18"/>
  <c r="BA63" i="1"/>
  <c r="AX477" i="1"/>
  <c r="A52" i="18"/>
  <c r="C52" i="18" s="1"/>
  <c r="B52" i="18"/>
  <c r="K61" i="1"/>
  <c r="G477" i="1"/>
  <c r="AW61" i="1"/>
  <c r="G60" i="1"/>
  <c r="BY63" i="1"/>
  <c r="BV477" i="1"/>
  <c r="O416" i="18"/>
  <c r="BQ317" i="1" s="1"/>
  <c r="BQ704" i="1"/>
  <c r="BU704" i="1"/>
  <c r="Q416" i="18"/>
  <c r="BU317" i="1" s="1"/>
  <c r="BN64" i="1"/>
  <c r="O177" i="1"/>
  <c r="L583" i="1"/>
  <c r="AX703" i="1"/>
  <c r="I415" i="2"/>
  <c r="AX316" i="1" s="1"/>
  <c r="BA176" i="1"/>
  <c r="AX582" i="1"/>
  <c r="R550" i="18"/>
  <c r="J550" i="18"/>
  <c r="D551" i="18"/>
  <c r="L550" i="18"/>
  <c r="E550" i="18"/>
  <c r="Q550" i="18"/>
  <c r="H550" i="18"/>
  <c r="O176" i="1"/>
  <c r="L582" i="1"/>
  <c r="H581" i="1"/>
  <c r="CB64" i="1"/>
  <c r="CE177" i="1"/>
  <c r="CB583" i="1"/>
  <c r="F415" i="2"/>
  <c r="AB316" i="1" s="1"/>
  <c r="AB703" i="1"/>
  <c r="G415" i="2"/>
  <c r="AP316" i="1" s="1"/>
  <c r="AP703" i="1"/>
  <c r="Q478" i="1"/>
  <c r="A540" i="18"/>
  <c r="B540" i="18"/>
  <c r="BH63" i="1"/>
  <c r="BD477" i="1"/>
  <c r="AO704" i="1"/>
  <c r="G416" i="18"/>
  <c r="AO317" i="1" s="1"/>
  <c r="CE63" i="1"/>
  <c r="CB477" i="1"/>
  <c r="CA704" i="1"/>
  <c r="R416" i="18"/>
  <c r="CA317" i="1" s="1"/>
  <c r="AV174" i="1"/>
  <c r="AV175" i="1" s="1"/>
  <c r="BA175" i="1"/>
  <c r="O175" i="1"/>
  <c r="I174" i="1"/>
  <c r="I175" i="1" s="1"/>
  <c r="K704" i="1"/>
  <c r="E416" i="18"/>
  <c r="K317" i="1" s="1"/>
  <c r="AW704" i="1"/>
  <c r="I416" i="18"/>
  <c r="AW317" i="1" s="1"/>
  <c r="G315" i="1"/>
  <c r="BV64" i="1"/>
  <c r="BD64" i="1"/>
  <c r="H63" i="1"/>
  <c r="D52" i="1"/>
  <c r="E52" i="1"/>
  <c r="F52" i="1"/>
  <c r="C466" i="1"/>
  <c r="BY177" i="1"/>
  <c r="BV583" i="1"/>
  <c r="J415" i="2"/>
  <c r="X316" i="1" s="1"/>
  <c r="X703" i="1"/>
  <c r="BR703" i="1"/>
  <c r="O415" i="2"/>
  <c r="BR316" i="1" s="1"/>
  <c r="AM176" i="1"/>
  <c r="AJ582" i="1"/>
  <c r="W478" i="1"/>
  <c r="C539" i="18"/>
  <c r="C661" i="18" s="1"/>
  <c r="CA61" i="1"/>
  <c r="BJ64" i="1"/>
  <c r="Q61" i="1"/>
  <c r="C172" i="2"/>
  <c r="C295" i="2"/>
  <c r="C417" i="2"/>
  <c r="C53" i="1"/>
  <c r="C178" i="1"/>
  <c r="C596" i="1" s="1"/>
  <c r="C318" i="1"/>
  <c r="D318" i="1" s="1"/>
  <c r="AM63" i="1"/>
  <c r="AJ478" i="1"/>
  <c r="P416" i="18"/>
  <c r="AE317" i="1" s="1"/>
  <c r="AE704" i="1"/>
  <c r="B52" i="2"/>
  <c r="A52" i="2"/>
  <c r="C52" i="2" s="1"/>
  <c r="R64" i="1"/>
  <c r="AJ64" i="1"/>
  <c r="BA177" i="1"/>
  <c r="AX583" i="1"/>
  <c r="AF703" i="1"/>
  <c r="P415" i="2"/>
  <c r="AF316" i="1" s="1"/>
  <c r="BD703" i="1"/>
  <c r="K415" i="2"/>
  <c r="BD316" i="1" s="1"/>
  <c r="BY176" i="1"/>
  <c r="BV582" i="1"/>
  <c r="W61" i="1"/>
  <c r="K550" i="2"/>
  <c r="L550" i="2"/>
  <c r="D551" i="2"/>
  <c r="E550" i="2"/>
  <c r="I550" i="2"/>
  <c r="R550" i="2"/>
  <c r="Q550" i="2"/>
  <c r="H550" i="2"/>
  <c r="H476" i="1"/>
  <c r="AO61" i="1"/>
  <c r="O63" i="1"/>
  <c r="L477" i="1"/>
  <c r="H477" i="1" s="1"/>
  <c r="L416" i="18"/>
  <c r="AI317" i="1" s="1"/>
  <c r="AI704" i="1"/>
  <c r="C51" i="2"/>
  <c r="AF64" i="1"/>
  <c r="G316" i="1"/>
  <c r="AT176" i="1"/>
  <c r="C704" i="1"/>
  <c r="R294" i="2"/>
  <c r="E294" i="2"/>
  <c r="G294" i="2"/>
  <c r="N294" i="2"/>
  <c r="N416" i="2" s="1"/>
  <c r="BN317" i="1" s="1"/>
  <c r="M294" i="2"/>
  <c r="I294" i="2"/>
  <c r="P294" i="2"/>
  <c r="J294" i="2"/>
  <c r="F294" i="2"/>
  <c r="L294" i="2"/>
  <c r="H294" i="2"/>
  <c r="O294" i="2"/>
  <c r="K294" i="2"/>
  <c r="Q294" i="2"/>
  <c r="U177" i="1"/>
  <c r="R583" i="1"/>
  <c r="AJ703" i="1"/>
  <c r="L415" i="2"/>
  <c r="AJ316" i="1" s="1"/>
  <c r="BV703" i="1"/>
  <c r="Q415" i="2"/>
  <c r="BV316" i="1" s="1"/>
  <c r="U176" i="1"/>
  <c r="R582" i="1"/>
  <c r="K478" i="1"/>
  <c r="G478" i="1" s="1"/>
  <c r="AX64" i="1"/>
  <c r="I62" i="1"/>
  <c r="W704" i="1"/>
  <c r="J416" i="18"/>
  <c r="W317" i="1" s="1"/>
  <c r="BR64" i="1"/>
  <c r="J171" i="2"/>
  <c r="X177" i="1" s="1"/>
  <c r="G171" i="2"/>
  <c r="AP177" i="1" s="1"/>
  <c r="F171" i="2"/>
  <c r="AB177" i="1" s="1"/>
  <c r="K171" i="2"/>
  <c r="BD177" i="1" s="1"/>
  <c r="N171" i="2"/>
  <c r="BN177" i="1" s="1"/>
  <c r="I171" i="2"/>
  <c r="AX177" i="1" s="1"/>
  <c r="H171" i="2"/>
  <c r="R177" i="1" s="1"/>
  <c r="O171" i="2"/>
  <c r="BR177" i="1" s="1"/>
  <c r="E171" i="2"/>
  <c r="L177" i="1" s="1"/>
  <c r="P171" i="2"/>
  <c r="AF177" i="1" s="1"/>
  <c r="Q171" i="2"/>
  <c r="BV177" i="1" s="1"/>
  <c r="R171" i="2"/>
  <c r="CB177" i="1" s="1"/>
  <c r="L171" i="2"/>
  <c r="AJ177" i="1" s="1"/>
  <c r="M171" i="2"/>
  <c r="BJ177" i="1" s="1"/>
  <c r="BJ703" i="1"/>
  <c r="M415" i="2"/>
  <c r="BJ316" i="1" s="1"/>
  <c r="R703" i="1"/>
  <c r="H415" i="2"/>
  <c r="R316" i="1" s="1"/>
  <c r="CE176" i="1"/>
  <c r="CB582" i="1"/>
  <c r="BU478" i="1"/>
  <c r="A540" i="2"/>
  <c r="C540" i="2" s="1"/>
  <c r="C662" i="2" s="1"/>
  <c r="B540" i="2"/>
  <c r="R179" i="1" l="1"/>
  <c r="BJ179" i="1"/>
  <c r="F416" i="2"/>
  <c r="AB317" i="1" s="1"/>
  <c r="AB704" i="1"/>
  <c r="I551" i="2"/>
  <c r="Q551" i="2"/>
  <c r="L551" i="2"/>
  <c r="D552" i="2"/>
  <c r="E551" i="2"/>
  <c r="K551" i="2"/>
  <c r="H551" i="2"/>
  <c r="R551" i="2"/>
  <c r="B541" i="18"/>
  <c r="A541" i="18"/>
  <c r="C541" i="18" s="1"/>
  <c r="C663" i="18" s="1"/>
  <c r="H64" i="1"/>
  <c r="J416" i="2"/>
  <c r="X317" i="1" s="1"/>
  <c r="X704" i="1"/>
  <c r="BJ65" i="1"/>
  <c r="H177" i="1"/>
  <c r="A541" i="2"/>
  <c r="B541" i="2"/>
  <c r="AJ704" i="1"/>
  <c r="L416" i="2"/>
  <c r="AJ317" i="1" s="1"/>
  <c r="L704" i="1"/>
  <c r="E416" i="2"/>
  <c r="L317" i="1" s="1"/>
  <c r="O64" i="1"/>
  <c r="L478" i="1"/>
  <c r="A53" i="2"/>
  <c r="B53" i="2"/>
  <c r="F53" i="1"/>
  <c r="D53" i="1"/>
  <c r="E53" i="1"/>
  <c r="C467" i="1"/>
  <c r="D466" i="1"/>
  <c r="E466" i="1"/>
  <c r="G317" i="1"/>
  <c r="H582" i="1"/>
  <c r="CA479" i="1"/>
  <c r="G61" i="1"/>
  <c r="AW62" i="1"/>
  <c r="W62" i="1"/>
  <c r="BN65" i="1"/>
  <c r="AO62" i="1"/>
  <c r="AF704" i="1"/>
  <c r="P416" i="2"/>
  <c r="AF317" i="1" s="1"/>
  <c r="BH64" i="1"/>
  <c r="BD478" i="1"/>
  <c r="J172" i="2"/>
  <c r="X178" i="1" s="1"/>
  <c r="G172" i="2"/>
  <c r="AP178" i="1" s="1"/>
  <c r="F172" i="2"/>
  <c r="AB178" i="1" s="1"/>
  <c r="AB179" i="1" s="1"/>
  <c r="I172" i="2"/>
  <c r="AX178" i="1" s="1"/>
  <c r="L172" i="2"/>
  <c r="AJ178" i="1" s="1"/>
  <c r="AJ179" i="1" s="1"/>
  <c r="Q172" i="2"/>
  <c r="BV178" i="1" s="1"/>
  <c r="BV179" i="1" s="1"/>
  <c r="R172" i="2"/>
  <c r="CB178" i="1" s="1"/>
  <c r="CB179" i="1" s="1"/>
  <c r="N172" i="2"/>
  <c r="BN178" i="1" s="1"/>
  <c r="BN179" i="1" s="1"/>
  <c r="O172" i="2"/>
  <c r="BR178" i="1" s="1"/>
  <c r="BR179" i="1" s="1"/>
  <c r="M172" i="2"/>
  <c r="BJ178" i="1" s="1"/>
  <c r="H172" i="2"/>
  <c r="R178" i="1" s="1"/>
  <c r="E172" i="2"/>
  <c r="L178" i="1" s="1"/>
  <c r="P172" i="2"/>
  <c r="AF178" i="1" s="1"/>
  <c r="AF179" i="1" s="1"/>
  <c r="K172" i="2"/>
  <c r="BD178" i="1" s="1"/>
  <c r="BD179" i="1" s="1"/>
  <c r="BU479" i="1"/>
  <c r="A53" i="18"/>
  <c r="C53" i="18" s="1"/>
  <c r="B53" i="18"/>
  <c r="Q62" i="1"/>
  <c r="E296" i="18"/>
  <c r="M296" i="18"/>
  <c r="G296" i="18"/>
  <c r="Q296" i="18"/>
  <c r="H296" i="18"/>
  <c r="R296" i="18"/>
  <c r="I296" i="18"/>
  <c r="K296" i="18"/>
  <c r="F296" i="18"/>
  <c r="J296" i="18"/>
  <c r="L296" i="18"/>
  <c r="O296" i="18"/>
  <c r="P296" i="18"/>
  <c r="K295" i="18"/>
  <c r="L295" i="18"/>
  <c r="M295" i="18"/>
  <c r="E295" i="18"/>
  <c r="O295" i="18"/>
  <c r="G295" i="18"/>
  <c r="Q295" i="18"/>
  <c r="F295" i="18"/>
  <c r="H295" i="18"/>
  <c r="I295" i="18"/>
  <c r="J295" i="18"/>
  <c r="R295" i="18"/>
  <c r="P295" i="18"/>
  <c r="R65" i="1"/>
  <c r="AJ65" i="1"/>
  <c r="G662" i="2"/>
  <c r="AP585" i="1" s="1"/>
  <c r="P662" i="2"/>
  <c r="AF585" i="1" s="1"/>
  <c r="J662" i="2"/>
  <c r="X585" i="1" s="1"/>
  <c r="M662" i="2"/>
  <c r="BJ585" i="1" s="1"/>
  <c r="N662" i="2"/>
  <c r="O662" i="2"/>
  <c r="BR585" i="1" s="1"/>
  <c r="F662" i="2"/>
  <c r="AB585" i="1" s="1"/>
  <c r="E662" i="2"/>
  <c r="H662" i="2"/>
  <c r="R662" i="2"/>
  <c r="Q662" i="2"/>
  <c r="I662" i="2"/>
  <c r="L662" i="2"/>
  <c r="K662" i="2"/>
  <c r="I176" i="1"/>
  <c r="AT177" i="1"/>
  <c r="C173" i="2"/>
  <c r="C296" i="2"/>
  <c r="C418" i="2"/>
  <c r="C54" i="1"/>
  <c r="C181" i="1"/>
  <c r="C597" i="1" s="1"/>
  <c r="C319" i="1"/>
  <c r="D319" i="1" s="1"/>
  <c r="C540" i="18"/>
  <c r="C662" i="18" s="1"/>
  <c r="AV176" i="1"/>
  <c r="BV704" i="1"/>
  <c r="Q416" i="2"/>
  <c r="BV317" i="1" s="1"/>
  <c r="AX704" i="1"/>
  <c r="I416" i="2"/>
  <c r="AX317" i="1" s="1"/>
  <c r="AX179" i="1"/>
  <c r="U64" i="1"/>
  <c r="R478" i="1"/>
  <c r="K479" i="1"/>
  <c r="G479" i="1" s="1"/>
  <c r="A51" i="10"/>
  <c r="C297" i="18"/>
  <c r="C419" i="18"/>
  <c r="C174" i="18"/>
  <c r="A51" i="13"/>
  <c r="C51" i="13" s="1"/>
  <c r="C177" i="12"/>
  <c r="H60" i="18"/>
  <c r="I60" i="18"/>
  <c r="Q60" i="18"/>
  <c r="J60" i="18"/>
  <c r="R60" i="18"/>
  <c r="K60" i="18"/>
  <c r="D61" i="18"/>
  <c r="E60" i="18"/>
  <c r="G60" i="18"/>
  <c r="CB65" i="1"/>
  <c r="BD65" i="1"/>
  <c r="J176" i="12"/>
  <c r="R176" i="12"/>
  <c r="H176" i="12"/>
  <c r="P176" i="12"/>
  <c r="G176" i="12"/>
  <c r="S176" i="12"/>
  <c r="I176" i="12"/>
  <c r="L176" i="12"/>
  <c r="M176" i="12"/>
  <c r="N176" i="12"/>
  <c r="E176" i="12"/>
  <c r="O176" i="12"/>
  <c r="K176" i="12"/>
  <c r="F176" i="12"/>
  <c r="Q176" i="12"/>
  <c r="BD704" i="1"/>
  <c r="K416" i="2"/>
  <c r="BD317" i="1" s="1"/>
  <c r="BJ704" i="1"/>
  <c r="M416" i="2"/>
  <c r="BJ317" i="1" s="1"/>
  <c r="BY64" i="1"/>
  <c r="BV478" i="1"/>
  <c r="I661" i="18"/>
  <c r="AW584" i="1" s="1"/>
  <c r="K661" i="18"/>
  <c r="BC584" i="1" s="1"/>
  <c r="M661" i="18"/>
  <c r="BG584" i="1" s="1"/>
  <c r="F661" i="18"/>
  <c r="AA584" i="1" s="1"/>
  <c r="P661" i="18"/>
  <c r="AE584" i="1" s="1"/>
  <c r="G661" i="18"/>
  <c r="AO584" i="1" s="1"/>
  <c r="O661" i="18"/>
  <c r="BQ584" i="1" s="1"/>
  <c r="E661" i="18"/>
  <c r="K584" i="1" s="1"/>
  <c r="J661" i="18"/>
  <c r="W584" i="1" s="1"/>
  <c r="L661" i="18"/>
  <c r="AI584" i="1" s="1"/>
  <c r="H661" i="18"/>
  <c r="Q584" i="1" s="1"/>
  <c r="R661" i="18"/>
  <c r="CA584" i="1" s="1"/>
  <c r="Q661" i="18"/>
  <c r="BU584" i="1" s="1"/>
  <c r="CG315" i="1"/>
  <c r="AI479" i="1"/>
  <c r="H583" i="1"/>
  <c r="K62" i="1"/>
  <c r="G62" i="1" s="1"/>
  <c r="M173" i="18"/>
  <c r="BG181" i="1" s="1"/>
  <c r="P173" i="18"/>
  <c r="AE181" i="1" s="1"/>
  <c r="L173" i="18"/>
  <c r="AI181" i="1" s="1"/>
  <c r="O173" i="18"/>
  <c r="BQ181" i="1" s="1"/>
  <c r="F173" i="18"/>
  <c r="AA181" i="1" s="1"/>
  <c r="A172" i="13"/>
  <c r="C172" i="13" s="1"/>
  <c r="K173" i="18"/>
  <c r="BC181" i="1" s="1"/>
  <c r="H173" i="18"/>
  <c r="Q181" i="1" s="1"/>
  <c r="Q173" i="18"/>
  <c r="BU181" i="1" s="1"/>
  <c r="R173" i="18"/>
  <c r="CA181" i="1" s="1"/>
  <c r="G173" i="18"/>
  <c r="AO181" i="1" s="1"/>
  <c r="I173" i="18"/>
  <c r="AW181" i="1" s="1"/>
  <c r="E173" i="18"/>
  <c r="K181" i="1" s="1"/>
  <c r="J173" i="18"/>
  <c r="W181" i="1" s="1"/>
  <c r="AF65" i="1"/>
  <c r="BV65" i="1"/>
  <c r="BU62" i="1"/>
  <c r="BR704" i="1"/>
  <c r="O416" i="2"/>
  <c r="BR317" i="1" s="1"/>
  <c r="I63" i="1"/>
  <c r="CE64" i="1"/>
  <c r="CB478" i="1"/>
  <c r="AV177" i="1"/>
  <c r="H551" i="18"/>
  <c r="Q551" i="18"/>
  <c r="R551" i="18"/>
  <c r="E551" i="18"/>
  <c r="L551" i="18"/>
  <c r="J551" i="18"/>
  <c r="D552" i="18"/>
  <c r="I177" i="1"/>
  <c r="BC62" i="1"/>
  <c r="BR65" i="1"/>
  <c r="AX65" i="1"/>
  <c r="CB704" i="1"/>
  <c r="R416" i="2"/>
  <c r="CB317" i="1" s="1"/>
  <c r="L65" i="1"/>
  <c r="AM64" i="1"/>
  <c r="AJ479" i="1"/>
  <c r="C705" i="1"/>
  <c r="H295" i="2"/>
  <c r="O295" i="2"/>
  <c r="L295" i="2"/>
  <c r="Q295" i="2"/>
  <c r="M295" i="2"/>
  <c r="R295" i="2"/>
  <c r="I295" i="2"/>
  <c r="P295" i="2"/>
  <c r="J295" i="2"/>
  <c r="G295" i="2"/>
  <c r="N295" i="2"/>
  <c r="N417" i="2" s="1"/>
  <c r="BN318" i="1" s="1"/>
  <c r="K295" i="2"/>
  <c r="F295" i="2"/>
  <c r="E295" i="2"/>
  <c r="Q479" i="1"/>
  <c r="M172" i="18"/>
  <c r="BG178" i="1" s="1"/>
  <c r="F172" i="18"/>
  <c r="AA178" i="1" s="1"/>
  <c r="O172" i="18"/>
  <c r="BQ178" i="1" s="1"/>
  <c r="P172" i="18"/>
  <c r="AE178" i="1" s="1"/>
  <c r="L172" i="18"/>
  <c r="AI178" i="1" s="1"/>
  <c r="A171" i="13"/>
  <c r="C171" i="13" s="1"/>
  <c r="I172" i="18"/>
  <c r="AW178" i="1" s="1"/>
  <c r="K172" i="18"/>
  <c r="BC178" i="1" s="1"/>
  <c r="E172" i="18"/>
  <c r="K178" i="1" s="1"/>
  <c r="J172" i="18"/>
  <c r="W178" i="1" s="1"/>
  <c r="Q172" i="18"/>
  <c r="BU178" i="1" s="1"/>
  <c r="R172" i="18"/>
  <c r="CA178" i="1" s="1"/>
  <c r="G172" i="18"/>
  <c r="AO178" i="1" s="1"/>
  <c r="H172" i="18"/>
  <c r="Q178" i="1" s="1"/>
  <c r="R704" i="1"/>
  <c r="H416" i="2"/>
  <c r="R317" i="1" s="1"/>
  <c r="G416" i="2"/>
  <c r="AP317" i="1" s="1"/>
  <c r="AP704" i="1"/>
  <c r="BA64" i="1"/>
  <c r="AX478" i="1"/>
  <c r="C174" i="2"/>
  <c r="C297" i="2"/>
  <c r="C419" i="2"/>
  <c r="C55" i="1"/>
  <c r="C182" i="1"/>
  <c r="C598" i="1" s="1"/>
  <c r="C320" i="1"/>
  <c r="D320" i="1" s="1"/>
  <c r="W479" i="1"/>
  <c r="CA62" i="1"/>
  <c r="J175" i="12"/>
  <c r="R175" i="12"/>
  <c r="H175" i="12"/>
  <c r="P175" i="12"/>
  <c r="M175" i="12"/>
  <c r="N175" i="12"/>
  <c r="O175" i="12"/>
  <c r="E175" i="12"/>
  <c r="F175" i="12"/>
  <c r="Q175" i="12"/>
  <c r="G175" i="12"/>
  <c r="S175" i="12"/>
  <c r="I175" i="12"/>
  <c r="K175" i="12"/>
  <c r="L175" i="12"/>
  <c r="H316" i="1"/>
  <c r="CG316" i="1" s="1"/>
  <c r="M661" i="2"/>
  <c r="BJ584" i="1" s="1"/>
  <c r="N661" i="2"/>
  <c r="P661" i="2"/>
  <c r="AF584" i="1" s="1"/>
  <c r="G661" i="2"/>
  <c r="AP584" i="1" s="1"/>
  <c r="J661" i="2"/>
  <c r="X584" i="1" s="1"/>
  <c r="O661" i="2"/>
  <c r="BR584" i="1" s="1"/>
  <c r="F661" i="2"/>
  <c r="AB584" i="1" s="1"/>
  <c r="K661" i="2"/>
  <c r="I661" i="2"/>
  <c r="R661" i="2"/>
  <c r="H661" i="2"/>
  <c r="L661" i="2"/>
  <c r="Q661" i="2"/>
  <c r="E661" i="2"/>
  <c r="N63" i="2"/>
  <c r="D64" i="2"/>
  <c r="I63" i="2"/>
  <c r="R63" i="2"/>
  <c r="K63" i="2"/>
  <c r="L63" i="2"/>
  <c r="E63" i="2"/>
  <c r="M63" i="2"/>
  <c r="O63" i="2"/>
  <c r="H63" i="2"/>
  <c r="Q63" i="2"/>
  <c r="P63" i="2"/>
  <c r="CB705" i="1" l="1"/>
  <c r="R417" i="2"/>
  <c r="CB318" i="1" s="1"/>
  <c r="O418" i="18"/>
  <c r="BQ319" i="1" s="1"/>
  <c r="BQ706" i="1"/>
  <c r="AM65" i="1"/>
  <c r="AJ480" i="1"/>
  <c r="BJ705" i="1"/>
  <c r="M417" i="2"/>
  <c r="BJ318" i="1" s="1"/>
  <c r="C706" i="1"/>
  <c r="L296" i="2"/>
  <c r="R296" i="2"/>
  <c r="F296" i="2"/>
  <c r="G296" i="2"/>
  <c r="N296" i="2"/>
  <c r="N418" i="2" s="1"/>
  <c r="BN319" i="1" s="1"/>
  <c r="M296" i="2"/>
  <c r="I296" i="2"/>
  <c r="P296" i="2"/>
  <c r="J296" i="2"/>
  <c r="E296" i="2"/>
  <c r="H296" i="2"/>
  <c r="O296" i="2"/>
  <c r="Q296" i="2"/>
  <c r="K296" i="2"/>
  <c r="L418" i="18"/>
  <c r="AI319" i="1" s="1"/>
  <c r="AI706" i="1"/>
  <c r="AF66" i="1"/>
  <c r="AX66" i="1"/>
  <c r="R66" i="1"/>
  <c r="BD584" i="1"/>
  <c r="BH179" i="1"/>
  <c r="BN66" i="1"/>
  <c r="C707" i="1"/>
  <c r="H297" i="2"/>
  <c r="O297" i="2"/>
  <c r="M297" i="2"/>
  <c r="I297" i="2"/>
  <c r="K297" i="2"/>
  <c r="R297" i="2"/>
  <c r="N297" i="2"/>
  <c r="N419" i="2" s="1"/>
  <c r="BN320" i="1" s="1"/>
  <c r="L297" i="2"/>
  <c r="P297" i="2"/>
  <c r="J297" i="2"/>
  <c r="F297" i="2"/>
  <c r="E297" i="2"/>
  <c r="Q297" i="2"/>
  <c r="G297" i="2"/>
  <c r="R705" i="1"/>
  <c r="H417" i="2"/>
  <c r="R318" i="1" s="1"/>
  <c r="O178" i="1"/>
  <c r="L584" i="1"/>
  <c r="AF705" i="1"/>
  <c r="P417" i="2"/>
  <c r="AF318" i="1" s="1"/>
  <c r="CA480" i="1"/>
  <c r="L66" i="1"/>
  <c r="BY178" i="1"/>
  <c r="BY179" i="1" s="1"/>
  <c r="BV584" i="1"/>
  <c r="AX705" i="1"/>
  <c r="I417" i="2"/>
  <c r="AX318" i="1" s="1"/>
  <c r="BU480" i="1"/>
  <c r="BU63" i="1"/>
  <c r="E54" i="1"/>
  <c r="D54" i="1"/>
  <c r="F54" i="1"/>
  <c r="C468" i="1"/>
  <c r="AM181" i="1"/>
  <c r="AJ585" i="1"/>
  <c r="F417" i="18"/>
  <c r="AA318" i="1" s="1"/>
  <c r="AA705" i="1"/>
  <c r="P418" i="18"/>
  <c r="AE319" i="1" s="1"/>
  <c r="AE706" i="1"/>
  <c r="Q706" i="1"/>
  <c r="H418" i="18"/>
  <c r="Q319" i="1" s="1"/>
  <c r="B54" i="18"/>
  <c r="A54" i="18"/>
  <c r="C53" i="2"/>
  <c r="K552" i="2"/>
  <c r="L552" i="2"/>
  <c r="E552" i="2"/>
  <c r="I552" i="2"/>
  <c r="Q552" i="2"/>
  <c r="R552" i="2"/>
  <c r="H552" i="2"/>
  <c r="D553" i="2"/>
  <c r="AM178" i="1"/>
  <c r="AM179" i="1" s="1"/>
  <c r="AJ584" i="1"/>
  <c r="L705" i="1"/>
  <c r="E417" i="2"/>
  <c r="L318" i="1" s="1"/>
  <c r="Q63" i="1"/>
  <c r="AO706" i="1"/>
  <c r="G418" i="18"/>
  <c r="AO319" i="1" s="1"/>
  <c r="H478" i="1"/>
  <c r="BD705" i="1"/>
  <c r="K417" i="2"/>
  <c r="BD318" i="1" s="1"/>
  <c r="BV705" i="1"/>
  <c r="Q417" i="2"/>
  <c r="BV318" i="1" s="1"/>
  <c r="H65" i="1"/>
  <c r="H552" i="18"/>
  <c r="Q552" i="18"/>
  <c r="R552" i="18"/>
  <c r="J552" i="18"/>
  <c r="E552" i="18"/>
  <c r="D553" i="18"/>
  <c r="L552" i="18"/>
  <c r="K63" i="1"/>
  <c r="J177" i="12"/>
  <c r="R177" i="12"/>
  <c r="H177" i="12"/>
  <c r="P177" i="12"/>
  <c r="M177" i="12"/>
  <c r="N177" i="12"/>
  <c r="F177" i="12"/>
  <c r="Q177" i="12"/>
  <c r="G177" i="12"/>
  <c r="S177" i="12"/>
  <c r="O177" i="12"/>
  <c r="I177" i="12"/>
  <c r="K177" i="12"/>
  <c r="L177" i="12"/>
  <c r="E177" i="12"/>
  <c r="F173" i="2"/>
  <c r="AB181" i="1" s="1"/>
  <c r="G173" i="2"/>
  <c r="AP181" i="1" s="1"/>
  <c r="J173" i="2"/>
  <c r="X181" i="1" s="1"/>
  <c r="P173" i="2"/>
  <c r="AF181" i="1" s="1"/>
  <c r="K173" i="2"/>
  <c r="BD181" i="1" s="1"/>
  <c r="L173" i="2"/>
  <c r="AJ181" i="1" s="1"/>
  <c r="I173" i="2"/>
  <c r="AX181" i="1" s="1"/>
  <c r="R173" i="2"/>
  <c r="CB181" i="1" s="1"/>
  <c r="M173" i="2"/>
  <c r="BJ181" i="1" s="1"/>
  <c r="BJ183" i="1" s="1"/>
  <c r="N173" i="2"/>
  <c r="BN181" i="1" s="1"/>
  <c r="BN183" i="1" s="1"/>
  <c r="Q173" i="2"/>
  <c r="BV181" i="1" s="1"/>
  <c r="H173" i="2"/>
  <c r="R181" i="1" s="1"/>
  <c r="O173" i="2"/>
  <c r="BR181" i="1" s="1"/>
  <c r="E173" i="2"/>
  <c r="L181" i="1" s="1"/>
  <c r="CE181" i="1"/>
  <c r="CB585" i="1"/>
  <c r="P417" i="18"/>
  <c r="AE318" i="1" s="1"/>
  <c r="AE705" i="1"/>
  <c r="O417" i="18"/>
  <c r="BQ318" i="1" s="1"/>
  <c r="BQ705" i="1"/>
  <c r="W706" i="1"/>
  <c r="J418" i="18"/>
  <c r="W319" i="1" s="1"/>
  <c r="M418" i="18"/>
  <c r="BG319" i="1" s="1"/>
  <c r="BG706" i="1"/>
  <c r="D467" i="1"/>
  <c r="E467" i="1"/>
  <c r="I64" i="1"/>
  <c r="A542" i="18"/>
  <c r="C542" i="18" s="1"/>
  <c r="C664" i="18" s="1"/>
  <c r="B542" i="18"/>
  <c r="BA65" i="1"/>
  <c r="AX479" i="1"/>
  <c r="BU705" i="1"/>
  <c r="Q417" i="18"/>
  <c r="BU318" i="1" s="1"/>
  <c r="U178" i="1"/>
  <c r="U179" i="1" s="1"/>
  <c r="R584" i="1"/>
  <c r="AO705" i="1"/>
  <c r="G417" i="18"/>
  <c r="AO318" i="1" s="1"/>
  <c r="M663" i="18"/>
  <c r="BG586" i="1" s="1"/>
  <c r="F663" i="18"/>
  <c r="AA586" i="1" s="1"/>
  <c r="O663" i="18"/>
  <c r="BQ586" i="1" s="1"/>
  <c r="G663" i="18"/>
  <c r="AO586" i="1" s="1"/>
  <c r="P663" i="18"/>
  <c r="AE586" i="1" s="1"/>
  <c r="K663" i="18"/>
  <c r="BC586" i="1" s="1"/>
  <c r="I663" i="18"/>
  <c r="AW586" i="1" s="1"/>
  <c r="R663" i="18"/>
  <c r="CA586" i="1" s="1"/>
  <c r="E663" i="18"/>
  <c r="K586" i="1" s="1"/>
  <c r="Q663" i="18"/>
  <c r="BU586" i="1" s="1"/>
  <c r="L663" i="18"/>
  <c r="AI586" i="1" s="1"/>
  <c r="H663" i="18"/>
  <c r="Q586" i="1" s="1"/>
  <c r="J663" i="18"/>
  <c r="W586" i="1" s="1"/>
  <c r="D55" i="1"/>
  <c r="E55" i="1"/>
  <c r="F55" i="1"/>
  <c r="C469" i="1"/>
  <c r="AJ705" i="1"/>
  <c r="L417" i="2"/>
  <c r="AJ318" i="1" s="1"/>
  <c r="W480" i="1"/>
  <c r="G181" i="1"/>
  <c r="D62" i="18"/>
  <c r="G61" i="18"/>
  <c r="H61" i="18"/>
  <c r="I61" i="18"/>
  <c r="Q61" i="18"/>
  <c r="J61" i="18"/>
  <c r="R61" i="18"/>
  <c r="E61" i="18"/>
  <c r="K61" i="18"/>
  <c r="U181" i="1"/>
  <c r="R585" i="1"/>
  <c r="CA705" i="1"/>
  <c r="R417" i="18"/>
  <c r="CA318" i="1" s="1"/>
  <c r="K705" i="1"/>
  <c r="E417" i="18"/>
  <c r="K318" i="1" s="1"/>
  <c r="F418" i="18"/>
  <c r="AA319" i="1" s="1"/>
  <c r="AA706" i="1"/>
  <c r="K706" i="1"/>
  <c r="E418" i="18"/>
  <c r="K319" i="1" s="1"/>
  <c r="CE65" i="1"/>
  <c r="CB479" i="1"/>
  <c r="AW63" i="1"/>
  <c r="BU706" i="1"/>
  <c r="Q418" i="18"/>
  <c r="BU319" i="1" s="1"/>
  <c r="BY181" i="1"/>
  <c r="BV585" i="1"/>
  <c r="C541" i="2"/>
  <c r="C663" i="2" s="1"/>
  <c r="BV66" i="1"/>
  <c r="L64" i="2"/>
  <c r="I64" i="2"/>
  <c r="R64" i="2"/>
  <c r="K64" i="2"/>
  <c r="M64" i="2"/>
  <c r="D65" i="2"/>
  <c r="E64" i="2"/>
  <c r="N64" i="2"/>
  <c r="O64" i="2"/>
  <c r="H64" i="2"/>
  <c r="P64" i="2"/>
  <c r="Q64" i="2"/>
  <c r="G417" i="2"/>
  <c r="AP318" i="1" s="1"/>
  <c r="AP705" i="1"/>
  <c r="BR705" i="1"/>
  <c r="O417" i="2"/>
  <c r="BR318" i="1" s="1"/>
  <c r="AI480" i="1"/>
  <c r="G584" i="1"/>
  <c r="BC63" i="1"/>
  <c r="P174" i="18"/>
  <c r="AE182" i="1" s="1"/>
  <c r="M174" i="18"/>
  <c r="BG182" i="1" s="1"/>
  <c r="F174" i="18"/>
  <c r="AA182" i="1" s="1"/>
  <c r="L174" i="18"/>
  <c r="AI182" i="1" s="1"/>
  <c r="A173" i="13"/>
  <c r="C173" i="13" s="1"/>
  <c r="O174" i="18"/>
  <c r="BQ182" i="1" s="1"/>
  <c r="R174" i="18"/>
  <c r="CA182" i="1" s="1"/>
  <c r="J174" i="18"/>
  <c r="W182" i="1" s="1"/>
  <c r="H174" i="18"/>
  <c r="Q182" i="1" s="1"/>
  <c r="G174" i="18"/>
  <c r="AO182" i="1" s="1"/>
  <c r="Q174" i="18"/>
  <c r="BU182" i="1" s="1"/>
  <c r="E174" i="18"/>
  <c r="K182" i="1" s="1"/>
  <c r="I174" i="18"/>
  <c r="AW182" i="1" s="1"/>
  <c r="K174" i="18"/>
  <c r="BC182" i="1" s="1"/>
  <c r="K662" i="18"/>
  <c r="BC585" i="1" s="1"/>
  <c r="M662" i="18"/>
  <c r="BG585" i="1" s="1"/>
  <c r="F662" i="18"/>
  <c r="AA585" i="1" s="1"/>
  <c r="O662" i="18"/>
  <c r="BQ585" i="1" s="1"/>
  <c r="G662" i="18"/>
  <c r="AO585" i="1" s="1"/>
  <c r="I662" i="18"/>
  <c r="AW585" i="1" s="1"/>
  <c r="P662" i="18"/>
  <c r="AE585" i="1" s="1"/>
  <c r="E662" i="18"/>
  <c r="K585" i="1" s="1"/>
  <c r="G585" i="1" s="1"/>
  <c r="Q662" i="18"/>
  <c r="BU585" i="1" s="1"/>
  <c r="H662" i="18"/>
  <c r="Q585" i="1" s="1"/>
  <c r="J662" i="18"/>
  <c r="W585" i="1" s="1"/>
  <c r="L662" i="18"/>
  <c r="AI585" i="1" s="1"/>
  <c r="R662" i="18"/>
  <c r="CA585" i="1" s="1"/>
  <c r="O181" i="1"/>
  <c r="L585" i="1"/>
  <c r="W705" i="1"/>
  <c r="J417" i="18"/>
  <c r="W318" i="1" s="1"/>
  <c r="M417" i="18"/>
  <c r="BG318" i="1" s="1"/>
  <c r="BG705" i="1"/>
  <c r="BC706" i="1"/>
  <c r="K418" i="18"/>
  <c r="BC319" i="1" s="1"/>
  <c r="H317" i="1"/>
  <c r="CG317" i="1" s="1"/>
  <c r="U65" i="1"/>
  <c r="R479" i="1"/>
  <c r="Q480" i="1"/>
  <c r="A52" i="10"/>
  <c r="C175" i="18"/>
  <c r="C420" i="18"/>
  <c r="C298" i="18"/>
  <c r="A52" i="13"/>
  <c r="C52" i="13" s="1"/>
  <c r="C178" i="12"/>
  <c r="B542" i="2"/>
  <c r="A542" i="2"/>
  <c r="F417" i="2"/>
  <c r="AB318" i="1" s="1"/>
  <c r="AB705" i="1"/>
  <c r="AO63" i="1"/>
  <c r="BY65" i="1"/>
  <c r="BV479" i="1"/>
  <c r="CE178" i="1"/>
  <c r="CE179" i="1" s="1"/>
  <c r="CB584" i="1"/>
  <c r="BA178" i="1"/>
  <c r="AX584" i="1"/>
  <c r="J417" i="2"/>
  <c r="X318" i="1" s="1"/>
  <c r="X705" i="1"/>
  <c r="K480" i="1"/>
  <c r="G480" i="1" s="1"/>
  <c r="CA63" i="1"/>
  <c r="AW705" i="1"/>
  <c r="I417" i="18"/>
  <c r="AW318" i="1" s="1"/>
  <c r="L417" i="18"/>
  <c r="AI318" i="1" s="1"/>
  <c r="AI705" i="1"/>
  <c r="AW706" i="1"/>
  <c r="I418" i="18"/>
  <c r="AW319" i="1" s="1"/>
  <c r="H178" i="1"/>
  <c r="H179" i="1" s="1"/>
  <c r="L179" i="1"/>
  <c r="AT178" i="1"/>
  <c r="AT179" i="1" s="1"/>
  <c r="BH65" i="1"/>
  <c r="BD479" i="1"/>
  <c r="AJ66" i="1"/>
  <c r="BA181" i="1"/>
  <c r="AX585" i="1"/>
  <c r="BD66" i="1"/>
  <c r="CB66" i="1"/>
  <c r="BR66" i="1"/>
  <c r="G178" i="1"/>
  <c r="BJ66" i="1"/>
  <c r="J174" i="2"/>
  <c r="X182" i="1" s="1"/>
  <c r="F174" i="2"/>
  <c r="AB182" i="1" s="1"/>
  <c r="G174" i="2"/>
  <c r="AP182" i="1" s="1"/>
  <c r="M174" i="2"/>
  <c r="BJ182" i="1" s="1"/>
  <c r="P174" i="2"/>
  <c r="AF182" i="1" s="1"/>
  <c r="E174" i="2"/>
  <c r="L182" i="1" s="1"/>
  <c r="H174" i="2"/>
  <c r="R182" i="1" s="1"/>
  <c r="Q174" i="2"/>
  <c r="BV182" i="1" s="1"/>
  <c r="L174" i="2"/>
  <c r="AJ182" i="1" s="1"/>
  <c r="K174" i="2"/>
  <c r="BD182" i="1" s="1"/>
  <c r="R174" i="2"/>
  <c r="CB182" i="1" s="1"/>
  <c r="I174" i="2"/>
  <c r="AX182" i="1" s="1"/>
  <c r="O174" i="2"/>
  <c r="BR182" i="1" s="1"/>
  <c r="N174" i="2"/>
  <c r="BN182" i="1" s="1"/>
  <c r="W63" i="1"/>
  <c r="G297" i="18"/>
  <c r="P297" i="18"/>
  <c r="K297" i="18"/>
  <c r="L297" i="18"/>
  <c r="M297" i="18"/>
  <c r="F297" i="18"/>
  <c r="Q297" i="18"/>
  <c r="J297" i="18"/>
  <c r="O297" i="18"/>
  <c r="R297" i="18"/>
  <c r="H297" i="18"/>
  <c r="E297" i="18"/>
  <c r="I297" i="18"/>
  <c r="BD585" i="1"/>
  <c r="Q705" i="1"/>
  <c r="H417" i="18"/>
  <c r="Q318" i="1" s="1"/>
  <c r="BC705" i="1"/>
  <c r="K417" i="18"/>
  <c r="BC318" i="1" s="1"/>
  <c r="CA706" i="1"/>
  <c r="R418" i="18"/>
  <c r="CA319" i="1" s="1"/>
  <c r="A54" i="2"/>
  <c r="B54" i="2"/>
  <c r="O65" i="1"/>
  <c r="L479" i="1"/>
  <c r="H479" i="1" s="1"/>
  <c r="W64" i="1" l="1"/>
  <c r="L707" i="1"/>
  <c r="E419" i="2"/>
  <c r="L320" i="1" s="1"/>
  <c r="I181" i="1"/>
  <c r="BU64" i="1"/>
  <c r="AB183" i="1"/>
  <c r="BH66" i="1"/>
  <c r="BD480" i="1"/>
  <c r="CB706" i="1"/>
  <c r="R418" i="2"/>
  <c r="CB319" i="1" s="1"/>
  <c r="C54" i="2"/>
  <c r="AW707" i="1"/>
  <c r="I419" i="18"/>
  <c r="AW320" i="1" s="1"/>
  <c r="H182" i="1"/>
  <c r="K707" i="1"/>
  <c r="E419" i="18"/>
  <c r="K320" i="1" s="1"/>
  <c r="L419" i="18"/>
  <c r="AI320" i="1" s="1"/>
  <c r="AI707" i="1"/>
  <c r="J178" i="12"/>
  <c r="R178" i="12"/>
  <c r="H178" i="12"/>
  <c r="P178" i="12"/>
  <c r="G178" i="12"/>
  <c r="S178" i="12"/>
  <c r="K178" i="12"/>
  <c r="I178" i="12"/>
  <c r="L178" i="12"/>
  <c r="M178" i="12"/>
  <c r="N178" i="12"/>
  <c r="E178" i="12"/>
  <c r="O178" i="12"/>
  <c r="F178" i="12"/>
  <c r="Q178" i="12"/>
  <c r="R65" i="2"/>
  <c r="I65" i="2"/>
  <c r="Q65" i="2"/>
  <c r="K65" i="2"/>
  <c r="L65" i="2"/>
  <c r="E65" i="2"/>
  <c r="M65" i="2"/>
  <c r="D66" i="2"/>
  <c r="N65" i="2"/>
  <c r="O65" i="2"/>
  <c r="P65" i="2"/>
  <c r="H65" i="2"/>
  <c r="Q707" i="1"/>
  <c r="H419" i="18"/>
  <c r="Q320" i="1" s="1"/>
  <c r="BC707" i="1"/>
  <c r="K419" i="18"/>
  <c r="BC320" i="1" s="1"/>
  <c r="AT182" i="1"/>
  <c r="BJ67" i="1"/>
  <c r="M663" i="2"/>
  <c r="BJ586" i="1" s="1"/>
  <c r="J663" i="2"/>
  <c r="X586" i="1" s="1"/>
  <c r="G663" i="2"/>
  <c r="AP586" i="1" s="1"/>
  <c r="N663" i="2"/>
  <c r="P663" i="2"/>
  <c r="AF586" i="1" s="1"/>
  <c r="F663" i="2"/>
  <c r="AB586" i="1" s="1"/>
  <c r="O663" i="2"/>
  <c r="BR586" i="1" s="1"/>
  <c r="H663" i="2"/>
  <c r="E663" i="2"/>
  <c r="Q663" i="2"/>
  <c r="K663" i="2"/>
  <c r="I663" i="2"/>
  <c r="L663" i="2"/>
  <c r="R663" i="2"/>
  <c r="CA64" i="1"/>
  <c r="BV183" i="1"/>
  <c r="W481" i="1"/>
  <c r="O66" i="1"/>
  <c r="L480" i="1"/>
  <c r="BV707" i="1"/>
  <c r="Q419" i="2"/>
  <c r="BV320" i="1" s="1"/>
  <c r="BD707" i="1"/>
  <c r="K419" i="2"/>
  <c r="BD320" i="1" s="1"/>
  <c r="BR706" i="1"/>
  <c r="O418" i="2"/>
  <c r="BR319" i="1" s="1"/>
  <c r="G418" i="2"/>
  <c r="AP319" i="1" s="1"/>
  <c r="AP706" i="1"/>
  <c r="CA707" i="1"/>
  <c r="R419" i="18"/>
  <c r="CA320" i="1" s="1"/>
  <c r="AX707" i="1"/>
  <c r="I419" i="2"/>
  <c r="AX320" i="1" s="1"/>
  <c r="O419" i="18"/>
  <c r="BQ320" i="1" s="1"/>
  <c r="BQ707" i="1"/>
  <c r="AV181" i="1"/>
  <c r="CB67" i="1"/>
  <c r="L175" i="18"/>
  <c r="AI184" i="1" s="1"/>
  <c r="M175" i="18"/>
  <c r="BG184" i="1" s="1"/>
  <c r="P175" i="18"/>
  <c r="AE184" i="1" s="1"/>
  <c r="F175" i="18"/>
  <c r="AA184" i="1" s="1"/>
  <c r="O175" i="18"/>
  <c r="BQ184" i="1" s="1"/>
  <c r="A174" i="13"/>
  <c r="C174" i="13" s="1"/>
  <c r="Q175" i="18"/>
  <c r="BU184" i="1" s="1"/>
  <c r="J175" i="18"/>
  <c r="W184" i="1" s="1"/>
  <c r="H175" i="18"/>
  <c r="Q184" i="1" s="1"/>
  <c r="G175" i="18"/>
  <c r="AO184" i="1" s="1"/>
  <c r="E175" i="18"/>
  <c r="K184" i="1" s="1"/>
  <c r="G184" i="1" s="1"/>
  <c r="I175" i="18"/>
  <c r="AW184" i="1" s="1"/>
  <c r="K175" i="18"/>
  <c r="BC184" i="1" s="1"/>
  <c r="R175" i="18"/>
  <c r="CA184" i="1" s="1"/>
  <c r="G182" i="1"/>
  <c r="R67" i="1"/>
  <c r="AX67" i="1"/>
  <c r="G319" i="1"/>
  <c r="AW64" i="1"/>
  <c r="CB183" i="1"/>
  <c r="Q481" i="1"/>
  <c r="E553" i="2"/>
  <c r="R553" i="2"/>
  <c r="K553" i="2"/>
  <c r="L553" i="2"/>
  <c r="H553" i="2"/>
  <c r="I553" i="2"/>
  <c r="Q553" i="2"/>
  <c r="D554" i="2"/>
  <c r="C175" i="2"/>
  <c r="C298" i="2"/>
  <c r="C420" i="2"/>
  <c r="C56" i="1"/>
  <c r="C184" i="1"/>
  <c r="C599" i="1" s="1"/>
  <c r="C321" i="1"/>
  <c r="D321" i="1" s="1"/>
  <c r="H584" i="1"/>
  <c r="J419" i="2"/>
  <c r="X320" i="1" s="1"/>
  <c r="X707" i="1"/>
  <c r="BR707" i="1"/>
  <c r="O419" i="2"/>
  <c r="BR320" i="1" s="1"/>
  <c r="J418" i="2"/>
  <c r="X319" i="1" s="1"/>
  <c r="X706" i="1"/>
  <c r="AJ706" i="1"/>
  <c r="L418" i="2"/>
  <c r="AJ319" i="1" s="1"/>
  <c r="P419" i="18"/>
  <c r="AE320" i="1" s="1"/>
  <c r="AE707" i="1"/>
  <c r="I298" i="18"/>
  <c r="R298" i="18"/>
  <c r="F298" i="18"/>
  <c r="P298" i="18"/>
  <c r="G298" i="18"/>
  <c r="Q298" i="18"/>
  <c r="H298" i="18"/>
  <c r="K298" i="18"/>
  <c r="O298" i="18"/>
  <c r="E298" i="18"/>
  <c r="L298" i="18"/>
  <c r="J298" i="18"/>
  <c r="M298" i="18"/>
  <c r="BV67" i="1"/>
  <c r="AM66" i="1"/>
  <c r="AJ481" i="1"/>
  <c r="AO707" i="1"/>
  <c r="G419" i="18"/>
  <c r="AO320" i="1" s="1"/>
  <c r="AF67" i="1"/>
  <c r="G63" i="1"/>
  <c r="F419" i="2"/>
  <c r="AB320" i="1" s="1"/>
  <c r="AB707" i="1"/>
  <c r="BR67" i="1"/>
  <c r="AJ67" i="1"/>
  <c r="Q64" i="1"/>
  <c r="D469" i="1"/>
  <c r="E469" i="1"/>
  <c r="G586" i="1"/>
  <c r="AT181" i="1"/>
  <c r="AX183" i="1"/>
  <c r="U66" i="1"/>
  <c r="R480" i="1"/>
  <c r="H66" i="1"/>
  <c r="I178" i="1"/>
  <c r="I179" i="1" s="1"/>
  <c r="O179" i="1"/>
  <c r="AF707" i="1"/>
  <c r="P419" i="2"/>
  <c r="AF320" i="1" s="1"/>
  <c r="R707" i="1"/>
  <c r="H419" i="2"/>
  <c r="R320" i="1" s="1"/>
  <c r="AF706" i="1"/>
  <c r="P418" i="2"/>
  <c r="AF319" i="1" s="1"/>
  <c r="F418" i="2"/>
  <c r="AB319" i="1" s="1"/>
  <c r="AB706" i="1"/>
  <c r="BJ707" i="1"/>
  <c r="M419" i="2"/>
  <c r="BJ320" i="1" s="1"/>
  <c r="W707" i="1"/>
  <c r="J419" i="18"/>
  <c r="W320" i="1" s="1"/>
  <c r="A55" i="2"/>
  <c r="C55" i="2" s="1"/>
  <c r="B55" i="2"/>
  <c r="F419" i="18"/>
  <c r="AA320" i="1" s="1"/>
  <c r="AA707" i="1"/>
  <c r="C542" i="2"/>
  <c r="C664" i="2" s="1"/>
  <c r="BN67" i="1"/>
  <c r="AO64" i="1"/>
  <c r="H181" i="1"/>
  <c r="H183" i="1" s="1"/>
  <c r="L183" i="1"/>
  <c r="AJ183" i="1"/>
  <c r="AI481" i="1"/>
  <c r="CE66" i="1"/>
  <c r="CB480" i="1"/>
  <c r="C54" i="18"/>
  <c r="AJ707" i="1"/>
  <c r="L419" i="2"/>
  <c r="AJ320" i="1" s="1"/>
  <c r="AX706" i="1"/>
  <c r="I418" i="2"/>
  <c r="AX319" i="1" s="1"/>
  <c r="BD67" i="1"/>
  <c r="AV178" i="1"/>
  <c r="AV179" i="1" s="1"/>
  <c r="BA179" i="1"/>
  <c r="L706" i="1"/>
  <c r="E418" i="2"/>
  <c r="L319" i="1" s="1"/>
  <c r="BU707" i="1"/>
  <c r="Q419" i="18"/>
  <c r="BU320" i="1" s="1"/>
  <c r="M419" i="18"/>
  <c r="BG320" i="1" s="1"/>
  <c r="BG707" i="1"/>
  <c r="A543" i="2"/>
  <c r="C543" i="2" s="1"/>
  <c r="C665" i="2" s="1"/>
  <c r="B543" i="2"/>
  <c r="L67" i="1"/>
  <c r="H67" i="1" s="1"/>
  <c r="BC64" i="1"/>
  <c r="E62" i="18"/>
  <c r="D63" i="18"/>
  <c r="G62" i="18"/>
  <c r="H62" i="18"/>
  <c r="J62" i="18"/>
  <c r="R62" i="18"/>
  <c r="K62" i="18"/>
  <c r="I62" i="18"/>
  <c r="Q62" i="18"/>
  <c r="A543" i="18"/>
  <c r="B543" i="18"/>
  <c r="BR183" i="1"/>
  <c r="BD183" i="1"/>
  <c r="H553" i="18"/>
  <c r="Q553" i="18"/>
  <c r="R553" i="18"/>
  <c r="J553" i="18"/>
  <c r="E553" i="18"/>
  <c r="D554" i="18"/>
  <c r="L553" i="18"/>
  <c r="BY66" i="1"/>
  <c r="BV480" i="1"/>
  <c r="B55" i="18"/>
  <c r="A55" i="18"/>
  <c r="BD706" i="1"/>
  <c r="K418" i="2"/>
  <c r="BD319" i="1" s="1"/>
  <c r="BJ706" i="1"/>
  <c r="M418" i="2"/>
  <c r="BJ319" i="1" s="1"/>
  <c r="H585" i="1"/>
  <c r="CA481" i="1"/>
  <c r="R706" i="1"/>
  <c r="H418" i="2"/>
  <c r="R319" i="1" s="1"/>
  <c r="I65" i="1"/>
  <c r="BU481" i="1"/>
  <c r="G318" i="1"/>
  <c r="K64" i="1"/>
  <c r="G664" i="18"/>
  <c r="AO587" i="1" s="1"/>
  <c r="P664" i="18"/>
  <c r="AE587" i="1" s="1"/>
  <c r="I664" i="18"/>
  <c r="AW587" i="1" s="1"/>
  <c r="F664" i="18"/>
  <c r="AA587" i="1" s="1"/>
  <c r="O664" i="18"/>
  <c r="BQ587" i="1" s="1"/>
  <c r="M664" i="18"/>
  <c r="BG587" i="1" s="1"/>
  <c r="K664" i="18"/>
  <c r="BC587" i="1" s="1"/>
  <c r="L664" i="18"/>
  <c r="AI587" i="1" s="1"/>
  <c r="R664" i="18"/>
  <c r="CA587" i="1" s="1"/>
  <c r="E664" i="18"/>
  <c r="K587" i="1" s="1"/>
  <c r="H664" i="18"/>
  <c r="Q587" i="1" s="1"/>
  <c r="Q664" i="18"/>
  <c r="BU587" i="1" s="1"/>
  <c r="J664" i="18"/>
  <c r="W587" i="1" s="1"/>
  <c r="R183" i="1"/>
  <c r="AF183" i="1"/>
  <c r="K481" i="1"/>
  <c r="H318" i="1"/>
  <c r="BA66" i="1"/>
  <c r="AX480" i="1"/>
  <c r="D468" i="1"/>
  <c r="E468" i="1"/>
  <c r="G419" i="2"/>
  <c r="AP320" i="1" s="1"/>
  <c r="AP707" i="1"/>
  <c r="CB707" i="1"/>
  <c r="R419" i="2"/>
  <c r="CB320" i="1" s="1"/>
  <c r="BV706" i="1"/>
  <c r="Q418" i="2"/>
  <c r="BV319" i="1" s="1"/>
  <c r="C300" i="2" l="1"/>
  <c r="C177" i="2"/>
  <c r="C422" i="2"/>
  <c r="C58" i="1"/>
  <c r="C187" i="1"/>
  <c r="C601" i="1" s="1"/>
  <c r="C323" i="1"/>
  <c r="D323" i="1" s="1"/>
  <c r="AM182" i="1"/>
  <c r="AM183" i="1" s="1"/>
  <c r="AJ586" i="1"/>
  <c r="BN68" i="1"/>
  <c r="CB68" i="1"/>
  <c r="M420" i="18"/>
  <c r="BG321" i="1" s="1"/>
  <c r="BG708" i="1"/>
  <c r="H66" i="2"/>
  <c r="P66" i="2"/>
  <c r="I66" i="2"/>
  <c r="R66" i="2"/>
  <c r="K66" i="2"/>
  <c r="L66" i="2"/>
  <c r="M66" i="2"/>
  <c r="D67" i="2"/>
  <c r="E66" i="2"/>
  <c r="N66" i="2"/>
  <c r="O66" i="2"/>
  <c r="Q66" i="2"/>
  <c r="AO65" i="1"/>
  <c r="P420" i="18"/>
  <c r="AE321" i="1" s="1"/>
  <c r="AE708" i="1"/>
  <c r="BD586" i="1"/>
  <c r="BH183" i="1"/>
  <c r="BJ68" i="1"/>
  <c r="G320" i="1"/>
  <c r="G64" i="1"/>
  <c r="K482" i="1"/>
  <c r="C543" i="18"/>
  <c r="C665" i="18" s="1"/>
  <c r="J63" i="18"/>
  <c r="R63" i="18"/>
  <c r="K63" i="18"/>
  <c r="E63" i="18"/>
  <c r="D64" i="18"/>
  <c r="H63" i="18"/>
  <c r="Q63" i="18"/>
  <c r="G63" i="18"/>
  <c r="I63" i="18"/>
  <c r="A544" i="2"/>
  <c r="B544" i="2"/>
  <c r="L420" i="18"/>
  <c r="AI321" i="1" s="1"/>
  <c r="AI708" i="1"/>
  <c r="F420" i="18"/>
  <c r="AA321" i="1" s="1"/>
  <c r="AA708" i="1"/>
  <c r="F56" i="1"/>
  <c r="D56" i="1"/>
  <c r="E56" i="1"/>
  <c r="C470" i="1"/>
  <c r="AM67" i="1"/>
  <c r="AJ482" i="1"/>
  <c r="BY182" i="1"/>
  <c r="BY183" i="1" s="1"/>
  <c r="BV586" i="1"/>
  <c r="L68" i="1"/>
  <c r="H320" i="1"/>
  <c r="BU708" i="1"/>
  <c r="Q420" i="18"/>
  <c r="BU321" i="1" s="1"/>
  <c r="G587" i="1"/>
  <c r="Q65" i="1"/>
  <c r="AO708" i="1"/>
  <c r="G420" i="18"/>
  <c r="AO321" i="1" s="1"/>
  <c r="W708" i="1"/>
  <c r="J420" i="18"/>
  <c r="W321" i="1" s="1"/>
  <c r="U67" i="1"/>
  <c r="R481" i="1"/>
  <c r="C55" i="18"/>
  <c r="W482" i="1"/>
  <c r="BU65" i="1"/>
  <c r="K65" i="1"/>
  <c r="G665" i="2"/>
  <c r="AP588" i="1" s="1"/>
  <c r="O665" i="2"/>
  <c r="BR588" i="1" s="1"/>
  <c r="J665" i="2"/>
  <c r="X588" i="1" s="1"/>
  <c r="L665" i="2"/>
  <c r="R665" i="2"/>
  <c r="E665" i="2"/>
  <c r="F664" i="2"/>
  <c r="AB587" i="1" s="1"/>
  <c r="N664" i="2"/>
  <c r="G664" i="2"/>
  <c r="AP587" i="1" s="1"/>
  <c r="P664" i="2"/>
  <c r="AF587" i="1" s="1"/>
  <c r="M664" i="2"/>
  <c r="BJ587" i="1" s="1"/>
  <c r="J664" i="2"/>
  <c r="X587" i="1" s="1"/>
  <c r="O664" i="2"/>
  <c r="BR587" i="1" s="1"/>
  <c r="K664" i="2"/>
  <c r="I664" i="2"/>
  <c r="H664" i="2"/>
  <c r="E664" i="2"/>
  <c r="Q664" i="2"/>
  <c r="L664" i="2"/>
  <c r="R664" i="2"/>
  <c r="AT183" i="1"/>
  <c r="K708" i="1"/>
  <c r="E420" i="18"/>
  <c r="K321" i="1" s="1"/>
  <c r="CA708" i="1"/>
  <c r="R420" i="18"/>
  <c r="CA321" i="1" s="1"/>
  <c r="BH67" i="1"/>
  <c r="BD481" i="1"/>
  <c r="O182" i="1"/>
  <c r="L586" i="1"/>
  <c r="AJ68" i="1"/>
  <c r="W65" i="1"/>
  <c r="AI482" i="1"/>
  <c r="BA67" i="1"/>
  <c r="AX481" i="1"/>
  <c r="BA182" i="1"/>
  <c r="AX586" i="1"/>
  <c r="G481" i="1"/>
  <c r="AW65" i="1"/>
  <c r="A53" i="10"/>
  <c r="M665" i="2" s="1"/>
  <c r="BJ588" i="1" s="1"/>
  <c r="C176" i="18"/>
  <c r="C299" i="18"/>
  <c r="C421" i="18"/>
  <c r="A53" i="13"/>
  <c r="C53" i="13" s="1"/>
  <c r="C179" i="12"/>
  <c r="O420" i="18"/>
  <c r="BQ321" i="1" s="1"/>
  <c r="BQ708" i="1"/>
  <c r="AW708" i="1"/>
  <c r="I420" i="18"/>
  <c r="AW321" i="1" s="1"/>
  <c r="C708" i="1"/>
  <c r="R298" i="2"/>
  <c r="G298" i="2"/>
  <c r="N298" i="2"/>
  <c r="N420" i="2" s="1"/>
  <c r="BN321" i="1" s="1"/>
  <c r="M298" i="2"/>
  <c r="I298" i="2"/>
  <c r="P298" i="2"/>
  <c r="J298" i="2"/>
  <c r="L298" i="2"/>
  <c r="H298" i="2"/>
  <c r="O298" i="2"/>
  <c r="K298" i="2"/>
  <c r="Q298" i="2"/>
  <c r="F298" i="2"/>
  <c r="E298" i="2"/>
  <c r="CE67" i="1"/>
  <c r="CB481" i="1"/>
  <c r="U182" i="1"/>
  <c r="U183" i="1" s="1"/>
  <c r="R586" i="1"/>
  <c r="R68" i="1"/>
  <c r="BD68" i="1"/>
  <c r="BY67" i="1"/>
  <c r="BV481" i="1"/>
  <c r="H319" i="1"/>
  <c r="CG319" i="1" s="1"/>
  <c r="E554" i="18"/>
  <c r="D555" i="18"/>
  <c r="H554" i="18"/>
  <c r="Q554" i="18"/>
  <c r="R554" i="18"/>
  <c r="J554" i="18"/>
  <c r="L554" i="18"/>
  <c r="BC708" i="1"/>
  <c r="K420" i="18"/>
  <c r="BC321" i="1" s="1"/>
  <c r="F175" i="2"/>
  <c r="AB184" i="1" s="1"/>
  <c r="J175" i="2"/>
  <c r="X184" i="1" s="1"/>
  <c r="G175" i="2"/>
  <c r="AP184" i="1" s="1"/>
  <c r="Q175" i="2"/>
  <c r="BV184" i="1" s="1"/>
  <c r="N175" i="2"/>
  <c r="BN184" i="1" s="1"/>
  <c r="L175" i="2"/>
  <c r="AJ184" i="1" s="1"/>
  <c r="M175" i="2"/>
  <c r="BJ184" i="1" s="1"/>
  <c r="K175" i="2"/>
  <c r="BD184" i="1" s="1"/>
  <c r="P175" i="2"/>
  <c r="AF184" i="1" s="1"/>
  <c r="E175" i="2"/>
  <c r="L184" i="1" s="1"/>
  <c r="I175" i="2"/>
  <c r="AX184" i="1" s="1"/>
  <c r="H175" i="2"/>
  <c r="R184" i="1" s="1"/>
  <c r="O175" i="2"/>
  <c r="BR184" i="1" s="1"/>
  <c r="R175" i="2"/>
  <c r="CB184" i="1" s="1"/>
  <c r="H480" i="1"/>
  <c r="AF68" i="1"/>
  <c r="BV68" i="1"/>
  <c r="B544" i="18"/>
  <c r="A544" i="18"/>
  <c r="C544" i="18" s="1"/>
  <c r="C666" i="18" s="1"/>
  <c r="A56" i="18"/>
  <c r="B56" i="18"/>
  <c r="CA482" i="1"/>
  <c r="CG318" i="1"/>
  <c r="BU482" i="1"/>
  <c r="BC65" i="1"/>
  <c r="O67" i="1"/>
  <c r="L481" i="1"/>
  <c r="Q482" i="1"/>
  <c r="CA65" i="1"/>
  <c r="A56" i="2"/>
  <c r="C56" i="2" s="1"/>
  <c r="B56" i="2"/>
  <c r="Q708" i="1"/>
  <c r="H420" i="18"/>
  <c r="Q321" i="1" s="1"/>
  <c r="K554" i="2"/>
  <c r="I554" i="2"/>
  <c r="R554" i="2"/>
  <c r="L554" i="2"/>
  <c r="H554" i="2"/>
  <c r="Q554" i="2"/>
  <c r="E554" i="2"/>
  <c r="D555" i="2"/>
  <c r="I66" i="1"/>
  <c r="CE182" i="1"/>
  <c r="CE183" i="1" s="1"/>
  <c r="CB586" i="1"/>
  <c r="BR68" i="1"/>
  <c r="AX68" i="1"/>
  <c r="C176" i="2"/>
  <c r="C299" i="2"/>
  <c r="C421" i="2"/>
  <c r="C57" i="1"/>
  <c r="C185" i="1"/>
  <c r="C600" i="1" s="1"/>
  <c r="C322" i="1"/>
  <c r="D322" i="1" s="1"/>
  <c r="O185" i="1" l="1"/>
  <c r="L588" i="1"/>
  <c r="H64" i="18"/>
  <c r="I64" i="18"/>
  <c r="Q64" i="18"/>
  <c r="J64" i="18"/>
  <c r="R64" i="18"/>
  <c r="K64" i="18"/>
  <c r="D65" i="18"/>
  <c r="E64" i="18"/>
  <c r="G64" i="18"/>
  <c r="N67" i="2"/>
  <c r="D68" i="2"/>
  <c r="H67" i="2"/>
  <c r="Q67" i="2"/>
  <c r="I67" i="2"/>
  <c r="R67" i="2"/>
  <c r="K67" i="2"/>
  <c r="L67" i="2"/>
  <c r="E67" i="2"/>
  <c r="M67" i="2"/>
  <c r="O67" i="2"/>
  <c r="P67" i="2"/>
  <c r="Q665" i="2"/>
  <c r="G65" i="1"/>
  <c r="A54" i="10"/>
  <c r="C177" i="18"/>
  <c r="C300" i="18"/>
  <c r="C422" i="18"/>
  <c r="A54" i="13"/>
  <c r="C54" i="13" s="1"/>
  <c r="C180" i="12"/>
  <c r="C544" i="2"/>
  <c r="C666" i="2" s="1"/>
  <c r="CA66" i="1"/>
  <c r="BD69" i="1"/>
  <c r="C709" i="1"/>
  <c r="H299" i="2"/>
  <c r="Q299" i="2"/>
  <c r="G299" i="2"/>
  <c r="L299" i="2"/>
  <c r="K299" i="2"/>
  <c r="R299" i="2"/>
  <c r="P299" i="2"/>
  <c r="J299" i="2"/>
  <c r="M299" i="2"/>
  <c r="F299" i="2"/>
  <c r="E299" i="2"/>
  <c r="O299" i="2"/>
  <c r="N299" i="2"/>
  <c r="N421" i="2" s="1"/>
  <c r="BN322" i="1" s="1"/>
  <c r="I299" i="2"/>
  <c r="Q483" i="1"/>
  <c r="AM184" i="1"/>
  <c r="AJ587" i="1"/>
  <c r="K299" i="18"/>
  <c r="J299" i="18"/>
  <c r="L299" i="18"/>
  <c r="M299" i="18"/>
  <c r="F299" i="18"/>
  <c r="P299" i="18"/>
  <c r="E299" i="18"/>
  <c r="G299" i="18"/>
  <c r="H299" i="18"/>
  <c r="I299" i="18"/>
  <c r="Q299" i="18"/>
  <c r="R299" i="18"/>
  <c r="O299" i="18"/>
  <c r="B545" i="18"/>
  <c r="A545" i="18"/>
  <c r="F665" i="2"/>
  <c r="AB588" i="1" s="1"/>
  <c r="AW66" i="1"/>
  <c r="W66" i="1"/>
  <c r="BV69" i="1"/>
  <c r="CB69" i="1"/>
  <c r="D58" i="1"/>
  <c r="E58" i="1"/>
  <c r="F58" i="1"/>
  <c r="C472" i="1"/>
  <c r="A57" i="18"/>
  <c r="B57" i="18"/>
  <c r="R708" i="1"/>
  <c r="H420" i="2"/>
  <c r="R321" i="1" s="1"/>
  <c r="K66" i="1"/>
  <c r="BA68" i="1"/>
  <c r="AX482" i="1"/>
  <c r="K483" i="1"/>
  <c r="AM185" i="1"/>
  <c r="AJ588" i="1"/>
  <c r="AJ69" i="1"/>
  <c r="BN186" i="1"/>
  <c r="H586" i="1"/>
  <c r="BD587" i="1"/>
  <c r="H665" i="2"/>
  <c r="P665" i="2"/>
  <c r="AF588" i="1" s="1"/>
  <c r="AO66" i="1"/>
  <c r="I665" i="18"/>
  <c r="AW588" i="1" s="1"/>
  <c r="K665" i="18"/>
  <c r="BC588" i="1" s="1"/>
  <c r="M665" i="18"/>
  <c r="BG588" i="1" s="1"/>
  <c r="G665" i="18"/>
  <c r="AO588" i="1" s="1"/>
  <c r="O665" i="18"/>
  <c r="BQ588" i="1" s="1"/>
  <c r="P665" i="18"/>
  <c r="AE588" i="1" s="1"/>
  <c r="F665" i="18"/>
  <c r="AA588" i="1" s="1"/>
  <c r="H665" i="18"/>
  <c r="Q588" i="1" s="1"/>
  <c r="J665" i="18"/>
  <c r="W588" i="1" s="1"/>
  <c r="Q665" i="18"/>
  <c r="BU588" i="1" s="1"/>
  <c r="E665" i="18"/>
  <c r="K588" i="1" s="1"/>
  <c r="L665" i="18"/>
  <c r="AI588" i="1" s="1"/>
  <c r="R665" i="18"/>
  <c r="CA588" i="1" s="1"/>
  <c r="BR69" i="1"/>
  <c r="AX69" i="1"/>
  <c r="AM68" i="1"/>
  <c r="AJ483" i="1"/>
  <c r="L186" i="1"/>
  <c r="H184" i="1"/>
  <c r="CB708" i="1"/>
  <c r="R420" i="2"/>
  <c r="CB321" i="1" s="1"/>
  <c r="CE68" i="1"/>
  <c r="CB482" i="1"/>
  <c r="AJ708" i="1"/>
  <c r="L420" i="2"/>
  <c r="AJ321" i="1" s="1"/>
  <c r="BY184" i="1"/>
  <c r="BV587" i="1"/>
  <c r="BJ69" i="1"/>
  <c r="J420" i="2"/>
  <c r="X321" i="1" s="1"/>
  <c r="X708" i="1"/>
  <c r="M176" i="18"/>
  <c r="BG185" i="1" s="1"/>
  <c r="F176" i="18"/>
  <c r="AA185" i="1" s="1"/>
  <c r="O176" i="18"/>
  <c r="BQ185" i="1" s="1"/>
  <c r="P176" i="18"/>
  <c r="AE185" i="1" s="1"/>
  <c r="L176" i="18"/>
  <c r="AI185" i="1" s="1"/>
  <c r="A175" i="13"/>
  <c r="C175" i="13" s="1"/>
  <c r="H176" i="18"/>
  <c r="Q185" i="1" s="1"/>
  <c r="K176" i="18"/>
  <c r="BC185" i="1" s="1"/>
  <c r="R176" i="18"/>
  <c r="CA185" i="1" s="1"/>
  <c r="J176" i="18"/>
  <c r="W185" i="1" s="1"/>
  <c r="I176" i="18"/>
  <c r="AW185" i="1" s="1"/>
  <c r="E176" i="18"/>
  <c r="K185" i="1" s="1"/>
  <c r="G176" i="18"/>
  <c r="AO185" i="1" s="1"/>
  <c r="Q176" i="18"/>
  <c r="BU185" i="1" s="1"/>
  <c r="H68" i="1"/>
  <c r="D470" i="1"/>
  <c r="E470" i="1"/>
  <c r="A545" i="2"/>
  <c r="C545" i="2" s="1"/>
  <c r="C667" i="2" s="1"/>
  <c r="B545" i="2"/>
  <c r="BH68" i="1"/>
  <c r="BD482" i="1"/>
  <c r="AF708" i="1"/>
  <c r="P420" i="2"/>
  <c r="AF321" i="1" s="1"/>
  <c r="U184" i="1"/>
  <c r="R587" i="1"/>
  <c r="I555" i="2"/>
  <c r="Q555" i="2"/>
  <c r="K555" i="2"/>
  <c r="L555" i="2"/>
  <c r="H555" i="2"/>
  <c r="R555" i="2"/>
  <c r="E555" i="2"/>
  <c r="D556" i="2"/>
  <c r="F420" i="2"/>
  <c r="AB321" i="1" s="1"/>
  <c r="AB708" i="1"/>
  <c r="G321" i="1"/>
  <c r="H481" i="1"/>
  <c r="BR186" i="1"/>
  <c r="BV708" i="1"/>
  <c r="Q420" i="2"/>
  <c r="BV321" i="1" s="1"/>
  <c r="BJ708" i="1"/>
  <c r="M420" i="2"/>
  <c r="BJ321" i="1" s="1"/>
  <c r="D57" i="1"/>
  <c r="E57" i="1"/>
  <c r="F57" i="1"/>
  <c r="C471" i="1"/>
  <c r="BY68" i="1"/>
  <c r="BV482" i="1"/>
  <c r="A57" i="2"/>
  <c r="B57" i="2"/>
  <c r="I67" i="1"/>
  <c r="R186" i="1"/>
  <c r="BV186" i="1"/>
  <c r="CA483" i="1"/>
  <c r="BD708" i="1"/>
  <c r="K420" i="2"/>
  <c r="BD321" i="1" s="1"/>
  <c r="J179" i="12"/>
  <c r="R179" i="12"/>
  <c r="H179" i="12"/>
  <c r="P179" i="12"/>
  <c r="M179" i="12"/>
  <c r="N179" i="12"/>
  <c r="O179" i="12"/>
  <c r="E179" i="12"/>
  <c r="F179" i="12"/>
  <c r="Q179" i="12"/>
  <c r="G179" i="12"/>
  <c r="S179" i="12"/>
  <c r="I179" i="12"/>
  <c r="K179" i="12"/>
  <c r="L179" i="12"/>
  <c r="I182" i="1"/>
  <c r="I183" i="1" s="1"/>
  <c r="O183" i="1"/>
  <c r="K665" i="2"/>
  <c r="BD588" i="1" s="1"/>
  <c r="N665" i="2"/>
  <c r="BU66" i="1"/>
  <c r="G482" i="1"/>
  <c r="BN69" i="1"/>
  <c r="AF69" i="1"/>
  <c r="J177" i="2"/>
  <c r="X187" i="1" s="1"/>
  <c r="F177" i="2"/>
  <c r="AB187" i="1" s="1"/>
  <c r="AB188" i="1" s="1"/>
  <c r="G177" i="2"/>
  <c r="AP187" i="1" s="1"/>
  <c r="N177" i="2"/>
  <c r="BN187" i="1" s="1"/>
  <c r="BN188" i="1" s="1"/>
  <c r="H177" i="2"/>
  <c r="R187" i="1" s="1"/>
  <c r="R188" i="1" s="1"/>
  <c r="M177" i="2"/>
  <c r="BJ187" i="1" s="1"/>
  <c r="BJ188" i="1" s="1"/>
  <c r="O177" i="2"/>
  <c r="BR187" i="1" s="1"/>
  <c r="BR188" i="1" s="1"/>
  <c r="K177" i="2"/>
  <c r="BD187" i="1" s="1"/>
  <c r="BD188" i="1" s="1"/>
  <c r="E177" i="2"/>
  <c r="L187" i="1" s="1"/>
  <c r="P177" i="2"/>
  <c r="AF187" i="1" s="1"/>
  <c r="AF188" i="1" s="1"/>
  <c r="Q177" i="2"/>
  <c r="BV187" i="1" s="1"/>
  <c r="BV188" i="1" s="1"/>
  <c r="I177" i="2"/>
  <c r="AX187" i="1" s="1"/>
  <c r="L177" i="2"/>
  <c r="AJ187" i="1" s="1"/>
  <c r="AJ188" i="1" s="1"/>
  <c r="R177" i="2"/>
  <c r="CB187" i="1" s="1"/>
  <c r="CB188" i="1" s="1"/>
  <c r="G176" i="2"/>
  <c r="AP185" i="1" s="1"/>
  <c r="F176" i="2"/>
  <c r="AB185" i="1" s="1"/>
  <c r="AB186" i="1" s="1"/>
  <c r="J176" i="2"/>
  <c r="X185" i="1" s="1"/>
  <c r="H176" i="2"/>
  <c r="R185" i="1" s="1"/>
  <c r="O176" i="2"/>
  <c r="BR185" i="1" s="1"/>
  <c r="E176" i="2"/>
  <c r="L185" i="1" s="1"/>
  <c r="R176" i="2"/>
  <c r="CB185" i="1" s="1"/>
  <c r="CB186" i="1" s="1"/>
  <c r="M176" i="2"/>
  <c r="BJ185" i="1" s="1"/>
  <c r="BJ186" i="1" s="1"/>
  <c r="K176" i="2"/>
  <c r="BD185" i="1" s="1"/>
  <c r="BD186" i="1" s="1"/>
  <c r="L176" i="2"/>
  <c r="AJ185" i="1" s="1"/>
  <c r="AJ186" i="1" s="1"/>
  <c r="I176" i="2"/>
  <c r="AX185" i="1" s="1"/>
  <c r="AT185" i="1" s="1"/>
  <c r="P176" i="2"/>
  <c r="AF185" i="1" s="1"/>
  <c r="AF186" i="1" s="1"/>
  <c r="N176" i="2"/>
  <c r="BN185" i="1" s="1"/>
  <c r="Q176" i="2"/>
  <c r="BV185" i="1" s="1"/>
  <c r="C56" i="18"/>
  <c r="L555" i="18"/>
  <c r="Q555" i="18"/>
  <c r="H555" i="18"/>
  <c r="R555" i="18"/>
  <c r="J555" i="18"/>
  <c r="E555" i="18"/>
  <c r="D556" i="18"/>
  <c r="AV182" i="1"/>
  <c r="AV183" i="1" s="1"/>
  <c r="BA183" i="1"/>
  <c r="CE185" i="1"/>
  <c r="CB588" i="1"/>
  <c r="CG320" i="1"/>
  <c r="K666" i="18"/>
  <c r="BC589" i="1" s="1"/>
  <c r="M666" i="18"/>
  <c r="BG589" i="1" s="1"/>
  <c r="F666" i="18"/>
  <c r="AA589" i="1" s="1"/>
  <c r="O666" i="18"/>
  <c r="BQ589" i="1" s="1"/>
  <c r="G666" i="18"/>
  <c r="AO589" i="1" s="1"/>
  <c r="P666" i="18"/>
  <c r="AE589" i="1" s="1"/>
  <c r="I666" i="18"/>
  <c r="AW589" i="1" s="1"/>
  <c r="H666" i="18"/>
  <c r="Q589" i="1" s="1"/>
  <c r="Q666" i="18"/>
  <c r="BU589" i="1" s="1"/>
  <c r="J666" i="18"/>
  <c r="W589" i="1" s="1"/>
  <c r="E666" i="18"/>
  <c r="K589" i="1" s="1"/>
  <c r="R666" i="18"/>
  <c r="CA589" i="1" s="1"/>
  <c r="L666" i="18"/>
  <c r="AI589" i="1" s="1"/>
  <c r="O184" i="1"/>
  <c r="L587" i="1"/>
  <c r="BC66" i="1"/>
  <c r="L708" i="1"/>
  <c r="E420" i="2"/>
  <c r="L321" i="1" s="1"/>
  <c r="AI483" i="1"/>
  <c r="AX708" i="1"/>
  <c r="I420" i="2"/>
  <c r="AX321" i="1" s="1"/>
  <c r="BA184" i="1"/>
  <c r="AX587" i="1"/>
  <c r="O68" i="1"/>
  <c r="L482" i="1"/>
  <c r="W483" i="1"/>
  <c r="U68" i="1"/>
  <c r="R482" i="1"/>
  <c r="C178" i="2"/>
  <c r="C301" i="2"/>
  <c r="C423" i="2"/>
  <c r="C59" i="1"/>
  <c r="C189" i="1"/>
  <c r="C602" i="1" s="1"/>
  <c r="C324" i="1"/>
  <c r="D324" i="1" s="1"/>
  <c r="AT184" i="1"/>
  <c r="BU483" i="1"/>
  <c r="BR708" i="1"/>
  <c r="O420" i="2"/>
  <c r="BR321" i="1" s="1"/>
  <c r="G420" i="2"/>
  <c r="AP321" i="1" s="1"/>
  <c r="AP708" i="1"/>
  <c r="CE184" i="1"/>
  <c r="CB587" i="1"/>
  <c r="I665" i="2"/>
  <c r="Q66" i="1"/>
  <c r="L69" i="1"/>
  <c r="R69" i="1"/>
  <c r="C710" i="1"/>
  <c r="L300" i="2"/>
  <c r="R300" i="2"/>
  <c r="F300" i="2"/>
  <c r="E300" i="2"/>
  <c r="G300" i="2"/>
  <c r="N300" i="2"/>
  <c r="N422" i="2" s="1"/>
  <c r="BN323" i="1" s="1"/>
  <c r="M300" i="2"/>
  <c r="I300" i="2"/>
  <c r="P300" i="2"/>
  <c r="J300" i="2"/>
  <c r="K300" i="2"/>
  <c r="H300" i="2"/>
  <c r="O300" i="2"/>
  <c r="Q300" i="2"/>
  <c r="CB710" i="1" l="1"/>
  <c r="R422" i="2"/>
  <c r="CB323" i="1" s="1"/>
  <c r="O421" i="18"/>
  <c r="BQ322" i="1" s="1"/>
  <c r="BQ709" i="1"/>
  <c r="CA67" i="1"/>
  <c r="Q484" i="1"/>
  <c r="AF709" i="1"/>
  <c r="P421" i="2"/>
  <c r="AF322" i="1" s="1"/>
  <c r="R70" i="1"/>
  <c r="CE69" i="1"/>
  <c r="CB483" i="1"/>
  <c r="B58" i="18"/>
  <c r="A58" i="18"/>
  <c r="C58" i="18" s="1"/>
  <c r="AX709" i="1"/>
  <c r="I421" i="2"/>
  <c r="AX322" i="1" s="1"/>
  <c r="BJ710" i="1"/>
  <c r="M422" i="2"/>
  <c r="BJ323" i="1" s="1"/>
  <c r="H321" i="1"/>
  <c r="CG321" i="1" s="1"/>
  <c r="W709" i="1"/>
  <c r="J421" i="18"/>
  <c r="W322" i="1" s="1"/>
  <c r="BD709" i="1"/>
  <c r="K421" i="2"/>
  <c r="BD322" i="1" s="1"/>
  <c r="E300" i="18"/>
  <c r="M300" i="18"/>
  <c r="F300" i="18"/>
  <c r="P300" i="18"/>
  <c r="G300" i="18"/>
  <c r="Q300" i="18"/>
  <c r="H300" i="18"/>
  <c r="R300" i="18"/>
  <c r="J300" i="18"/>
  <c r="I300" i="18"/>
  <c r="K300" i="18"/>
  <c r="L300" i="18"/>
  <c r="O300" i="18"/>
  <c r="BR710" i="1"/>
  <c r="O422" i="2"/>
  <c r="BR323" i="1" s="1"/>
  <c r="BD710" i="1"/>
  <c r="K422" i="2"/>
  <c r="BD323" i="1" s="1"/>
  <c r="F422" i="2"/>
  <c r="AB323" i="1" s="1"/>
  <c r="AB710" i="1"/>
  <c r="W484" i="1"/>
  <c r="BA69" i="1"/>
  <c r="AX483" i="1"/>
  <c r="B546" i="2"/>
  <c r="A546" i="2"/>
  <c r="C546" i="2" s="1"/>
  <c r="C668" i="2" s="1"/>
  <c r="BH186" i="1"/>
  <c r="G483" i="1"/>
  <c r="B546" i="18"/>
  <c r="A546" i="18"/>
  <c r="P421" i="18"/>
  <c r="AE322" i="1" s="1"/>
  <c r="AE709" i="1"/>
  <c r="AM186" i="1"/>
  <c r="BJ709" i="1"/>
  <c r="M421" i="2"/>
  <c r="BJ322" i="1" s="1"/>
  <c r="R709" i="1"/>
  <c r="H421" i="2"/>
  <c r="R322" i="1" s="1"/>
  <c r="P666" i="2"/>
  <c r="AF589" i="1" s="1"/>
  <c r="M666" i="2"/>
  <c r="BJ589" i="1" s="1"/>
  <c r="J666" i="2"/>
  <c r="X589" i="1" s="1"/>
  <c r="N666" i="2"/>
  <c r="O666" i="2"/>
  <c r="BR589" i="1" s="1"/>
  <c r="G666" i="2"/>
  <c r="AP589" i="1" s="1"/>
  <c r="F666" i="2"/>
  <c r="AB589" i="1" s="1"/>
  <c r="Q666" i="2"/>
  <c r="E666" i="2"/>
  <c r="K666" i="2"/>
  <c r="I666" i="2"/>
  <c r="H666" i="2"/>
  <c r="R666" i="2"/>
  <c r="L666" i="2"/>
  <c r="BY185" i="1"/>
  <c r="BV588" i="1"/>
  <c r="AX70" i="1"/>
  <c r="BC67" i="1"/>
  <c r="J422" i="2"/>
  <c r="X323" i="1" s="1"/>
  <c r="X710" i="1"/>
  <c r="BV70" i="1"/>
  <c r="D59" i="1"/>
  <c r="C473" i="1"/>
  <c r="F421" i="18"/>
  <c r="AA322" i="1" s="1"/>
  <c r="AA709" i="1"/>
  <c r="J180" i="12"/>
  <c r="R180" i="12"/>
  <c r="H180" i="12"/>
  <c r="P180" i="12"/>
  <c r="G180" i="12"/>
  <c r="S180" i="12"/>
  <c r="I180" i="12"/>
  <c r="L180" i="12"/>
  <c r="M180" i="12"/>
  <c r="K180" i="12"/>
  <c r="N180" i="12"/>
  <c r="E180" i="12"/>
  <c r="O180" i="12"/>
  <c r="F180" i="12"/>
  <c r="Q180" i="12"/>
  <c r="AJ710" i="1"/>
  <c r="L422" i="2"/>
  <c r="AJ323" i="1" s="1"/>
  <c r="O69" i="1"/>
  <c r="L483" i="1"/>
  <c r="H483" i="1" s="1"/>
  <c r="CA709" i="1"/>
  <c r="R421" i="18"/>
  <c r="CA322" i="1" s="1"/>
  <c r="W67" i="1"/>
  <c r="E471" i="1"/>
  <c r="D471" i="1"/>
  <c r="BU709" i="1"/>
  <c r="Q421" i="18"/>
  <c r="BU322" i="1" s="1"/>
  <c r="BJ70" i="1"/>
  <c r="AW709" i="1"/>
  <c r="I421" i="18"/>
  <c r="AW322" i="1" s="1"/>
  <c r="BN70" i="1"/>
  <c r="A55" i="10"/>
  <c r="J667" i="2" s="1"/>
  <c r="X590" i="1" s="1"/>
  <c r="C178" i="18"/>
  <c r="C423" i="18"/>
  <c r="C301" i="18"/>
  <c r="A55" i="13"/>
  <c r="C55" i="13" s="1"/>
  <c r="C181" i="12"/>
  <c r="AM69" i="1"/>
  <c r="AJ484" i="1"/>
  <c r="G66" i="1"/>
  <c r="D472" i="1"/>
  <c r="E472" i="1"/>
  <c r="Q709" i="1"/>
  <c r="H421" i="18"/>
  <c r="Q322" i="1" s="1"/>
  <c r="BC709" i="1"/>
  <c r="K421" i="18"/>
  <c r="BC322" i="1" s="1"/>
  <c r="BR709" i="1"/>
  <c r="O421" i="2"/>
  <c r="BR322" i="1" s="1"/>
  <c r="AJ709" i="1"/>
  <c r="L421" i="2"/>
  <c r="AJ322" i="1" s="1"/>
  <c r="M177" i="18"/>
  <c r="BG187" i="1" s="1"/>
  <c r="P177" i="18"/>
  <c r="AE187" i="1" s="1"/>
  <c r="F177" i="18"/>
  <c r="AA187" i="1" s="1"/>
  <c r="L177" i="18"/>
  <c r="AI187" i="1" s="1"/>
  <c r="O177" i="18"/>
  <c r="BQ187" i="1" s="1"/>
  <c r="A176" i="13"/>
  <c r="C176" i="13" s="1"/>
  <c r="H177" i="18"/>
  <c r="Q187" i="1" s="1"/>
  <c r="J177" i="18"/>
  <c r="W187" i="1" s="1"/>
  <c r="G177" i="18"/>
  <c r="AO187" i="1" s="1"/>
  <c r="Q177" i="18"/>
  <c r="BU187" i="1" s="1"/>
  <c r="K177" i="18"/>
  <c r="BC187" i="1" s="1"/>
  <c r="R177" i="18"/>
  <c r="CA187" i="1" s="1"/>
  <c r="I177" i="18"/>
  <c r="AW187" i="1" s="1"/>
  <c r="E177" i="18"/>
  <c r="K187" i="1" s="1"/>
  <c r="AJ70" i="1"/>
  <c r="AO67" i="1"/>
  <c r="Q67" i="1"/>
  <c r="H187" i="1"/>
  <c r="H188" i="1" s="1"/>
  <c r="L188" i="1"/>
  <c r="N667" i="2"/>
  <c r="Q667" i="2"/>
  <c r="AF70" i="1"/>
  <c r="H587" i="1"/>
  <c r="BY186" i="1"/>
  <c r="AX710" i="1"/>
  <c r="I422" i="2"/>
  <c r="AX323" i="1" s="1"/>
  <c r="H482" i="1"/>
  <c r="I184" i="1"/>
  <c r="O186" i="1"/>
  <c r="L421" i="18"/>
  <c r="AI322" i="1" s="1"/>
  <c r="AI709" i="1"/>
  <c r="CB709" i="1"/>
  <c r="R421" i="2"/>
  <c r="CB322" i="1" s="1"/>
  <c r="L68" i="2"/>
  <c r="H68" i="2"/>
  <c r="Q68" i="2"/>
  <c r="I68" i="2"/>
  <c r="R68" i="2"/>
  <c r="K68" i="2"/>
  <c r="M68" i="2"/>
  <c r="D69" i="2"/>
  <c r="E68" i="2"/>
  <c r="N68" i="2"/>
  <c r="P68" i="2"/>
  <c r="O68" i="2"/>
  <c r="I68" i="1"/>
  <c r="AI484" i="1"/>
  <c r="U69" i="1"/>
  <c r="R483" i="1"/>
  <c r="C57" i="18"/>
  <c r="AW67" i="1"/>
  <c r="BA185" i="1"/>
  <c r="AV185" i="1" s="1"/>
  <c r="AX588" i="1"/>
  <c r="O178" i="2"/>
  <c r="BR189" i="1" s="1"/>
  <c r="BR190" i="1" s="1"/>
  <c r="G589" i="1"/>
  <c r="H556" i="18"/>
  <c r="Q556" i="18"/>
  <c r="R556" i="18"/>
  <c r="J556" i="18"/>
  <c r="L556" i="18"/>
  <c r="D557" i="18"/>
  <c r="E556" i="18"/>
  <c r="H185" i="1"/>
  <c r="H186" i="1" s="1"/>
  <c r="AT187" i="1"/>
  <c r="AT188" i="1" s="1"/>
  <c r="AX188" i="1"/>
  <c r="B58" i="2"/>
  <c r="A58" i="2"/>
  <c r="C58" i="2" s="1"/>
  <c r="BH69" i="1"/>
  <c r="BD483" i="1"/>
  <c r="U185" i="1"/>
  <c r="I185" i="1" s="1"/>
  <c r="R588" i="1"/>
  <c r="AO709" i="1"/>
  <c r="G421" i="18"/>
  <c r="AO322" i="1" s="1"/>
  <c r="L709" i="1"/>
  <c r="E421" i="2"/>
  <c r="L322" i="1" s="1"/>
  <c r="G421" i="2"/>
  <c r="AP322" i="1" s="1"/>
  <c r="AP709" i="1"/>
  <c r="BD70" i="1"/>
  <c r="K67" i="1"/>
  <c r="H588" i="1"/>
  <c r="CA484" i="1"/>
  <c r="I556" i="2"/>
  <c r="Q556" i="2"/>
  <c r="R556" i="2"/>
  <c r="K556" i="2"/>
  <c r="H556" i="2"/>
  <c r="E556" i="2"/>
  <c r="D557" i="2"/>
  <c r="L556" i="2"/>
  <c r="J421" i="2"/>
  <c r="X322" i="1" s="1"/>
  <c r="X709" i="1"/>
  <c r="AF710" i="1"/>
  <c r="P422" i="2"/>
  <c r="AF323" i="1" s="1"/>
  <c r="M421" i="18"/>
  <c r="BG322" i="1" s="1"/>
  <c r="BG709" i="1"/>
  <c r="BR70" i="1"/>
  <c r="BU484" i="1"/>
  <c r="BU67" i="1"/>
  <c r="C711" i="1"/>
  <c r="H301" i="2"/>
  <c r="N301" i="2"/>
  <c r="N423" i="2" s="1"/>
  <c r="BN324" i="1" s="1"/>
  <c r="K301" i="2"/>
  <c r="M301" i="2"/>
  <c r="G301" i="2"/>
  <c r="R301" i="2"/>
  <c r="L301" i="2"/>
  <c r="P301" i="2"/>
  <c r="J301" i="2"/>
  <c r="O301" i="2"/>
  <c r="Q301" i="2"/>
  <c r="I301" i="2"/>
  <c r="F301" i="2"/>
  <c r="E301" i="2"/>
  <c r="L70" i="1"/>
  <c r="BV710" i="1"/>
  <c r="Q422" i="2"/>
  <c r="BV323" i="1" s="1"/>
  <c r="G422" i="2"/>
  <c r="AP323" i="1" s="1"/>
  <c r="AP710" i="1"/>
  <c r="AX186" i="1"/>
  <c r="R710" i="1"/>
  <c r="H422" i="2"/>
  <c r="R323" i="1" s="1"/>
  <c r="L710" i="1"/>
  <c r="E422" i="2"/>
  <c r="L323" i="1" s="1"/>
  <c r="H69" i="1"/>
  <c r="CE186" i="1"/>
  <c r="AT186" i="1"/>
  <c r="AV184" i="1"/>
  <c r="AV186" i="1" s="1"/>
  <c r="K484" i="1"/>
  <c r="C57" i="2"/>
  <c r="BY69" i="1"/>
  <c r="BV483" i="1"/>
  <c r="G185" i="1"/>
  <c r="G588" i="1"/>
  <c r="C545" i="18"/>
  <c r="C667" i="18" s="1"/>
  <c r="K709" i="1"/>
  <c r="E421" i="18"/>
  <c r="K322" i="1" s="1"/>
  <c r="F421" i="2"/>
  <c r="AB322" i="1" s="1"/>
  <c r="AB709" i="1"/>
  <c r="BV709" i="1"/>
  <c r="Q421" i="2"/>
  <c r="BV322" i="1" s="1"/>
  <c r="CB70" i="1"/>
  <c r="D66" i="18"/>
  <c r="G65" i="18"/>
  <c r="H65" i="18"/>
  <c r="I65" i="18"/>
  <c r="Q65" i="18"/>
  <c r="J65" i="18"/>
  <c r="R65" i="18"/>
  <c r="E65" i="18"/>
  <c r="K65" i="18"/>
  <c r="E59" i="1" l="1"/>
  <c r="CE187" i="1"/>
  <c r="CE188" i="1" s="1"/>
  <c r="CB589" i="1"/>
  <c r="G668" i="2"/>
  <c r="AP591" i="1" s="1"/>
  <c r="N668" i="2"/>
  <c r="M668" i="2"/>
  <c r="BJ591" i="1" s="1"/>
  <c r="R668" i="2"/>
  <c r="H668" i="2"/>
  <c r="K668" i="2"/>
  <c r="I668" i="2"/>
  <c r="AW710" i="1"/>
  <c r="I422" i="18"/>
  <c r="AW323" i="1" s="1"/>
  <c r="M422" i="18"/>
  <c r="BG323" i="1" s="1"/>
  <c r="BG710" i="1"/>
  <c r="Q68" i="1"/>
  <c r="AX711" i="1"/>
  <c r="I423" i="2"/>
  <c r="AX324" i="1" s="1"/>
  <c r="BJ711" i="1"/>
  <c r="M423" i="2"/>
  <c r="BJ324" i="1" s="1"/>
  <c r="U186" i="1"/>
  <c r="U70" i="1"/>
  <c r="R484" i="1"/>
  <c r="G67" i="1"/>
  <c r="H322" i="1"/>
  <c r="AI485" i="1"/>
  <c r="K178" i="2"/>
  <c r="BD189" i="1" s="1"/>
  <c r="BD190" i="1" s="1"/>
  <c r="M178" i="2"/>
  <c r="BJ189" i="1" s="1"/>
  <c r="BJ190" i="1" s="1"/>
  <c r="BR71" i="1"/>
  <c r="AX71" i="1"/>
  <c r="E667" i="2"/>
  <c r="H181" i="12"/>
  <c r="L181" i="12"/>
  <c r="E181" i="12"/>
  <c r="F181" i="12"/>
  <c r="O181" i="12"/>
  <c r="G181" i="12"/>
  <c r="P181" i="12"/>
  <c r="I181" i="12"/>
  <c r="Q181" i="12"/>
  <c r="J181" i="12"/>
  <c r="R181" i="12"/>
  <c r="N181" i="12"/>
  <c r="K181" i="12"/>
  <c r="S181" i="12"/>
  <c r="M181" i="12"/>
  <c r="I69" i="1"/>
  <c r="F59" i="1"/>
  <c r="U187" i="1"/>
  <c r="U188" i="1" s="1"/>
  <c r="R589" i="1"/>
  <c r="A547" i="2"/>
  <c r="C547" i="2" s="1"/>
  <c r="C669" i="2" s="1"/>
  <c r="B547" i="2"/>
  <c r="W710" i="1"/>
  <c r="J422" i="18"/>
  <c r="W323" i="1" s="1"/>
  <c r="K710" i="1"/>
  <c r="E422" i="18"/>
  <c r="K323" i="1" s="1"/>
  <c r="AJ711" i="1"/>
  <c r="L423" i="2"/>
  <c r="AJ324" i="1" s="1"/>
  <c r="P422" i="18"/>
  <c r="AE323" i="1" s="1"/>
  <c r="AE710" i="1"/>
  <c r="BA186" i="1"/>
  <c r="I178" i="2"/>
  <c r="AX189" i="1" s="1"/>
  <c r="BC710" i="1"/>
  <c r="K422" i="18"/>
  <c r="BC323" i="1" s="1"/>
  <c r="F423" i="2"/>
  <c r="AB324" i="1" s="1"/>
  <c r="AB711" i="1"/>
  <c r="L178" i="2"/>
  <c r="AJ189" i="1" s="1"/>
  <c r="AJ190" i="1" s="1"/>
  <c r="BV711" i="1"/>
  <c r="Q423" i="2"/>
  <c r="BV324" i="1" s="1"/>
  <c r="BD711" i="1"/>
  <c r="K423" i="2"/>
  <c r="BD324" i="1" s="1"/>
  <c r="BH70" i="1"/>
  <c r="BD484" i="1"/>
  <c r="C180" i="2"/>
  <c r="C303" i="2"/>
  <c r="C425" i="2"/>
  <c r="C61" i="1"/>
  <c r="C192" i="1"/>
  <c r="C604" i="1" s="1"/>
  <c r="C326" i="1"/>
  <c r="D326" i="1" s="1"/>
  <c r="W485" i="1"/>
  <c r="E178" i="2"/>
  <c r="L189" i="1" s="1"/>
  <c r="F178" i="2"/>
  <c r="AB189" i="1" s="1"/>
  <c r="AB190" i="1" s="1"/>
  <c r="A56" i="10"/>
  <c r="O668" i="2" s="1"/>
  <c r="BR591" i="1" s="1"/>
  <c r="C179" i="18"/>
  <c r="C424" i="18"/>
  <c r="C302" i="18"/>
  <c r="A56" i="13"/>
  <c r="C56" i="13" s="1"/>
  <c r="C182" i="12"/>
  <c r="AF71" i="1"/>
  <c r="BV71" i="1"/>
  <c r="I186" i="1"/>
  <c r="F667" i="2"/>
  <c r="AB590" i="1" s="1"/>
  <c r="BA187" i="1"/>
  <c r="AX589" i="1"/>
  <c r="CA710" i="1"/>
  <c r="R422" i="18"/>
  <c r="CA323" i="1" s="1"/>
  <c r="L711" i="1"/>
  <c r="E423" i="2"/>
  <c r="L324" i="1" s="1"/>
  <c r="K485" i="1"/>
  <c r="G485" i="1" s="1"/>
  <c r="P667" i="2"/>
  <c r="AF590" i="1" s="1"/>
  <c r="J557" i="18"/>
  <c r="Q557" i="18"/>
  <c r="H557" i="18"/>
  <c r="R557" i="18"/>
  <c r="L557" i="18"/>
  <c r="D558" i="18"/>
  <c r="E557" i="18"/>
  <c r="G322" i="1"/>
  <c r="CG322" i="1" s="1"/>
  <c r="C179" i="2"/>
  <c r="C302" i="2"/>
  <c r="C424" i="2"/>
  <c r="C60" i="1"/>
  <c r="C191" i="1"/>
  <c r="C603" i="1" s="1"/>
  <c r="C325" i="1"/>
  <c r="D325" i="1" s="1"/>
  <c r="H323" i="1"/>
  <c r="BR711" i="1"/>
  <c r="O423" i="2"/>
  <c r="BR324" i="1" s="1"/>
  <c r="CE70" i="1"/>
  <c r="CB484" i="1"/>
  <c r="B59" i="2"/>
  <c r="A59" i="2"/>
  <c r="C59" i="2" s="1"/>
  <c r="CA485" i="1"/>
  <c r="Q178" i="2"/>
  <c r="BV189" i="1" s="1"/>
  <c r="BV190" i="1" s="1"/>
  <c r="G178" i="2"/>
  <c r="AP189" i="1" s="1"/>
  <c r="BN71" i="1"/>
  <c r="R71" i="1"/>
  <c r="I667" i="2"/>
  <c r="O667" i="2"/>
  <c r="BR590" i="1" s="1"/>
  <c r="G301" i="18"/>
  <c r="P301" i="18"/>
  <c r="J301" i="18"/>
  <c r="K301" i="18"/>
  <c r="L301" i="18"/>
  <c r="E301" i="18"/>
  <c r="O301" i="18"/>
  <c r="I301" i="18"/>
  <c r="M301" i="18"/>
  <c r="Q301" i="18"/>
  <c r="R301" i="18"/>
  <c r="F301" i="18"/>
  <c r="H301" i="18"/>
  <c r="BH188" i="1"/>
  <c r="BD589" i="1"/>
  <c r="Q710" i="1"/>
  <c r="H422" i="18"/>
  <c r="Q323" i="1" s="1"/>
  <c r="A57" i="10"/>
  <c r="C303" i="18"/>
  <c r="C180" i="18"/>
  <c r="C425" i="18"/>
  <c r="A57" i="13"/>
  <c r="C57" i="13" s="1"/>
  <c r="C183" i="12"/>
  <c r="W68" i="1"/>
  <c r="BJ71" i="1"/>
  <c r="E473" i="1"/>
  <c r="D473" i="1"/>
  <c r="BD71" i="1"/>
  <c r="AW68" i="1"/>
  <c r="G423" i="2"/>
  <c r="AP324" i="1" s="1"/>
  <c r="AP711" i="1"/>
  <c r="H178" i="2"/>
  <c r="R189" i="1" s="1"/>
  <c r="R190" i="1" s="1"/>
  <c r="H667" i="2"/>
  <c r="K68" i="1"/>
  <c r="G484" i="1"/>
  <c r="H70" i="1"/>
  <c r="J423" i="2"/>
  <c r="X324" i="1" s="1"/>
  <c r="X711" i="1"/>
  <c r="R711" i="1"/>
  <c r="H423" i="2"/>
  <c r="R324" i="1" s="1"/>
  <c r="BY70" i="1"/>
  <c r="BV484" i="1"/>
  <c r="BU485" i="1"/>
  <c r="N178" i="2"/>
  <c r="BN189" i="1" s="1"/>
  <c r="BN190" i="1" s="1"/>
  <c r="J178" i="2"/>
  <c r="X189" i="1" s="1"/>
  <c r="L71" i="1"/>
  <c r="H71" i="1" s="1"/>
  <c r="AJ71" i="1"/>
  <c r="R667" i="2"/>
  <c r="M667" i="2"/>
  <c r="BJ590" i="1" s="1"/>
  <c r="G187" i="1"/>
  <c r="O187" i="1"/>
  <c r="L589" i="1"/>
  <c r="H589" i="1" s="1"/>
  <c r="C546" i="18"/>
  <c r="C668" i="18" s="1"/>
  <c r="BU710" i="1"/>
  <c r="Q422" i="18"/>
  <c r="BU323" i="1" s="1"/>
  <c r="B59" i="18"/>
  <c r="A59" i="18"/>
  <c r="C59" i="18" s="1"/>
  <c r="AM70" i="1"/>
  <c r="AJ485" i="1"/>
  <c r="BY189" i="1"/>
  <c r="BY190" i="1" s="1"/>
  <c r="BV590" i="1"/>
  <c r="L422" i="18"/>
  <c r="AI323" i="1" s="1"/>
  <c r="AI710" i="1"/>
  <c r="BU68" i="1"/>
  <c r="CB711" i="1"/>
  <c r="R423" i="2"/>
  <c r="CB324" i="1" s="1"/>
  <c r="E557" i="2"/>
  <c r="H557" i="2"/>
  <c r="I557" i="2"/>
  <c r="Q557" i="2"/>
  <c r="R557" i="2"/>
  <c r="L557" i="2"/>
  <c r="K557" i="2"/>
  <c r="D558" i="2"/>
  <c r="P178" i="2"/>
  <c r="AF189" i="1" s="1"/>
  <c r="AF190" i="1" s="1"/>
  <c r="K667" i="2"/>
  <c r="AM187" i="1"/>
  <c r="AM188" i="1" s="1"/>
  <c r="AJ589" i="1"/>
  <c r="F422" i="18"/>
  <c r="AA323" i="1" s="1"/>
  <c r="AA710" i="1"/>
  <c r="O70" i="1"/>
  <c r="L484" i="1"/>
  <c r="CB71" i="1"/>
  <c r="G667" i="2"/>
  <c r="AP590" i="1" s="1"/>
  <c r="AO68" i="1"/>
  <c r="BC68" i="1"/>
  <c r="E66" i="18"/>
  <c r="G66" i="18"/>
  <c r="H66" i="18"/>
  <c r="J66" i="18"/>
  <c r="Q66" i="18"/>
  <c r="D67" i="18"/>
  <c r="R66" i="18"/>
  <c r="K66" i="18"/>
  <c r="I66" i="18"/>
  <c r="CA68" i="1"/>
  <c r="M667" i="18"/>
  <c r="BG590" i="1" s="1"/>
  <c r="F667" i="18"/>
  <c r="AA590" i="1" s="1"/>
  <c r="O667" i="18"/>
  <c r="BQ590" i="1" s="1"/>
  <c r="G667" i="18"/>
  <c r="AO590" i="1" s="1"/>
  <c r="P667" i="18"/>
  <c r="AE590" i="1" s="1"/>
  <c r="K667" i="18"/>
  <c r="BC590" i="1" s="1"/>
  <c r="I667" i="18"/>
  <c r="AW590" i="1" s="1"/>
  <c r="H667" i="18"/>
  <c r="Q590" i="1" s="1"/>
  <c r="R667" i="18"/>
  <c r="CA590" i="1" s="1"/>
  <c r="L667" i="18"/>
  <c r="AI590" i="1" s="1"/>
  <c r="E667" i="18"/>
  <c r="K590" i="1" s="1"/>
  <c r="J667" i="18"/>
  <c r="W590" i="1" s="1"/>
  <c r="Q667" i="18"/>
  <c r="BU590" i="1" s="1"/>
  <c r="AF711" i="1"/>
  <c r="P423" i="2"/>
  <c r="AF324" i="1" s="1"/>
  <c r="BA70" i="1"/>
  <c r="AX484" i="1"/>
  <c r="Q485" i="1"/>
  <c r="R178" i="2"/>
  <c r="CB189" i="1" s="1"/>
  <c r="CB190" i="1" s="1"/>
  <c r="R69" i="2"/>
  <c r="H69" i="2"/>
  <c r="P69" i="2"/>
  <c r="I69" i="2"/>
  <c r="Q69" i="2"/>
  <c r="K69" i="2"/>
  <c r="L69" i="2"/>
  <c r="E69" i="2"/>
  <c r="M69" i="2"/>
  <c r="D70" i="2"/>
  <c r="O69" i="2"/>
  <c r="N69" i="2"/>
  <c r="L667" i="2"/>
  <c r="P178" i="18"/>
  <c r="AE189" i="1" s="1"/>
  <c r="F178" i="18"/>
  <c r="AA189" i="1" s="1"/>
  <c r="M178" i="18"/>
  <c r="BG189" i="1" s="1"/>
  <c r="O178" i="18"/>
  <c r="BQ189" i="1" s="1"/>
  <c r="L178" i="18"/>
  <c r="AI189" i="1" s="1"/>
  <c r="A177" i="13"/>
  <c r="C177" i="13" s="1"/>
  <c r="I178" i="18"/>
  <c r="AW189" i="1" s="1"/>
  <c r="G178" i="18"/>
  <c r="AO189" i="1" s="1"/>
  <c r="H178" i="18"/>
  <c r="Q189" i="1" s="1"/>
  <c r="K178" i="18"/>
  <c r="BC189" i="1" s="1"/>
  <c r="R178" i="18"/>
  <c r="CA189" i="1" s="1"/>
  <c r="Q178" i="18"/>
  <c r="BU189" i="1" s="1"/>
  <c r="E178" i="18"/>
  <c r="K189" i="1" s="1"/>
  <c r="J178" i="18"/>
  <c r="W189" i="1" s="1"/>
  <c r="BY187" i="1"/>
  <c r="BY188" i="1" s="1"/>
  <c r="BV589" i="1"/>
  <c r="B547" i="18"/>
  <c r="A547" i="18"/>
  <c r="O422" i="18"/>
  <c r="BQ323" i="1" s="1"/>
  <c r="BQ710" i="1"/>
  <c r="AO710" i="1"/>
  <c r="G422" i="18"/>
  <c r="AO323" i="1" s="1"/>
  <c r="BN72" i="1" l="1"/>
  <c r="AX72" i="1"/>
  <c r="BU69" i="1"/>
  <c r="I70" i="1"/>
  <c r="K558" i="2"/>
  <c r="H558" i="2"/>
  <c r="Q558" i="2"/>
  <c r="I558" i="2"/>
  <c r="R558" i="2"/>
  <c r="E558" i="2"/>
  <c r="D559" i="2"/>
  <c r="L558" i="2"/>
  <c r="G668" i="18"/>
  <c r="AO591" i="1" s="1"/>
  <c r="P668" i="18"/>
  <c r="AE591" i="1" s="1"/>
  <c r="K668" i="18"/>
  <c r="BC591" i="1" s="1"/>
  <c r="F668" i="18"/>
  <c r="AA591" i="1" s="1"/>
  <c r="O668" i="18"/>
  <c r="BQ591" i="1" s="1"/>
  <c r="M668" i="18"/>
  <c r="BG591" i="1" s="1"/>
  <c r="I668" i="18"/>
  <c r="AW591" i="1" s="1"/>
  <c r="Q668" i="18"/>
  <c r="BU591" i="1" s="1"/>
  <c r="H668" i="18"/>
  <c r="Q591" i="1" s="1"/>
  <c r="J668" i="18"/>
  <c r="W591" i="1" s="1"/>
  <c r="R668" i="18"/>
  <c r="CA591" i="1" s="1"/>
  <c r="E668" i="18"/>
  <c r="K591" i="1" s="1"/>
  <c r="L668" i="18"/>
  <c r="AI591" i="1" s="1"/>
  <c r="Q711" i="1"/>
  <c r="H423" i="18"/>
  <c r="Q324" i="1" s="1"/>
  <c r="L423" i="18"/>
  <c r="AI324" i="1" s="1"/>
  <c r="AI711" i="1"/>
  <c r="K486" i="1"/>
  <c r="L182" i="12"/>
  <c r="M182" i="12"/>
  <c r="N182" i="12"/>
  <c r="E182" i="12"/>
  <c r="F182" i="12"/>
  <c r="G182" i="12"/>
  <c r="O182" i="12"/>
  <c r="H182" i="12"/>
  <c r="P182" i="12"/>
  <c r="I182" i="12"/>
  <c r="Q182" i="12"/>
  <c r="J182" i="12"/>
  <c r="R182" i="12"/>
  <c r="K182" i="12"/>
  <c r="S182" i="12"/>
  <c r="BD591" i="1"/>
  <c r="Q69" i="1"/>
  <c r="W711" i="1"/>
  <c r="J423" i="18"/>
  <c r="W324" i="1" s="1"/>
  <c r="G323" i="1"/>
  <c r="CG323" i="1" s="1"/>
  <c r="BJ72" i="1"/>
  <c r="CB72" i="1"/>
  <c r="AO69" i="1"/>
  <c r="CE71" i="1"/>
  <c r="CB485" i="1"/>
  <c r="BU711" i="1"/>
  <c r="Q423" i="18"/>
  <c r="BU324" i="1" s="1"/>
  <c r="P423" i="18"/>
  <c r="AE324" i="1" s="1"/>
  <c r="AE711" i="1"/>
  <c r="D60" i="1"/>
  <c r="E60" i="1"/>
  <c r="F60" i="1"/>
  <c r="C474" i="1"/>
  <c r="CA486" i="1"/>
  <c r="O189" i="1"/>
  <c r="L590" i="1"/>
  <c r="Q668" i="2"/>
  <c r="F668" i="2"/>
  <c r="AB591" i="1" s="1"/>
  <c r="BH71" i="1"/>
  <c r="BD485" i="1"/>
  <c r="F423" i="18"/>
  <c r="AA324" i="1" s="1"/>
  <c r="AA711" i="1"/>
  <c r="R558" i="18"/>
  <c r="H558" i="18"/>
  <c r="Q558" i="18"/>
  <c r="J558" i="18"/>
  <c r="L558" i="18"/>
  <c r="D559" i="18"/>
  <c r="E558" i="18"/>
  <c r="U191" i="1"/>
  <c r="R591" i="1"/>
  <c r="R72" i="1"/>
  <c r="CA711" i="1"/>
  <c r="R423" i="18"/>
  <c r="CA324" i="1" s="1"/>
  <c r="A60" i="2"/>
  <c r="C60" i="2" s="1"/>
  <c r="B60" i="2"/>
  <c r="CE191" i="1"/>
  <c r="CB591" i="1"/>
  <c r="L72" i="1"/>
  <c r="AW69" i="1"/>
  <c r="K69" i="1"/>
  <c r="G69" i="1" s="1"/>
  <c r="BY71" i="1"/>
  <c r="BV485" i="1"/>
  <c r="A58" i="10"/>
  <c r="C304" i="18"/>
  <c r="C181" i="18"/>
  <c r="C426" i="18"/>
  <c r="A58" i="13"/>
  <c r="C58" i="13" s="1"/>
  <c r="C184" i="12"/>
  <c r="U189" i="1"/>
  <c r="U190" i="1" s="1"/>
  <c r="R590" i="1"/>
  <c r="M423" i="18"/>
  <c r="BG324" i="1" s="1"/>
  <c r="BG711" i="1"/>
  <c r="AO711" i="1"/>
  <c r="G423" i="18"/>
  <c r="AO324" i="1" s="1"/>
  <c r="Q486" i="1"/>
  <c r="L179" i="18"/>
  <c r="AI191" i="1" s="1"/>
  <c r="M179" i="18"/>
  <c r="BG191" i="1" s="1"/>
  <c r="P179" i="18"/>
  <c r="AE191" i="1" s="1"/>
  <c r="F179" i="18"/>
  <c r="AA191" i="1" s="1"/>
  <c r="O179" i="18"/>
  <c r="BQ191" i="1" s="1"/>
  <c r="A178" i="13"/>
  <c r="C178" i="13" s="1"/>
  <c r="K179" i="18"/>
  <c r="BC191" i="1" s="1"/>
  <c r="J179" i="18"/>
  <c r="W191" i="1" s="1"/>
  <c r="E179" i="18"/>
  <c r="K191" i="1" s="1"/>
  <c r="G191" i="1" s="1"/>
  <c r="R179" i="18"/>
  <c r="CA191" i="1" s="1"/>
  <c r="I179" i="18"/>
  <c r="AW191" i="1" s="1"/>
  <c r="G179" i="18"/>
  <c r="AO191" i="1" s="1"/>
  <c r="Q179" i="18"/>
  <c r="BU191" i="1" s="1"/>
  <c r="H179" i="18"/>
  <c r="Q191" i="1" s="1"/>
  <c r="F61" i="1"/>
  <c r="E61" i="1"/>
  <c r="D61" i="1"/>
  <c r="C475" i="1"/>
  <c r="AX190" i="1"/>
  <c r="AT189" i="1"/>
  <c r="AT190" i="1" s="1"/>
  <c r="L668" i="2"/>
  <c r="P668" i="2"/>
  <c r="AF591" i="1" s="1"/>
  <c r="BR72" i="1"/>
  <c r="BC711" i="1"/>
  <c r="K423" i="18"/>
  <c r="BC324" i="1" s="1"/>
  <c r="C547" i="18"/>
  <c r="C669" i="18" s="1"/>
  <c r="AJ72" i="1"/>
  <c r="BC69" i="1"/>
  <c r="BA71" i="1"/>
  <c r="AX485" i="1"/>
  <c r="A60" i="18"/>
  <c r="B60" i="18"/>
  <c r="CE189" i="1"/>
  <c r="CE190" i="1" s="1"/>
  <c r="CB590" i="1"/>
  <c r="AW711" i="1"/>
  <c r="I423" i="18"/>
  <c r="AW324" i="1" s="1"/>
  <c r="C712" i="1"/>
  <c r="R302" i="2"/>
  <c r="G302" i="2"/>
  <c r="N302" i="2"/>
  <c r="N424" i="2" s="1"/>
  <c r="BN325" i="1" s="1"/>
  <c r="M302" i="2"/>
  <c r="I302" i="2"/>
  <c r="P302" i="2"/>
  <c r="J302" i="2"/>
  <c r="F302" i="2"/>
  <c r="E302" i="2"/>
  <c r="L302" i="2"/>
  <c r="H302" i="2"/>
  <c r="O302" i="2"/>
  <c r="K302" i="2"/>
  <c r="Q302" i="2"/>
  <c r="BU486" i="1"/>
  <c r="E668" i="2"/>
  <c r="AF72" i="1"/>
  <c r="G68" i="1"/>
  <c r="M180" i="18"/>
  <c r="BG192" i="1" s="1"/>
  <c r="F180" i="18"/>
  <c r="AA192" i="1" s="1"/>
  <c r="O180" i="18"/>
  <c r="BQ192" i="1" s="1"/>
  <c r="P180" i="18"/>
  <c r="AE192" i="1" s="1"/>
  <c r="L180" i="18"/>
  <c r="AI192" i="1" s="1"/>
  <c r="A179" i="13"/>
  <c r="C179" i="13" s="1"/>
  <c r="E180" i="18"/>
  <c r="K192" i="1" s="1"/>
  <c r="I180" i="18"/>
  <c r="AW192" i="1" s="1"/>
  <c r="J180" i="18"/>
  <c r="W192" i="1" s="1"/>
  <c r="Q180" i="18"/>
  <c r="BU192" i="1" s="1"/>
  <c r="H180" i="18"/>
  <c r="Q192" i="1" s="1"/>
  <c r="R180" i="18"/>
  <c r="CA192" i="1" s="1"/>
  <c r="G180" i="18"/>
  <c r="AO192" i="1" s="1"/>
  <c r="K180" i="18"/>
  <c r="BC192" i="1" s="1"/>
  <c r="AI486" i="1"/>
  <c r="I302" i="18"/>
  <c r="R302" i="18"/>
  <c r="E302" i="18"/>
  <c r="O302" i="18"/>
  <c r="F302" i="18"/>
  <c r="P302" i="18"/>
  <c r="G302" i="18"/>
  <c r="Q302" i="18"/>
  <c r="J302" i="18"/>
  <c r="M302" i="18"/>
  <c r="K302" i="18"/>
  <c r="H302" i="18"/>
  <c r="L302" i="18"/>
  <c r="BD72" i="1"/>
  <c r="G590" i="1"/>
  <c r="CA69" i="1"/>
  <c r="BH190" i="1"/>
  <c r="BD590" i="1"/>
  <c r="U71" i="1"/>
  <c r="R485" i="1"/>
  <c r="L183" i="12"/>
  <c r="N183" i="12"/>
  <c r="M183" i="12"/>
  <c r="G183" i="12"/>
  <c r="O183" i="12"/>
  <c r="H183" i="12"/>
  <c r="P183" i="12"/>
  <c r="F183" i="12"/>
  <c r="I183" i="12"/>
  <c r="Q183" i="12"/>
  <c r="J183" i="12"/>
  <c r="R183" i="12"/>
  <c r="K183" i="12"/>
  <c r="S183" i="12"/>
  <c r="E183" i="12"/>
  <c r="O423" i="18"/>
  <c r="BQ324" i="1" s="1"/>
  <c r="BQ711" i="1"/>
  <c r="BA189" i="1"/>
  <c r="AX590" i="1"/>
  <c r="J179" i="2"/>
  <c r="X191" i="1" s="1"/>
  <c r="F179" i="2"/>
  <c r="AB191" i="1" s="1"/>
  <c r="AB193" i="1" s="1"/>
  <c r="G179" i="2"/>
  <c r="AP191" i="1" s="1"/>
  <c r="R179" i="2"/>
  <c r="CB191" i="1" s="1"/>
  <c r="CB193" i="1" s="1"/>
  <c r="L179" i="2"/>
  <c r="AJ191" i="1" s="1"/>
  <c r="O179" i="2"/>
  <c r="BR191" i="1" s="1"/>
  <c r="H179" i="2"/>
  <c r="R191" i="1" s="1"/>
  <c r="R193" i="1" s="1"/>
  <c r="M179" i="2"/>
  <c r="BJ191" i="1" s="1"/>
  <c r="BJ193" i="1" s="1"/>
  <c r="Q179" i="2"/>
  <c r="BV191" i="1" s="1"/>
  <c r="K179" i="2"/>
  <c r="BD191" i="1" s="1"/>
  <c r="BD193" i="1" s="1"/>
  <c r="P179" i="2"/>
  <c r="AF191" i="1" s="1"/>
  <c r="E179" i="2"/>
  <c r="L191" i="1" s="1"/>
  <c r="I179" i="2"/>
  <c r="AX191" i="1" s="1"/>
  <c r="N179" i="2"/>
  <c r="BN191" i="1" s="1"/>
  <c r="W486" i="1"/>
  <c r="C713" i="1"/>
  <c r="H303" i="2"/>
  <c r="L303" i="2"/>
  <c r="O303" i="2"/>
  <c r="N303" i="2"/>
  <c r="N425" i="2" s="1"/>
  <c r="BN326" i="1" s="1"/>
  <c r="I303" i="2"/>
  <c r="R303" i="2"/>
  <c r="G303" i="2"/>
  <c r="P303" i="2"/>
  <c r="J303" i="2"/>
  <c r="F303" i="2"/>
  <c r="E303" i="2"/>
  <c r="Q303" i="2"/>
  <c r="M303" i="2"/>
  <c r="K303" i="2"/>
  <c r="A548" i="2"/>
  <c r="C548" i="2" s="1"/>
  <c r="C670" i="2" s="1"/>
  <c r="B548" i="2"/>
  <c r="J668" i="2"/>
  <c r="X591" i="1" s="1"/>
  <c r="W69" i="1"/>
  <c r="C304" i="2"/>
  <c r="C181" i="2"/>
  <c r="C426" i="2"/>
  <c r="C62" i="1"/>
  <c r="C194" i="1"/>
  <c r="C605" i="1" s="1"/>
  <c r="C327" i="1"/>
  <c r="D327" i="1" s="1"/>
  <c r="G189" i="1"/>
  <c r="H70" i="2"/>
  <c r="P70" i="2"/>
  <c r="Q70" i="2"/>
  <c r="I70" i="2"/>
  <c r="R70" i="2"/>
  <c r="K70" i="2"/>
  <c r="L70" i="2"/>
  <c r="M70" i="2"/>
  <c r="D71" i="2"/>
  <c r="N70" i="2"/>
  <c r="E70" i="2"/>
  <c r="O70" i="2"/>
  <c r="AM71" i="1"/>
  <c r="AJ486" i="1"/>
  <c r="O188" i="1"/>
  <c r="I187" i="1"/>
  <c r="I188" i="1" s="1"/>
  <c r="K303" i="18"/>
  <c r="I303" i="18"/>
  <c r="J303" i="18"/>
  <c r="L303" i="18"/>
  <c r="E303" i="18"/>
  <c r="O303" i="18"/>
  <c r="R303" i="18"/>
  <c r="F303" i="18"/>
  <c r="G303" i="18"/>
  <c r="H303" i="18"/>
  <c r="P303" i="18"/>
  <c r="M303" i="18"/>
  <c r="Q303" i="18"/>
  <c r="H324" i="1"/>
  <c r="A548" i="18"/>
  <c r="C548" i="18" s="1"/>
  <c r="C670" i="18" s="1"/>
  <c r="B548" i="18"/>
  <c r="AM189" i="1"/>
  <c r="AM190" i="1" s="1"/>
  <c r="AJ590" i="1"/>
  <c r="BV72" i="1"/>
  <c r="J67" i="18"/>
  <c r="R67" i="18"/>
  <c r="K67" i="18"/>
  <c r="E67" i="18"/>
  <c r="D68" i="18"/>
  <c r="G67" i="18"/>
  <c r="Q67" i="18"/>
  <c r="H67" i="18"/>
  <c r="I67" i="18"/>
  <c r="H484" i="1"/>
  <c r="O71" i="1"/>
  <c r="L485" i="1"/>
  <c r="K711" i="1"/>
  <c r="E423" i="18"/>
  <c r="K324" i="1" s="1"/>
  <c r="AV187" i="1"/>
  <c r="AV188" i="1" s="1"/>
  <c r="BA188" i="1"/>
  <c r="L190" i="1"/>
  <c r="H189" i="1"/>
  <c r="H190" i="1" s="1"/>
  <c r="J180" i="2"/>
  <c r="X192" i="1" s="1"/>
  <c r="F180" i="2"/>
  <c r="AB192" i="1" s="1"/>
  <c r="G180" i="2"/>
  <c r="AP192" i="1" s="1"/>
  <c r="M180" i="2"/>
  <c r="BJ192" i="1" s="1"/>
  <c r="E180" i="2"/>
  <c r="L192" i="1" s="1"/>
  <c r="I180" i="2"/>
  <c r="AX192" i="1" s="1"/>
  <c r="Q180" i="2"/>
  <c r="BV192" i="1" s="1"/>
  <c r="K180" i="2"/>
  <c r="BD192" i="1" s="1"/>
  <c r="R180" i="2"/>
  <c r="CB192" i="1" s="1"/>
  <c r="P180" i="2"/>
  <c r="AF192" i="1" s="1"/>
  <c r="O180" i="2"/>
  <c r="BR192" i="1" s="1"/>
  <c r="H180" i="2"/>
  <c r="R192" i="1" s="1"/>
  <c r="N180" i="2"/>
  <c r="BN192" i="1" s="1"/>
  <c r="L180" i="2"/>
  <c r="AJ192" i="1" s="1"/>
  <c r="N669" i="2"/>
  <c r="O669" i="2"/>
  <c r="BR592" i="1" s="1"/>
  <c r="P669" i="2"/>
  <c r="AF592" i="1" s="1"/>
  <c r="F669" i="2"/>
  <c r="AB592" i="1" s="1"/>
  <c r="G669" i="2"/>
  <c r="AP592" i="1" s="1"/>
  <c r="J669" i="2"/>
  <c r="X592" i="1" s="1"/>
  <c r="M669" i="2"/>
  <c r="BJ592" i="1" s="1"/>
  <c r="I669" i="2"/>
  <c r="H669" i="2"/>
  <c r="R669" i="2"/>
  <c r="K669" i="2"/>
  <c r="BD592" i="1" s="1"/>
  <c r="L669" i="2"/>
  <c r="E669" i="2"/>
  <c r="Q669" i="2"/>
  <c r="BA191" i="1"/>
  <c r="AX591" i="1"/>
  <c r="CA70" i="1" l="1"/>
  <c r="BR713" i="1"/>
  <c r="O425" i="2"/>
  <c r="BR326" i="1" s="1"/>
  <c r="O72" i="1"/>
  <c r="I72" i="1" s="1"/>
  <c r="L486" i="1"/>
  <c r="H486" i="1" s="1"/>
  <c r="BA192" i="1"/>
  <c r="AX592" i="1"/>
  <c r="AT192" i="1"/>
  <c r="AW70" i="1"/>
  <c r="W70" i="1"/>
  <c r="O425" i="18"/>
  <c r="BQ326" i="1" s="1"/>
  <c r="BQ713" i="1"/>
  <c r="AJ73" i="1"/>
  <c r="F425" i="2"/>
  <c r="AB326" i="1" s="1"/>
  <c r="AB713" i="1"/>
  <c r="AJ713" i="1"/>
  <c r="L425" i="2"/>
  <c r="AJ326" i="1" s="1"/>
  <c r="AF193" i="1"/>
  <c r="AO712" i="1"/>
  <c r="G424" i="18"/>
  <c r="AO325" i="1" s="1"/>
  <c r="G192" i="1"/>
  <c r="BR712" i="1"/>
  <c r="O424" i="2"/>
  <c r="BR325" i="1" s="1"/>
  <c r="BJ712" i="1"/>
  <c r="M424" i="2"/>
  <c r="BJ325" i="1" s="1"/>
  <c r="L184" i="12"/>
  <c r="E184" i="12"/>
  <c r="F184" i="12"/>
  <c r="G184" i="12"/>
  <c r="O184" i="12"/>
  <c r="H184" i="12"/>
  <c r="P184" i="12"/>
  <c r="I184" i="12"/>
  <c r="Q184" i="12"/>
  <c r="J184" i="12"/>
  <c r="R184" i="12"/>
  <c r="N184" i="12"/>
  <c r="K184" i="12"/>
  <c r="S184" i="12"/>
  <c r="M184" i="12"/>
  <c r="W487" i="1"/>
  <c r="CE72" i="1"/>
  <c r="CB486" i="1"/>
  <c r="K670" i="18"/>
  <c r="BC593" i="1" s="1"/>
  <c r="F670" i="18"/>
  <c r="AA593" i="1" s="1"/>
  <c r="O670" i="18"/>
  <c r="BQ593" i="1" s="1"/>
  <c r="G670" i="18"/>
  <c r="AO593" i="1" s="1"/>
  <c r="P670" i="18"/>
  <c r="AE593" i="1" s="1"/>
  <c r="I670" i="18"/>
  <c r="AW593" i="1" s="1"/>
  <c r="M670" i="18"/>
  <c r="BG593" i="1" s="1"/>
  <c r="Q670" i="18"/>
  <c r="BU593" i="1" s="1"/>
  <c r="R670" i="18"/>
  <c r="CA593" i="1" s="1"/>
  <c r="H670" i="18"/>
  <c r="Q593" i="1" s="1"/>
  <c r="E670" i="18"/>
  <c r="K593" i="1" s="1"/>
  <c r="L670" i="18"/>
  <c r="AI593" i="1" s="1"/>
  <c r="J670" i="18"/>
  <c r="W593" i="1" s="1"/>
  <c r="H191" i="1"/>
  <c r="H193" i="1" s="1"/>
  <c r="L193" i="1"/>
  <c r="BU712" i="1"/>
  <c r="Q424" i="18"/>
  <c r="BU325" i="1" s="1"/>
  <c r="D474" i="1"/>
  <c r="E474" i="1"/>
  <c r="H192" i="1"/>
  <c r="BU713" i="1"/>
  <c r="Q425" i="18"/>
  <c r="BU326" i="1" s="1"/>
  <c r="J425" i="2"/>
  <c r="X326" i="1" s="1"/>
  <c r="X713" i="1"/>
  <c r="P424" i="18"/>
  <c r="AE325" i="1" s="1"/>
  <c r="AE712" i="1"/>
  <c r="R712" i="1"/>
  <c r="H424" i="2"/>
  <c r="R325" i="1" s="1"/>
  <c r="A61" i="18"/>
  <c r="C61" i="18" s="1"/>
  <c r="B61" i="18"/>
  <c r="BU487" i="1"/>
  <c r="G591" i="1"/>
  <c r="BA72" i="1"/>
  <c r="AX486" i="1"/>
  <c r="BY192" i="1"/>
  <c r="BV592" i="1"/>
  <c r="G324" i="1"/>
  <c r="CG324" i="1" s="1"/>
  <c r="BU70" i="1"/>
  <c r="M425" i="18"/>
  <c r="BG326" i="1" s="1"/>
  <c r="BG713" i="1"/>
  <c r="L425" i="18"/>
  <c r="AI326" i="1" s="1"/>
  <c r="AI713" i="1"/>
  <c r="CB73" i="1"/>
  <c r="E62" i="1"/>
  <c r="D62" i="1"/>
  <c r="F62" i="1"/>
  <c r="C476" i="1"/>
  <c r="A549" i="2"/>
  <c r="C549" i="2" s="1"/>
  <c r="C671" i="2" s="1"/>
  <c r="B549" i="2"/>
  <c r="AF713" i="1"/>
  <c r="P425" i="2"/>
  <c r="AF326" i="1" s="1"/>
  <c r="BV193" i="1"/>
  <c r="L424" i="18"/>
  <c r="AI325" i="1" s="1"/>
  <c r="AI712" i="1"/>
  <c r="F424" i="18"/>
  <c r="AA325" i="1" s="1"/>
  <c r="AA712" i="1"/>
  <c r="AJ712" i="1"/>
  <c r="L424" i="2"/>
  <c r="AJ325" i="1" s="1"/>
  <c r="G424" i="2"/>
  <c r="AP325" i="1" s="1"/>
  <c r="AP712" i="1"/>
  <c r="C60" i="18"/>
  <c r="Q487" i="1"/>
  <c r="BY191" i="1"/>
  <c r="BY193" i="1" s="1"/>
  <c r="BV591" i="1"/>
  <c r="BH193" i="1"/>
  <c r="G486" i="1"/>
  <c r="BY72" i="1"/>
  <c r="BV486" i="1"/>
  <c r="BJ73" i="1"/>
  <c r="L713" i="1"/>
  <c r="E425" i="2"/>
  <c r="L326" i="1" s="1"/>
  <c r="AI487" i="1"/>
  <c r="Q70" i="1"/>
  <c r="AO70" i="1"/>
  <c r="P425" i="18"/>
  <c r="AE326" i="1" s="1"/>
  <c r="AE713" i="1"/>
  <c r="W713" i="1"/>
  <c r="J425" i="18"/>
  <c r="W326" i="1" s="1"/>
  <c r="BR73" i="1"/>
  <c r="AX73" i="1"/>
  <c r="F670" i="2"/>
  <c r="AB593" i="1" s="1"/>
  <c r="O670" i="2"/>
  <c r="BR593" i="1" s="1"/>
  <c r="M670" i="2"/>
  <c r="BJ593" i="1" s="1"/>
  <c r="N670" i="2"/>
  <c r="P670" i="2"/>
  <c r="AF593" i="1" s="1"/>
  <c r="J670" i="2"/>
  <c r="X593" i="1" s="1"/>
  <c r="G670" i="2"/>
  <c r="AP593" i="1" s="1"/>
  <c r="Q670" i="2"/>
  <c r="L670" i="2"/>
  <c r="R670" i="2"/>
  <c r="H670" i="2"/>
  <c r="I670" i="2"/>
  <c r="K670" i="2"/>
  <c r="E670" i="2"/>
  <c r="G425" i="2"/>
  <c r="AP326" i="1" s="1"/>
  <c r="AP713" i="1"/>
  <c r="Q712" i="1"/>
  <c r="H424" i="18"/>
  <c r="Q325" i="1" s="1"/>
  <c r="O424" i="18"/>
  <c r="BQ325" i="1" s="1"/>
  <c r="BQ712" i="1"/>
  <c r="O191" i="1"/>
  <c r="L591" i="1"/>
  <c r="H591" i="1" s="1"/>
  <c r="L712" i="1"/>
  <c r="E424" i="2"/>
  <c r="L325" i="1" s="1"/>
  <c r="CB712" i="1"/>
  <c r="R424" i="2"/>
  <c r="CB325" i="1" s="1"/>
  <c r="AM191" i="1"/>
  <c r="AM193" i="1" s="1"/>
  <c r="AJ591" i="1"/>
  <c r="M181" i="18"/>
  <c r="BG194" i="1" s="1"/>
  <c r="P181" i="18"/>
  <c r="AE194" i="1" s="1"/>
  <c r="L181" i="18"/>
  <c r="AI194" i="1" s="1"/>
  <c r="O181" i="18"/>
  <c r="BQ194" i="1" s="1"/>
  <c r="F181" i="18"/>
  <c r="AA194" i="1" s="1"/>
  <c r="A180" i="13"/>
  <c r="C180" i="13" s="1"/>
  <c r="H181" i="18"/>
  <c r="Q194" i="1" s="1"/>
  <c r="Q181" i="18"/>
  <c r="BU194" i="1" s="1"/>
  <c r="I181" i="18"/>
  <c r="AW194" i="1" s="1"/>
  <c r="E181" i="18"/>
  <c r="K194" i="1" s="1"/>
  <c r="J181" i="18"/>
  <c r="W194" i="1" s="1"/>
  <c r="R181" i="18"/>
  <c r="CA194" i="1" s="1"/>
  <c r="G181" i="18"/>
  <c r="AO194" i="1" s="1"/>
  <c r="K181" i="18"/>
  <c r="BC194" i="1" s="1"/>
  <c r="CE193" i="1"/>
  <c r="CA487" i="1"/>
  <c r="H590" i="1"/>
  <c r="U72" i="1"/>
  <c r="R486" i="1"/>
  <c r="O192" i="1"/>
  <c r="L592" i="1"/>
  <c r="AM192" i="1"/>
  <c r="AJ592" i="1"/>
  <c r="H485" i="1"/>
  <c r="H68" i="18"/>
  <c r="I68" i="18"/>
  <c r="Q68" i="18"/>
  <c r="K68" i="18"/>
  <c r="E68" i="18"/>
  <c r="R68" i="18"/>
  <c r="G68" i="18"/>
  <c r="J68" i="18"/>
  <c r="D69" i="18"/>
  <c r="Q713" i="1"/>
  <c r="H425" i="18"/>
  <c r="Q326" i="1" s="1"/>
  <c r="AW713" i="1"/>
  <c r="I425" i="18"/>
  <c r="AW326" i="1" s="1"/>
  <c r="L73" i="1"/>
  <c r="H73" i="1" s="1"/>
  <c r="BV73" i="1"/>
  <c r="J181" i="2"/>
  <c r="X194" i="1" s="1"/>
  <c r="F181" i="2"/>
  <c r="AB194" i="1" s="1"/>
  <c r="AB195" i="1" s="1"/>
  <c r="G181" i="2"/>
  <c r="AP194" i="1" s="1"/>
  <c r="Q181" i="2"/>
  <c r="BV194" i="1" s="1"/>
  <c r="BV195" i="1" s="1"/>
  <c r="L181" i="2"/>
  <c r="AJ194" i="1" s="1"/>
  <c r="AJ195" i="1" s="1"/>
  <c r="I181" i="2"/>
  <c r="AX194" i="1" s="1"/>
  <c r="O181" i="2"/>
  <c r="BR194" i="1" s="1"/>
  <c r="BR195" i="1" s="1"/>
  <c r="E181" i="2"/>
  <c r="L194" i="1" s="1"/>
  <c r="N181" i="2"/>
  <c r="BN194" i="1" s="1"/>
  <c r="BN195" i="1" s="1"/>
  <c r="K181" i="2"/>
  <c r="BD194" i="1" s="1"/>
  <c r="BD195" i="1" s="1"/>
  <c r="H181" i="2"/>
  <c r="R194" i="1" s="1"/>
  <c r="R195" i="1" s="1"/>
  <c r="P181" i="2"/>
  <c r="AF194" i="1" s="1"/>
  <c r="AF195" i="1" s="1"/>
  <c r="M181" i="2"/>
  <c r="BJ194" i="1" s="1"/>
  <c r="BJ195" i="1" s="1"/>
  <c r="R181" i="2"/>
  <c r="CB194" i="1" s="1"/>
  <c r="CB195" i="1" s="1"/>
  <c r="BD713" i="1"/>
  <c r="K425" i="2"/>
  <c r="BD326" i="1" s="1"/>
  <c r="CB713" i="1"/>
  <c r="R425" i="2"/>
  <c r="CB326" i="1" s="1"/>
  <c r="AV189" i="1"/>
  <c r="AV190" i="1" s="1"/>
  <c r="BA190" i="1"/>
  <c r="BC712" i="1"/>
  <c r="K424" i="18"/>
  <c r="BC325" i="1" s="1"/>
  <c r="K712" i="1"/>
  <c r="E424" i="18"/>
  <c r="K325" i="1" s="1"/>
  <c r="F424" i="2"/>
  <c r="AB325" i="1" s="1"/>
  <c r="AB712" i="1"/>
  <c r="K669" i="18"/>
  <c r="BC592" i="1" s="1"/>
  <c r="M669" i="18"/>
  <c r="BG592" i="1" s="1"/>
  <c r="F669" i="18"/>
  <c r="AA592" i="1" s="1"/>
  <c r="G669" i="18"/>
  <c r="AO592" i="1" s="1"/>
  <c r="O669" i="18"/>
  <c r="BQ592" i="1" s="1"/>
  <c r="P669" i="18"/>
  <c r="AE592" i="1" s="1"/>
  <c r="I669" i="18"/>
  <c r="AW592" i="1" s="1"/>
  <c r="L669" i="18"/>
  <c r="AI592" i="1" s="1"/>
  <c r="Q669" i="18"/>
  <c r="BU592" i="1" s="1"/>
  <c r="E669" i="18"/>
  <c r="K592" i="1" s="1"/>
  <c r="J669" i="18"/>
  <c r="W592" i="1" s="1"/>
  <c r="H669" i="18"/>
  <c r="Q592" i="1" s="1"/>
  <c r="R669" i="18"/>
  <c r="CA592" i="1" s="1"/>
  <c r="E304" i="18"/>
  <c r="M304" i="18"/>
  <c r="O304" i="18"/>
  <c r="F304" i="18"/>
  <c r="P304" i="18"/>
  <c r="G304" i="18"/>
  <c r="Q304" i="18"/>
  <c r="I304" i="18"/>
  <c r="H304" i="18"/>
  <c r="J304" i="18"/>
  <c r="K304" i="18"/>
  <c r="L304" i="18"/>
  <c r="R304" i="18"/>
  <c r="B61" i="2"/>
  <c r="A61" i="2"/>
  <c r="C61" i="2" s="1"/>
  <c r="O190" i="1"/>
  <c r="I189" i="1"/>
  <c r="I190" i="1" s="1"/>
  <c r="BH72" i="1"/>
  <c r="BD486" i="1"/>
  <c r="U192" i="1"/>
  <c r="U193" i="1" s="1"/>
  <c r="R592" i="1"/>
  <c r="AX712" i="1"/>
  <c r="I424" i="2"/>
  <c r="AX325" i="1" s="1"/>
  <c r="H72" i="1"/>
  <c r="BD73" i="1"/>
  <c r="I71" i="1"/>
  <c r="K70" i="1"/>
  <c r="AO713" i="1"/>
  <c r="G425" i="18"/>
  <c r="AO326" i="1" s="1"/>
  <c r="BC713" i="1"/>
  <c r="K425" i="18"/>
  <c r="BC326" i="1" s="1"/>
  <c r="BN73" i="1"/>
  <c r="AF73" i="1"/>
  <c r="C714" i="1"/>
  <c r="L304" i="2"/>
  <c r="R304" i="2"/>
  <c r="G304" i="2"/>
  <c r="N304" i="2"/>
  <c r="N426" i="2" s="1"/>
  <c r="BN327" i="1" s="1"/>
  <c r="M304" i="2"/>
  <c r="I304" i="2"/>
  <c r="K304" i="2"/>
  <c r="P304" i="2"/>
  <c r="J304" i="2"/>
  <c r="H304" i="2"/>
  <c r="O304" i="2"/>
  <c r="Q304" i="2"/>
  <c r="F304" i="2"/>
  <c r="E304" i="2"/>
  <c r="BJ713" i="1"/>
  <c r="M425" i="2"/>
  <c r="BJ326" i="1" s="1"/>
  <c r="AX713" i="1"/>
  <c r="I425" i="2"/>
  <c r="AX326" i="1" s="1"/>
  <c r="BN193" i="1"/>
  <c r="BR193" i="1"/>
  <c r="M424" i="18"/>
  <c r="BG325" i="1" s="1"/>
  <c r="BG712" i="1"/>
  <c r="CA712" i="1"/>
  <c r="R424" i="18"/>
  <c r="CA325" i="1" s="1"/>
  <c r="J424" i="2"/>
  <c r="X325" i="1" s="1"/>
  <c r="X712" i="1"/>
  <c r="C182" i="2"/>
  <c r="C305" i="2"/>
  <c r="C427" i="2"/>
  <c r="C63" i="1"/>
  <c r="C196" i="1"/>
  <c r="C606" i="1" s="1"/>
  <c r="C328" i="1"/>
  <c r="D328" i="1" s="1"/>
  <c r="K487" i="1"/>
  <c r="G487" i="1" s="1"/>
  <c r="AM72" i="1"/>
  <c r="AJ487" i="1"/>
  <c r="CA713" i="1"/>
  <c r="R425" i="18"/>
  <c r="CA326" i="1" s="1"/>
  <c r="BD712" i="1"/>
  <c r="K424" i="2"/>
  <c r="BD325" i="1" s="1"/>
  <c r="BA193" i="1"/>
  <c r="AV191" i="1"/>
  <c r="K713" i="1"/>
  <c r="E425" i="18"/>
  <c r="K326" i="1" s="1"/>
  <c r="R713" i="1"/>
  <c r="H425" i="2"/>
  <c r="R326" i="1" s="1"/>
  <c r="CE192" i="1"/>
  <c r="CB592" i="1"/>
  <c r="BC70" i="1"/>
  <c r="B549" i="18"/>
  <c r="A549" i="18"/>
  <c r="C549" i="18" s="1"/>
  <c r="C671" i="18" s="1"/>
  <c r="F425" i="18"/>
  <c r="AA326" i="1" s="1"/>
  <c r="AA713" i="1"/>
  <c r="N71" i="2"/>
  <c r="D72" i="2"/>
  <c r="P71" i="2"/>
  <c r="H71" i="2"/>
  <c r="Q71" i="2"/>
  <c r="I71" i="2"/>
  <c r="R71" i="2"/>
  <c r="K71" i="2"/>
  <c r="L71" i="2"/>
  <c r="M71" i="2"/>
  <c r="O71" i="2"/>
  <c r="E71" i="2"/>
  <c r="R73" i="1"/>
  <c r="BV713" i="1"/>
  <c r="Q425" i="2"/>
  <c r="BV326" i="1" s="1"/>
  <c r="AT191" i="1"/>
  <c r="AT193" i="1" s="1"/>
  <c r="AX193" i="1"/>
  <c r="AJ193" i="1"/>
  <c r="W712" i="1"/>
  <c r="J424" i="18"/>
  <c r="W325" i="1" s="1"/>
  <c r="AW712" i="1"/>
  <c r="I424" i="18"/>
  <c r="AW325" i="1" s="1"/>
  <c r="BV712" i="1"/>
  <c r="Q424" i="2"/>
  <c r="BV325" i="1" s="1"/>
  <c r="AF712" i="1"/>
  <c r="P424" i="2"/>
  <c r="AF325" i="1" s="1"/>
  <c r="D475" i="1"/>
  <c r="E475" i="1"/>
  <c r="H559" i="18"/>
  <c r="Q559" i="18"/>
  <c r="J559" i="18"/>
  <c r="L559" i="18"/>
  <c r="D560" i="18"/>
  <c r="R559" i="18"/>
  <c r="E559" i="18"/>
  <c r="I559" i="2"/>
  <c r="Q559" i="2"/>
  <c r="H559" i="2"/>
  <c r="R559" i="2"/>
  <c r="E559" i="2"/>
  <c r="K559" i="2"/>
  <c r="D560" i="2"/>
  <c r="L559" i="2"/>
  <c r="G426" i="2" l="1"/>
  <c r="AP327" i="1" s="1"/>
  <c r="AP714" i="1"/>
  <c r="AX195" i="1"/>
  <c r="AT194" i="1"/>
  <c r="AT195" i="1" s="1"/>
  <c r="AI488" i="1"/>
  <c r="AF74" i="1"/>
  <c r="G69" i="18"/>
  <c r="I69" i="18"/>
  <c r="Q69" i="18"/>
  <c r="J69" i="18"/>
  <c r="R69" i="18"/>
  <c r="H69" i="18"/>
  <c r="K69" i="18"/>
  <c r="D70" i="18"/>
  <c r="E69" i="18"/>
  <c r="BJ74" i="1"/>
  <c r="R714" i="1"/>
  <c r="H426" i="2"/>
  <c r="R327" i="1" s="1"/>
  <c r="A62" i="2"/>
  <c r="C62" i="2" s="1"/>
  <c r="B62" i="2"/>
  <c r="O194" i="1"/>
  <c r="L593" i="1"/>
  <c r="CE73" i="1"/>
  <c r="CB487" i="1"/>
  <c r="BN74" i="1"/>
  <c r="J426" i="2"/>
  <c r="X327" i="1" s="1"/>
  <c r="X714" i="1"/>
  <c r="AJ714" i="1"/>
  <c r="L426" i="2"/>
  <c r="AJ327" i="1" s="1"/>
  <c r="CA714" i="1"/>
  <c r="R426" i="18"/>
  <c r="CA327" i="1" s="1"/>
  <c r="P426" i="18"/>
  <c r="AE327" i="1" s="1"/>
  <c r="AE714" i="1"/>
  <c r="G592" i="1"/>
  <c r="AO71" i="1"/>
  <c r="I191" i="1"/>
  <c r="I193" i="1" s="1"/>
  <c r="O193" i="1"/>
  <c r="BH195" i="1"/>
  <c r="BD593" i="1"/>
  <c r="U73" i="1"/>
  <c r="R487" i="1"/>
  <c r="BU488" i="1"/>
  <c r="BD74" i="1"/>
  <c r="AF714" i="1"/>
  <c r="P426" i="2"/>
  <c r="AF327" i="1" s="1"/>
  <c r="L426" i="18"/>
  <c r="AI327" i="1" s="1"/>
  <c r="AI714" i="1"/>
  <c r="F426" i="18"/>
  <c r="AA327" i="1" s="1"/>
  <c r="AA714" i="1"/>
  <c r="CA71" i="1"/>
  <c r="BA194" i="1"/>
  <c r="AX593" i="1"/>
  <c r="B550" i="2"/>
  <c r="A550" i="2"/>
  <c r="C550" i="2" s="1"/>
  <c r="C672" i="2" s="1"/>
  <c r="BH73" i="1"/>
  <c r="BD487" i="1"/>
  <c r="AO714" i="1"/>
  <c r="G426" i="18"/>
  <c r="AO327" i="1" s="1"/>
  <c r="G194" i="1"/>
  <c r="AJ74" i="1"/>
  <c r="BY73" i="1"/>
  <c r="BV487" i="1"/>
  <c r="Q488" i="1"/>
  <c r="CB74" i="1"/>
  <c r="BD714" i="1"/>
  <c r="K426" i="2"/>
  <c r="BD327" i="1" s="1"/>
  <c r="BC714" i="1"/>
  <c r="K426" i="18"/>
  <c r="BC327" i="1" s="1"/>
  <c r="O426" i="18"/>
  <c r="BQ327" i="1" s="1"/>
  <c r="BQ714" i="1"/>
  <c r="K71" i="1"/>
  <c r="G71" i="1" s="1"/>
  <c r="H592" i="1"/>
  <c r="U194" i="1"/>
  <c r="U195" i="1" s="1"/>
  <c r="R593" i="1"/>
  <c r="N671" i="2"/>
  <c r="O671" i="2"/>
  <c r="BR594" i="1" s="1"/>
  <c r="F671" i="2"/>
  <c r="AB594" i="1" s="1"/>
  <c r="H671" i="2"/>
  <c r="L671" i="2"/>
  <c r="R671" i="2"/>
  <c r="B62" i="18"/>
  <c r="A62" i="18"/>
  <c r="C62" i="18" s="1"/>
  <c r="BR714" i="1"/>
  <c r="O426" i="2"/>
  <c r="BR327" i="1" s="1"/>
  <c r="CB714" i="1"/>
  <c r="R426" i="2"/>
  <c r="CB327" i="1" s="1"/>
  <c r="H326" i="1"/>
  <c r="W488" i="1"/>
  <c r="AX74" i="1"/>
  <c r="M671" i="18"/>
  <c r="BG594" i="1" s="1"/>
  <c r="G671" i="18"/>
  <c r="AO594" i="1" s="1"/>
  <c r="I671" i="18"/>
  <c r="AW594" i="1" s="1"/>
  <c r="L671" i="18"/>
  <c r="AI594" i="1" s="1"/>
  <c r="R671" i="18"/>
  <c r="CA594" i="1" s="1"/>
  <c r="H671" i="18"/>
  <c r="Q594" i="1" s="1"/>
  <c r="D63" i="1"/>
  <c r="C477" i="1"/>
  <c r="L714" i="1"/>
  <c r="E426" i="2"/>
  <c r="L327" i="1" s="1"/>
  <c r="AX714" i="1"/>
  <c r="I426" i="2"/>
  <c r="AX327" i="1" s="1"/>
  <c r="W714" i="1"/>
  <c r="J426" i="18"/>
  <c r="W327" i="1" s="1"/>
  <c r="M426" i="18"/>
  <c r="BG327" i="1" s="1"/>
  <c r="BG714" i="1"/>
  <c r="BC71" i="1"/>
  <c r="I192" i="1"/>
  <c r="CE194" i="1"/>
  <c r="CE195" i="1" s="1"/>
  <c r="CB593" i="1"/>
  <c r="D476" i="1"/>
  <c r="E476" i="1"/>
  <c r="A60" i="10"/>
  <c r="C183" i="18"/>
  <c r="C306" i="18"/>
  <c r="C428" i="18"/>
  <c r="A60" i="13"/>
  <c r="C60" i="13" s="1"/>
  <c r="C186" i="12"/>
  <c r="R560" i="18"/>
  <c r="J560" i="18"/>
  <c r="L560" i="18"/>
  <c r="E560" i="18"/>
  <c r="D561" i="18"/>
  <c r="H560" i="18"/>
  <c r="Q560" i="18"/>
  <c r="BU714" i="1"/>
  <c r="Q426" i="18"/>
  <c r="BU327" i="1" s="1"/>
  <c r="Q71" i="1"/>
  <c r="BA73" i="1"/>
  <c r="AX487" i="1"/>
  <c r="AM73" i="1"/>
  <c r="AJ488" i="1"/>
  <c r="K488" i="1"/>
  <c r="BV74" i="1"/>
  <c r="A550" i="18"/>
  <c r="B550" i="18"/>
  <c r="G326" i="1"/>
  <c r="F426" i="2"/>
  <c r="AB327" i="1" s="1"/>
  <c r="AB714" i="1"/>
  <c r="BJ714" i="1"/>
  <c r="M426" i="2"/>
  <c r="BJ327" i="1" s="1"/>
  <c r="G70" i="1"/>
  <c r="Q714" i="1"/>
  <c r="H426" i="18"/>
  <c r="Q327" i="1" s="1"/>
  <c r="K714" i="1"/>
  <c r="E426" i="18"/>
  <c r="K327" i="1" s="1"/>
  <c r="G327" i="1" s="1"/>
  <c r="G325" i="1"/>
  <c r="L195" i="1"/>
  <c r="BU71" i="1"/>
  <c r="AM194" i="1"/>
  <c r="AM195" i="1" s="1"/>
  <c r="AJ593" i="1"/>
  <c r="BR74" i="1"/>
  <c r="F182" i="2"/>
  <c r="AB196" i="1" s="1"/>
  <c r="M182" i="2"/>
  <c r="BJ196" i="1" s="1"/>
  <c r="E182" i="2"/>
  <c r="L196" i="1" s="1"/>
  <c r="H182" i="2"/>
  <c r="R196" i="1" s="1"/>
  <c r="O182" i="2"/>
  <c r="BR196" i="1" s="1"/>
  <c r="K182" i="2"/>
  <c r="BD196" i="1" s="1"/>
  <c r="C183" i="2"/>
  <c r="C306" i="2"/>
  <c r="C428" i="2"/>
  <c r="C64" i="1"/>
  <c r="C197" i="1"/>
  <c r="C607" i="1" s="1"/>
  <c r="C329" i="1"/>
  <c r="D329" i="1" s="1"/>
  <c r="O73" i="1"/>
  <c r="L487" i="1"/>
  <c r="H487" i="1" s="1"/>
  <c r="L72" i="2"/>
  <c r="P72" i="2"/>
  <c r="H72" i="2"/>
  <c r="Q72" i="2"/>
  <c r="I72" i="2"/>
  <c r="R72" i="2"/>
  <c r="K72" i="2"/>
  <c r="M72" i="2"/>
  <c r="D73" i="2"/>
  <c r="E72" i="2"/>
  <c r="N72" i="2"/>
  <c r="O72" i="2"/>
  <c r="W71" i="1"/>
  <c r="H560" i="2"/>
  <c r="I560" i="2"/>
  <c r="Q560" i="2"/>
  <c r="E560" i="2"/>
  <c r="D561" i="2"/>
  <c r="R560" i="2"/>
  <c r="K560" i="2"/>
  <c r="L560" i="2"/>
  <c r="CA488" i="1"/>
  <c r="L74" i="1"/>
  <c r="R74" i="1"/>
  <c r="C715" i="1"/>
  <c r="H305" i="2"/>
  <c r="O305" i="2"/>
  <c r="K305" i="2"/>
  <c r="Q305" i="2"/>
  <c r="R305" i="2"/>
  <c r="M305" i="2"/>
  <c r="I305" i="2"/>
  <c r="L305" i="2"/>
  <c r="P305" i="2"/>
  <c r="J305" i="2"/>
  <c r="G305" i="2"/>
  <c r="N305" i="2"/>
  <c r="N427" i="2" s="1"/>
  <c r="BN328" i="1" s="1"/>
  <c r="F305" i="2"/>
  <c r="E305" i="2"/>
  <c r="BV714" i="1"/>
  <c r="Q426" i="2"/>
  <c r="BV327" i="1" s="1"/>
  <c r="AW714" i="1"/>
  <c r="I426" i="18"/>
  <c r="AW327" i="1" s="1"/>
  <c r="AW71" i="1"/>
  <c r="H325" i="1"/>
  <c r="BY194" i="1"/>
  <c r="BY195" i="1" s="1"/>
  <c r="BV593" i="1"/>
  <c r="A59" i="10"/>
  <c r="G671" i="2" s="1"/>
  <c r="AP594" i="1" s="1"/>
  <c r="C305" i="18"/>
  <c r="C182" i="18"/>
  <c r="C427" i="18"/>
  <c r="A59" i="13"/>
  <c r="C59" i="13" s="1"/>
  <c r="C185" i="12"/>
  <c r="G593" i="1"/>
  <c r="AV192" i="1"/>
  <c r="AV193" i="1" s="1"/>
  <c r="L185" i="12" l="1"/>
  <c r="M185" i="12"/>
  <c r="N185" i="12"/>
  <c r="E185" i="12"/>
  <c r="F185" i="12"/>
  <c r="G185" i="12"/>
  <c r="O185" i="12"/>
  <c r="H185" i="12"/>
  <c r="P185" i="12"/>
  <c r="I185" i="12"/>
  <c r="Q185" i="12"/>
  <c r="J185" i="12"/>
  <c r="R185" i="12"/>
  <c r="K185" i="12"/>
  <c r="S185" i="12"/>
  <c r="CG327" i="1"/>
  <c r="CE74" i="1"/>
  <c r="CB488" i="1"/>
  <c r="CG326" i="1"/>
  <c r="CA72" i="1"/>
  <c r="P182" i="18"/>
  <c r="AE196" i="1" s="1"/>
  <c r="M182" i="18"/>
  <c r="BG196" i="1" s="1"/>
  <c r="O182" i="18"/>
  <c r="BQ196" i="1" s="1"/>
  <c r="F182" i="18"/>
  <c r="AA196" i="1" s="1"/>
  <c r="L182" i="18"/>
  <c r="AI196" i="1" s="1"/>
  <c r="A181" i="13"/>
  <c r="C181" i="13" s="1"/>
  <c r="H182" i="18"/>
  <c r="Q196" i="1" s="1"/>
  <c r="R182" i="18"/>
  <c r="CA196" i="1" s="1"/>
  <c r="Q182" i="18"/>
  <c r="BU196" i="1" s="1"/>
  <c r="J182" i="18"/>
  <c r="W196" i="1" s="1"/>
  <c r="E182" i="18"/>
  <c r="K196" i="1" s="1"/>
  <c r="K182" i="18"/>
  <c r="BC196" i="1" s="1"/>
  <c r="I182" i="18"/>
  <c r="AW196" i="1" s="1"/>
  <c r="G182" i="18"/>
  <c r="AO196" i="1" s="1"/>
  <c r="G427" i="2"/>
  <c r="AP328" i="1" s="1"/>
  <c r="AP715" i="1"/>
  <c r="BD715" i="1"/>
  <c r="K427" i="2"/>
  <c r="BD328" i="1" s="1"/>
  <c r="O74" i="1"/>
  <c r="L488" i="1"/>
  <c r="BN75" i="1"/>
  <c r="R75" i="1"/>
  <c r="D64" i="1"/>
  <c r="F64" i="1"/>
  <c r="E64" i="1"/>
  <c r="C478" i="1"/>
  <c r="L182" i="2"/>
  <c r="AJ196" i="1" s="1"/>
  <c r="G182" i="2"/>
  <c r="AP196" i="1" s="1"/>
  <c r="C550" i="18"/>
  <c r="C672" i="18" s="1"/>
  <c r="CA489" i="1"/>
  <c r="F63" i="1"/>
  <c r="J671" i="18"/>
  <c r="W594" i="1" s="1"/>
  <c r="Q671" i="2"/>
  <c r="J671" i="2"/>
  <c r="X594" i="1" s="1"/>
  <c r="A551" i="2"/>
  <c r="C551" i="2" s="1"/>
  <c r="C673" i="2" s="1"/>
  <c r="B551" i="2"/>
  <c r="W72" i="1"/>
  <c r="BH74" i="1"/>
  <c r="BD488" i="1"/>
  <c r="BC72" i="1"/>
  <c r="F427" i="2"/>
  <c r="AB328" i="1" s="1"/>
  <c r="AB715" i="1"/>
  <c r="H74" i="1"/>
  <c r="E561" i="2"/>
  <c r="H561" i="2"/>
  <c r="L561" i="2"/>
  <c r="D562" i="2"/>
  <c r="Q561" i="2"/>
  <c r="I561" i="2"/>
  <c r="R561" i="2"/>
  <c r="K561" i="2"/>
  <c r="W489" i="1"/>
  <c r="U196" i="1"/>
  <c r="R594" i="1"/>
  <c r="G305" i="18"/>
  <c r="P305" i="18"/>
  <c r="I305" i="18"/>
  <c r="J305" i="18"/>
  <c r="K305" i="18"/>
  <c r="M305" i="18"/>
  <c r="H305" i="18"/>
  <c r="L305" i="18"/>
  <c r="O305" i="18"/>
  <c r="Q305" i="18"/>
  <c r="R305" i="18"/>
  <c r="E305" i="18"/>
  <c r="F305" i="18"/>
  <c r="J427" i="2"/>
  <c r="X328" i="1" s="1"/>
  <c r="X715" i="1"/>
  <c r="BR715" i="1"/>
  <c r="O427" i="2"/>
  <c r="BR328" i="1" s="1"/>
  <c r="BY74" i="1"/>
  <c r="BV488" i="1"/>
  <c r="L75" i="1"/>
  <c r="AF75" i="1"/>
  <c r="I182" i="2"/>
  <c r="AX196" i="1" s="1"/>
  <c r="J182" i="2"/>
  <c r="X196" i="1" s="1"/>
  <c r="L186" i="12"/>
  <c r="M186" i="12"/>
  <c r="G186" i="12"/>
  <c r="O186" i="12"/>
  <c r="H186" i="12"/>
  <c r="P186" i="12"/>
  <c r="J186" i="12"/>
  <c r="F186" i="12"/>
  <c r="I186" i="12"/>
  <c r="Q186" i="12"/>
  <c r="R186" i="12"/>
  <c r="K186" i="12"/>
  <c r="S186" i="12"/>
  <c r="E186" i="12"/>
  <c r="N186" i="12"/>
  <c r="E63" i="1"/>
  <c r="P671" i="18"/>
  <c r="AE594" i="1" s="1"/>
  <c r="E671" i="2"/>
  <c r="M671" i="2"/>
  <c r="BJ594" i="1" s="1"/>
  <c r="BU72" i="1"/>
  <c r="L715" i="1"/>
  <c r="E427" i="2"/>
  <c r="L328" i="1" s="1"/>
  <c r="H327" i="1"/>
  <c r="CE196" i="1"/>
  <c r="CB594" i="1"/>
  <c r="Q72" i="1"/>
  <c r="BR75" i="1"/>
  <c r="D477" i="1"/>
  <c r="E477" i="1"/>
  <c r="R715" i="1"/>
  <c r="H427" i="2"/>
  <c r="R328" i="1" s="1"/>
  <c r="BA74" i="1"/>
  <c r="AX488" i="1"/>
  <c r="R73" i="2"/>
  <c r="O73" i="2"/>
  <c r="H73" i="2"/>
  <c r="P73" i="2"/>
  <c r="I73" i="2"/>
  <c r="Q73" i="2"/>
  <c r="K73" i="2"/>
  <c r="L73" i="2"/>
  <c r="E73" i="2"/>
  <c r="N73" i="2"/>
  <c r="D74" i="2"/>
  <c r="M73" i="2"/>
  <c r="AJ75" i="1"/>
  <c r="C716" i="1"/>
  <c r="R306" i="2"/>
  <c r="F306" i="2"/>
  <c r="E306" i="2"/>
  <c r="G306" i="2"/>
  <c r="N306" i="2"/>
  <c r="N428" i="2" s="1"/>
  <c r="BN329" i="1" s="1"/>
  <c r="M306" i="2"/>
  <c r="I306" i="2"/>
  <c r="P306" i="2"/>
  <c r="J306" i="2"/>
  <c r="L306" i="2"/>
  <c r="H306" i="2"/>
  <c r="O306" i="2"/>
  <c r="K306" i="2"/>
  <c r="Q306" i="2"/>
  <c r="P182" i="2"/>
  <c r="AF196" i="1" s="1"/>
  <c r="BU489" i="1"/>
  <c r="O671" i="18"/>
  <c r="BQ594" i="1" s="1"/>
  <c r="A61" i="10"/>
  <c r="C184" i="18"/>
  <c r="C307" i="18"/>
  <c r="C429" i="18"/>
  <c r="A61" i="13"/>
  <c r="C61" i="13" s="1"/>
  <c r="C187" i="12"/>
  <c r="I671" i="2"/>
  <c r="AV194" i="1"/>
  <c r="AV195" i="1" s="1"/>
  <c r="BA195" i="1"/>
  <c r="H593" i="1"/>
  <c r="AW72" i="1"/>
  <c r="BJ715" i="1"/>
  <c r="M427" i="2"/>
  <c r="BJ328" i="1" s="1"/>
  <c r="C184" i="2"/>
  <c r="C307" i="2"/>
  <c r="C429" i="2"/>
  <c r="C65" i="1"/>
  <c r="C198" i="1"/>
  <c r="C608" i="1" s="1"/>
  <c r="C330" i="1"/>
  <c r="D330" i="1" s="1"/>
  <c r="CB715" i="1"/>
  <c r="R427" i="2"/>
  <c r="CB328" i="1" s="1"/>
  <c r="AF715" i="1"/>
  <c r="P427" i="2"/>
  <c r="AF328" i="1" s="1"/>
  <c r="AJ715" i="1"/>
  <c r="L427" i="2"/>
  <c r="AJ328" i="1" s="1"/>
  <c r="U74" i="1"/>
  <c r="R488" i="1"/>
  <c r="BJ75" i="1"/>
  <c r="F183" i="2"/>
  <c r="AB197" i="1" s="1"/>
  <c r="J183" i="2"/>
  <c r="X197" i="1" s="1"/>
  <c r="G183" i="2"/>
  <c r="AP197" i="1" s="1"/>
  <c r="R183" i="2"/>
  <c r="CB197" i="1" s="1"/>
  <c r="H183" i="2"/>
  <c r="R197" i="1" s="1"/>
  <c r="Q183" i="2"/>
  <c r="BV197" i="1" s="1"/>
  <c r="M183" i="2"/>
  <c r="BJ197" i="1" s="1"/>
  <c r="P183" i="2"/>
  <c r="AF197" i="1" s="1"/>
  <c r="I183" i="2"/>
  <c r="AX197" i="1" s="1"/>
  <c r="AT197" i="1" s="1"/>
  <c r="E183" i="2"/>
  <c r="L197" i="1" s="1"/>
  <c r="N183" i="2"/>
  <c r="BN197" i="1" s="1"/>
  <c r="L183" i="2"/>
  <c r="AJ197" i="1" s="1"/>
  <c r="O183" i="2"/>
  <c r="BR197" i="1" s="1"/>
  <c r="K183" i="2"/>
  <c r="BD197" i="1" s="1"/>
  <c r="Q182" i="2"/>
  <c r="BV196" i="1" s="1"/>
  <c r="Q489" i="1"/>
  <c r="Q671" i="18"/>
  <c r="BU594" i="1" s="1"/>
  <c r="F671" i="18"/>
  <c r="AA594" i="1" s="1"/>
  <c r="B63" i="18"/>
  <c r="A63" i="18"/>
  <c r="C63" i="18" s="1"/>
  <c r="P671" i="2"/>
  <c r="AF594" i="1" s="1"/>
  <c r="O195" i="1"/>
  <c r="I194" i="1"/>
  <c r="I195" i="1" s="1"/>
  <c r="K72" i="1"/>
  <c r="AO72" i="1"/>
  <c r="CB75" i="1"/>
  <c r="K489" i="1"/>
  <c r="L183" i="18"/>
  <c r="AI197" i="1" s="1"/>
  <c r="M183" i="18"/>
  <c r="BG197" i="1" s="1"/>
  <c r="P183" i="18"/>
  <c r="AE197" i="1" s="1"/>
  <c r="F183" i="18"/>
  <c r="AA197" i="1" s="1"/>
  <c r="O183" i="18"/>
  <c r="BQ197" i="1" s="1"/>
  <c r="A182" i="13"/>
  <c r="C182" i="13" s="1"/>
  <c r="J183" i="18"/>
  <c r="W197" i="1" s="1"/>
  <c r="K183" i="18"/>
  <c r="BC197" i="1" s="1"/>
  <c r="E183" i="18"/>
  <c r="K197" i="1" s="1"/>
  <c r="R183" i="18"/>
  <c r="CA197" i="1" s="1"/>
  <c r="I183" i="18"/>
  <c r="AW197" i="1" s="1"/>
  <c r="G183" i="18"/>
  <c r="AO197" i="1" s="1"/>
  <c r="H183" i="18"/>
  <c r="Q197" i="1" s="1"/>
  <c r="Q183" i="18"/>
  <c r="BU197" i="1" s="1"/>
  <c r="AX75" i="1"/>
  <c r="AI489" i="1"/>
  <c r="AM196" i="1"/>
  <c r="AJ594" i="1"/>
  <c r="BV715" i="1"/>
  <c r="Q427" i="2"/>
  <c r="BV328" i="1" s="1"/>
  <c r="BV75" i="1"/>
  <c r="A551" i="18"/>
  <c r="B551" i="18"/>
  <c r="N672" i="2"/>
  <c r="O672" i="2"/>
  <c r="BR595" i="1" s="1"/>
  <c r="G672" i="2"/>
  <c r="AP595" i="1" s="1"/>
  <c r="J672" i="2"/>
  <c r="X595" i="1" s="1"/>
  <c r="P672" i="2"/>
  <c r="AF595" i="1" s="1"/>
  <c r="M672" i="2"/>
  <c r="BJ595" i="1" s="1"/>
  <c r="F672" i="2"/>
  <c r="AB595" i="1" s="1"/>
  <c r="Q672" i="2"/>
  <c r="L672" i="2"/>
  <c r="H672" i="2"/>
  <c r="R672" i="2"/>
  <c r="I672" i="2"/>
  <c r="E672" i="2"/>
  <c r="K672" i="2"/>
  <c r="BD595" i="1" s="1"/>
  <c r="AX715" i="1"/>
  <c r="I427" i="2"/>
  <c r="AX328" i="1" s="1"/>
  <c r="AM74" i="1"/>
  <c r="AJ489" i="1"/>
  <c r="BD75" i="1"/>
  <c r="I73" i="1"/>
  <c r="N182" i="2"/>
  <c r="BN196" i="1" s="1"/>
  <c r="R182" i="2"/>
  <c r="CB196" i="1" s="1"/>
  <c r="CG325" i="1"/>
  <c r="G488" i="1"/>
  <c r="H561" i="18"/>
  <c r="Q561" i="18"/>
  <c r="R561" i="18"/>
  <c r="J561" i="18"/>
  <c r="L561" i="18"/>
  <c r="E561" i="18"/>
  <c r="D562" i="18"/>
  <c r="I306" i="18"/>
  <c r="R306" i="18"/>
  <c r="M306" i="18"/>
  <c r="E306" i="18"/>
  <c r="O306" i="18"/>
  <c r="F306" i="18"/>
  <c r="P306" i="18"/>
  <c r="H306" i="18"/>
  <c r="L306" i="18"/>
  <c r="Q306" i="18"/>
  <c r="J306" i="18"/>
  <c r="G306" i="18"/>
  <c r="K306" i="18"/>
  <c r="E671" i="18"/>
  <c r="K594" i="1" s="1"/>
  <c r="K671" i="18"/>
  <c r="BC594" i="1" s="1"/>
  <c r="K671" i="2"/>
  <c r="A63" i="2"/>
  <c r="B63" i="2"/>
  <c r="E70" i="18"/>
  <c r="G70" i="18"/>
  <c r="H70" i="18"/>
  <c r="D71" i="18"/>
  <c r="K70" i="18"/>
  <c r="Q70" i="18"/>
  <c r="J70" i="18"/>
  <c r="R70" i="18"/>
  <c r="I70" i="18"/>
  <c r="BU73" i="1" l="1"/>
  <c r="BD76" i="1"/>
  <c r="O75" i="1"/>
  <c r="L489" i="1"/>
  <c r="AJ199" i="1"/>
  <c r="BC73" i="1"/>
  <c r="AM197" i="1"/>
  <c r="AJ595" i="1"/>
  <c r="BV76" i="1"/>
  <c r="K715" i="1"/>
  <c r="E427" i="18"/>
  <c r="K328" i="1" s="1"/>
  <c r="BY196" i="1"/>
  <c r="BV594" i="1"/>
  <c r="D478" i="1"/>
  <c r="E478" i="1"/>
  <c r="D72" i="18"/>
  <c r="J71" i="18"/>
  <c r="R71" i="18"/>
  <c r="K71" i="18"/>
  <c r="E71" i="18"/>
  <c r="I71" i="18"/>
  <c r="Q71" i="18"/>
  <c r="G71" i="18"/>
  <c r="H71" i="18"/>
  <c r="G594" i="1"/>
  <c r="F428" i="18"/>
  <c r="AA329" i="1" s="1"/>
  <c r="AA716" i="1"/>
  <c r="AI490" i="1"/>
  <c r="H194" i="1"/>
  <c r="H195" i="1" s="1"/>
  <c r="BY197" i="1"/>
  <c r="BV595" i="1"/>
  <c r="A552" i="18"/>
  <c r="C552" i="18" s="1"/>
  <c r="C674" i="18" s="1"/>
  <c r="B552" i="18"/>
  <c r="C717" i="1"/>
  <c r="H307" i="2"/>
  <c r="K307" i="2"/>
  <c r="I307" i="2"/>
  <c r="Q307" i="2"/>
  <c r="L307" i="2"/>
  <c r="M307" i="2"/>
  <c r="R307" i="2"/>
  <c r="N307" i="2"/>
  <c r="N429" i="2" s="1"/>
  <c r="BN330" i="1" s="1"/>
  <c r="P307" i="2"/>
  <c r="J307" i="2"/>
  <c r="F307" i="2"/>
  <c r="E307" i="2"/>
  <c r="O307" i="2"/>
  <c r="G307" i="2"/>
  <c r="K307" i="18"/>
  <c r="H307" i="18"/>
  <c r="R307" i="18"/>
  <c r="I307" i="18"/>
  <c r="J307" i="18"/>
  <c r="M307" i="18"/>
  <c r="Q307" i="18"/>
  <c r="E307" i="18"/>
  <c r="F307" i="18"/>
  <c r="G307" i="18"/>
  <c r="O307" i="18"/>
  <c r="L307" i="18"/>
  <c r="P307" i="18"/>
  <c r="BD716" i="1"/>
  <c r="K428" i="2"/>
  <c r="BD329" i="1" s="1"/>
  <c r="AX76" i="1"/>
  <c r="AX199" i="1"/>
  <c r="AT196" i="1"/>
  <c r="CA715" i="1"/>
  <c r="R427" i="18"/>
  <c r="CA328" i="1" s="1"/>
  <c r="AW715" i="1"/>
  <c r="I427" i="18"/>
  <c r="AW328" i="1" s="1"/>
  <c r="CE75" i="1"/>
  <c r="CB489" i="1"/>
  <c r="Q73" i="1"/>
  <c r="BC716" i="1"/>
  <c r="K428" i="18"/>
  <c r="BC329" i="1" s="1"/>
  <c r="O428" i="18"/>
  <c r="BQ329" i="1" s="1"/>
  <c r="BQ716" i="1"/>
  <c r="W490" i="1"/>
  <c r="C551" i="18"/>
  <c r="C673" i="18" s="1"/>
  <c r="F184" i="2"/>
  <c r="AB198" i="1" s="1"/>
  <c r="AB199" i="1" s="1"/>
  <c r="J184" i="2"/>
  <c r="X198" i="1" s="1"/>
  <c r="G184" i="2"/>
  <c r="AP198" i="1" s="1"/>
  <c r="L184" i="2"/>
  <c r="AJ198" i="1" s="1"/>
  <c r="Q184" i="2"/>
  <c r="BV198" i="1" s="1"/>
  <c r="BV199" i="1" s="1"/>
  <c r="M184" i="2"/>
  <c r="BJ198" i="1" s="1"/>
  <c r="BJ199" i="1" s="1"/>
  <c r="K184" i="2"/>
  <c r="BD198" i="1" s="1"/>
  <c r="BD199" i="1" s="1"/>
  <c r="E184" i="2"/>
  <c r="L198" i="1" s="1"/>
  <c r="H184" i="2"/>
  <c r="R198" i="1" s="1"/>
  <c r="R199" i="1" s="1"/>
  <c r="N184" i="2"/>
  <c r="BN198" i="1" s="1"/>
  <c r="BN199" i="1" s="1"/>
  <c r="I184" i="2"/>
  <c r="AX198" i="1" s="1"/>
  <c r="P184" i="2"/>
  <c r="AF198" i="1" s="1"/>
  <c r="O184" i="2"/>
  <c r="BR198" i="1" s="1"/>
  <c r="BR199" i="1" s="1"/>
  <c r="R184" i="2"/>
  <c r="CB198" i="1" s="1"/>
  <c r="CB199" i="1" s="1"/>
  <c r="M184" i="18"/>
  <c r="BG198" i="1" s="1"/>
  <c r="F184" i="18"/>
  <c r="AA198" i="1" s="1"/>
  <c r="O184" i="18"/>
  <c r="BQ198" i="1" s="1"/>
  <c r="P184" i="18"/>
  <c r="AE198" i="1" s="1"/>
  <c r="L184" i="18"/>
  <c r="AI198" i="1" s="1"/>
  <c r="A183" i="13"/>
  <c r="C183" i="13" s="1"/>
  <c r="I184" i="18"/>
  <c r="AW198" i="1" s="1"/>
  <c r="J184" i="18"/>
  <c r="W198" i="1" s="1"/>
  <c r="H184" i="18"/>
  <c r="Q198" i="1" s="1"/>
  <c r="E184" i="18"/>
  <c r="K198" i="1" s="1"/>
  <c r="K184" i="18"/>
  <c r="BC198" i="1" s="1"/>
  <c r="R184" i="18"/>
  <c r="CA198" i="1" s="1"/>
  <c r="G184" i="18"/>
  <c r="AO198" i="1" s="1"/>
  <c r="Q184" i="18"/>
  <c r="BU198" i="1" s="1"/>
  <c r="BR716" i="1"/>
  <c r="O428" i="2"/>
  <c r="BR329" i="1" s="1"/>
  <c r="G428" i="2"/>
  <c r="AP329" i="1" s="1"/>
  <c r="AP716" i="1"/>
  <c r="BJ76" i="1"/>
  <c r="AF76" i="1"/>
  <c r="BU715" i="1"/>
  <c r="Q427" i="18"/>
  <c r="BU328" i="1" s="1"/>
  <c r="P427" i="18"/>
  <c r="AE328" i="1" s="1"/>
  <c r="AE715" i="1"/>
  <c r="BA75" i="1"/>
  <c r="AX489" i="1"/>
  <c r="H488" i="1"/>
  <c r="Q716" i="1"/>
  <c r="H428" i="18"/>
  <c r="Q329" i="1" s="1"/>
  <c r="H562" i="18"/>
  <c r="Q562" i="18"/>
  <c r="R562" i="18"/>
  <c r="J562" i="18"/>
  <c r="E562" i="18"/>
  <c r="D563" i="18"/>
  <c r="L562" i="18"/>
  <c r="AF199" i="1"/>
  <c r="BC715" i="1"/>
  <c r="K427" i="18"/>
  <c r="BC328" i="1" s="1"/>
  <c r="P428" i="18"/>
  <c r="AE329" i="1" s="1"/>
  <c r="AE716" i="1"/>
  <c r="BJ716" i="1"/>
  <c r="M428" i="2"/>
  <c r="BJ329" i="1" s="1"/>
  <c r="BH75" i="1"/>
  <c r="BD489" i="1"/>
  <c r="AO73" i="1"/>
  <c r="CA490" i="1"/>
  <c r="R76" i="1"/>
  <c r="BY75" i="1"/>
  <c r="BV489" i="1"/>
  <c r="AW73" i="1"/>
  <c r="K73" i="1"/>
  <c r="W716" i="1"/>
  <c r="J428" i="18"/>
  <c r="W329" i="1" s="1"/>
  <c r="M428" i="18"/>
  <c r="BG329" i="1" s="1"/>
  <c r="BG716" i="1"/>
  <c r="BU490" i="1"/>
  <c r="O197" i="1"/>
  <c r="I197" i="1" s="1"/>
  <c r="L595" i="1"/>
  <c r="G197" i="1"/>
  <c r="A64" i="18"/>
  <c r="C64" i="18" s="1"/>
  <c r="B64" i="18"/>
  <c r="H196" i="1"/>
  <c r="AJ716" i="1"/>
  <c r="L428" i="2"/>
  <c r="AJ329" i="1" s="1"/>
  <c r="F428" i="2"/>
  <c r="AB329" i="1" s="1"/>
  <c r="AB716" i="1"/>
  <c r="BN76" i="1"/>
  <c r="BR76" i="1"/>
  <c r="L427" i="18"/>
  <c r="AI328" i="1" s="1"/>
  <c r="AI715" i="1"/>
  <c r="K562" i="2"/>
  <c r="E562" i="2"/>
  <c r="L562" i="2"/>
  <c r="D563" i="2"/>
  <c r="Q562" i="2"/>
  <c r="H562" i="2"/>
  <c r="R562" i="2"/>
  <c r="I562" i="2"/>
  <c r="G196" i="1"/>
  <c r="F427" i="18"/>
  <c r="AA328" i="1" s="1"/>
  <c r="AA715" i="1"/>
  <c r="BV716" i="1"/>
  <c r="Q428" i="2"/>
  <c r="BV329" i="1" s="1"/>
  <c r="K716" i="1"/>
  <c r="E428" i="18"/>
  <c r="K329" i="1" s="1"/>
  <c r="A62" i="10"/>
  <c r="C185" i="18"/>
  <c r="C308" i="18"/>
  <c r="C430" i="18"/>
  <c r="A62" i="13"/>
  <c r="C62" i="13" s="1"/>
  <c r="C188" i="12"/>
  <c r="R716" i="1"/>
  <c r="H428" i="2"/>
  <c r="R329" i="1" s="1"/>
  <c r="AO715" i="1"/>
  <c r="G427" i="18"/>
  <c r="AO328" i="1" s="1"/>
  <c r="BU716" i="1"/>
  <c r="Q428" i="18"/>
  <c r="BU329" i="1" s="1"/>
  <c r="CA716" i="1"/>
  <c r="R428" i="18"/>
  <c r="CA329" i="1" s="1"/>
  <c r="Q490" i="1"/>
  <c r="BA197" i="1"/>
  <c r="AX595" i="1"/>
  <c r="G489" i="1"/>
  <c r="G72" i="1"/>
  <c r="BA196" i="1"/>
  <c r="AX594" i="1"/>
  <c r="J428" i="2"/>
  <c r="X329" i="1" s="1"/>
  <c r="X716" i="1"/>
  <c r="CB716" i="1"/>
  <c r="R428" i="2"/>
  <c r="CB329" i="1" s="1"/>
  <c r="L76" i="1"/>
  <c r="CB76" i="1"/>
  <c r="H75" i="1"/>
  <c r="Q715" i="1"/>
  <c r="H427" i="18"/>
  <c r="Q328" i="1" s="1"/>
  <c r="AM75" i="1"/>
  <c r="AJ490" i="1"/>
  <c r="A552" i="2"/>
  <c r="B552" i="2"/>
  <c r="P672" i="18"/>
  <c r="AE595" i="1" s="1"/>
  <c r="I672" i="18"/>
  <c r="AW595" i="1" s="1"/>
  <c r="K672" i="18"/>
  <c r="BC595" i="1" s="1"/>
  <c r="F672" i="18"/>
  <c r="AA595" i="1" s="1"/>
  <c r="O672" i="18"/>
  <c r="BQ595" i="1" s="1"/>
  <c r="M672" i="18"/>
  <c r="BG595" i="1" s="1"/>
  <c r="G672" i="18"/>
  <c r="AO595" i="1" s="1"/>
  <c r="R672" i="18"/>
  <c r="CA595" i="1" s="1"/>
  <c r="L672" i="18"/>
  <c r="AI595" i="1" s="1"/>
  <c r="J672" i="18"/>
  <c r="W595" i="1" s="1"/>
  <c r="Q672" i="18"/>
  <c r="BU595" i="1" s="1"/>
  <c r="H672" i="18"/>
  <c r="Q595" i="1" s="1"/>
  <c r="E672" i="18"/>
  <c r="K595" i="1" s="1"/>
  <c r="BH199" i="1"/>
  <c r="BD594" i="1"/>
  <c r="U197" i="1"/>
  <c r="R595" i="1"/>
  <c r="D65" i="1"/>
  <c r="E65" i="1"/>
  <c r="F65" i="1"/>
  <c r="C479" i="1"/>
  <c r="AX716" i="1"/>
  <c r="I428" i="2"/>
  <c r="AX329" i="1" s="1"/>
  <c r="K490" i="1"/>
  <c r="H328" i="1"/>
  <c r="W715" i="1"/>
  <c r="J427" i="18"/>
  <c r="W328" i="1" s="1"/>
  <c r="AO716" i="1"/>
  <c r="G428" i="18"/>
  <c r="AO329" i="1" s="1"/>
  <c r="L716" i="1"/>
  <c r="E428" i="2"/>
  <c r="L329" i="1" s="1"/>
  <c r="H74" i="2"/>
  <c r="P74" i="2"/>
  <c r="O74" i="2"/>
  <c r="Q74" i="2"/>
  <c r="I74" i="2"/>
  <c r="R74" i="2"/>
  <c r="K74" i="2"/>
  <c r="L74" i="2"/>
  <c r="D75" i="2"/>
  <c r="N74" i="2"/>
  <c r="M74" i="2"/>
  <c r="E74" i="2"/>
  <c r="O427" i="18"/>
  <c r="BQ328" i="1" s="1"/>
  <c r="BQ715" i="1"/>
  <c r="I74" i="1"/>
  <c r="CA73" i="1"/>
  <c r="A64" i="2"/>
  <c r="B64" i="2"/>
  <c r="W73" i="1"/>
  <c r="C63" i="2"/>
  <c r="L428" i="18"/>
  <c r="AI329" i="1" s="1"/>
  <c r="AI716" i="1"/>
  <c r="AW716" i="1"/>
  <c r="I428" i="18"/>
  <c r="AW329" i="1" s="1"/>
  <c r="CE197" i="1"/>
  <c r="CB595" i="1"/>
  <c r="H197" i="1"/>
  <c r="L187" i="12"/>
  <c r="E187" i="12"/>
  <c r="F187" i="12"/>
  <c r="G187" i="12"/>
  <c r="O187" i="12"/>
  <c r="H187" i="12"/>
  <c r="P187" i="12"/>
  <c r="I187" i="12"/>
  <c r="Q187" i="12"/>
  <c r="J187" i="12"/>
  <c r="R187" i="12"/>
  <c r="N187" i="12"/>
  <c r="K187" i="12"/>
  <c r="S187" i="12"/>
  <c r="M187" i="12"/>
  <c r="AF716" i="1"/>
  <c r="P428" i="2"/>
  <c r="AF329" i="1" s="1"/>
  <c r="AJ76" i="1"/>
  <c r="O196" i="1"/>
  <c r="L594" i="1"/>
  <c r="H594" i="1" s="1"/>
  <c r="M427" i="18"/>
  <c r="BG328" i="1" s="1"/>
  <c r="BG715" i="1"/>
  <c r="U75" i="1"/>
  <c r="R489" i="1"/>
  <c r="P673" i="2"/>
  <c r="AF596" i="1" s="1"/>
  <c r="N673" i="2"/>
  <c r="J673" i="2"/>
  <c r="X596" i="1" s="1"/>
  <c r="M673" i="2"/>
  <c r="BJ596" i="1" s="1"/>
  <c r="O673" i="2"/>
  <c r="BR596" i="1" s="1"/>
  <c r="F673" i="2"/>
  <c r="AB596" i="1" s="1"/>
  <c r="G673" i="2"/>
  <c r="AP596" i="1" s="1"/>
  <c r="I673" i="2"/>
  <c r="R673" i="2"/>
  <c r="K673" i="2"/>
  <c r="BD596" i="1" s="1"/>
  <c r="Q673" i="2"/>
  <c r="E673" i="2"/>
  <c r="L673" i="2"/>
  <c r="H673" i="2"/>
  <c r="L717" i="1" l="1"/>
  <c r="E429" i="2"/>
  <c r="L330" i="1" s="1"/>
  <c r="BY198" i="1"/>
  <c r="BV596" i="1"/>
  <c r="G595" i="1"/>
  <c r="P429" i="18"/>
  <c r="AE330" i="1" s="1"/>
  <c r="AE717" i="1"/>
  <c r="L429" i="18"/>
  <c r="AI330" i="1" s="1"/>
  <c r="AI717" i="1"/>
  <c r="BD717" i="1"/>
  <c r="K429" i="2"/>
  <c r="BD330" i="1" s="1"/>
  <c r="BJ77" i="1"/>
  <c r="H76" i="1"/>
  <c r="AV196" i="1"/>
  <c r="I563" i="2"/>
  <c r="Q563" i="2"/>
  <c r="E563" i="2"/>
  <c r="L563" i="2"/>
  <c r="D564" i="2"/>
  <c r="R563" i="2"/>
  <c r="H563" i="2"/>
  <c r="K563" i="2"/>
  <c r="H563" i="18"/>
  <c r="Q563" i="18"/>
  <c r="R563" i="18"/>
  <c r="J563" i="18"/>
  <c r="E563" i="18"/>
  <c r="D564" i="18"/>
  <c r="L563" i="18"/>
  <c r="O429" i="18"/>
  <c r="BQ330" i="1" s="1"/>
  <c r="BQ717" i="1"/>
  <c r="CA717" i="1"/>
  <c r="R429" i="18"/>
  <c r="CA330" i="1" s="1"/>
  <c r="AF717" i="1"/>
  <c r="P429" i="2"/>
  <c r="AF330" i="1" s="1"/>
  <c r="R717" i="1"/>
  <c r="H429" i="2"/>
  <c r="R330" i="1" s="1"/>
  <c r="AO74" i="1"/>
  <c r="H489" i="1"/>
  <c r="G329" i="1"/>
  <c r="CG329" i="1" s="1"/>
  <c r="K674" i="18"/>
  <c r="BC597" i="1" s="1"/>
  <c r="F674" i="18"/>
  <c r="AA597" i="1" s="1"/>
  <c r="O674" i="18"/>
  <c r="BQ597" i="1" s="1"/>
  <c r="G674" i="18"/>
  <c r="AO597" i="1" s="1"/>
  <c r="P674" i="18"/>
  <c r="AE597" i="1" s="1"/>
  <c r="I674" i="18"/>
  <c r="AW597" i="1" s="1"/>
  <c r="M674" i="18"/>
  <c r="BG597" i="1" s="1"/>
  <c r="R674" i="18"/>
  <c r="CA597" i="1" s="1"/>
  <c r="J674" i="18"/>
  <c r="W597" i="1" s="1"/>
  <c r="L674" i="18"/>
  <c r="AI597" i="1" s="1"/>
  <c r="E674" i="18"/>
  <c r="K597" i="1" s="1"/>
  <c r="Q674" i="18"/>
  <c r="BU597" i="1" s="1"/>
  <c r="H674" i="18"/>
  <c r="Q597" i="1" s="1"/>
  <c r="AX77" i="1"/>
  <c r="E479" i="1"/>
  <c r="D479" i="1"/>
  <c r="H198" i="1"/>
  <c r="H199" i="1" s="1"/>
  <c r="L199" i="1"/>
  <c r="W74" i="1"/>
  <c r="L188" i="12"/>
  <c r="M188" i="12"/>
  <c r="N188" i="12"/>
  <c r="E188" i="12"/>
  <c r="F188" i="12"/>
  <c r="G188" i="12"/>
  <c r="O188" i="12"/>
  <c r="H188" i="12"/>
  <c r="P188" i="12"/>
  <c r="I188" i="12"/>
  <c r="Q188" i="12"/>
  <c r="J188" i="12"/>
  <c r="R188" i="12"/>
  <c r="K188" i="12"/>
  <c r="S188" i="12"/>
  <c r="I72" i="18"/>
  <c r="Q72" i="18"/>
  <c r="J72" i="18"/>
  <c r="R72" i="18"/>
  <c r="K72" i="18"/>
  <c r="E72" i="18"/>
  <c r="D73" i="18"/>
  <c r="H72" i="18"/>
  <c r="G72" i="18"/>
  <c r="BR77" i="1"/>
  <c r="BN77" i="1"/>
  <c r="AF77" i="1"/>
  <c r="AM76" i="1"/>
  <c r="AJ491" i="1"/>
  <c r="A65" i="18"/>
  <c r="C65" i="18" s="1"/>
  <c r="B65" i="18"/>
  <c r="K491" i="1"/>
  <c r="G491" i="1" s="1"/>
  <c r="AO717" i="1"/>
  <c r="G429" i="18"/>
  <c r="AO330" i="1" s="1"/>
  <c r="Q717" i="1"/>
  <c r="H429" i="18"/>
  <c r="Q330" i="1" s="1"/>
  <c r="BU74" i="1"/>
  <c r="I75" i="1"/>
  <c r="O198" i="1"/>
  <c r="L596" i="1"/>
  <c r="CB77" i="1"/>
  <c r="BV717" i="1"/>
  <c r="Q429" i="2"/>
  <c r="BV330" i="1" s="1"/>
  <c r="G198" i="1"/>
  <c r="BV77" i="1"/>
  <c r="J429" i="2"/>
  <c r="X330" i="1" s="1"/>
  <c r="X717" i="1"/>
  <c r="CE198" i="1"/>
  <c r="CE199" i="1" s="1"/>
  <c r="CB596" i="1"/>
  <c r="BA198" i="1"/>
  <c r="AV198" i="1" s="1"/>
  <c r="AX596" i="1"/>
  <c r="N75" i="2"/>
  <c r="D76" i="2"/>
  <c r="O75" i="2"/>
  <c r="P75" i="2"/>
  <c r="H75" i="2"/>
  <c r="Q75" i="2"/>
  <c r="I75" i="2"/>
  <c r="R75" i="2"/>
  <c r="K75" i="2"/>
  <c r="L75" i="2"/>
  <c r="E75" i="2"/>
  <c r="M75" i="2"/>
  <c r="R77" i="1"/>
  <c r="G490" i="1"/>
  <c r="E308" i="18"/>
  <c r="M308" i="18"/>
  <c r="L308" i="18"/>
  <c r="O308" i="18"/>
  <c r="F308" i="18"/>
  <c r="P308" i="18"/>
  <c r="H308" i="18"/>
  <c r="R308" i="18"/>
  <c r="G308" i="18"/>
  <c r="I308" i="18"/>
  <c r="J308" i="18"/>
  <c r="K308" i="18"/>
  <c r="Q308" i="18"/>
  <c r="O76" i="1"/>
  <c r="I76" i="1" s="1"/>
  <c r="L490" i="1"/>
  <c r="A63" i="10"/>
  <c r="C431" i="18"/>
  <c r="C309" i="18"/>
  <c r="C186" i="18"/>
  <c r="A63" i="13"/>
  <c r="C63" i="13" s="1"/>
  <c r="C189" i="12"/>
  <c r="W491" i="1"/>
  <c r="F429" i="18"/>
  <c r="AA330" i="1" s="1"/>
  <c r="AA717" i="1"/>
  <c r="BC717" i="1"/>
  <c r="K429" i="18"/>
  <c r="BC330" i="1" s="1"/>
  <c r="CB717" i="1"/>
  <c r="R429" i="2"/>
  <c r="CB330" i="1" s="1"/>
  <c r="AW74" i="1"/>
  <c r="F429" i="2"/>
  <c r="AB330" i="1" s="1"/>
  <c r="AB717" i="1"/>
  <c r="L77" i="1"/>
  <c r="AI491" i="1"/>
  <c r="Q74" i="1"/>
  <c r="U198" i="1"/>
  <c r="U199" i="1" s="1"/>
  <c r="R596" i="1"/>
  <c r="AJ77" i="1"/>
  <c r="H329" i="1"/>
  <c r="A553" i="2"/>
  <c r="B553" i="2"/>
  <c r="M185" i="18"/>
  <c r="BG200" i="1" s="1"/>
  <c r="P185" i="18"/>
  <c r="AE200" i="1" s="1"/>
  <c r="F185" i="18"/>
  <c r="AA200" i="1" s="1"/>
  <c r="L185" i="18"/>
  <c r="AI200" i="1" s="1"/>
  <c r="O185" i="18"/>
  <c r="BQ200" i="1" s="1"/>
  <c r="A184" i="13"/>
  <c r="C184" i="13" s="1"/>
  <c r="R185" i="18"/>
  <c r="CA200" i="1" s="1"/>
  <c r="E185" i="18"/>
  <c r="K200" i="1" s="1"/>
  <c r="G185" i="18"/>
  <c r="AO200" i="1" s="1"/>
  <c r="I185" i="18"/>
  <c r="AW200" i="1" s="1"/>
  <c r="H185" i="18"/>
  <c r="Q200" i="1" s="1"/>
  <c r="Q185" i="18"/>
  <c r="BU200" i="1" s="1"/>
  <c r="K185" i="18"/>
  <c r="BC200" i="1" s="1"/>
  <c r="J185" i="18"/>
  <c r="W200" i="1" s="1"/>
  <c r="BH76" i="1"/>
  <c r="BD490" i="1"/>
  <c r="CA491" i="1"/>
  <c r="AT198" i="1"/>
  <c r="AT199" i="1" s="1"/>
  <c r="K717" i="1"/>
  <c r="E429" i="18"/>
  <c r="K330" i="1" s="1"/>
  <c r="G429" i="2"/>
  <c r="AP330" i="1" s="1"/>
  <c r="AP717" i="1"/>
  <c r="BJ717" i="1"/>
  <c r="M429" i="2"/>
  <c r="BJ330" i="1" s="1"/>
  <c r="K74" i="1"/>
  <c r="BY199" i="1"/>
  <c r="CE76" i="1"/>
  <c r="CB490" i="1"/>
  <c r="Q491" i="1"/>
  <c r="M429" i="18"/>
  <c r="BG330" i="1" s="1"/>
  <c r="BG717" i="1"/>
  <c r="CA74" i="1"/>
  <c r="U76" i="1"/>
  <c r="R490" i="1"/>
  <c r="I673" i="18"/>
  <c r="AW596" i="1" s="1"/>
  <c r="M673" i="18"/>
  <c r="BG596" i="1" s="1"/>
  <c r="O673" i="18"/>
  <c r="BQ596" i="1" s="1"/>
  <c r="P673" i="18"/>
  <c r="AE596" i="1" s="1"/>
  <c r="G673" i="18"/>
  <c r="AO596" i="1" s="1"/>
  <c r="F673" i="18"/>
  <c r="AA596" i="1" s="1"/>
  <c r="K673" i="18"/>
  <c r="BC596" i="1" s="1"/>
  <c r="Q673" i="18"/>
  <c r="BU596" i="1" s="1"/>
  <c r="E673" i="18"/>
  <c r="K596" i="1" s="1"/>
  <c r="H673" i="18"/>
  <c r="Q596" i="1" s="1"/>
  <c r="L673" i="18"/>
  <c r="AI596" i="1" s="1"/>
  <c r="J673" i="18"/>
  <c r="W596" i="1" s="1"/>
  <c r="R673" i="18"/>
  <c r="CA596" i="1" s="1"/>
  <c r="W717" i="1"/>
  <c r="J429" i="18"/>
  <c r="W330" i="1" s="1"/>
  <c r="AX717" i="1"/>
  <c r="I429" i="2"/>
  <c r="AX330" i="1" s="1"/>
  <c r="I196" i="1"/>
  <c r="O199" i="1"/>
  <c r="B65" i="2"/>
  <c r="A65" i="2"/>
  <c r="BY76" i="1"/>
  <c r="BV490" i="1"/>
  <c r="AW717" i="1"/>
  <c r="I429" i="18"/>
  <c r="AW330" i="1" s="1"/>
  <c r="C64" i="2"/>
  <c r="C185" i="2"/>
  <c r="C308" i="2"/>
  <c r="C430" i="2"/>
  <c r="C66" i="1"/>
  <c r="C200" i="1"/>
  <c r="C609" i="1" s="1"/>
  <c r="C331" i="1"/>
  <c r="D331" i="1" s="1"/>
  <c r="AM198" i="1"/>
  <c r="AM199" i="1" s="1"/>
  <c r="AJ596" i="1"/>
  <c r="BD77" i="1"/>
  <c r="C552" i="2"/>
  <c r="C674" i="2" s="1"/>
  <c r="AV197" i="1"/>
  <c r="BA76" i="1"/>
  <c r="AX490" i="1"/>
  <c r="H595" i="1"/>
  <c r="G73" i="1"/>
  <c r="BU491" i="1"/>
  <c r="BU717" i="1"/>
  <c r="Q429" i="18"/>
  <c r="BU330" i="1" s="1"/>
  <c r="BR717" i="1"/>
  <c r="O429" i="2"/>
  <c r="BR330" i="1" s="1"/>
  <c r="AJ717" i="1"/>
  <c r="L429" i="2"/>
  <c r="AJ330" i="1" s="1"/>
  <c r="A553" i="18"/>
  <c r="C553" i="18" s="1"/>
  <c r="C675" i="18" s="1"/>
  <c r="B553" i="18"/>
  <c r="BC74" i="1"/>
  <c r="G328" i="1"/>
  <c r="CG328" i="1" s="1"/>
  <c r="P186" i="18" l="1"/>
  <c r="AE201" i="1" s="1"/>
  <c r="F186" i="18"/>
  <c r="AA201" i="1" s="1"/>
  <c r="O186" i="18"/>
  <c r="BQ201" i="1" s="1"/>
  <c r="L186" i="18"/>
  <c r="AI201" i="1" s="1"/>
  <c r="A185" i="13"/>
  <c r="C185" i="13" s="1"/>
  <c r="M186" i="18"/>
  <c r="BG201" i="1" s="1"/>
  <c r="J186" i="18"/>
  <c r="W201" i="1" s="1"/>
  <c r="H186" i="18"/>
  <c r="Q201" i="1" s="1"/>
  <c r="G186" i="18"/>
  <c r="AO201" i="1" s="1"/>
  <c r="E186" i="18"/>
  <c r="K201" i="1" s="1"/>
  <c r="Q186" i="18"/>
  <c r="BU201" i="1" s="1"/>
  <c r="R186" i="18"/>
  <c r="CA201" i="1" s="1"/>
  <c r="K186" i="18"/>
  <c r="BC201" i="1" s="1"/>
  <c r="I186" i="18"/>
  <c r="AW201" i="1" s="1"/>
  <c r="F185" i="2"/>
  <c r="AB200" i="1" s="1"/>
  <c r="G185" i="2"/>
  <c r="AP200" i="1" s="1"/>
  <c r="J185" i="2"/>
  <c r="X200" i="1" s="1"/>
  <c r="E185" i="2"/>
  <c r="L200" i="1" s="1"/>
  <c r="H185" i="2"/>
  <c r="R200" i="1" s="1"/>
  <c r="L185" i="2"/>
  <c r="AJ200" i="1" s="1"/>
  <c r="R185" i="2"/>
  <c r="CB200" i="1" s="1"/>
  <c r="O185" i="2"/>
  <c r="BR200" i="1" s="1"/>
  <c r="P185" i="2"/>
  <c r="AF200" i="1" s="1"/>
  <c r="I185" i="2"/>
  <c r="AX200" i="1" s="1"/>
  <c r="N185" i="2"/>
  <c r="BN200" i="1" s="1"/>
  <c r="K185" i="2"/>
  <c r="BD200" i="1" s="1"/>
  <c r="Q185" i="2"/>
  <c r="BV200" i="1" s="1"/>
  <c r="M185" i="2"/>
  <c r="BJ200" i="1" s="1"/>
  <c r="C186" i="2"/>
  <c r="C309" i="2"/>
  <c r="C431" i="2"/>
  <c r="C67" i="1"/>
  <c r="C201" i="1"/>
  <c r="C610" i="1" s="1"/>
  <c r="C332" i="1"/>
  <c r="D332" i="1" s="1"/>
  <c r="G330" i="1"/>
  <c r="G74" i="1"/>
  <c r="H490" i="1"/>
  <c r="CA718" i="1"/>
  <c r="R430" i="18"/>
  <c r="CA331" i="1" s="1"/>
  <c r="CB78" i="1"/>
  <c r="I198" i="1"/>
  <c r="I199" i="1" s="1"/>
  <c r="BU75" i="1"/>
  <c r="K492" i="1"/>
  <c r="CE77" i="1"/>
  <c r="CB491" i="1"/>
  <c r="AO75" i="1"/>
  <c r="W492" i="1"/>
  <c r="L189" i="12"/>
  <c r="M189" i="12"/>
  <c r="N189" i="12"/>
  <c r="G189" i="12"/>
  <c r="O189" i="12"/>
  <c r="H189" i="12"/>
  <c r="P189" i="12"/>
  <c r="F189" i="12"/>
  <c r="I189" i="12"/>
  <c r="Q189" i="12"/>
  <c r="J189" i="12"/>
  <c r="R189" i="12"/>
  <c r="K189" i="12"/>
  <c r="S189" i="12"/>
  <c r="E189" i="12"/>
  <c r="Q75" i="1"/>
  <c r="AM77" i="1"/>
  <c r="AJ492" i="1"/>
  <c r="A554" i="18"/>
  <c r="C554" i="18" s="1"/>
  <c r="C676" i="18" s="1"/>
  <c r="B554" i="18"/>
  <c r="J674" i="2"/>
  <c r="X597" i="1" s="1"/>
  <c r="M674" i="2"/>
  <c r="BJ597" i="1" s="1"/>
  <c r="N674" i="2"/>
  <c r="O674" i="2"/>
  <c r="BR597" i="1" s="1"/>
  <c r="G674" i="2"/>
  <c r="AP597" i="1" s="1"/>
  <c r="F674" i="2"/>
  <c r="AB597" i="1" s="1"/>
  <c r="P674" i="2"/>
  <c r="AF597" i="1" s="1"/>
  <c r="L674" i="2"/>
  <c r="K674" i="2"/>
  <c r="BD597" i="1" s="1"/>
  <c r="H674" i="2"/>
  <c r="R674" i="2"/>
  <c r="Q674" i="2"/>
  <c r="E674" i="2"/>
  <c r="I674" i="2"/>
  <c r="D66" i="1"/>
  <c r="E66" i="1"/>
  <c r="F66" i="1"/>
  <c r="C480" i="1"/>
  <c r="BU718" i="1"/>
  <c r="Q430" i="18"/>
  <c r="BU331" i="1" s="1"/>
  <c r="F430" i="18"/>
  <c r="AA331" i="1" s="1"/>
  <c r="AA718" i="1"/>
  <c r="R78" i="1"/>
  <c r="B66" i="18"/>
  <c r="A66" i="18"/>
  <c r="J73" i="18"/>
  <c r="R73" i="18"/>
  <c r="H73" i="18"/>
  <c r="Q73" i="18"/>
  <c r="I73" i="18"/>
  <c r="K73" i="18"/>
  <c r="D74" i="18"/>
  <c r="G73" i="18"/>
  <c r="E73" i="18"/>
  <c r="BU492" i="1"/>
  <c r="O77" i="1"/>
  <c r="L491" i="1"/>
  <c r="G596" i="1"/>
  <c r="Q718" i="1"/>
  <c r="H430" i="18"/>
  <c r="Q331" i="1" s="1"/>
  <c r="E564" i="2"/>
  <c r="D565" i="2"/>
  <c r="K564" i="2"/>
  <c r="L564" i="2"/>
  <c r="Q564" i="2"/>
  <c r="H564" i="2"/>
  <c r="R564" i="2"/>
  <c r="I564" i="2"/>
  <c r="O430" i="18"/>
  <c r="BQ331" i="1" s="1"/>
  <c r="BQ718" i="1"/>
  <c r="BJ78" i="1"/>
  <c r="AF78" i="1"/>
  <c r="A64" i="10"/>
  <c r="C187" i="18"/>
  <c r="C310" i="18"/>
  <c r="C432" i="18"/>
  <c r="A64" i="13"/>
  <c r="C64" i="13" s="1"/>
  <c r="C190" i="12"/>
  <c r="K75" i="1"/>
  <c r="Q492" i="1"/>
  <c r="BY77" i="1"/>
  <c r="BV491" i="1"/>
  <c r="AX78" i="1"/>
  <c r="P430" i="18"/>
  <c r="AE331" i="1" s="1"/>
  <c r="AE718" i="1"/>
  <c r="C718" i="1"/>
  <c r="L308" i="2"/>
  <c r="R308" i="2"/>
  <c r="K308" i="2"/>
  <c r="G308" i="2"/>
  <c r="N308" i="2"/>
  <c r="N430" i="2" s="1"/>
  <c r="BN331" i="1" s="1"/>
  <c r="M308" i="2"/>
  <c r="I308" i="2"/>
  <c r="F308" i="2"/>
  <c r="E308" i="2"/>
  <c r="P308" i="2"/>
  <c r="J308" i="2"/>
  <c r="H308" i="2"/>
  <c r="O308" i="2"/>
  <c r="Q308" i="2"/>
  <c r="C65" i="2"/>
  <c r="G200" i="1"/>
  <c r="A554" i="2"/>
  <c r="B554" i="2"/>
  <c r="G309" i="18"/>
  <c r="P309" i="18"/>
  <c r="H309" i="18"/>
  <c r="R309" i="18"/>
  <c r="I309" i="18"/>
  <c r="J309" i="18"/>
  <c r="L309" i="18"/>
  <c r="F309" i="18"/>
  <c r="K309" i="18"/>
  <c r="M309" i="18"/>
  <c r="O309" i="18"/>
  <c r="Q309" i="18"/>
  <c r="E309" i="18"/>
  <c r="W718" i="1"/>
  <c r="J430" i="18"/>
  <c r="W331" i="1" s="1"/>
  <c r="L430" i="18"/>
  <c r="AI331" i="1" s="1"/>
  <c r="AI718" i="1"/>
  <c r="L78" i="1"/>
  <c r="BR78" i="1"/>
  <c r="BC75" i="1"/>
  <c r="BA77" i="1"/>
  <c r="AX491" i="1"/>
  <c r="H330" i="1"/>
  <c r="AW75" i="1"/>
  <c r="H77" i="1"/>
  <c r="CA492" i="1"/>
  <c r="BC718" i="1"/>
  <c r="K430" i="18"/>
  <c r="BC331" i="1" s="1"/>
  <c r="A66" i="2"/>
  <c r="B66" i="2"/>
  <c r="C553" i="2"/>
  <c r="C675" i="2" s="1"/>
  <c r="AW718" i="1"/>
  <c r="I430" i="18"/>
  <c r="AW331" i="1" s="1"/>
  <c r="M430" i="18"/>
  <c r="BG331" i="1" s="1"/>
  <c r="BG718" i="1"/>
  <c r="AJ78" i="1"/>
  <c r="L76" i="2"/>
  <c r="O76" i="2"/>
  <c r="P76" i="2"/>
  <c r="H76" i="2"/>
  <c r="Q76" i="2"/>
  <c r="I76" i="2"/>
  <c r="R76" i="2"/>
  <c r="K76" i="2"/>
  <c r="M76" i="2"/>
  <c r="N76" i="2"/>
  <c r="E76" i="2"/>
  <c r="D77" i="2"/>
  <c r="CA75" i="1"/>
  <c r="G597" i="1"/>
  <c r="AI492" i="1"/>
  <c r="BH77" i="1"/>
  <c r="BD491" i="1"/>
  <c r="BA199" i="1"/>
  <c r="BV78" i="1"/>
  <c r="F675" i="18"/>
  <c r="AA598" i="1" s="1"/>
  <c r="O675" i="18"/>
  <c r="BQ598" i="1" s="1"/>
  <c r="G675" i="18"/>
  <c r="AO598" i="1" s="1"/>
  <c r="P675" i="18"/>
  <c r="AE598" i="1" s="1"/>
  <c r="K675" i="18"/>
  <c r="BC598" i="1" s="1"/>
  <c r="M675" i="18"/>
  <c r="BG598" i="1" s="1"/>
  <c r="I675" i="18"/>
  <c r="AW598" i="1" s="1"/>
  <c r="E675" i="18"/>
  <c r="K598" i="1" s="1"/>
  <c r="R675" i="18"/>
  <c r="CA598" i="1" s="1"/>
  <c r="Q675" i="18"/>
  <c r="BU598" i="1" s="1"/>
  <c r="L675" i="18"/>
  <c r="AI598" i="1" s="1"/>
  <c r="H675" i="18"/>
  <c r="Q598" i="1" s="1"/>
  <c r="J675" i="18"/>
  <c r="W598" i="1" s="1"/>
  <c r="AO718" i="1"/>
  <c r="G430" i="18"/>
  <c r="AO331" i="1" s="1"/>
  <c r="K718" i="1"/>
  <c r="E430" i="18"/>
  <c r="K331" i="1" s="1"/>
  <c r="BD78" i="1"/>
  <c r="BN78" i="1"/>
  <c r="H596" i="1"/>
  <c r="W75" i="1"/>
  <c r="E564" i="18"/>
  <c r="D565" i="18"/>
  <c r="H564" i="18"/>
  <c r="Q564" i="18"/>
  <c r="R564" i="18"/>
  <c r="L564" i="18"/>
  <c r="J564" i="18"/>
  <c r="U77" i="1"/>
  <c r="R491" i="1"/>
  <c r="AV199" i="1"/>
  <c r="W719" i="1" l="1"/>
  <c r="J431" i="18"/>
  <c r="W332" i="1" s="1"/>
  <c r="F430" i="2"/>
  <c r="AB331" i="1" s="1"/>
  <c r="AB718" i="1"/>
  <c r="AM78" i="1"/>
  <c r="AJ493" i="1"/>
  <c r="I77" i="1"/>
  <c r="AW76" i="1"/>
  <c r="AM200" i="1"/>
  <c r="AJ597" i="1"/>
  <c r="A555" i="18"/>
  <c r="C555" i="18" s="1"/>
  <c r="C677" i="18" s="1"/>
  <c r="B555" i="18"/>
  <c r="D67" i="1"/>
  <c r="F67" i="1"/>
  <c r="E67" i="1"/>
  <c r="C481" i="1"/>
  <c r="AT200" i="1"/>
  <c r="AW719" i="1"/>
  <c r="I431" i="18"/>
  <c r="AW332" i="1" s="1"/>
  <c r="CA719" i="1"/>
  <c r="R431" i="18"/>
  <c r="CA332" i="1" s="1"/>
  <c r="L187" i="18"/>
  <c r="AI202" i="1" s="1"/>
  <c r="P187" i="18"/>
  <c r="AE202" i="1" s="1"/>
  <c r="F187" i="18"/>
  <c r="AA202" i="1" s="1"/>
  <c r="O187" i="18"/>
  <c r="BQ202" i="1" s="1"/>
  <c r="A186" i="13"/>
  <c r="C186" i="13" s="1"/>
  <c r="M187" i="18"/>
  <c r="BG202" i="1" s="1"/>
  <c r="K187" i="18"/>
  <c r="BC202" i="1" s="1"/>
  <c r="I187" i="18"/>
  <c r="AW202" i="1" s="1"/>
  <c r="J187" i="18"/>
  <c r="W202" i="1" s="1"/>
  <c r="H187" i="18"/>
  <c r="Q202" i="1" s="1"/>
  <c r="Q187" i="18"/>
  <c r="BU202" i="1" s="1"/>
  <c r="G187" i="18"/>
  <c r="AO202" i="1" s="1"/>
  <c r="E187" i="18"/>
  <c r="K202" i="1" s="1"/>
  <c r="R187" i="18"/>
  <c r="CA202" i="1" s="1"/>
  <c r="BA200" i="1"/>
  <c r="AX597" i="1"/>
  <c r="W493" i="1"/>
  <c r="L79" i="1"/>
  <c r="AF79" i="1"/>
  <c r="O431" i="18"/>
  <c r="BQ332" i="1" s="1"/>
  <c r="BQ719" i="1"/>
  <c r="Q719" i="1"/>
  <c r="H431" i="18"/>
  <c r="Q332" i="1" s="1"/>
  <c r="BR718" i="1"/>
  <c r="O430" i="2"/>
  <c r="BR331" i="1" s="1"/>
  <c r="G75" i="1"/>
  <c r="O78" i="1"/>
  <c r="L492" i="1"/>
  <c r="CA76" i="1"/>
  <c r="O200" i="1"/>
  <c r="L597" i="1"/>
  <c r="F186" i="2"/>
  <c r="AB201" i="1" s="1"/>
  <c r="G186" i="2"/>
  <c r="AP201" i="1" s="1"/>
  <c r="J186" i="2"/>
  <c r="X201" i="1" s="1"/>
  <c r="M186" i="2"/>
  <c r="BJ201" i="1" s="1"/>
  <c r="L186" i="2"/>
  <c r="AJ201" i="1" s="1"/>
  <c r="K186" i="2"/>
  <c r="BD201" i="1" s="1"/>
  <c r="R186" i="2"/>
  <c r="CB201" i="1" s="1"/>
  <c r="E186" i="2"/>
  <c r="L201" i="1" s="1"/>
  <c r="H186" i="2"/>
  <c r="R201" i="1" s="1"/>
  <c r="N186" i="2"/>
  <c r="BN201" i="1" s="1"/>
  <c r="O186" i="2"/>
  <c r="BR201" i="1" s="1"/>
  <c r="I186" i="2"/>
  <c r="AX201" i="1" s="1"/>
  <c r="Q186" i="2"/>
  <c r="BV201" i="1" s="1"/>
  <c r="P186" i="2"/>
  <c r="AF201" i="1" s="1"/>
  <c r="K493" i="1"/>
  <c r="BU76" i="1"/>
  <c r="N77" i="2"/>
  <c r="D78" i="2"/>
  <c r="O77" i="2"/>
  <c r="H77" i="2"/>
  <c r="P77" i="2"/>
  <c r="I77" i="2"/>
  <c r="Q77" i="2"/>
  <c r="R77" i="2"/>
  <c r="K77" i="2"/>
  <c r="L77" i="2"/>
  <c r="M77" i="2"/>
  <c r="E77" i="2"/>
  <c r="H78" i="1"/>
  <c r="E565" i="2"/>
  <c r="L565" i="2"/>
  <c r="D566" i="2"/>
  <c r="R565" i="2"/>
  <c r="K565" i="2"/>
  <c r="Q565" i="2"/>
  <c r="H565" i="2"/>
  <c r="I565" i="2"/>
  <c r="AI493" i="1"/>
  <c r="BR79" i="1"/>
  <c r="BG719" i="1"/>
  <c r="M431" i="18"/>
  <c r="BG332" i="1" s="1"/>
  <c r="P431" i="18"/>
  <c r="AE332" i="1" s="1"/>
  <c r="AE719" i="1"/>
  <c r="R718" i="1"/>
  <c r="H430" i="2"/>
  <c r="R331" i="1" s="1"/>
  <c r="G430" i="2"/>
  <c r="AP331" i="1" s="1"/>
  <c r="AP718" i="1"/>
  <c r="BA78" i="1"/>
  <c r="AX492" i="1"/>
  <c r="K76" i="1"/>
  <c r="W76" i="1"/>
  <c r="BY200" i="1"/>
  <c r="BV597" i="1"/>
  <c r="BV79" i="1"/>
  <c r="AX718" i="1"/>
  <c r="I430" i="2"/>
  <c r="AX331" i="1" s="1"/>
  <c r="I310" i="18"/>
  <c r="R310" i="18"/>
  <c r="L310" i="18"/>
  <c r="M310" i="18"/>
  <c r="E310" i="18"/>
  <c r="O310" i="18"/>
  <c r="G310" i="18"/>
  <c r="Q310" i="18"/>
  <c r="K310" i="18"/>
  <c r="P310" i="18"/>
  <c r="H310" i="18"/>
  <c r="J310" i="18"/>
  <c r="F310" i="18"/>
  <c r="G676" i="18"/>
  <c r="AO599" i="1" s="1"/>
  <c r="P676" i="18"/>
  <c r="AE599" i="1" s="1"/>
  <c r="I676" i="18"/>
  <c r="AW599" i="1" s="1"/>
  <c r="F676" i="18"/>
  <c r="AA599" i="1" s="1"/>
  <c r="O676" i="18"/>
  <c r="BQ599" i="1" s="1"/>
  <c r="M676" i="18"/>
  <c r="BG599" i="1" s="1"/>
  <c r="K676" i="18"/>
  <c r="BC599" i="1" s="1"/>
  <c r="R676" i="18"/>
  <c r="CA599" i="1" s="1"/>
  <c r="E676" i="18"/>
  <c r="K599" i="1" s="1"/>
  <c r="L676" i="18"/>
  <c r="AI599" i="1" s="1"/>
  <c r="H676" i="18"/>
  <c r="Q599" i="1" s="1"/>
  <c r="J676" i="18"/>
  <c r="W599" i="1" s="1"/>
  <c r="Q676" i="18"/>
  <c r="BU599" i="1" s="1"/>
  <c r="BU719" i="1"/>
  <c r="Q431" i="18"/>
  <c r="BU332" i="1" s="1"/>
  <c r="Q76" i="1"/>
  <c r="BN79" i="1"/>
  <c r="CA493" i="1"/>
  <c r="G598" i="1"/>
  <c r="BJ79" i="1"/>
  <c r="AJ79" i="1"/>
  <c r="F675" i="2"/>
  <c r="AB598" i="1" s="1"/>
  <c r="O675" i="2"/>
  <c r="BR598" i="1" s="1"/>
  <c r="M675" i="2"/>
  <c r="BJ598" i="1" s="1"/>
  <c r="J675" i="2"/>
  <c r="X598" i="1" s="1"/>
  <c r="N675" i="2"/>
  <c r="P675" i="2"/>
  <c r="AF598" i="1" s="1"/>
  <c r="G675" i="2"/>
  <c r="AP598" i="1" s="1"/>
  <c r="E675" i="2"/>
  <c r="I675" i="2"/>
  <c r="K675" i="2"/>
  <c r="BD598" i="1" s="1"/>
  <c r="H675" i="2"/>
  <c r="Q675" i="2"/>
  <c r="R675" i="2"/>
  <c r="L675" i="2"/>
  <c r="BC719" i="1"/>
  <c r="K431" i="18"/>
  <c r="BC332" i="1" s="1"/>
  <c r="AO719" i="1"/>
  <c r="G431" i="18"/>
  <c r="AO332" i="1" s="1"/>
  <c r="J430" i="2"/>
  <c r="X331" i="1" s="1"/>
  <c r="X718" i="1"/>
  <c r="BD718" i="1"/>
  <c r="K430" i="2"/>
  <c r="BD331" i="1" s="1"/>
  <c r="CE78" i="1"/>
  <c r="CB492" i="1"/>
  <c r="AO76" i="1"/>
  <c r="C66" i="18"/>
  <c r="CE200" i="1"/>
  <c r="CB597" i="1"/>
  <c r="CG330" i="1"/>
  <c r="L565" i="18"/>
  <c r="E565" i="18"/>
  <c r="D566" i="18"/>
  <c r="H565" i="18"/>
  <c r="Q565" i="18"/>
  <c r="J565" i="18"/>
  <c r="R565" i="18"/>
  <c r="K719" i="1"/>
  <c r="E431" i="18"/>
  <c r="K332" i="1" s="1"/>
  <c r="BH78" i="1"/>
  <c r="BD492" i="1"/>
  <c r="R79" i="1"/>
  <c r="BJ718" i="1"/>
  <c r="M430" i="2"/>
  <c r="BJ331" i="1" s="1"/>
  <c r="BU493" i="1"/>
  <c r="BD79" i="1"/>
  <c r="A67" i="2"/>
  <c r="C67" i="2" s="1"/>
  <c r="B67" i="2"/>
  <c r="F431" i="18"/>
  <c r="AA332" i="1" s="1"/>
  <c r="AA719" i="1"/>
  <c r="A555" i="2"/>
  <c r="B555" i="2"/>
  <c r="AF718" i="1"/>
  <c r="P430" i="2"/>
  <c r="AF331" i="1" s="1"/>
  <c r="CB718" i="1"/>
  <c r="R430" i="2"/>
  <c r="CB331" i="1" s="1"/>
  <c r="L190" i="12"/>
  <c r="E190" i="12"/>
  <c r="N190" i="12"/>
  <c r="G190" i="12"/>
  <c r="O190" i="12"/>
  <c r="H190" i="12"/>
  <c r="P190" i="12"/>
  <c r="I190" i="12"/>
  <c r="Q190" i="12"/>
  <c r="J190" i="12"/>
  <c r="R190" i="12"/>
  <c r="F190" i="12"/>
  <c r="K190" i="12"/>
  <c r="S190" i="12"/>
  <c r="M190" i="12"/>
  <c r="U78" i="1"/>
  <c r="R492" i="1"/>
  <c r="H74" i="18"/>
  <c r="I74" i="18"/>
  <c r="Q74" i="18"/>
  <c r="J74" i="18"/>
  <c r="R74" i="18"/>
  <c r="K74" i="18"/>
  <c r="G74" i="18"/>
  <c r="D75" i="18"/>
  <c r="E74" i="18"/>
  <c r="B67" i="18"/>
  <c r="A67" i="18"/>
  <c r="D480" i="1"/>
  <c r="E480" i="1"/>
  <c r="U200" i="1"/>
  <c r="R597" i="1"/>
  <c r="H200" i="1"/>
  <c r="G201" i="1"/>
  <c r="AX79" i="1"/>
  <c r="C187" i="2"/>
  <c r="C310" i="2"/>
  <c r="C432" i="2"/>
  <c r="C68" i="1"/>
  <c r="C202" i="1"/>
  <c r="C611" i="1" s="1"/>
  <c r="C333" i="1"/>
  <c r="D333" i="1" s="1"/>
  <c r="BV718" i="1"/>
  <c r="Q430" i="2"/>
  <c r="BV331" i="1" s="1"/>
  <c r="C719" i="1"/>
  <c r="H309" i="2"/>
  <c r="Q309" i="2"/>
  <c r="G309" i="2"/>
  <c r="K309" i="2"/>
  <c r="R309" i="2"/>
  <c r="L309" i="2"/>
  <c r="P309" i="2"/>
  <c r="J309" i="2"/>
  <c r="O309" i="2"/>
  <c r="M309" i="2"/>
  <c r="F309" i="2"/>
  <c r="E309" i="2"/>
  <c r="N309" i="2"/>
  <c r="N431" i="2" s="1"/>
  <c r="BN332" i="1" s="1"/>
  <c r="I309" i="2"/>
  <c r="G331" i="1"/>
  <c r="Q493" i="1"/>
  <c r="CB79" i="1"/>
  <c r="C66" i="2"/>
  <c r="L431" i="18"/>
  <c r="AI332" i="1" s="1"/>
  <c r="AI719" i="1"/>
  <c r="C554" i="2"/>
  <c r="C676" i="2" s="1"/>
  <c r="L718" i="1"/>
  <c r="E430" i="2"/>
  <c r="L331" i="1" s="1"/>
  <c r="H331" i="1" s="1"/>
  <c r="AJ718" i="1"/>
  <c r="L430" i="2"/>
  <c r="AJ331" i="1" s="1"/>
  <c r="BY78" i="1"/>
  <c r="BV492" i="1"/>
  <c r="H491" i="1"/>
  <c r="BC76" i="1"/>
  <c r="G492" i="1"/>
  <c r="AO77" i="1" l="1"/>
  <c r="W720" i="1"/>
  <c r="J432" i="18"/>
  <c r="W333" i="1" s="1"/>
  <c r="BR719" i="1"/>
  <c r="O431" i="2"/>
  <c r="BR332" i="1" s="1"/>
  <c r="R719" i="1"/>
  <c r="H431" i="2"/>
  <c r="R332" i="1" s="1"/>
  <c r="C720" i="1"/>
  <c r="R310" i="2"/>
  <c r="G310" i="2"/>
  <c r="N310" i="2"/>
  <c r="N432" i="2" s="1"/>
  <c r="BN333" i="1" s="1"/>
  <c r="M310" i="2"/>
  <c r="I310" i="2"/>
  <c r="P310" i="2"/>
  <c r="J310" i="2"/>
  <c r="F310" i="2"/>
  <c r="L310" i="2"/>
  <c r="H310" i="2"/>
  <c r="O310" i="2"/>
  <c r="K310" i="2"/>
  <c r="Q310" i="2"/>
  <c r="E310" i="2"/>
  <c r="BC77" i="1"/>
  <c r="A68" i="2"/>
  <c r="B68" i="2"/>
  <c r="O201" i="1"/>
  <c r="I201" i="1" s="1"/>
  <c r="L598" i="1"/>
  <c r="H598" i="1" s="1"/>
  <c r="Q720" i="1"/>
  <c r="H432" i="18"/>
  <c r="Q333" i="1" s="1"/>
  <c r="L432" i="18"/>
  <c r="AI333" i="1" s="1"/>
  <c r="AI720" i="1"/>
  <c r="BA79" i="1"/>
  <c r="AX493" i="1"/>
  <c r="AF80" i="1"/>
  <c r="G493" i="1"/>
  <c r="H201" i="1"/>
  <c r="H597" i="1"/>
  <c r="AV200" i="1"/>
  <c r="A556" i="18"/>
  <c r="B556" i="18"/>
  <c r="BJ719" i="1"/>
  <c r="M431" i="2"/>
  <c r="BJ332" i="1" s="1"/>
  <c r="G332" i="1"/>
  <c r="M432" i="18"/>
  <c r="BG333" i="1" s="1"/>
  <c r="BG720" i="1"/>
  <c r="J431" i="2"/>
  <c r="X332" i="1" s="1"/>
  <c r="X719" i="1"/>
  <c r="R80" i="1"/>
  <c r="I200" i="1"/>
  <c r="AF719" i="1"/>
  <c r="P431" i="2"/>
  <c r="AF332" i="1" s="1"/>
  <c r="W494" i="1"/>
  <c r="BC720" i="1"/>
  <c r="K432" i="18"/>
  <c r="BC333" i="1" s="1"/>
  <c r="AW720" i="1"/>
  <c r="I432" i="18"/>
  <c r="AW333" i="1" s="1"/>
  <c r="BY79" i="1"/>
  <c r="BV493" i="1"/>
  <c r="BJ80" i="1"/>
  <c r="BR80" i="1"/>
  <c r="H79" i="1"/>
  <c r="G202" i="1"/>
  <c r="AI494" i="1"/>
  <c r="O79" i="1"/>
  <c r="L493" i="1"/>
  <c r="J676" i="2"/>
  <c r="X599" i="1" s="1"/>
  <c r="G676" i="2"/>
  <c r="AP599" i="1" s="1"/>
  <c r="P676" i="2"/>
  <c r="AF599" i="1" s="1"/>
  <c r="F676" i="2"/>
  <c r="AB599" i="1" s="1"/>
  <c r="M676" i="2"/>
  <c r="BJ599" i="1" s="1"/>
  <c r="O676" i="2"/>
  <c r="BR599" i="1" s="1"/>
  <c r="N676" i="2"/>
  <c r="R676" i="2"/>
  <c r="K676" i="2"/>
  <c r="BD599" i="1" s="1"/>
  <c r="E676" i="2"/>
  <c r="I676" i="2"/>
  <c r="Q676" i="2"/>
  <c r="L676" i="2"/>
  <c r="H676" i="2"/>
  <c r="L80" i="1"/>
  <c r="P677" i="18"/>
  <c r="AE600" i="1" s="1"/>
  <c r="G677" i="18"/>
  <c r="AO600" i="1" s="1"/>
  <c r="J677" i="18"/>
  <c r="W600" i="1" s="1"/>
  <c r="Q677" i="18"/>
  <c r="BU600" i="1" s="1"/>
  <c r="AM201" i="1"/>
  <c r="AJ598" i="1"/>
  <c r="AX719" i="1"/>
  <c r="I431" i="2"/>
  <c r="AX332" i="1" s="1"/>
  <c r="AJ719" i="1"/>
  <c r="L431" i="2"/>
  <c r="AJ332" i="1" s="1"/>
  <c r="C67" i="18"/>
  <c r="BU77" i="1"/>
  <c r="BU494" i="1"/>
  <c r="A65" i="10"/>
  <c r="M677" i="18" s="1"/>
  <c r="BG600" i="1" s="1"/>
  <c r="C188" i="18"/>
  <c r="C311" i="18"/>
  <c r="C433" i="18"/>
  <c r="A65" i="13"/>
  <c r="C65" i="13" s="1"/>
  <c r="C191" i="12"/>
  <c r="CE201" i="1"/>
  <c r="CB598" i="1"/>
  <c r="BU720" i="1"/>
  <c r="Q432" i="18"/>
  <c r="BU333" i="1" s="1"/>
  <c r="BH79" i="1"/>
  <c r="BD493" i="1"/>
  <c r="AJ80" i="1"/>
  <c r="L78" i="2"/>
  <c r="E78" i="2"/>
  <c r="M78" i="2"/>
  <c r="N78" i="2"/>
  <c r="D79" i="2"/>
  <c r="O78" i="2"/>
  <c r="H78" i="2"/>
  <c r="P78" i="2"/>
  <c r="I78" i="2"/>
  <c r="Q78" i="2"/>
  <c r="R78" i="2"/>
  <c r="K78" i="2"/>
  <c r="BA201" i="1"/>
  <c r="AX598" i="1"/>
  <c r="C312" i="2"/>
  <c r="C434" i="2"/>
  <c r="C189" i="2"/>
  <c r="C70" i="1"/>
  <c r="C204" i="1"/>
  <c r="C613" i="1" s="1"/>
  <c r="C335" i="1"/>
  <c r="D335" i="1" s="1"/>
  <c r="BY201" i="1"/>
  <c r="BV598" i="1"/>
  <c r="AO720" i="1"/>
  <c r="G432" i="18"/>
  <c r="AO333" i="1" s="1"/>
  <c r="CE79" i="1"/>
  <c r="CB493" i="1"/>
  <c r="BD80" i="1"/>
  <c r="BN80" i="1"/>
  <c r="AT201" i="1"/>
  <c r="E481" i="1"/>
  <c r="D481" i="1"/>
  <c r="BV719" i="1"/>
  <c r="Q431" i="2"/>
  <c r="BV332" i="1" s="1"/>
  <c r="G187" i="2"/>
  <c r="AP202" i="1" s="1"/>
  <c r="J187" i="2"/>
  <c r="X202" i="1" s="1"/>
  <c r="F187" i="2"/>
  <c r="AB202" i="1" s="1"/>
  <c r="N187" i="2"/>
  <c r="BN202" i="1" s="1"/>
  <c r="Q187" i="2"/>
  <c r="BV202" i="1" s="1"/>
  <c r="O187" i="2"/>
  <c r="BR202" i="1" s="1"/>
  <c r="L187" i="2"/>
  <c r="AJ202" i="1" s="1"/>
  <c r="H187" i="2"/>
  <c r="R202" i="1" s="1"/>
  <c r="P187" i="2"/>
  <c r="AF202" i="1" s="1"/>
  <c r="I187" i="2"/>
  <c r="AX202" i="1" s="1"/>
  <c r="R187" i="2"/>
  <c r="CB202" i="1" s="1"/>
  <c r="M187" i="2"/>
  <c r="BJ202" i="1" s="1"/>
  <c r="E187" i="2"/>
  <c r="L202" i="1" s="1"/>
  <c r="H202" i="1" s="1"/>
  <c r="K187" i="2"/>
  <c r="BD202" i="1" s="1"/>
  <c r="CA494" i="1"/>
  <c r="CA720" i="1"/>
  <c r="R432" i="18"/>
  <c r="CA333" i="1" s="1"/>
  <c r="CG331" i="1"/>
  <c r="C188" i="2"/>
  <c r="C311" i="2"/>
  <c r="C433" i="2"/>
  <c r="C69" i="1"/>
  <c r="C203" i="1"/>
  <c r="C612" i="1" s="1"/>
  <c r="C334" i="1"/>
  <c r="D334" i="1" s="1"/>
  <c r="CB719" i="1"/>
  <c r="R431" i="2"/>
  <c r="CB332" i="1" s="1"/>
  <c r="AW77" i="1"/>
  <c r="Q494" i="1"/>
  <c r="L719" i="1"/>
  <c r="E431" i="2"/>
  <c r="L332" i="1" s="1"/>
  <c r="BD719" i="1"/>
  <c r="K431" i="2"/>
  <c r="BD332" i="1" s="1"/>
  <c r="K77" i="1"/>
  <c r="Q77" i="1"/>
  <c r="C555" i="2"/>
  <c r="C677" i="2" s="1"/>
  <c r="L566" i="18"/>
  <c r="E566" i="18"/>
  <c r="D567" i="18"/>
  <c r="J566" i="18"/>
  <c r="Q566" i="18"/>
  <c r="R566" i="18"/>
  <c r="H566" i="18"/>
  <c r="U201" i="1"/>
  <c r="R598" i="1"/>
  <c r="G599" i="1"/>
  <c r="O432" i="18"/>
  <c r="BQ333" i="1" s="1"/>
  <c r="BQ720" i="1"/>
  <c r="G76" i="1"/>
  <c r="R566" i="2"/>
  <c r="K566" i="2"/>
  <c r="L566" i="2"/>
  <c r="H566" i="2"/>
  <c r="I566" i="2"/>
  <c r="Q566" i="2"/>
  <c r="D567" i="2"/>
  <c r="E566" i="2"/>
  <c r="CB80" i="1"/>
  <c r="H492" i="1"/>
  <c r="AX80" i="1"/>
  <c r="CA77" i="1"/>
  <c r="P432" i="18"/>
  <c r="AE333" i="1" s="1"/>
  <c r="AE720" i="1"/>
  <c r="U79" i="1"/>
  <c r="R493" i="1"/>
  <c r="W77" i="1"/>
  <c r="A68" i="18"/>
  <c r="B68" i="18"/>
  <c r="A556" i="2"/>
  <c r="C556" i="2" s="1"/>
  <c r="C678" i="2" s="1"/>
  <c r="B556" i="2"/>
  <c r="F431" i="2"/>
  <c r="AB332" i="1" s="1"/>
  <c r="AB719" i="1"/>
  <c r="G431" i="2"/>
  <c r="AP332" i="1" s="1"/>
  <c r="AP719" i="1"/>
  <c r="D68" i="1"/>
  <c r="E68" i="1"/>
  <c r="F68" i="1"/>
  <c r="C482" i="1"/>
  <c r="D76" i="18"/>
  <c r="G75" i="18"/>
  <c r="H75" i="18"/>
  <c r="I75" i="18"/>
  <c r="Q75" i="18"/>
  <c r="J75" i="18"/>
  <c r="R75" i="18"/>
  <c r="K75" i="18"/>
  <c r="E75" i="18"/>
  <c r="K494" i="1"/>
  <c r="F432" i="18"/>
  <c r="AA333" i="1" s="1"/>
  <c r="AA720" i="1"/>
  <c r="K720" i="1"/>
  <c r="E432" i="18"/>
  <c r="K333" i="1" s="1"/>
  <c r="G333" i="1" s="1"/>
  <c r="AM79" i="1"/>
  <c r="AJ494" i="1"/>
  <c r="BV80" i="1"/>
  <c r="I78" i="1"/>
  <c r="F678" i="2" l="1"/>
  <c r="AB601" i="1" s="1"/>
  <c r="J678" i="2"/>
  <c r="X601" i="1" s="1"/>
  <c r="L678" i="2"/>
  <c r="C721" i="1"/>
  <c r="H311" i="2"/>
  <c r="N311" i="2"/>
  <c r="N433" i="2" s="1"/>
  <c r="BN334" i="1" s="1"/>
  <c r="M311" i="2"/>
  <c r="L311" i="2"/>
  <c r="O311" i="2"/>
  <c r="G311" i="2"/>
  <c r="R311" i="2"/>
  <c r="K311" i="2"/>
  <c r="P311" i="2"/>
  <c r="J311" i="2"/>
  <c r="I311" i="2"/>
  <c r="F311" i="2"/>
  <c r="E311" i="2"/>
  <c r="Q311" i="2"/>
  <c r="BJ81" i="1"/>
  <c r="BV720" i="1"/>
  <c r="Q432" i="2"/>
  <c r="BV333" i="1" s="1"/>
  <c r="W78" i="1"/>
  <c r="AI495" i="1"/>
  <c r="BV81" i="1"/>
  <c r="C556" i="18"/>
  <c r="C678" i="18" s="1"/>
  <c r="BU78" i="1"/>
  <c r="C68" i="18"/>
  <c r="G494" i="1"/>
  <c r="AO78" i="1"/>
  <c r="O80" i="1"/>
  <c r="L494" i="1"/>
  <c r="BU495" i="1"/>
  <c r="G76" i="18"/>
  <c r="H76" i="18"/>
  <c r="I76" i="18"/>
  <c r="Q76" i="18"/>
  <c r="J76" i="18"/>
  <c r="R76" i="18"/>
  <c r="E76" i="18"/>
  <c r="D77" i="18"/>
  <c r="K76" i="18"/>
  <c r="H567" i="2"/>
  <c r="I567" i="2"/>
  <c r="Q567" i="2"/>
  <c r="R567" i="2"/>
  <c r="D568" i="2"/>
  <c r="K567" i="2"/>
  <c r="L567" i="2"/>
  <c r="E567" i="2"/>
  <c r="W495" i="1"/>
  <c r="BC78" i="1"/>
  <c r="D482" i="1"/>
  <c r="E482" i="1"/>
  <c r="A557" i="2"/>
  <c r="C557" i="2" s="1"/>
  <c r="C679" i="2" s="1"/>
  <c r="B557" i="2"/>
  <c r="BY80" i="1"/>
  <c r="BV494" i="1"/>
  <c r="J567" i="18"/>
  <c r="L567" i="18"/>
  <c r="E567" i="18"/>
  <c r="D568" i="18"/>
  <c r="R567" i="18"/>
  <c r="Q567" i="18"/>
  <c r="H567" i="18"/>
  <c r="BD81" i="1"/>
  <c r="BN81" i="1"/>
  <c r="H677" i="18"/>
  <c r="Q600" i="1" s="1"/>
  <c r="O677" i="18"/>
  <c r="BQ600" i="1" s="1"/>
  <c r="U202" i="1"/>
  <c r="R599" i="1"/>
  <c r="L720" i="1"/>
  <c r="E432" i="2"/>
  <c r="L333" i="1" s="1"/>
  <c r="AF720" i="1"/>
  <c r="P432" i="2"/>
  <c r="AF333" i="1" s="1"/>
  <c r="AX720" i="1"/>
  <c r="I432" i="2"/>
  <c r="AX333" i="1" s="1"/>
  <c r="M677" i="2"/>
  <c r="BJ600" i="1" s="1"/>
  <c r="J677" i="2"/>
  <c r="X600" i="1" s="1"/>
  <c r="P677" i="2"/>
  <c r="AF600" i="1" s="1"/>
  <c r="F677" i="2"/>
  <c r="AB600" i="1" s="1"/>
  <c r="G677" i="2"/>
  <c r="AP600" i="1" s="1"/>
  <c r="N677" i="2"/>
  <c r="O677" i="2"/>
  <c r="BR600" i="1" s="1"/>
  <c r="H677" i="2"/>
  <c r="Q677" i="2"/>
  <c r="R677" i="2"/>
  <c r="I677" i="2"/>
  <c r="E677" i="2"/>
  <c r="L677" i="2"/>
  <c r="K677" i="2"/>
  <c r="BD600" i="1" s="1"/>
  <c r="G189" i="2"/>
  <c r="AP204" i="1" s="1"/>
  <c r="O189" i="2"/>
  <c r="BR204" i="1" s="1"/>
  <c r="P189" i="2"/>
  <c r="AF204" i="1" s="1"/>
  <c r="M189" i="2"/>
  <c r="BJ204" i="1" s="1"/>
  <c r="AX81" i="1"/>
  <c r="AJ81" i="1"/>
  <c r="R677" i="18"/>
  <c r="CA600" i="1" s="1"/>
  <c r="F677" i="18"/>
  <c r="AA600" i="1" s="1"/>
  <c r="BA202" i="1"/>
  <c r="AX599" i="1"/>
  <c r="B69" i="2"/>
  <c r="A69" i="2"/>
  <c r="C69" i="2" s="1"/>
  <c r="BR720" i="1"/>
  <c r="O432" i="2"/>
  <c r="BR333" i="1" s="1"/>
  <c r="BA80" i="1"/>
  <c r="AX494" i="1"/>
  <c r="CB81" i="1"/>
  <c r="K311" i="18"/>
  <c r="G311" i="18"/>
  <c r="Q311" i="18"/>
  <c r="H311" i="18"/>
  <c r="R311" i="18"/>
  <c r="I311" i="18"/>
  <c r="L311" i="18"/>
  <c r="P311" i="18"/>
  <c r="E311" i="18"/>
  <c r="F311" i="18"/>
  <c r="M311" i="18"/>
  <c r="J311" i="18"/>
  <c r="O311" i="18"/>
  <c r="B557" i="18"/>
  <c r="A557" i="18"/>
  <c r="J188" i="2"/>
  <c r="X203" i="1" s="1"/>
  <c r="F188" i="2"/>
  <c r="AB203" i="1" s="1"/>
  <c r="G188" i="2"/>
  <c r="AP203" i="1" s="1"/>
  <c r="N188" i="2"/>
  <c r="BN203" i="1" s="1"/>
  <c r="P188" i="2"/>
  <c r="AF203" i="1" s="1"/>
  <c r="R188" i="2"/>
  <c r="CB203" i="1" s="1"/>
  <c r="Q188" i="2"/>
  <c r="BV203" i="1" s="1"/>
  <c r="O188" i="2"/>
  <c r="BR203" i="1" s="1"/>
  <c r="L188" i="2"/>
  <c r="AJ203" i="1" s="1"/>
  <c r="E188" i="2"/>
  <c r="L203" i="1" s="1"/>
  <c r="M188" i="2"/>
  <c r="BJ203" i="1" s="1"/>
  <c r="H188" i="2"/>
  <c r="R203" i="1" s="1"/>
  <c r="K188" i="2"/>
  <c r="BD203" i="1" s="1"/>
  <c r="I188" i="2"/>
  <c r="AX203" i="1" s="1"/>
  <c r="BD720" i="1"/>
  <c r="K432" i="2"/>
  <c r="BD333" i="1" s="1"/>
  <c r="BH80" i="1"/>
  <c r="BD494" i="1"/>
  <c r="Q495" i="1"/>
  <c r="H332" i="1"/>
  <c r="AT202" i="1"/>
  <c r="AF81" i="1"/>
  <c r="L677" i="18"/>
  <c r="AI600" i="1" s="1"/>
  <c r="I677" i="18"/>
  <c r="AW600" i="1" s="1"/>
  <c r="O202" i="1"/>
  <c r="L599" i="1"/>
  <c r="C68" i="2"/>
  <c r="R720" i="1"/>
  <c r="H432" i="2"/>
  <c r="R333" i="1" s="1"/>
  <c r="G432" i="2"/>
  <c r="AP333" i="1" s="1"/>
  <c r="AP720" i="1"/>
  <c r="AM80" i="1"/>
  <c r="AJ495" i="1"/>
  <c r="Q78" i="1"/>
  <c r="C722" i="1"/>
  <c r="L312" i="2"/>
  <c r="R312" i="2"/>
  <c r="G312" i="2"/>
  <c r="N312" i="2"/>
  <c r="N434" i="2" s="1"/>
  <c r="BN335" i="1" s="1"/>
  <c r="M312" i="2"/>
  <c r="I312" i="2"/>
  <c r="P312" i="2"/>
  <c r="J312" i="2"/>
  <c r="E312" i="2"/>
  <c r="H312" i="2"/>
  <c r="O312" i="2"/>
  <c r="Q312" i="2"/>
  <c r="F312" i="2"/>
  <c r="K312" i="2"/>
  <c r="R81" i="1"/>
  <c r="E677" i="18"/>
  <c r="K600" i="1" s="1"/>
  <c r="H80" i="1"/>
  <c r="AJ720" i="1"/>
  <c r="L432" i="2"/>
  <c r="AJ333" i="1" s="1"/>
  <c r="CB720" i="1"/>
  <c r="R432" i="2"/>
  <c r="CB333" i="1" s="1"/>
  <c r="CA78" i="1"/>
  <c r="A66" i="10"/>
  <c r="G678" i="2" s="1"/>
  <c r="AP601" i="1" s="1"/>
  <c r="C312" i="18"/>
  <c r="C189" i="18"/>
  <c r="A66" i="13"/>
  <c r="C66" i="13" s="1"/>
  <c r="C434" i="18"/>
  <c r="C192" i="12"/>
  <c r="U80" i="1"/>
  <c r="R494" i="1"/>
  <c r="L81" i="1"/>
  <c r="BY202" i="1"/>
  <c r="BV599" i="1"/>
  <c r="CA495" i="1"/>
  <c r="BR81" i="1"/>
  <c r="L191" i="12"/>
  <c r="E191" i="12"/>
  <c r="F191" i="12"/>
  <c r="M191" i="12"/>
  <c r="N191" i="12"/>
  <c r="G191" i="12"/>
  <c r="O191" i="12"/>
  <c r="H191" i="12"/>
  <c r="P191" i="12"/>
  <c r="I191" i="12"/>
  <c r="Q191" i="12"/>
  <c r="J191" i="12"/>
  <c r="R191" i="12"/>
  <c r="K191" i="12"/>
  <c r="S191" i="12"/>
  <c r="K677" i="18"/>
  <c r="BC600" i="1" s="1"/>
  <c r="CE202" i="1"/>
  <c r="CB599" i="1"/>
  <c r="H493" i="1"/>
  <c r="CG332" i="1"/>
  <c r="F432" i="2"/>
  <c r="AB333" i="1" s="1"/>
  <c r="AB720" i="1"/>
  <c r="K495" i="1"/>
  <c r="AM202" i="1"/>
  <c r="AJ599" i="1"/>
  <c r="A69" i="18"/>
  <c r="B69" i="18"/>
  <c r="E70" i="1"/>
  <c r="D70" i="1"/>
  <c r="F70" i="1"/>
  <c r="C484" i="1"/>
  <c r="M188" i="18"/>
  <c r="BG203" i="1" s="1"/>
  <c r="F188" i="18"/>
  <c r="AA203" i="1" s="1"/>
  <c r="O188" i="18"/>
  <c r="BQ203" i="1" s="1"/>
  <c r="P188" i="18"/>
  <c r="AE203" i="1" s="1"/>
  <c r="L188" i="18"/>
  <c r="AI203" i="1" s="1"/>
  <c r="A187" i="13"/>
  <c r="C187" i="13" s="1"/>
  <c r="I188" i="18"/>
  <c r="AW203" i="1" s="1"/>
  <c r="R188" i="18"/>
  <c r="CA203" i="1" s="1"/>
  <c r="G188" i="18"/>
  <c r="AO203" i="1" s="1"/>
  <c r="E188" i="18"/>
  <c r="K203" i="1" s="1"/>
  <c r="Q188" i="18"/>
  <c r="BU203" i="1" s="1"/>
  <c r="H188" i="18"/>
  <c r="Q203" i="1" s="1"/>
  <c r="K188" i="18"/>
  <c r="BC203" i="1" s="1"/>
  <c r="J188" i="18"/>
  <c r="W203" i="1" s="1"/>
  <c r="BJ720" i="1"/>
  <c r="M432" i="2"/>
  <c r="BJ333" i="1" s="1"/>
  <c r="AW78" i="1"/>
  <c r="CE80" i="1"/>
  <c r="CB494" i="1"/>
  <c r="K78" i="1"/>
  <c r="G77" i="1"/>
  <c r="F69" i="1"/>
  <c r="D69" i="1"/>
  <c r="E69" i="1"/>
  <c r="C483" i="1"/>
  <c r="AV201" i="1"/>
  <c r="R79" i="2"/>
  <c r="K79" i="2"/>
  <c r="L79" i="2"/>
  <c r="E79" i="2"/>
  <c r="M79" i="2"/>
  <c r="N79" i="2"/>
  <c r="D80" i="2"/>
  <c r="O79" i="2"/>
  <c r="Q79" i="2"/>
  <c r="I79" i="2"/>
  <c r="H79" i="2"/>
  <c r="P79" i="2"/>
  <c r="I79" i="1"/>
  <c r="J432" i="2"/>
  <c r="X333" i="1" s="1"/>
  <c r="X720" i="1"/>
  <c r="BJ82" i="1" l="1"/>
  <c r="L192" i="12"/>
  <c r="E192" i="12"/>
  <c r="G192" i="12"/>
  <c r="O192" i="12"/>
  <c r="H192" i="12"/>
  <c r="P192" i="12"/>
  <c r="I192" i="12"/>
  <c r="Q192" i="12"/>
  <c r="J192" i="12"/>
  <c r="R192" i="12"/>
  <c r="F192" i="12"/>
  <c r="K192" i="12"/>
  <c r="S192" i="12"/>
  <c r="M192" i="12"/>
  <c r="N192" i="12"/>
  <c r="H80" i="2"/>
  <c r="P80" i="2"/>
  <c r="I80" i="2"/>
  <c r="Q80" i="2"/>
  <c r="R80" i="2"/>
  <c r="K80" i="2"/>
  <c r="L80" i="2"/>
  <c r="E80" i="2"/>
  <c r="M80" i="2"/>
  <c r="O80" i="2"/>
  <c r="D81" i="2"/>
  <c r="N80" i="2"/>
  <c r="D483" i="1"/>
  <c r="E483" i="1"/>
  <c r="BN82" i="1"/>
  <c r="G600" i="1"/>
  <c r="R722" i="1"/>
  <c r="H434" i="2"/>
  <c r="R335" i="1" s="1"/>
  <c r="CB722" i="1"/>
  <c r="R434" i="2"/>
  <c r="CB335" i="1" s="1"/>
  <c r="M433" i="18"/>
  <c r="BG334" i="1" s="1"/>
  <c r="BG721" i="1"/>
  <c r="BU721" i="1"/>
  <c r="Q433" i="18"/>
  <c r="BU334" i="1" s="1"/>
  <c r="K189" i="2"/>
  <c r="BD204" i="1" s="1"/>
  <c r="R189" i="2"/>
  <c r="CB204" i="1" s="1"/>
  <c r="BA203" i="1"/>
  <c r="AV203" i="1" s="1"/>
  <c r="AX600" i="1"/>
  <c r="H333" i="1"/>
  <c r="CG333" i="1" s="1"/>
  <c r="K496" i="1"/>
  <c r="AM81" i="1"/>
  <c r="AJ496" i="1"/>
  <c r="J77" i="18"/>
  <c r="R77" i="18"/>
  <c r="E77" i="18"/>
  <c r="G77" i="18"/>
  <c r="H77" i="18"/>
  <c r="Q77" i="18"/>
  <c r="I77" i="18"/>
  <c r="D78" i="18"/>
  <c r="K77" i="18"/>
  <c r="AF721" i="1"/>
  <c r="P433" i="2"/>
  <c r="AF334" i="1" s="1"/>
  <c r="R721" i="1"/>
  <c r="H433" i="2"/>
  <c r="R334" i="1" s="1"/>
  <c r="H678" i="2"/>
  <c r="AJ722" i="1"/>
  <c r="L434" i="2"/>
  <c r="AJ335" i="1" s="1"/>
  <c r="K79" i="1"/>
  <c r="J434" i="2"/>
  <c r="X335" i="1" s="1"/>
  <c r="X722" i="1"/>
  <c r="H494" i="1"/>
  <c r="AJ82" i="1"/>
  <c r="G203" i="1"/>
  <c r="AF722" i="1"/>
  <c r="P434" i="2"/>
  <c r="AF335" i="1" s="1"/>
  <c r="P433" i="18"/>
  <c r="AE334" i="1" s="1"/>
  <c r="AE721" i="1"/>
  <c r="C191" i="2"/>
  <c r="C314" i="2"/>
  <c r="C436" i="2"/>
  <c r="C72" i="1"/>
  <c r="C206" i="1"/>
  <c r="C615" i="1" s="1"/>
  <c r="C337" i="1"/>
  <c r="D337" i="1" s="1"/>
  <c r="H189" i="2"/>
  <c r="R204" i="1" s="1"/>
  <c r="F189" i="2"/>
  <c r="AB204" i="1" s="1"/>
  <c r="U203" i="1"/>
  <c r="R600" i="1"/>
  <c r="CE81" i="1"/>
  <c r="CB495" i="1"/>
  <c r="W79" i="1"/>
  <c r="I80" i="1"/>
  <c r="BV721" i="1"/>
  <c r="Q433" i="2"/>
  <c r="BV334" i="1" s="1"/>
  <c r="G433" i="2"/>
  <c r="AP334" i="1" s="1"/>
  <c r="AP721" i="1"/>
  <c r="I678" i="2"/>
  <c r="O678" i="2"/>
  <c r="BR601" i="1" s="1"/>
  <c r="A70" i="18"/>
  <c r="B70" i="18"/>
  <c r="BD721" i="1"/>
  <c r="K433" i="2"/>
  <c r="BD334" i="1" s="1"/>
  <c r="L82" i="1"/>
  <c r="C69" i="18"/>
  <c r="AM204" i="1"/>
  <c r="AJ601" i="1"/>
  <c r="R82" i="1"/>
  <c r="AX82" i="1"/>
  <c r="BD82" i="1"/>
  <c r="G78" i="1"/>
  <c r="H81" i="1"/>
  <c r="BD722" i="1"/>
  <c r="K434" i="2"/>
  <c r="BD335" i="1" s="1"/>
  <c r="AX722" i="1"/>
  <c r="I434" i="2"/>
  <c r="AX335" i="1" s="1"/>
  <c r="C557" i="18"/>
  <c r="C679" i="18" s="1"/>
  <c r="L433" i="18"/>
  <c r="AI334" i="1" s="1"/>
  <c r="AI721" i="1"/>
  <c r="A70" i="2"/>
  <c r="B70" i="2"/>
  <c r="L189" i="2"/>
  <c r="AJ204" i="1" s="1"/>
  <c r="J189" i="2"/>
  <c r="X204" i="1" s="1"/>
  <c r="Q496" i="1"/>
  <c r="BY81" i="1"/>
  <c r="BV495" i="1"/>
  <c r="BU79" i="1"/>
  <c r="L721" i="1"/>
  <c r="E433" i="2"/>
  <c r="L334" i="1" s="1"/>
  <c r="BR721" i="1"/>
  <c r="O433" i="2"/>
  <c r="BR334" i="1" s="1"/>
  <c r="R678" i="2"/>
  <c r="M678" i="2"/>
  <c r="BJ601" i="1" s="1"/>
  <c r="AO721" i="1"/>
  <c r="G433" i="18"/>
  <c r="AO334" i="1" s="1"/>
  <c r="AI496" i="1"/>
  <c r="A67" i="10"/>
  <c r="K679" i="2" s="1"/>
  <c r="BD602" i="1" s="1"/>
  <c r="C190" i="18"/>
  <c r="C435" i="18"/>
  <c r="C313" i="18"/>
  <c r="A67" i="13"/>
  <c r="C67" i="13" s="1"/>
  <c r="C193" i="12"/>
  <c r="H203" i="1"/>
  <c r="BY203" i="1"/>
  <c r="BV600" i="1"/>
  <c r="CB721" i="1"/>
  <c r="R433" i="2"/>
  <c r="CB334" i="1" s="1"/>
  <c r="BV82" i="1"/>
  <c r="CB82" i="1"/>
  <c r="D484" i="1"/>
  <c r="E484" i="1"/>
  <c r="G495" i="1"/>
  <c r="P189" i="18"/>
  <c r="AE204" i="1" s="1"/>
  <c r="F189" i="18"/>
  <c r="AA204" i="1" s="1"/>
  <c r="M189" i="18"/>
  <c r="BG204" i="1" s="1"/>
  <c r="O189" i="18"/>
  <c r="BQ204" i="1" s="1"/>
  <c r="L189" i="18"/>
  <c r="AI204" i="1" s="1"/>
  <c r="A188" i="13"/>
  <c r="C188" i="13" s="1"/>
  <c r="R189" i="18"/>
  <c r="CA204" i="1" s="1"/>
  <c r="J189" i="18"/>
  <c r="W204" i="1" s="1"/>
  <c r="H189" i="18"/>
  <c r="Q204" i="1" s="1"/>
  <c r="I189" i="18"/>
  <c r="AW204" i="1" s="1"/>
  <c r="G189" i="18"/>
  <c r="AO204" i="1" s="1"/>
  <c r="Q189" i="18"/>
  <c r="BU204" i="1" s="1"/>
  <c r="K189" i="18"/>
  <c r="BC204" i="1" s="1"/>
  <c r="E189" i="18"/>
  <c r="K204" i="1" s="1"/>
  <c r="G204" i="1" s="1"/>
  <c r="F434" i="2"/>
  <c r="AB335" i="1" s="1"/>
  <c r="AB722" i="1"/>
  <c r="BJ722" i="1"/>
  <c r="M434" i="2"/>
  <c r="BJ335" i="1" s="1"/>
  <c r="C190" i="2"/>
  <c r="C435" i="2"/>
  <c r="C313" i="2"/>
  <c r="C71" i="1"/>
  <c r="C205" i="1"/>
  <c r="C614" i="1" s="1"/>
  <c r="C336" i="1"/>
  <c r="D336" i="1" s="1"/>
  <c r="A558" i="18"/>
  <c r="C558" i="18" s="1"/>
  <c r="C680" i="18" s="1"/>
  <c r="B558" i="18"/>
  <c r="AW721" i="1"/>
  <c r="I433" i="18"/>
  <c r="AW334" i="1" s="1"/>
  <c r="E189" i="2"/>
  <c r="L204" i="1" s="1"/>
  <c r="H204" i="1" s="1"/>
  <c r="BU496" i="1"/>
  <c r="BA81" i="1"/>
  <c r="AX495" i="1"/>
  <c r="AW79" i="1"/>
  <c r="K678" i="18"/>
  <c r="BC601" i="1" s="1"/>
  <c r="F678" i="18"/>
  <c r="AA601" i="1" s="1"/>
  <c r="O678" i="18"/>
  <c r="BQ601" i="1" s="1"/>
  <c r="G678" i="18"/>
  <c r="AO601" i="1" s="1"/>
  <c r="P678" i="18"/>
  <c r="AE601" i="1" s="1"/>
  <c r="I678" i="18"/>
  <c r="AW601" i="1" s="1"/>
  <c r="M678" i="18"/>
  <c r="BG601" i="1" s="1"/>
  <c r="Q678" i="18"/>
  <c r="BU601" i="1" s="1"/>
  <c r="H678" i="18"/>
  <c r="Q601" i="1" s="1"/>
  <c r="J678" i="18"/>
  <c r="W601" i="1" s="1"/>
  <c r="L678" i="18"/>
  <c r="AI601" i="1" s="1"/>
  <c r="E678" i="18"/>
  <c r="K601" i="1" s="1"/>
  <c r="R678" i="18"/>
  <c r="CA601" i="1" s="1"/>
  <c r="F433" i="2"/>
  <c r="AB334" i="1" s="1"/>
  <c r="AB721" i="1"/>
  <c r="AJ721" i="1"/>
  <c r="L433" i="2"/>
  <c r="AJ334" i="1" s="1"/>
  <c r="E678" i="2"/>
  <c r="N678" i="2"/>
  <c r="CE203" i="1"/>
  <c r="CB600" i="1"/>
  <c r="AF82" i="1"/>
  <c r="BC721" i="1"/>
  <c r="K433" i="18"/>
  <c r="BC334" i="1" s="1"/>
  <c r="CA79" i="1"/>
  <c r="BR82" i="1"/>
  <c r="E312" i="18"/>
  <c r="M312" i="18"/>
  <c r="K312" i="18"/>
  <c r="L312" i="18"/>
  <c r="O312" i="18"/>
  <c r="G312" i="18"/>
  <c r="Q312" i="18"/>
  <c r="F312" i="18"/>
  <c r="H312" i="18"/>
  <c r="I312" i="18"/>
  <c r="J312" i="18"/>
  <c r="R312" i="18"/>
  <c r="P312" i="18"/>
  <c r="BV722" i="1"/>
  <c r="Q434" i="2"/>
  <c r="BV335" i="1" s="1"/>
  <c r="H599" i="1"/>
  <c r="AT203" i="1"/>
  <c r="O433" i="18"/>
  <c r="BQ334" i="1" s="1"/>
  <c r="BQ721" i="1"/>
  <c r="CA721" i="1"/>
  <c r="R433" i="18"/>
  <c r="CA334" i="1" s="1"/>
  <c r="AV202" i="1"/>
  <c r="Q189" i="2"/>
  <c r="BV204" i="1" s="1"/>
  <c r="AM203" i="1"/>
  <c r="AJ600" i="1"/>
  <c r="CA496" i="1"/>
  <c r="B558" i="2"/>
  <c r="A558" i="2"/>
  <c r="C558" i="2" s="1"/>
  <c r="C680" i="2" s="1"/>
  <c r="U81" i="1"/>
  <c r="R495" i="1"/>
  <c r="Q79" i="1"/>
  <c r="AX721" i="1"/>
  <c r="I433" i="2"/>
  <c r="AX334" i="1" s="1"/>
  <c r="BJ721" i="1"/>
  <c r="M433" i="2"/>
  <c r="BJ334" i="1" s="1"/>
  <c r="Q678" i="2"/>
  <c r="P678" i="2"/>
  <c r="AF601" i="1" s="1"/>
  <c r="L722" i="1"/>
  <c r="E434" i="2"/>
  <c r="L335" i="1" s="1"/>
  <c r="F433" i="18"/>
  <c r="AA334" i="1" s="1"/>
  <c r="AA721" i="1"/>
  <c r="BH81" i="1"/>
  <c r="BD495" i="1"/>
  <c r="K721" i="1"/>
  <c r="E433" i="18"/>
  <c r="K334" i="1" s="1"/>
  <c r="W496" i="1"/>
  <c r="D569" i="2"/>
  <c r="H568" i="2"/>
  <c r="L568" i="2"/>
  <c r="E568" i="2"/>
  <c r="I568" i="2"/>
  <c r="R568" i="2"/>
  <c r="K568" i="2"/>
  <c r="Q568" i="2"/>
  <c r="BR722" i="1"/>
  <c r="O434" i="2"/>
  <c r="BR335" i="1" s="1"/>
  <c r="G434" i="2"/>
  <c r="AP335" i="1" s="1"/>
  <c r="AP722" i="1"/>
  <c r="I202" i="1"/>
  <c r="W721" i="1"/>
  <c r="J433" i="18"/>
  <c r="W334" i="1" s="1"/>
  <c r="Q721" i="1"/>
  <c r="H433" i="18"/>
  <c r="Q334" i="1" s="1"/>
  <c r="N189" i="2"/>
  <c r="BN204" i="1" s="1"/>
  <c r="I189" i="2"/>
  <c r="AX204" i="1" s="1"/>
  <c r="O203" i="1"/>
  <c r="L600" i="1"/>
  <c r="H600" i="1" s="1"/>
  <c r="R568" i="18"/>
  <c r="J568" i="18"/>
  <c r="L568" i="18"/>
  <c r="E568" i="18"/>
  <c r="D569" i="18"/>
  <c r="H568" i="18"/>
  <c r="Q568" i="18"/>
  <c r="M679" i="2"/>
  <c r="BJ602" i="1" s="1"/>
  <c r="E679" i="2"/>
  <c r="I679" i="2"/>
  <c r="O81" i="1"/>
  <c r="L495" i="1"/>
  <c r="H495" i="1" s="1"/>
  <c r="BC79" i="1"/>
  <c r="AO79" i="1"/>
  <c r="J433" i="2"/>
  <c r="X334" i="1" s="1"/>
  <c r="X721" i="1"/>
  <c r="K678" i="2"/>
  <c r="BD601" i="1" s="1"/>
  <c r="K722" i="1" l="1"/>
  <c r="E434" i="18"/>
  <c r="K335" i="1" s="1"/>
  <c r="D71" i="1"/>
  <c r="F71" i="1"/>
  <c r="E71" i="1"/>
  <c r="C485" i="1"/>
  <c r="O205" i="1"/>
  <c r="L602" i="1"/>
  <c r="BY204" i="1"/>
  <c r="BV601" i="1"/>
  <c r="F434" i="18"/>
  <c r="AA335" i="1" s="1"/>
  <c r="AA722" i="1"/>
  <c r="C723" i="1"/>
  <c r="H313" i="2"/>
  <c r="O313" i="2"/>
  <c r="K313" i="2"/>
  <c r="N313" i="2"/>
  <c r="N435" i="2" s="1"/>
  <c r="BN336" i="1" s="1"/>
  <c r="I313" i="2"/>
  <c r="R313" i="2"/>
  <c r="M313" i="2"/>
  <c r="L313" i="2"/>
  <c r="P313" i="2"/>
  <c r="J313" i="2"/>
  <c r="Q313" i="2"/>
  <c r="G313" i="2"/>
  <c r="F313" i="2"/>
  <c r="E313" i="2"/>
  <c r="Q679" i="2"/>
  <c r="N680" i="2"/>
  <c r="J680" i="2"/>
  <c r="X603" i="1" s="1"/>
  <c r="K680" i="2"/>
  <c r="BD603" i="1" s="1"/>
  <c r="E680" i="2"/>
  <c r="O679" i="2"/>
  <c r="BR602" i="1" s="1"/>
  <c r="BY82" i="1"/>
  <c r="BV496" i="1"/>
  <c r="A559" i="2"/>
  <c r="C559" i="2" s="1"/>
  <c r="C681" i="2" s="1"/>
  <c r="B559" i="2"/>
  <c r="L434" i="18"/>
  <c r="AI335" i="1" s="1"/>
  <c r="AI722" i="1"/>
  <c r="R679" i="2"/>
  <c r="N679" i="2"/>
  <c r="W497" i="1"/>
  <c r="H335" i="1"/>
  <c r="BC722" i="1"/>
  <c r="K434" i="18"/>
  <c r="BC335" i="1" s="1"/>
  <c r="L679" i="2"/>
  <c r="J679" i="2"/>
  <c r="X602" i="1" s="1"/>
  <c r="CA497" i="1"/>
  <c r="CE82" i="1"/>
  <c r="CB496" i="1"/>
  <c r="G334" i="1"/>
  <c r="AW722" i="1"/>
  <c r="I434" i="18"/>
  <c r="AW335" i="1" s="1"/>
  <c r="M434" i="18"/>
  <c r="BG335" i="1" s="1"/>
  <c r="BG722" i="1"/>
  <c r="O204" i="1"/>
  <c r="I204" i="1" s="1"/>
  <c r="L601" i="1"/>
  <c r="H601" i="1" s="1"/>
  <c r="CE204" i="1"/>
  <c r="CB601" i="1"/>
  <c r="C70" i="2"/>
  <c r="D72" i="1"/>
  <c r="C486" i="1"/>
  <c r="CA80" i="1"/>
  <c r="BD83" i="1"/>
  <c r="BA82" i="1"/>
  <c r="AX496" i="1"/>
  <c r="BC80" i="1"/>
  <c r="I81" i="1"/>
  <c r="C724" i="1"/>
  <c r="R314" i="2"/>
  <c r="F314" i="2"/>
  <c r="E314" i="2"/>
  <c r="G314" i="2"/>
  <c r="N314" i="2"/>
  <c r="N436" i="2" s="1"/>
  <c r="BN337" i="1" s="1"/>
  <c r="M314" i="2"/>
  <c r="I314" i="2"/>
  <c r="P314" i="2"/>
  <c r="J314" i="2"/>
  <c r="L314" i="2"/>
  <c r="H314" i="2"/>
  <c r="O314" i="2"/>
  <c r="K314" i="2"/>
  <c r="Q314" i="2"/>
  <c r="BV83" i="1"/>
  <c r="Q497" i="1"/>
  <c r="AT204" i="1"/>
  <c r="AM82" i="1"/>
  <c r="AJ497" i="1"/>
  <c r="BU722" i="1"/>
  <c r="Q434" i="18"/>
  <c r="BU335" i="1" s="1"/>
  <c r="H334" i="1"/>
  <c r="F679" i="18"/>
  <c r="AA602" i="1" s="1"/>
  <c r="G679" i="18"/>
  <c r="AO602" i="1" s="1"/>
  <c r="P679" i="18"/>
  <c r="AE602" i="1" s="1"/>
  <c r="I679" i="18"/>
  <c r="AW602" i="1" s="1"/>
  <c r="K679" i="18"/>
  <c r="BC602" i="1" s="1"/>
  <c r="O679" i="18"/>
  <c r="BQ602" i="1" s="1"/>
  <c r="M679" i="18"/>
  <c r="BG602" i="1" s="1"/>
  <c r="R679" i="18"/>
  <c r="CA602" i="1" s="1"/>
  <c r="Q679" i="18"/>
  <c r="BU602" i="1" s="1"/>
  <c r="J679" i="18"/>
  <c r="W602" i="1" s="1"/>
  <c r="E679" i="18"/>
  <c r="K602" i="1" s="1"/>
  <c r="H679" i="18"/>
  <c r="Q602" i="1" s="1"/>
  <c r="L679" i="18"/>
  <c r="AI602" i="1" s="1"/>
  <c r="B71" i="18"/>
  <c r="A71" i="18"/>
  <c r="C71" i="18" s="1"/>
  <c r="G191" i="2"/>
  <c r="AP206" i="1" s="1"/>
  <c r="F191" i="2"/>
  <c r="AB206" i="1" s="1"/>
  <c r="K191" i="2"/>
  <c r="BD206" i="1" s="1"/>
  <c r="M191" i="2"/>
  <c r="BJ206" i="1" s="1"/>
  <c r="AW80" i="1"/>
  <c r="N81" i="2"/>
  <c r="D82" i="2"/>
  <c r="H81" i="2"/>
  <c r="P81" i="2"/>
  <c r="I81" i="2"/>
  <c r="Q81" i="2"/>
  <c r="R81" i="2"/>
  <c r="K81" i="2"/>
  <c r="O81" i="2"/>
  <c r="L81" i="2"/>
  <c r="M81" i="2"/>
  <c r="E81" i="2"/>
  <c r="AX83" i="1"/>
  <c r="F190" i="18"/>
  <c r="AA205" i="1" s="1"/>
  <c r="M190" i="18"/>
  <c r="BG205" i="1" s="1"/>
  <c r="O190" i="18"/>
  <c r="BQ205" i="1" s="1"/>
  <c r="L190" i="18"/>
  <c r="AI205" i="1" s="1"/>
  <c r="P190" i="18"/>
  <c r="AE205" i="1" s="1"/>
  <c r="A189" i="13"/>
  <c r="C189" i="13" s="1"/>
  <c r="G190" i="18"/>
  <c r="AO205" i="1" s="1"/>
  <c r="Q190" i="18"/>
  <c r="BU205" i="1" s="1"/>
  <c r="E190" i="18"/>
  <c r="K205" i="1" s="1"/>
  <c r="H190" i="18"/>
  <c r="Q205" i="1" s="1"/>
  <c r="I190" i="18"/>
  <c r="AW205" i="1" s="1"/>
  <c r="K190" i="18"/>
  <c r="BC205" i="1" s="1"/>
  <c r="J190" i="18"/>
  <c r="W205" i="1" s="1"/>
  <c r="R190" i="18"/>
  <c r="CA205" i="1" s="1"/>
  <c r="BU497" i="1"/>
  <c r="F679" i="2"/>
  <c r="AB602" i="1" s="1"/>
  <c r="H679" i="2"/>
  <c r="G679" i="2"/>
  <c r="AP602" i="1" s="1"/>
  <c r="H569" i="18"/>
  <c r="Q569" i="18"/>
  <c r="R569" i="18"/>
  <c r="J569" i="18"/>
  <c r="L569" i="18"/>
  <c r="E569" i="18"/>
  <c r="D570" i="18"/>
  <c r="U82" i="1"/>
  <c r="R496" i="1"/>
  <c r="AO722" i="1"/>
  <c r="G434" i="18"/>
  <c r="AO335" i="1" s="1"/>
  <c r="J190" i="2"/>
  <c r="X205" i="1" s="1"/>
  <c r="G190" i="2"/>
  <c r="AP205" i="1" s="1"/>
  <c r="F190" i="2"/>
  <c r="AB205" i="1" s="1"/>
  <c r="P190" i="2"/>
  <c r="AF205" i="1" s="1"/>
  <c r="O190" i="2"/>
  <c r="BR205" i="1" s="1"/>
  <c r="R190" i="2"/>
  <c r="CB205" i="1" s="1"/>
  <c r="I190" i="2"/>
  <c r="AX205" i="1" s="1"/>
  <c r="K190" i="2"/>
  <c r="BD205" i="1" s="1"/>
  <c r="M190" i="2"/>
  <c r="BJ205" i="1" s="1"/>
  <c r="Q190" i="2"/>
  <c r="BV205" i="1" s="1"/>
  <c r="N190" i="2"/>
  <c r="BN205" i="1" s="1"/>
  <c r="H190" i="2"/>
  <c r="R205" i="1" s="1"/>
  <c r="E190" i="2"/>
  <c r="L205" i="1" s="1"/>
  <c r="L190" i="2"/>
  <c r="AJ205" i="1" s="1"/>
  <c r="C70" i="18"/>
  <c r="U204" i="1"/>
  <c r="R601" i="1"/>
  <c r="BU80" i="1"/>
  <c r="BR83" i="1"/>
  <c r="AF83" i="1"/>
  <c r="Q722" i="1"/>
  <c r="H434" i="18"/>
  <c r="Q335" i="1" s="1"/>
  <c r="I203" i="1"/>
  <c r="H78" i="18"/>
  <c r="E78" i="18"/>
  <c r="D79" i="18"/>
  <c r="G78" i="18"/>
  <c r="I78" i="18"/>
  <c r="Q78" i="18"/>
  <c r="J78" i="18"/>
  <c r="R78" i="18"/>
  <c r="K78" i="18"/>
  <c r="P679" i="2"/>
  <c r="AF602" i="1" s="1"/>
  <c r="L569" i="2"/>
  <c r="E569" i="2"/>
  <c r="D570" i="2"/>
  <c r="R569" i="2"/>
  <c r="K569" i="2"/>
  <c r="Q569" i="2"/>
  <c r="H569" i="2"/>
  <c r="I569" i="2"/>
  <c r="P434" i="18"/>
  <c r="AE335" i="1" s="1"/>
  <c r="AE722" i="1"/>
  <c r="O434" i="18"/>
  <c r="BQ335" i="1" s="1"/>
  <c r="BQ722" i="1"/>
  <c r="A559" i="18"/>
  <c r="B559" i="18"/>
  <c r="L193" i="12"/>
  <c r="M193" i="12"/>
  <c r="N193" i="12"/>
  <c r="E193" i="12"/>
  <c r="G193" i="12"/>
  <c r="O193" i="12"/>
  <c r="H193" i="12"/>
  <c r="P193" i="12"/>
  <c r="F193" i="12"/>
  <c r="I193" i="12"/>
  <c r="Q193" i="12"/>
  <c r="J193" i="12"/>
  <c r="R193" i="12"/>
  <c r="K193" i="12"/>
  <c r="S193" i="12"/>
  <c r="A68" i="10"/>
  <c r="P680" i="2" s="1"/>
  <c r="AF603" i="1" s="1"/>
  <c r="C191" i="18"/>
  <c r="C314" i="18"/>
  <c r="C436" i="18"/>
  <c r="A68" i="13"/>
  <c r="C68" i="13" s="1"/>
  <c r="C194" i="12"/>
  <c r="Q80" i="1"/>
  <c r="G496" i="1"/>
  <c r="BJ83" i="1"/>
  <c r="R83" i="1"/>
  <c r="CB83" i="1"/>
  <c r="BN83" i="1"/>
  <c r="K497" i="1"/>
  <c r="G601" i="1"/>
  <c r="I680" i="18"/>
  <c r="AW603" i="1" s="1"/>
  <c r="F680" i="18"/>
  <c r="AA603" i="1" s="1"/>
  <c r="P680" i="18"/>
  <c r="AE603" i="1" s="1"/>
  <c r="G680" i="18"/>
  <c r="AO603" i="1" s="1"/>
  <c r="K680" i="18"/>
  <c r="BC603" i="1" s="1"/>
  <c r="O680" i="18"/>
  <c r="BQ603" i="1" s="1"/>
  <c r="L680" i="18"/>
  <c r="AI603" i="1" s="1"/>
  <c r="J680" i="18"/>
  <c r="W603" i="1" s="1"/>
  <c r="H680" i="18"/>
  <c r="Q603" i="1" s="1"/>
  <c r="Q680" i="18"/>
  <c r="BU603" i="1" s="1"/>
  <c r="R680" i="18"/>
  <c r="CA603" i="1" s="1"/>
  <c r="E680" i="18"/>
  <c r="K603" i="1" s="1"/>
  <c r="H82" i="1"/>
  <c r="BA204" i="1"/>
  <c r="AV204" i="1" s="1"/>
  <c r="AX601" i="1"/>
  <c r="AO80" i="1"/>
  <c r="L83" i="1"/>
  <c r="H83" i="1" s="1"/>
  <c r="BA205" i="1"/>
  <c r="AX602" i="1"/>
  <c r="W80" i="1"/>
  <c r="O82" i="1"/>
  <c r="L496" i="1"/>
  <c r="H496" i="1" s="1"/>
  <c r="AI497" i="1"/>
  <c r="CA722" i="1"/>
  <c r="R434" i="18"/>
  <c r="CA335" i="1" s="1"/>
  <c r="BH82" i="1"/>
  <c r="BD496" i="1"/>
  <c r="W722" i="1"/>
  <c r="J434" i="18"/>
  <c r="W335" i="1" s="1"/>
  <c r="G313" i="18"/>
  <c r="P313" i="18"/>
  <c r="F313" i="18"/>
  <c r="Q313" i="18"/>
  <c r="H313" i="18"/>
  <c r="R313" i="18"/>
  <c r="I313" i="18"/>
  <c r="K313" i="18"/>
  <c r="E313" i="18"/>
  <c r="J313" i="18"/>
  <c r="L313" i="18"/>
  <c r="M313" i="18"/>
  <c r="O313" i="18"/>
  <c r="A71" i="2"/>
  <c r="B71" i="2"/>
  <c r="G79" i="1"/>
  <c r="K80" i="1"/>
  <c r="AJ83" i="1"/>
  <c r="H570" i="18" l="1"/>
  <c r="Q570" i="18"/>
  <c r="R570" i="18"/>
  <c r="J570" i="18"/>
  <c r="L570" i="18"/>
  <c r="E570" i="18"/>
  <c r="D571" i="18"/>
  <c r="L724" i="1"/>
  <c r="E436" i="2"/>
  <c r="L337" i="1" s="1"/>
  <c r="BR723" i="1"/>
  <c r="O435" i="2"/>
  <c r="BR336" i="1" s="1"/>
  <c r="C71" i="2"/>
  <c r="AW81" i="1"/>
  <c r="L435" i="18"/>
  <c r="AI336" i="1" s="1"/>
  <c r="AI723" i="1"/>
  <c r="I314" i="18"/>
  <c r="R314" i="18"/>
  <c r="K314" i="18"/>
  <c r="L314" i="18"/>
  <c r="M314" i="18"/>
  <c r="F314" i="18"/>
  <c r="P314" i="18"/>
  <c r="J314" i="18"/>
  <c r="O314" i="18"/>
  <c r="Q314" i="18"/>
  <c r="G314" i="18"/>
  <c r="E314" i="18"/>
  <c r="H314" i="18"/>
  <c r="W723" i="1"/>
  <c r="J435" i="18"/>
  <c r="W336" i="1" s="1"/>
  <c r="L191" i="18"/>
  <c r="AI206" i="1" s="1"/>
  <c r="M191" i="18"/>
  <c r="BG206" i="1" s="1"/>
  <c r="F191" i="18"/>
  <c r="AA206" i="1" s="1"/>
  <c r="O191" i="18"/>
  <c r="BQ206" i="1" s="1"/>
  <c r="P191" i="18"/>
  <c r="AE206" i="1" s="1"/>
  <c r="A190" i="13"/>
  <c r="C190" i="13" s="1"/>
  <c r="K191" i="18"/>
  <c r="BC206" i="1" s="1"/>
  <c r="Q191" i="18"/>
  <c r="BU206" i="1" s="1"/>
  <c r="J191" i="18"/>
  <c r="W206" i="1" s="1"/>
  <c r="G191" i="18"/>
  <c r="AO206" i="1" s="1"/>
  <c r="H191" i="18"/>
  <c r="Q206" i="1" s="1"/>
  <c r="R191" i="18"/>
  <c r="CA206" i="1" s="1"/>
  <c r="I191" i="18"/>
  <c r="AW206" i="1" s="1"/>
  <c r="E191" i="18"/>
  <c r="K206" i="1" s="1"/>
  <c r="BC81" i="1"/>
  <c r="AO723" i="1"/>
  <c r="G435" i="18"/>
  <c r="AO336" i="1" s="1"/>
  <c r="A560" i="18"/>
  <c r="B560" i="18"/>
  <c r="BY83" i="1"/>
  <c r="BV497" i="1"/>
  <c r="CA81" i="1"/>
  <c r="BC723" i="1"/>
  <c r="K435" i="18"/>
  <c r="BC336" i="1" s="1"/>
  <c r="AV205" i="1"/>
  <c r="M680" i="18"/>
  <c r="BG603" i="1" s="1"/>
  <c r="G497" i="1"/>
  <c r="C559" i="18"/>
  <c r="C681" i="18" s="1"/>
  <c r="BH83" i="1"/>
  <c r="BD497" i="1"/>
  <c r="W81" i="1"/>
  <c r="AJ84" i="1"/>
  <c r="L82" i="2"/>
  <c r="N82" i="2"/>
  <c r="D83" i="2"/>
  <c r="O82" i="2"/>
  <c r="H82" i="2"/>
  <c r="P82" i="2"/>
  <c r="I82" i="2"/>
  <c r="Q82" i="2"/>
  <c r="E82" i="2"/>
  <c r="M82" i="2"/>
  <c r="R82" i="2"/>
  <c r="K82" i="2"/>
  <c r="H191" i="2"/>
  <c r="R206" i="1" s="1"/>
  <c r="J191" i="2"/>
  <c r="X206" i="1" s="1"/>
  <c r="BR724" i="1"/>
  <c r="O436" i="2"/>
  <c r="BR337" i="1" s="1"/>
  <c r="G436" i="2"/>
  <c r="AP337" i="1" s="1"/>
  <c r="AP724" i="1"/>
  <c r="A560" i="2"/>
  <c r="B560" i="2"/>
  <c r="L680" i="2"/>
  <c r="O680" i="2"/>
  <c r="BR603" i="1" s="1"/>
  <c r="BV723" i="1"/>
  <c r="Q435" i="2"/>
  <c r="BV336" i="1" s="1"/>
  <c r="BD723" i="1"/>
  <c r="K435" i="2"/>
  <c r="BD336" i="1" s="1"/>
  <c r="I205" i="1"/>
  <c r="I82" i="1"/>
  <c r="AF723" i="1"/>
  <c r="P435" i="2"/>
  <c r="AF336" i="1" s="1"/>
  <c r="Q723" i="1"/>
  <c r="H435" i="18"/>
  <c r="Q336" i="1" s="1"/>
  <c r="O83" i="1"/>
  <c r="L497" i="1"/>
  <c r="H497" i="1" s="1"/>
  <c r="AO81" i="1"/>
  <c r="AI498" i="1"/>
  <c r="CB84" i="1"/>
  <c r="Q191" i="2"/>
  <c r="BV206" i="1" s="1"/>
  <c r="A70" i="10"/>
  <c r="C193" i="18"/>
  <c r="C316" i="18"/>
  <c r="C438" i="18"/>
  <c r="A70" i="13"/>
  <c r="C70" i="13" s="1"/>
  <c r="C196" i="12"/>
  <c r="J436" i="2"/>
  <c r="X337" i="1" s="1"/>
  <c r="X724" i="1"/>
  <c r="CB724" i="1"/>
  <c r="R436" i="2"/>
  <c r="CB337" i="1" s="1"/>
  <c r="F72" i="1"/>
  <c r="R680" i="2"/>
  <c r="F680" i="2"/>
  <c r="AB603" i="1" s="1"/>
  <c r="AJ723" i="1"/>
  <c r="L435" i="2"/>
  <c r="AJ336" i="1" s="1"/>
  <c r="CE83" i="1"/>
  <c r="CB497" i="1"/>
  <c r="BN84" i="1"/>
  <c r="O206" i="1"/>
  <c r="L603" i="1"/>
  <c r="CA723" i="1"/>
  <c r="R435" i="18"/>
  <c r="CA336" i="1" s="1"/>
  <c r="R723" i="1"/>
  <c r="H435" i="2"/>
  <c r="R336" i="1" s="1"/>
  <c r="O435" i="18"/>
  <c r="BQ336" i="1" s="1"/>
  <c r="BQ723" i="1"/>
  <c r="M435" i="18"/>
  <c r="BG336" i="1" s="1"/>
  <c r="BG723" i="1"/>
  <c r="BU723" i="1"/>
  <c r="Q435" i="18"/>
  <c r="BU336" i="1" s="1"/>
  <c r="AM83" i="1"/>
  <c r="AJ498" i="1"/>
  <c r="D80" i="18"/>
  <c r="E79" i="18"/>
  <c r="G79" i="18"/>
  <c r="H79" i="18"/>
  <c r="K79" i="18"/>
  <c r="Q79" i="18"/>
  <c r="I79" i="18"/>
  <c r="R79" i="18"/>
  <c r="J79" i="18"/>
  <c r="W498" i="1"/>
  <c r="BV84" i="1"/>
  <c r="L191" i="2"/>
  <c r="AJ206" i="1" s="1"/>
  <c r="A72" i="18"/>
  <c r="C72" i="18" s="1"/>
  <c r="B72" i="18"/>
  <c r="AF724" i="1"/>
  <c r="P436" i="2"/>
  <c r="AF337" i="1" s="1"/>
  <c r="E72" i="1"/>
  <c r="Q680" i="2"/>
  <c r="BY205" i="1"/>
  <c r="BV602" i="1"/>
  <c r="BJ723" i="1"/>
  <c r="M435" i="2"/>
  <c r="BJ336" i="1" s="1"/>
  <c r="AW723" i="1"/>
  <c r="I435" i="18"/>
  <c r="AW336" i="1" s="1"/>
  <c r="BR84" i="1"/>
  <c r="R724" i="1"/>
  <c r="H436" i="2"/>
  <c r="R337" i="1" s="1"/>
  <c r="J435" i="2"/>
  <c r="X336" i="1" s="1"/>
  <c r="X723" i="1"/>
  <c r="K498" i="1"/>
  <c r="G498" i="1" s="1"/>
  <c r="D485" i="1"/>
  <c r="E485" i="1"/>
  <c r="BA83" i="1"/>
  <c r="AX497" i="1"/>
  <c r="K81" i="1"/>
  <c r="G81" i="1" s="1"/>
  <c r="A69" i="10"/>
  <c r="C192" i="18"/>
  <c r="C315" i="18"/>
  <c r="A69" i="13"/>
  <c r="C69" i="13" s="1"/>
  <c r="C437" i="18"/>
  <c r="C195" i="12"/>
  <c r="AT205" i="1"/>
  <c r="CA498" i="1"/>
  <c r="AX84" i="1"/>
  <c r="O191" i="2"/>
  <c r="BR206" i="1" s="1"/>
  <c r="I191" i="2"/>
  <c r="AX206" i="1" s="1"/>
  <c r="AX724" i="1"/>
  <c r="I436" i="2"/>
  <c r="AX337" i="1" s="1"/>
  <c r="CE205" i="1"/>
  <c r="CB602" i="1"/>
  <c r="M680" i="2"/>
  <c r="BJ603" i="1" s="1"/>
  <c r="L723" i="1"/>
  <c r="E435" i="2"/>
  <c r="L336" i="1" s="1"/>
  <c r="CB723" i="1"/>
  <c r="R435" i="2"/>
  <c r="CB336" i="1" s="1"/>
  <c r="A72" i="2"/>
  <c r="C72" i="2" s="1"/>
  <c r="B72" i="2"/>
  <c r="G681" i="2"/>
  <c r="AP604" i="1" s="1"/>
  <c r="O681" i="2"/>
  <c r="BR604" i="1" s="1"/>
  <c r="N681" i="2"/>
  <c r="F681" i="2"/>
  <c r="AB604" i="1" s="1"/>
  <c r="J681" i="2"/>
  <c r="X604" i="1" s="1"/>
  <c r="M681" i="2"/>
  <c r="BJ604" i="1" s="1"/>
  <c r="P681" i="2"/>
  <c r="AF604" i="1" s="1"/>
  <c r="H681" i="2"/>
  <c r="I681" i="2"/>
  <c r="R681" i="2"/>
  <c r="K681" i="2"/>
  <c r="BD604" i="1" s="1"/>
  <c r="E681" i="2"/>
  <c r="L681" i="2"/>
  <c r="Q681" i="2"/>
  <c r="G603" i="1"/>
  <c r="L194" i="12"/>
  <c r="M194" i="12"/>
  <c r="F194" i="12"/>
  <c r="N194" i="12"/>
  <c r="G194" i="12"/>
  <c r="O194" i="12"/>
  <c r="H194" i="12"/>
  <c r="P194" i="12"/>
  <c r="I194" i="12"/>
  <c r="Q194" i="12"/>
  <c r="J194" i="12"/>
  <c r="R194" i="12"/>
  <c r="K194" i="12"/>
  <c r="S194" i="12"/>
  <c r="E194" i="12"/>
  <c r="G205" i="1"/>
  <c r="AJ724" i="1"/>
  <c r="L436" i="2"/>
  <c r="AJ337" i="1" s="1"/>
  <c r="F435" i="18"/>
  <c r="AA336" i="1" s="1"/>
  <c r="AA723" i="1"/>
  <c r="P435" i="18"/>
  <c r="AE336" i="1" s="1"/>
  <c r="AE723" i="1"/>
  <c r="Q81" i="1"/>
  <c r="BU498" i="1"/>
  <c r="L84" i="1"/>
  <c r="AF84" i="1"/>
  <c r="E191" i="2"/>
  <c r="L206" i="1" s="1"/>
  <c r="R191" i="2"/>
  <c r="CB206" i="1" s="1"/>
  <c r="BV724" i="1"/>
  <c r="Q436" i="2"/>
  <c r="BV337" i="1" s="1"/>
  <c r="BJ724" i="1"/>
  <c r="M436" i="2"/>
  <c r="BJ337" i="1" s="1"/>
  <c r="C192" i="2"/>
  <c r="C315" i="2"/>
  <c r="C437" i="2"/>
  <c r="C73" i="1"/>
  <c r="C207" i="1"/>
  <c r="C616" i="1" s="1"/>
  <c r="C338" i="1"/>
  <c r="D338" i="1" s="1"/>
  <c r="AM205" i="1"/>
  <c r="AJ602" i="1"/>
  <c r="H680" i="2"/>
  <c r="G680" i="2"/>
  <c r="AP603" i="1" s="1"/>
  <c r="F435" i="2"/>
  <c r="AB336" i="1" s="1"/>
  <c r="AB723" i="1"/>
  <c r="AX723" i="1"/>
  <c r="I435" i="2"/>
  <c r="AX336" i="1" s="1"/>
  <c r="G335" i="1"/>
  <c r="CG335" i="1" s="1"/>
  <c r="BU81" i="1"/>
  <c r="U205" i="1"/>
  <c r="R602" i="1"/>
  <c r="H602" i="1" s="1"/>
  <c r="R570" i="2"/>
  <c r="K570" i="2"/>
  <c r="L570" i="2"/>
  <c r="H570" i="2"/>
  <c r="I570" i="2"/>
  <c r="Q570" i="2"/>
  <c r="E570" i="2"/>
  <c r="D571" i="2"/>
  <c r="BD84" i="1"/>
  <c r="F436" i="2"/>
  <c r="AB337" i="1" s="1"/>
  <c r="AB724" i="1"/>
  <c r="D486" i="1"/>
  <c r="E486" i="1"/>
  <c r="G80" i="1"/>
  <c r="U83" i="1"/>
  <c r="R497" i="1"/>
  <c r="K723" i="1"/>
  <c r="E435" i="18"/>
  <c r="K336" i="1" s="1"/>
  <c r="G336" i="1" s="1"/>
  <c r="H205" i="1"/>
  <c r="Q498" i="1"/>
  <c r="BJ84" i="1"/>
  <c r="R84" i="1"/>
  <c r="P191" i="2"/>
  <c r="AF206" i="1" s="1"/>
  <c r="N191" i="2"/>
  <c r="BN206" i="1" s="1"/>
  <c r="G602" i="1"/>
  <c r="BD724" i="1"/>
  <c r="K436" i="2"/>
  <c r="BD337" i="1" s="1"/>
  <c r="CG334" i="1"/>
  <c r="I680" i="2"/>
  <c r="G435" i="2"/>
  <c r="AP336" i="1" s="1"/>
  <c r="AP723" i="1"/>
  <c r="BA206" i="1" l="1"/>
  <c r="AX603" i="1"/>
  <c r="U206" i="1"/>
  <c r="R603" i="1"/>
  <c r="J192" i="2"/>
  <c r="X207" i="1" s="1"/>
  <c r="G192" i="2"/>
  <c r="AP207" i="1" s="1"/>
  <c r="F192" i="2"/>
  <c r="AB207" i="1" s="1"/>
  <c r="P192" i="2"/>
  <c r="AF207" i="1" s="1"/>
  <c r="H192" i="2"/>
  <c r="R207" i="1" s="1"/>
  <c r="N192" i="2"/>
  <c r="BN207" i="1" s="1"/>
  <c r="M192" i="2"/>
  <c r="BJ207" i="1" s="1"/>
  <c r="L192" i="2"/>
  <c r="AJ207" i="1" s="1"/>
  <c r="O192" i="2"/>
  <c r="BR207" i="1" s="1"/>
  <c r="K192" i="2"/>
  <c r="BD207" i="1" s="1"/>
  <c r="R192" i="2"/>
  <c r="CB207" i="1" s="1"/>
  <c r="E192" i="2"/>
  <c r="L207" i="1" s="1"/>
  <c r="I192" i="2"/>
  <c r="AX207" i="1" s="1"/>
  <c r="Q192" i="2"/>
  <c r="BV207" i="1" s="1"/>
  <c r="Q82" i="1"/>
  <c r="F436" i="18"/>
  <c r="AA337" i="1" s="1"/>
  <c r="AA724" i="1"/>
  <c r="U84" i="1"/>
  <c r="R498" i="1"/>
  <c r="BY207" i="1"/>
  <c r="BV604" i="1"/>
  <c r="BR85" i="1"/>
  <c r="K499" i="1"/>
  <c r="BH84" i="1"/>
  <c r="BD498" i="1"/>
  <c r="H571" i="2"/>
  <c r="I571" i="2"/>
  <c r="Q571" i="2"/>
  <c r="R571" i="2"/>
  <c r="D572" i="2"/>
  <c r="L571" i="2"/>
  <c r="E571" i="2"/>
  <c r="K571" i="2"/>
  <c r="D73" i="1"/>
  <c r="E73" i="1"/>
  <c r="F73" i="1"/>
  <c r="C487" i="1"/>
  <c r="O84" i="1"/>
  <c r="L498" i="1"/>
  <c r="H206" i="1"/>
  <c r="BA207" i="1"/>
  <c r="AX604" i="1"/>
  <c r="M192" i="18"/>
  <c r="BG207" i="1" s="1"/>
  <c r="F192" i="18"/>
  <c r="AA207" i="1" s="1"/>
  <c r="O192" i="18"/>
  <c r="BQ207" i="1" s="1"/>
  <c r="P192" i="18"/>
  <c r="AE207" i="1" s="1"/>
  <c r="L192" i="18"/>
  <c r="AI207" i="1" s="1"/>
  <c r="A191" i="13"/>
  <c r="C191" i="13" s="1"/>
  <c r="G192" i="18"/>
  <c r="AO207" i="1" s="1"/>
  <c r="R192" i="18"/>
  <c r="CA207" i="1" s="1"/>
  <c r="H192" i="18"/>
  <c r="Q207" i="1" s="1"/>
  <c r="K192" i="18"/>
  <c r="BC207" i="1" s="1"/>
  <c r="J192" i="18"/>
  <c r="W207" i="1" s="1"/>
  <c r="I192" i="18"/>
  <c r="AW207" i="1" s="1"/>
  <c r="Q192" i="18"/>
  <c r="BU207" i="1" s="1"/>
  <c r="E192" i="18"/>
  <c r="K207" i="1" s="1"/>
  <c r="BY84" i="1"/>
  <c r="BV498" i="1"/>
  <c r="C725" i="1"/>
  <c r="H315" i="2"/>
  <c r="O315" i="2"/>
  <c r="L315" i="2"/>
  <c r="Q315" i="2"/>
  <c r="R315" i="2"/>
  <c r="G315" i="2"/>
  <c r="I315" i="2"/>
  <c r="P315" i="2"/>
  <c r="J315" i="2"/>
  <c r="N315" i="2"/>
  <c r="N437" i="2" s="1"/>
  <c r="BN338" i="1" s="1"/>
  <c r="K315" i="2"/>
  <c r="F315" i="2"/>
  <c r="E315" i="2"/>
  <c r="M315" i="2"/>
  <c r="U207" i="1"/>
  <c r="R604" i="1"/>
  <c r="B73" i="2"/>
  <c r="A73" i="2"/>
  <c r="BY206" i="1"/>
  <c r="BV603" i="1"/>
  <c r="BC82" i="1"/>
  <c r="AF85" i="1"/>
  <c r="P436" i="18"/>
  <c r="AE337" i="1" s="1"/>
  <c r="AE724" i="1"/>
  <c r="R85" i="1"/>
  <c r="H571" i="18"/>
  <c r="Q571" i="18"/>
  <c r="R571" i="18"/>
  <c r="J571" i="18"/>
  <c r="E571" i="18"/>
  <c r="D572" i="18"/>
  <c r="L571" i="18"/>
  <c r="AO82" i="1"/>
  <c r="H84" i="1"/>
  <c r="AM207" i="1"/>
  <c r="AJ604" i="1"/>
  <c r="AT206" i="1"/>
  <c r="L195" i="12"/>
  <c r="E195" i="12"/>
  <c r="N195" i="12"/>
  <c r="G195" i="12"/>
  <c r="O195" i="12"/>
  <c r="H195" i="12"/>
  <c r="P195" i="12"/>
  <c r="I195" i="12"/>
  <c r="Q195" i="12"/>
  <c r="J195" i="12"/>
  <c r="R195" i="12"/>
  <c r="F195" i="12"/>
  <c r="K195" i="12"/>
  <c r="S195" i="12"/>
  <c r="M195" i="12"/>
  <c r="K82" i="1"/>
  <c r="L196" i="12"/>
  <c r="M196" i="12"/>
  <c r="E196" i="12"/>
  <c r="F196" i="12"/>
  <c r="N196" i="12"/>
  <c r="G196" i="12"/>
  <c r="O196" i="12"/>
  <c r="H196" i="12"/>
  <c r="P196" i="12"/>
  <c r="I196" i="12"/>
  <c r="Q196" i="12"/>
  <c r="J196" i="12"/>
  <c r="R196" i="12"/>
  <c r="K196" i="12"/>
  <c r="S196" i="12"/>
  <c r="I83" i="1"/>
  <c r="C560" i="2"/>
  <c r="C682" i="2" s="1"/>
  <c r="CB85" i="1"/>
  <c r="R83" i="2"/>
  <c r="L83" i="2"/>
  <c r="E83" i="2"/>
  <c r="M83" i="2"/>
  <c r="N83" i="2"/>
  <c r="D84" i="2"/>
  <c r="O83" i="2"/>
  <c r="Q83" i="2"/>
  <c r="K83" i="2"/>
  <c r="H83" i="2"/>
  <c r="P83" i="2"/>
  <c r="I83" i="2"/>
  <c r="A561" i="18"/>
  <c r="C561" i="18" s="1"/>
  <c r="C683" i="18" s="1"/>
  <c r="B561" i="18"/>
  <c r="K724" i="1"/>
  <c r="E436" i="18"/>
  <c r="K337" i="1" s="1"/>
  <c r="L436" i="18"/>
  <c r="AI337" i="1" s="1"/>
  <c r="AI724" i="1"/>
  <c r="AI499" i="1"/>
  <c r="AM206" i="1"/>
  <c r="I206" i="1" s="1"/>
  <c r="AJ603" i="1"/>
  <c r="Q724" i="1"/>
  <c r="H436" i="18"/>
  <c r="Q337" i="1" s="1"/>
  <c r="O207" i="1"/>
  <c r="L604" i="1"/>
  <c r="H604" i="1" s="1"/>
  <c r="H336" i="1"/>
  <c r="CG336" i="1" s="1"/>
  <c r="B73" i="18"/>
  <c r="A73" i="18"/>
  <c r="W82" i="1"/>
  <c r="K80" i="18"/>
  <c r="E80" i="18"/>
  <c r="D81" i="18"/>
  <c r="G80" i="18"/>
  <c r="J80" i="18"/>
  <c r="R80" i="18"/>
  <c r="H80" i="18"/>
  <c r="I80" i="18"/>
  <c r="Q80" i="18"/>
  <c r="BJ85" i="1"/>
  <c r="BN85" i="1"/>
  <c r="C560" i="18"/>
  <c r="C682" i="18" s="1"/>
  <c r="AO724" i="1"/>
  <c r="G436" i="18"/>
  <c r="AO337" i="1" s="1"/>
  <c r="BC724" i="1"/>
  <c r="K436" i="18"/>
  <c r="BC337" i="1" s="1"/>
  <c r="C193" i="2"/>
  <c r="C316" i="2"/>
  <c r="C438" i="2"/>
  <c r="C74" i="1"/>
  <c r="C208" i="1"/>
  <c r="C617" i="1" s="1"/>
  <c r="C339" i="1"/>
  <c r="D339" i="1" s="1"/>
  <c r="W499" i="1"/>
  <c r="G206" i="1"/>
  <c r="AM84" i="1"/>
  <c r="AJ499" i="1"/>
  <c r="A71" i="10"/>
  <c r="C194" i="18"/>
  <c r="C317" i="18"/>
  <c r="C439" i="18"/>
  <c r="A71" i="13"/>
  <c r="C71" i="13" s="1"/>
  <c r="C197" i="12"/>
  <c r="CA82" i="1"/>
  <c r="CE206" i="1"/>
  <c r="CB603" i="1"/>
  <c r="L85" i="1"/>
  <c r="AJ85" i="1"/>
  <c r="BU724" i="1"/>
  <c r="Q436" i="18"/>
  <c r="BU337" i="1" s="1"/>
  <c r="CA724" i="1"/>
  <c r="R436" i="18"/>
  <c r="CA337" i="1" s="1"/>
  <c r="CA499" i="1"/>
  <c r="BA84" i="1"/>
  <c r="AX498" i="1"/>
  <c r="C194" i="2"/>
  <c r="C317" i="2"/>
  <c r="C439" i="2"/>
  <c r="C75" i="1"/>
  <c r="C209" i="1"/>
  <c r="C618" i="1" s="1"/>
  <c r="C340" i="1"/>
  <c r="D340" i="1" s="1"/>
  <c r="H603" i="1"/>
  <c r="A561" i="2"/>
  <c r="C561" i="2" s="1"/>
  <c r="C683" i="2" s="1"/>
  <c r="B561" i="2"/>
  <c r="M436" i="18"/>
  <c r="BG337" i="1" s="1"/>
  <c r="BG724" i="1"/>
  <c r="CE207" i="1"/>
  <c r="CB604" i="1"/>
  <c r="K315" i="18"/>
  <c r="F315" i="18"/>
  <c r="P315" i="18"/>
  <c r="G315" i="18"/>
  <c r="Q315" i="18"/>
  <c r="H315" i="18"/>
  <c r="R315" i="18"/>
  <c r="J315" i="18"/>
  <c r="O315" i="18"/>
  <c r="E315" i="18"/>
  <c r="L315" i="18"/>
  <c r="M315" i="18"/>
  <c r="I315" i="18"/>
  <c r="AW82" i="1"/>
  <c r="E316" i="18"/>
  <c r="M316" i="18"/>
  <c r="J316" i="18"/>
  <c r="K316" i="18"/>
  <c r="L316" i="18"/>
  <c r="F316" i="18"/>
  <c r="P316" i="18"/>
  <c r="G316" i="18"/>
  <c r="H316" i="18"/>
  <c r="I316" i="18"/>
  <c r="Q316" i="18"/>
  <c r="O316" i="18"/>
  <c r="R316" i="18"/>
  <c r="BV85" i="1"/>
  <c r="O436" i="18"/>
  <c r="BQ337" i="1" s="1"/>
  <c r="BQ724" i="1"/>
  <c r="AW724" i="1"/>
  <c r="I436" i="18"/>
  <c r="AW337" i="1" s="1"/>
  <c r="BU499" i="1"/>
  <c r="BD85" i="1"/>
  <c r="CE84" i="1"/>
  <c r="CB498" i="1"/>
  <c r="BU82" i="1"/>
  <c r="O193" i="18"/>
  <c r="BQ208" i="1" s="1"/>
  <c r="F193" i="18"/>
  <c r="AA208" i="1" s="1"/>
  <c r="L193" i="18"/>
  <c r="AI208" i="1" s="1"/>
  <c r="M193" i="18"/>
  <c r="BG208" i="1" s="1"/>
  <c r="A192" i="13"/>
  <c r="C192" i="13" s="1"/>
  <c r="P193" i="18"/>
  <c r="AE208" i="1" s="1"/>
  <c r="H193" i="18"/>
  <c r="Q208" i="1" s="1"/>
  <c r="E193" i="18"/>
  <c r="K208" i="1" s="1"/>
  <c r="K193" i="18"/>
  <c r="BC208" i="1" s="1"/>
  <c r="G193" i="18"/>
  <c r="AO208" i="1" s="1"/>
  <c r="J193" i="18"/>
  <c r="W208" i="1" s="1"/>
  <c r="Q193" i="18"/>
  <c r="BU208" i="1" s="1"/>
  <c r="I193" i="18"/>
  <c r="AW208" i="1" s="1"/>
  <c r="R193" i="18"/>
  <c r="CA208" i="1" s="1"/>
  <c r="AX85" i="1"/>
  <c r="I681" i="18"/>
  <c r="AW604" i="1" s="1"/>
  <c r="K681" i="18"/>
  <c r="BC604" i="1" s="1"/>
  <c r="M681" i="18"/>
  <c r="BG604" i="1" s="1"/>
  <c r="F681" i="18"/>
  <c r="AA604" i="1" s="1"/>
  <c r="G681" i="18"/>
  <c r="AO604" i="1" s="1"/>
  <c r="P681" i="18"/>
  <c r="AE604" i="1" s="1"/>
  <c r="O681" i="18"/>
  <c r="BQ604" i="1" s="1"/>
  <c r="J681" i="18"/>
  <c r="W604" i="1" s="1"/>
  <c r="R681" i="18"/>
  <c r="CA604" i="1" s="1"/>
  <c r="H681" i="18"/>
  <c r="Q604" i="1" s="1"/>
  <c r="E681" i="18"/>
  <c r="K604" i="1" s="1"/>
  <c r="G604" i="1" s="1"/>
  <c r="L681" i="18"/>
  <c r="AI604" i="1" s="1"/>
  <c r="Q681" i="18"/>
  <c r="BU604" i="1" s="1"/>
  <c r="W724" i="1"/>
  <c r="J436" i="18"/>
  <c r="W337" i="1" s="1"/>
  <c r="H337" i="1"/>
  <c r="Q499" i="1"/>
  <c r="P437" i="18" l="1"/>
  <c r="AE338" i="1" s="1"/>
  <c r="AE725" i="1"/>
  <c r="F437" i="18"/>
  <c r="AA338" i="1" s="1"/>
  <c r="AA725" i="1"/>
  <c r="O438" i="18"/>
  <c r="BQ339" i="1" s="1"/>
  <c r="BQ726" i="1"/>
  <c r="BC726" i="1"/>
  <c r="K438" i="18"/>
  <c r="BC339" i="1" s="1"/>
  <c r="M437" i="18"/>
  <c r="BG338" i="1" s="1"/>
  <c r="BG725" i="1"/>
  <c r="AO725" i="1"/>
  <c r="G437" i="18"/>
  <c r="AO338" i="1" s="1"/>
  <c r="B562" i="2"/>
  <c r="A562" i="2"/>
  <c r="C562" i="2" s="1"/>
  <c r="C684" i="2" s="1"/>
  <c r="F194" i="2"/>
  <c r="AB209" i="1" s="1"/>
  <c r="G194" i="2"/>
  <c r="AP209" i="1" s="1"/>
  <c r="J194" i="2"/>
  <c r="X209" i="1" s="1"/>
  <c r="H194" i="2"/>
  <c r="R209" i="1" s="1"/>
  <c r="I194" i="2"/>
  <c r="AX209" i="1" s="1"/>
  <c r="Q194" i="2"/>
  <c r="BV209" i="1" s="1"/>
  <c r="K194" i="2"/>
  <c r="BD209" i="1" s="1"/>
  <c r="P194" i="2"/>
  <c r="AF209" i="1" s="1"/>
  <c r="M194" i="2"/>
  <c r="BJ209" i="1" s="1"/>
  <c r="N194" i="2"/>
  <c r="BN209" i="1" s="1"/>
  <c r="L194" i="2"/>
  <c r="AJ209" i="1" s="1"/>
  <c r="R194" i="2"/>
  <c r="CB209" i="1" s="1"/>
  <c r="E194" i="2"/>
  <c r="L209" i="1" s="1"/>
  <c r="O194" i="2"/>
  <c r="BR209" i="1" s="1"/>
  <c r="G317" i="18"/>
  <c r="P317" i="18"/>
  <c r="E317" i="18"/>
  <c r="O317" i="18"/>
  <c r="F317" i="18"/>
  <c r="Q317" i="18"/>
  <c r="H317" i="18"/>
  <c r="R317" i="18"/>
  <c r="J317" i="18"/>
  <c r="I317" i="18"/>
  <c r="K317" i="18"/>
  <c r="L317" i="18"/>
  <c r="M317" i="18"/>
  <c r="J81" i="18"/>
  <c r="R81" i="18"/>
  <c r="K81" i="18"/>
  <c r="D82" i="18"/>
  <c r="E81" i="18"/>
  <c r="I81" i="18"/>
  <c r="Q81" i="18"/>
  <c r="G81" i="18"/>
  <c r="H81" i="18"/>
  <c r="AF86" i="1"/>
  <c r="L86" i="1"/>
  <c r="G82" i="1"/>
  <c r="AF725" i="1"/>
  <c r="P437" i="2"/>
  <c r="AF338" i="1" s="1"/>
  <c r="E487" i="1"/>
  <c r="D487" i="1"/>
  <c r="CE85" i="1"/>
  <c r="CB499" i="1"/>
  <c r="H207" i="1"/>
  <c r="W726" i="1"/>
  <c r="J438" i="18"/>
  <c r="W339" i="1" s="1"/>
  <c r="AJ86" i="1"/>
  <c r="M438" i="18"/>
  <c r="BG339" i="1" s="1"/>
  <c r="BG726" i="1"/>
  <c r="BD86" i="1"/>
  <c r="BJ725" i="1"/>
  <c r="M437" i="2"/>
  <c r="BJ338" i="1" s="1"/>
  <c r="BA85" i="1"/>
  <c r="AX499" i="1"/>
  <c r="K726" i="1"/>
  <c r="E438" i="18"/>
  <c r="K339" i="1" s="1"/>
  <c r="O437" i="18"/>
  <c r="BQ338" i="1" s="1"/>
  <c r="BQ725" i="1"/>
  <c r="BC725" i="1"/>
  <c r="K437" i="18"/>
  <c r="BC338" i="1" s="1"/>
  <c r="E74" i="1"/>
  <c r="F74" i="1"/>
  <c r="D74" i="1"/>
  <c r="C488" i="1"/>
  <c r="K682" i="18"/>
  <c r="BC605" i="1" s="1"/>
  <c r="M682" i="18"/>
  <c r="BG605" i="1" s="1"/>
  <c r="G682" i="18"/>
  <c r="AO605" i="1" s="1"/>
  <c r="P682" i="18"/>
  <c r="AE605" i="1" s="1"/>
  <c r="I682" i="18"/>
  <c r="AW605" i="1" s="1"/>
  <c r="O682" i="18"/>
  <c r="BQ605" i="1" s="1"/>
  <c r="F682" i="18"/>
  <c r="AA605" i="1" s="1"/>
  <c r="Q682" i="18"/>
  <c r="BU605" i="1" s="1"/>
  <c r="E682" i="18"/>
  <c r="K605" i="1" s="1"/>
  <c r="H682" i="18"/>
  <c r="Q605" i="1" s="1"/>
  <c r="J682" i="18"/>
  <c r="W605" i="1" s="1"/>
  <c r="L682" i="18"/>
  <c r="AI605" i="1" s="1"/>
  <c r="R682" i="18"/>
  <c r="CA605" i="1" s="1"/>
  <c r="AW83" i="1"/>
  <c r="G337" i="1"/>
  <c r="CG337" i="1" s="1"/>
  <c r="BV86" i="1"/>
  <c r="K500" i="1"/>
  <c r="L725" i="1"/>
  <c r="E437" i="2"/>
  <c r="L338" i="1" s="1"/>
  <c r="CB725" i="1"/>
  <c r="R437" i="2"/>
  <c r="CB338" i="1" s="1"/>
  <c r="AV207" i="1"/>
  <c r="U85" i="1"/>
  <c r="R499" i="1"/>
  <c r="BU726" i="1"/>
  <c r="Q438" i="18"/>
  <c r="BU339" i="1" s="1"/>
  <c r="K83" i="1"/>
  <c r="AI500" i="1"/>
  <c r="AW726" i="1"/>
  <c r="I438" i="18"/>
  <c r="AW339" i="1" s="1"/>
  <c r="AO726" i="1"/>
  <c r="G438" i="18"/>
  <c r="AO339" i="1" s="1"/>
  <c r="W725" i="1"/>
  <c r="J437" i="18"/>
  <c r="W338" i="1" s="1"/>
  <c r="Q83" i="1"/>
  <c r="BR86" i="1"/>
  <c r="W500" i="1"/>
  <c r="F437" i="2"/>
  <c r="AB338" i="1" s="1"/>
  <c r="AB725" i="1"/>
  <c r="BV725" i="1"/>
  <c r="Q437" i="2"/>
  <c r="BV338" i="1" s="1"/>
  <c r="G207" i="1"/>
  <c r="BH85" i="1"/>
  <c r="BD499" i="1"/>
  <c r="BY85" i="1"/>
  <c r="BV499" i="1"/>
  <c r="CB86" i="1"/>
  <c r="G208" i="1"/>
  <c r="P438" i="18"/>
  <c r="AE339" i="1" s="1"/>
  <c r="AE726" i="1"/>
  <c r="CA725" i="1"/>
  <c r="R437" i="18"/>
  <c r="CA338" i="1" s="1"/>
  <c r="D75" i="1"/>
  <c r="E75" i="1"/>
  <c r="F75" i="1"/>
  <c r="C489" i="1"/>
  <c r="H85" i="1"/>
  <c r="L197" i="12"/>
  <c r="M197" i="12"/>
  <c r="G197" i="12"/>
  <c r="O197" i="12"/>
  <c r="H197" i="12"/>
  <c r="P197" i="12"/>
  <c r="I197" i="12"/>
  <c r="Q197" i="12"/>
  <c r="J197" i="12"/>
  <c r="R197" i="12"/>
  <c r="F197" i="12"/>
  <c r="K197" i="12"/>
  <c r="S197" i="12"/>
  <c r="E197" i="12"/>
  <c r="N197" i="12"/>
  <c r="C726" i="1"/>
  <c r="L316" i="2"/>
  <c r="R316" i="2"/>
  <c r="K316" i="2"/>
  <c r="G316" i="2"/>
  <c r="N316" i="2"/>
  <c r="N438" i="2" s="1"/>
  <c r="BN339" i="1" s="1"/>
  <c r="M316" i="2"/>
  <c r="I316" i="2"/>
  <c r="P316" i="2"/>
  <c r="J316" i="2"/>
  <c r="H316" i="2"/>
  <c r="O316" i="2"/>
  <c r="Q316" i="2"/>
  <c r="F316" i="2"/>
  <c r="E316" i="2"/>
  <c r="CA83" i="1"/>
  <c r="A562" i="18"/>
  <c r="C562" i="18" s="1"/>
  <c r="C684" i="18" s="1"/>
  <c r="B562" i="18"/>
  <c r="H84" i="2"/>
  <c r="P84" i="2"/>
  <c r="R84" i="2"/>
  <c r="K84" i="2"/>
  <c r="L84" i="2"/>
  <c r="E84" i="2"/>
  <c r="M84" i="2"/>
  <c r="Q84" i="2"/>
  <c r="D85" i="2"/>
  <c r="N84" i="2"/>
  <c r="I84" i="2"/>
  <c r="O84" i="2"/>
  <c r="CA500" i="1"/>
  <c r="BD725" i="1"/>
  <c r="K437" i="2"/>
  <c r="BD338" i="1" s="1"/>
  <c r="AJ725" i="1"/>
  <c r="L437" i="2"/>
  <c r="AJ338" i="1" s="1"/>
  <c r="H498" i="1"/>
  <c r="O85" i="1"/>
  <c r="L499" i="1"/>
  <c r="H499" i="1" s="1"/>
  <c r="L437" i="18"/>
  <c r="AI338" i="1" s="1"/>
  <c r="AI725" i="1"/>
  <c r="O194" i="18"/>
  <c r="BQ209" i="1" s="1"/>
  <c r="P194" i="18"/>
  <c r="AE209" i="1" s="1"/>
  <c r="M194" i="18"/>
  <c r="BG209" i="1" s="1"/>
  <c r="L194" i="18"/>
  <c r="AI209" i="1" s="1"/>
  <c r="A193" i="13"/>
  <c r="C193" i="13" s="1"/>
  <c r="F194" i="18"/>
  <c r="AA209" i="1" s="1"/>
  <c r="H194" i="18"/>
  <c r="Q209" i="1" s="1"/>
  <c r="I194" i="18"/>
  <c r="AW209" i="1" s="1"/>
  <c r="R194" i="18"/>
  <c r="CA209" i="1" s="1"/>
  <c r="K194" i="18"/>
  <c r="BC209" i="1" s="1"/>
  <c r="J194" i="18"/>
  <c r="W209" i="1" s="1"/>
  <c r="E194" i="18"/>
  <c r="K209" i="1" s="1"/>
  <c r="Q194" i="18"/>
  <c r="BU209" i="1" s="1"/>
  <c r="G194" i="18"/>
  <c r="AO209" i="1" s="1"/>
  <c r="R86" i="1"/>
  <c r="AX725" i="1"/>
  <c r="I437" i="2"/>
  <c r="AX338" i="1" s="1"/>
  <c r="K725" i="1"/>
  <c r="E437" i="18"/>
  <c r="K338" i="1" s="1"/>
  <c r="BU83" i="1"/>
  <c r="I207" i="1"/>
  <c r="E572" i="18"/>
  <c r="D573" i="18"/>
  <c r="H572" i="18"/>
  <c r="Q572" i="18"/>
  <c r="R572" i="18"/>
  <c r="L572" i="18"/>
  <c r="J572" i="18"/>
  <c r="G437" i="2"/>
  <c r="AP338" i="1" s="1"/>
  <c r="AP725" i="1"/>
  <c r="Q726" i="1"/>
  <c r="H438" i="18"/>
  <c r="Q339" i="1" s="1"/>
  <c r="F438" i="18"/>
  <c r="AA339" i="1" s="1"/>
  <c r="AA726" i="1"/>
  <c r="Q725" i="1"/>
  <c r="H437" i="18"/>
  <c r="Q338" i="1" s="1"/>
  <c r="F193" i="2"/>
  <c r="AB208" i="1" s="1"/>
  <c r="G193" i="2"/>
  <c r="AP208" i="1" s="1"/>
  <c r="J193" i="2"/>
  <c r="X208" i="1" s="1"/>
  <c r="O193" i="2"/>
  <c r="BR208" i="1" s="1"/>
  <c r="N193" i="2"/>
  <c r="BN208" i="1" s="1"/>
  <c r="K193" i="2"/>
  <c r="BD208" i="1" s="1"/>
  <c r="Q193" i="2"/>
  <c r="BV208" i="1" s="1"/>
  <c r="M193" i="2"/>
  <c r="BJ208" i="1" s="1"/>
  <c r="I193" i="2"/>
  <c r="AX208" i="1" s="1"/>
  <c r="E193" i="2"/>
  <c r="L208" i="1" s="1"/>
  <c r="P193" i="2"/>
  <c r="AF208" i="1" s="1"/>
  <c r="H193" i="2"/>
  <c r="R208" i="1" s="1"/>
  <c r="L193" i="2"/>
  <c r="AJ208" i="1" s="1"/>
  <c r="R193" i="2"/>
  <c r="CB208" i="1" s="1"/>
  <c r="W83" i="1"/>
  <c r="C73" i="18"/>
  <c r="G683" i="18"/>
  <c r="AO606" i="1" s="1"/>
  <c r="P683" i="18"/>
  <c r="AE606" i="1" s="1"/>
  <c r="I683" i="18"/>
  <c r="AW606" i="1" s="1"/>
  <c r="K683" i="18"/>
  <c r="BC606" i="1" s="1"/>
  <c r="F683" i="18"/>
  <c r="AA606" i="1" s="1"/>
  <c r="O683" i="18"/>
  <c r="BQ606" i="1" s="1"/>
  <c r="M683" i="18"/>
  <c r="BG606" i="1" s="1"/>
  <c r="L683" i="18"/>
  <c r="AI606" i="1" s="1"/>
  <c r="E683" i="18"/>
  <c r="K606" i="1" s="1"/>
  <c r="R683" i="18"/>
  <c r="CA606" i="1" s="1"/>
  <c r="H683" i="18"/>
  <c r="Q606" i="1" s="1"/>
  <c r="J683" i="18"/>
  <c r="W606" i="1" s="1"/>
  <c r="Q683" i="18"/>
  <c r="BU606" i="1" s="1"/>
  <c r="BN86" i="1"/>
  <c r="P682" i="2"/>
  <c r="AF605" i="1" s="1"/>
  <c r="N682" i="2"/>
  <c r="O682" i="2"/>
  <c r="BR605" i="1" s="1"/>
  <c r="F682" i="2"/>
  <c r="AB605" i="1" s="1"/>
  <c r="G682" i="2"/>
  <c r="AP605" i="1" s="1"/>
  <c r="J682" i="2"/>
  <c r="X605" i="1" s="1"/>
  <c r="M682" i="2"/>
  <c r="BJ605" i="1" s="1"/>
  <c r="R682" i="2"/>
  <c r="H682" i="2"/>
  <c r="E682" i="2"/>
  <c r="Q682" i="2"/>
  <c r="K682" i="2"/>
  <c r="BD605" i="1" s="1"/>
  <c r="I682" i="2"/>
  <c r="L682" i="2"/>
  <c r="BU500" i="1"/>
  <c r="C73" i="2"/>
  <c r="BR725" i="1"/>
  <c r="O437" i="2"/>
  <c r="BR338" i="1" s="1"/>
  <c r="I84" i="1"/>
  <c r="AM85" i="1"/>
  <c r="AJ500" i="1"/>
  <c r="N683" i="2"/>
  <c r="M683" i="2"/>
  <c r="BJ606" i="1" s="1"/>
  <c r="O683" i="2"/>
  <c r="BR606" i="1" s="1"/>
  <c r="P683" i="2"/>
  <c r="AF606" i="1" s="1"/>
  <c r="F683" i="2"/>
  <c r="AB606" i="1" s="1"/>
  <c r="J683" i="2"/>
  <c r="X606" i="1" s="1"/>
  <c r="G683" i="2"/>
  <c r="AP606" i="1" s="1"/>
  <c r="Q683" i="2"/>
  <c r="H683" i="2"/>
  <c r="I683" i="2"/>
  <c r="E683" i="2"/>
  <c r="R683" i="2"/>
  <c r="L683" i="2"/>
  <c r="K683" i="2"/>
  <c r="BD606" i="1" s="1"/>
  <c r="BC83" i="1"/>
  <c r="CA726" i="1"/>
  <c r="R438" i="18"/>
  <c r="CA339" i="1" s="1"/>
  <c r="L438" i="18"/>
  <c r="AI339" i="1" s="1"/>
  <c r="AI726" i="1"/>
  <c r="AW725" i="1"/>
  <c r="I437" i="18"/>
  <c r="AW338" i="1" s="1"/>
  <c r="BU725" i="1"/>
  <c r="Q437" i="18"/>
  <c r="BU338" i="1" s="1"/>
  <c r="C727" i="1"/>
  <c r="H317" i="2"/>
  <c r="Q317" i="2"/>
  <c r="I317" i="2"/>
  <c r="K317" i="2"/>
  <c r="M317" i="2"/>
  <c r="R317" i="2"/>
  <c r="N317" i="2"/>
  <c r="N439" i="2" s="1"/>
  <c r="BN340" i="1" s="1"/>
  <c r="L317" i="2"/>
  <c r="P317" i="2"/>
  <c r="J317" i="2"/>
  <c r="F317" i="2"/>
  <c r="E317" i="2"/>
  <c r="O317" i="2"/>
  <c r="G317" i="2"/>
  <c r="AO83" i="1"/>
  <c r="A74" i="18"/>
  <c r="B74" i="18"/>
  <c r="AX86" i="1"/>
  <c r="BJ86" i="1"/>
  <c r="Q500" i="1"/>
  <c r="A74" i="2"/>
  <c r="C74" i="2" s="1"/>
  <c r="B74" i="2"/>
  <c r="J437" i="2"/>
  <c r="X338" i="1" s="1"/>
  <c r="X725" i="1"/>
  <c r="R725" i="1"/>
  <c r="H437" i="2"/>
  <c r="R338" i="1" s="1"/>
  <c r="D573" i="2"/>
  <c r="H572" i="2"/>
  <c r="L572" i="2"/>
  <c r="E572" i="2"/>
  <c r="Q572" i="2"/>
  <c r="I572" i="2"/>
  <c r="R572" i="2"/>
  <c r="K572" i="2"/>
  <c r="G499" i="1"/>
  <c r="AT207" i="1"/>
  <c r="AV206" i="1"/>
  <c r="BD727" i="1" l="1"/>
  <c r="K439" i="2"/>
  <c r="BD340" i="1" s="1"/>
  <c r="CB726" i="1"/>
  <c r="R438" i="2"/>
  <c r="CB339" i="1" s="1"/>
  <c r="A75" i="18"/>
  <c r="B75" i="18"/>
  <c r="P439" i="18"/>
  <c r="AE340" i="1" s="1"/>
  <c r="AE727" i="1"/>
  <c r="C74" i="18"/>
  <c r="O86" i="1"/>
  <c r="L500" i="1"/>
  <c r="A75" i="2"/>
  <c r="B75" i="2"/>
  <c r="BR727" i="1"/>
  <c r="O439" i="2"/>
  <c r="BR340" i="1" s="1"/>
  <c r="BJ727" i="1"/>
  <c r="M439" i="2"/>
  <c r="BJ340" i="1" s="1"/>
  <c r="AM208" i="1"/>
  <c r="AJ605" i="1"/>
  <c r="W501" i="1"/>
  <c r="BV87" i="1"/>
  <c r="A563" i="18"/>
  <c r="C563" i="18" s="1"/>
  <c r="C685" i="18" s="1"/>
  <c r="B563" i="18"/>
  <c r="BR726" i="1"/>
  <c r="O438" i="2"/>
  <c r="BR339" i="1" s="1"/>
  <c r="BD726" i="1"/>
  <c r="K438" i="2"/>
  <c r="BD339" i="1" s="1"/>
  <c r="G500" i="1"/>
  <c r="H86" i="1"/>
  <c r="BU84" i="1"/>
  <c r="L439" i="18"/>
  <c r="AI340" i="1" s="1"/>
  <c r="AI727" i="1"/>
  <c r="O439" i="18"/>
  <c r="BQ340" i="1" s="1"/>
  <c r="BQ727" i="1"/>
  <c r="L727" i="1"/>
  <c r="E439" i="2"/>
  <c r="L340" i="1" s="1"/>
  <c r="AW84" i="1"/>
  <c r="U86" i="1"/>
  <c r="R500" i="1"/>
  <c r="AJ726" i="1"/>
  <c r="L438" i="2"/>
  <c r="AJ339" i="1" s="1"/>
  <c r="K84" i="1"/>
  <c r="BV727" i="1"/>
  <c r="Q439" i="2"/>
  <c r="BV340" i="1" s="1"/>
  <c r="CE209" i="1"/>
  <c r="CB606" i="1"/>
  <c r="BY208" i="1"/>
  <c r="BV605" i="1"/>
  <c r="BU501" i="1"/>
  <c r="G338" i="1"/>
  <c r="I85" i="1"/>
  <c r="AJ87" i="1"/>
  <c r="AF726" i="1"/>
  <c r="P438" i="2"/>
  <c r="AF339" i="1" s="1"/>
  <c r="G83" i="1"/>
  <c r="H82" i="18"/>
  <c r="K82" i="18"/>
  <c r="E82" i="18"/>
  <c r="D83" i="18"/>
  <c r="J82" i="18"/>
  <c r="R82" i="18"/>
  <c r="Q82" i="18"/>
  <c r="G82" i="18"/>
  <c r="I82" i="18"/>
  <c r="W727" i="1"/>
  <c r="J439" i="18"/>
  <c r="W340" i="1" s="1"/>
  <c r="AO727" i="1"/>
  <c r="G439" i="18"/>
  <c r="AO340" i="1" s="1"/>
  <c r="A563" i="2"/>
  <c r="B563" i="2"/>
  <c r="BC727" i="1"/>
  <c r="K439" i="18"/>
  <c r="BC340" i="1" s="1"/>
  <c r="AM209" i="1"/>
  <c r="AJ606" i="1"/>
  <c r="J438" i="2"/>
  <c r="X339" i="1" s="1"/>
  <c r="X726" i="1"/>
  <c r="AF727" i="1"/>
  <c r="P439" i="2"/>
  <c r="AF340" i="1" s="1"/>
  <c r="O209" i="1"/>
  <c r="L606" i="1"/>
  <c r="O208" i="1"/>
  <c r="L605" i="1"/>
  <c r="Q501" i="1"/>
  <c r="G209" i="1"/>
  <c r="BR87" i="1"/>
  <c r="BD87" i="1"/>
  <c r="AX726" i="1"/>
  <c r="I438" i="2"/>
  <c r="AX339" i="1" s="1"/>
  <c r="E489" i="1"/>
  <c r="D489" i="1"/>
  <c r="BC84" i="1"/>
  <c r="CA727" i="1"/>
  <c r="R439" i="18"/>
  <c r="CA340" i="1" s="1"/>
  <c r="AM86" i="1"/>
  <c r="AJ501" i="1"/>
  <c r="BJ87" i="1"/>
  <c r="K727" i="1"/>
  <c r="E439" i="18"/>
  <c r="K340" i="1" s="1"/>
  <c r="G340" i="1" s="1"/>
  <c r="AW727" i="1"/>
  <c r="I439" i="18"/>
  <c r="AW340" i="1" s="1"/>
  <c r="J439" i="2"/>
  <c r="X340" i="1" s="1"/>
  <c r="X727" i="1"/>
  <c r="G606" i="1"/>
  <c r="L573" i="18"/>
  <c r="E573" i="18"/>
  <c r="D574" i="18"/>
  <c r="H573" i="18"/>
  <c r="Q573" i="18"/>
  <c r="R573" i="18"/>
  <c r="J573" i="18"/>
  <c r="AX87" i="1"/>
  <c r="CB87" i="1"/>
  <c r="L726" i="1"/>
  <c r="E438" i="2"/>
  <c r="L339" i="1" s="1"/>
  <c r="BJ726" i="1"/>
  <c r="M438" i="2"/>
  <c r="BJ339" i="1" s="1"/>
  <c r="G605" i="1"/>
  <c r="CA84" i="1"/>
  <c r="Q727" i="1"/>
  <c r="H439" i="18"/>
  <c r="Q340" i="1" s="1"/>
  <c r="H209" i="1"/>
  <c r="AT209" i="1"/>
  <c r="BA208" i="1"/>
  <c r="AX605" i="1"/>
  <c r="R726" i="1"/>
  <c r="H438" i="2"/>
  <c r="R339" i="1" s="1"/>
  <c r="AX727" i="1"/>
  <c r="I439" i="2"/>
  <c r="AX340" i="1" s="1"/>
  <c r="CA501" i="1"/>
  <c r="L87" i="1"/>
  <c r="J684" i="2"/>
  <c r="X607" i="1" s="1"/>
  <c r="L573" i="2"/>
  <c r="E573" i="2"/>
  <c r="D574" i="2"/>
  <c r="R573" i="2"/>
  <c r="K573" i="2"/>
  <c r="H573" i="2"/>
  <c r="Q573" i="2"/>
  <c r="I573" i="2"/>
  <c r="R727" i="1"/>
  <c r="H439" i="2"/>
  <c r="R340" i="1" s="1"/>
  <c r="AJ727" i="1"/>
  <c r="L439" i="2"/>
  <c r="AJ340" i="1" s="1"/>
  <c r="U208" i="1"/>
  <c r="R605" i="1"/>
  <c r="CE208" i="1"/>
  <c r="CB605" i="1"/>
  <c r="A72" i="10"/>
  <c r="M684" i="18" s="1"/>
  <c r="BG607" i="1" s="1"/>
  <c r="C195" i="18"/>
  <c r="C440" i="18"/>
  <c r="C318" i="18"/>
  <c r="A72" i="13"/>
  <c r="C72" i="13" s="1"/>
  <c r="C198" i="12"/>
  <c r="K501" i="1"/>
  <c r="BN87" i="1"/>
  <c r="AF87" i="1"/>
  <c r="F438" i="2"/>
  <c r="AB339" i="1" s="1"/>
  <c r="AB726" i="1"/>
  <c r="H338" i="1"/>
  <c r="D488" i="1"/>
  <c r="E488" i="1"/>
  <c r="G339" i="1"/>
  <c r="Q84" i="1"/>
  <c r="W84" i="1"/>
  <c r="BU727" i="1"/>
  <c r="Q439" i="18"/>
  <c r="BU340" i="1" s="1"/>
  <c r="C319" i="2"/>
  <c r="C196" i="2"/>
  <c r="C441" i="2"/>
  <c r="C77" i="1"/>
  <c r="C211" i="1"/>
  <c r="C620" i="1" s="1"/>
  <c r="C342" i="1"/>
  <c r="D342" i="1" s="1"/>
  <c r="AI501" i="1"/>
  <c r="F439" i="2"/>
  <c r="AB340" i="1" s="1"/>
  <c r="AB727" i="1"/>
  <c r="BH86" i="1"/>
  <c r="BD500" i="1"/>
  <c r="CE86" i="1"/>
  <c r="CB500" i="1"/>
  <c r="BA209" i="1"/>
  <c r="AV209" i="1" s="1"/>
  <c r="AX606" i="1"/>
  <c r="C195" i="2"/>
  <c r="C318" i="2"/>
  <c r="C440" i="2"/>
  <c r="C76" i="1"/>
  <c r="C210" i="1"/>
  <c r="C619" i="1" s="1"/>
  <c r="C341" i="1"/>
  <c r="D341" i="1" s="1"/>
  <c r="BA86" i="1"/>
  <c r="AX500" i="1"/>
  <c r="U209" i="1"/>
  <c r="R606" i="1"/>
  <c r="H208" i="1"/>
  <c r="BY86" i="1"/>
  <c r="BV500" i="1"/>
  <c r="G439" i="2"/>
  <c r="AP340" i="1" s="1"/>
  <c r="AP727" i="1"/>
  <c r="CB727" i="1"/>
  <c r="R439" i="2"/>
  <c r="CB340" i="1" s="1"/>
  <c r="BY209" i="1"/>
  <c r="BV606" i="1"/>
  <c r="AT208" i="1"/>
  <c r="N85" i="2"/>
  <c r="D86" i="2"/>
  <c r="H85" i="2"/>
  <c r="P85" i="2"/>
  <c r="I85" i="2"/>
  <c r="Q85" i="2"/>
  <c r="R85" i="2"/>
  <c r="K85" i="2"/>
  <c r="O85" i="2"/>
  <c r="E85" i="2"/>
  <c r="L85" i="2"/>
  <c r="M85" i="2"/>
  <c r="R87" i="1"/>
  <c r="BV726" i="1"/>
  <c r="Q438" i="2"/>
  <c r="BV339" i="1" s="1"/>
  <c r="G438" i="2"/>
  <c r="AP339" i="1" s="1"/>
  <c r="AP726" i="1"/>
  <c r="AO84" i="1"/>
  <c r="M439" i="18"/>
  <c r="BG340" i="1" s="1"/>
  <c r="BG727" i="1"/>
  <c r="F439" i="18"/>
  <c r="AA340" i="1" s="1"/>
  <c r="AA727" i="1"/>
  <c r="AX88" i="1" l="1"/>
  <c r="W85" i="1"/>
  <c r="BJ88" i="1"/>
  <c r="C728" i="1"/>
  <c r="R318" i="2"/>
  <c r="F318" i="2"/>
  <c r="E318" i="2"/>
  <c r="G318" i="2"/>
  <c r="N318" i="2"/>
  <c r="N440" i="2" s="1"/>
  <c r="BN341" i="1" s="1"/>
  <c r="M318" i="2"/>
  <c r="I318" i="2"/>
  <c r="P318" i="2"/>
  <c r="J318" i="2"/>
  <c r="L318" i="2"/>
  <c r="H318" i="2"/>
  <c r="O318" i="2"/>
  <c r="K318" i="2"/>
  <c r="Q318" i="2"/>
  <c r="O684" i="2"/>
  <c r="BR607" i="1" s="1"/>
  <c r="A76" i="18"/>
  <c r="C76" i="18" s="1"/>
  <c r="B76" i="18"/>
  <c r="BR88" i="1"/>
  <c r="C729" i="1"/>
  <c r="H319" i="2"/>
  <c r="G319" i="2"/>
  <c r="N319" i="2"/>
  <c r="N441" i="2" s="1"/>
  <c r="BN342" i="1" s="1"/>
  <c r="L319" i="2"/>
  <c r="K319" i="2"/>
  <c r="R319" i="2"/>
  <c r="P319" i="2"/>
  <c r="J319" i="2"/>
  <c r="O319" i="2"/>
  <c r="M319" i="2"/>
  <c r="F319" i="2"/>
  <c r="E319" i="2"/>
  <c r="Q319" i="2"/>
  <c r="I319" i="2"/>
  <c r="CG339" i="1"/>
  <c r="I318" i="18"/>
  <c r="R318" i="18"/>
  <c r="J318" i="18"/>
  <c r="K318" i="18"/>
  <c r="L318" i="18"/>
  <c r="E318" i="18"/>
  <c r="O318" i="18"/>
  <c r="H318" i="18"/>
  <c r="M318" i="18"/>
  <c r="P318" i="18"/>
  <c r="Q318" i="18"/>
  <c r="F318" i="18"/>
  <c r="G318" i="18"/>
  <c r="Q684" i="2"/>
  <c r="CB88" i="1"/>
  <c r="K684" i="2"/>
  <c r="BD607" i="1" s="1"/>
  <c r="F684" i="2"/>
  <c r="AB607" i="1" s="1"/>
  <c r="BV88" i="1"/>
  <c r="D76" i="1"/>
  <c r="E76" i="1"/>
  <c r="F76" i="1"/>
  <c r="C490" i="1"/>
  <c r="L195" i="18"/>
  <c r="AI210" i="1" s="1"/>
  <c r="M195" i="18"/>
  <c r="BG210" i="1" s="1"/>
  <c r="P195" i="18"/>
  <c r="AE210" i="1" s="1"/>
  <c r="F195" i="18"/>
  <c r="AA210" i="1" s="1"/>
  <c r="A194" i="13"/>
  <c r="C194" i="13" s="1"/>
  <c r="O195" i="18"/>
  <c r="BQ210" i="1" s="1"/>
  <c r="I195" i="18"/>
  <c r="AW210" i="1" s="1"/>
  <c r="H195" i="18"/>
  <c r="Q210" i="1" s="1"/>
  <c r="G195" i="18"/>
  <c r="AO210" i="1" s="1"/>
  <c r="K195" i="18"/>
  <c r="BC210" i="1" s="1"/>
  <c r="R195" i="18"/>
  <c r="CA210" i="1" s="1"/>
  <c r="J195" i="18"/>
  <c r="W210" i="1" s="1"/>
  <c r="Q195" i="18"/>
  <c r="BU210" i="1" s="1"/>
  <c r="E195" i="18"/>
  <c r="K210" i="1" s="1"/>
  <c r="G210" i="1" s="1"/>
  <c r="O87" i="1"/>
  <c r="L501" i="1"/>
  <c r="L684" i="2"/>
  <c r="H87" i="1"/>
  <c r="Q502" i="1"/>
  <c r="C563" i="2"/>
  <c r="C685" i="2" s="1"/>
  <c r="CA85" i="1"/>
  <c r="O684" i="18"/>
  <c r="BQ607" i="1" s="1"/>
  <c r="L574" i="18"/>
  <c r="E574" i="18"/>
  <c r="D575" i="18"/>
  <c r="J574" i="18"/>
  <c r="H574" i="18"/>
  <c r="Q574" i="18"/>
  <c r="R574" i="18"/>
  <c r="BA87" i="1"/>
  <c r="AX501" i="1"/>
  <c r="D84" i="18"/>
  <c r="I83" i="18"/>
  <c r="Q83" i="18"/>
  <c r="J83" i="18"/>
  <c r="R83" i="18"/>
  <c r="K83" i="18"/>
  <c r="E83" i="18"/>
  <c r="H83" i="18"/>
  <c r="G83" i="18"/>
  <c r="A76" i="2"/>
  <c r="C76" i="2" s="1"/>
  <c r="B76" i="2"/>
  <c r="AJ88" i="1"/>
  <c r="E684" i="2"/>
  <c r="G684" i="2"/>
  <c r="AP607" i="1" s="1"/>
  <c r="AI502" i="1"/>
  <c r="H605" i="1"/>
  <c r="K85" i="1"/>
  <c r="E684" i="18"/>
  <c r="K607" i="1" s="1"/>
  <c r="I684" i="18"/>
  <c r="AW607" i="1" s="1"/>
  <c r="C75" i="2"/>
  <c r="C75" i="18"/>
  <c r="R88" i="1"/>
  <c r="G195" i="2"/>
  <c r="AP210" i="1" s="1"/>
  <c r="J195" i="2"/>
  <c r="X210" i="1" s="1"/>
  <c r="F195" i="2"/>
  <c r="AB210" i="1" s="1"/>
  <c r="L195" i="2"/>
  <c r="AJ210" i="1" s="1"/>
  <c r="H195" i="2"/>
  <c r="R210" i="1" s="1"/>
  <c r="I195" i="2"/>
  <c r="AX210" i="1" s="1"/>
  <c r="N195" i="2"/>
  <c r="BN210" i="1" s="1"/>
  <c r="P195" i="2"/>
  <c r="AF210" i="1" s="1"/>
  <c r="E195" i="2"/>
  <c r="L210" i="1" s="1"/>
  <c r="K195" i="2"/>
  <c r="BD210" i="1" s="1"/>
  <c r="M195" i="2"/>
  <c r="BJ210" i="1" s="1"/>
  <c r="Q195" i="2"/>
  <c r="BV210" i="1" s="1"/>
  <c r="O195" i="2"/>
  <c r="BR210" i="1" s="1"/>
  <c r="R195" i="2"/>
  <c r="CB210" i="1" s="1"/>
  <c r="BY87" i="1"/>
  <c r="BV501" i="1"/>
  <c r="L88" i="1"/>
  <c r="L86" i="2"/>
  <c r="N86" i="2"/>
  <c r="D87" i="2"/>
  <c r="O86" i="2"/>
  <c r="H86" i="2"/>
  <c r="P86" i="2"/>
  <c r="I86" i="2"/>
  <c r="Q86" i="2"/>
  <c r="M86" i="2"/>
  <c r="R86" i="2"/>
  <c r="E86" i="2"/>
  <c r="K86" i="2"/>
  <c r="J196" i="2"/>
  <c r="X211" i="1" s="1"/>
  <c r="K196" i="2"/>
  <c r="BD211" i="1" s="1"/>
  <c r="R196" i="2"/>
  <c r="CB211" i="1" s="1"/>
  <c r="E196" i="2"/>
  <c r="L211" i="1" s="1"/>
  <c r="M196" i="2"/>
  <c r="BJ211" i="1" s="1"/>
  <c r="L196" i="2"/>
  <c r="AJ211" i="1" s="1"/>
  <c r="O196" i="2"/>
  <c r="BR211" i="1" s="1"/>
  <c r="L198" i="12"/>
  <c r="E198" i="12"/>
  <c r="N198" i="12"/>
  <c r="G198" i="12"/>
  <c r="O198" i="12"/>
  <c r="H198" i="12"/>
  <c r="P198" i="12"/>
  <c r="F198" i="12"/>
  <c r="I198" i="12"/>
  <c r="Q198" i="12"/>
  <c r="J198" i="12"/>
  <c r="R198" i="12"/>
  <c r="K198" i="12"/>
  <c r="S198" i="12"/>
  <c r="M198" i="12"/>
  <c r="U87" i="1"/>
  <c r="R501" i="1"/>
  <c r="I684" i="2"/>
  <c r="P684" i="2"/>
  <c r="AF607" i="1" s="1"/>
  <c r="I208" i="1"/>
  <c r="BC85" i="1"/>
  <c r="Q684" i="18"/>
  <c r="BU607" i="1" s="1"/>
  <c r="P684" i="18"/>
  <c r="AE607" i="1" s="1"/>
  <c r="H500" i="1"/>
  <c r="F684" i="18"/>
  <c r="AA607" i="1" s="1"/>
  <c r="R684" i="2"/>
  <c r="K684" i="18"/>
  <c r="BC607" i="1" s="1"/>
  <c r="BH87" i="1"/>
  <c r="BD501" i="1"/>
  <c r="H684" i="2"/>
  <c r="N684" i="2"/>
  <c r="H339" i="1"/>
  <c r="W502" i="1"/>
  <c r="H606" i="1"/>
  <c r="AW85" i="1"/>
  <c r="Q85" i="1"/>
  <c r="CG338" i="1"/>
  <c r="L684" i="18"/>
  <c r="AI607" i="1" s="1"/>
  <c r="G684" i="18"/>
  <c r="AO607" i="1" s="1"/>
  <c r="A564" i="18"/>
  <c r="B564" i="18"/>
  <c r="I86" i="1"/>
  <c r="H684" i="18"/>
  <c r="Q607" i="1" s="1"/>
  <c r="G501" i="1"/>
  <c r="AV208" i="1"/>
  <c r="R684" i="18"/>
  <c r="CA607" i="1" s="1"/>
  <c r="M684" i="2"/>
  <c r="BJ607" i="1" s="1"/>
  <c r="CA502" i="1"/>
  <c r="I209" i="1"/>
  <c r="AO85" i="1"/>
  <c r="G84" i="1"/>
  <c r="J684" i="18"/>
  <c r="W607" i="1" s="1"/>
  <c r="H340" i="1"/>
  <c r="CG340" i="1" s="1"/>
  <c r="F685" i="18"/>
  <c r="AA608" i="1" s="1"/>
  <c r="P685" i="18"/>
  <c r="AE608" i="1" s="1"/>
  <c r="I685" i="18"/>
  <c r="AW608" i="1" s="1"/>
  <c r="K685" i="18"/>
  <c r="BC608" i="1" s="1"/>
  <c r="M685" i="18"/>
  <c r="BG608" i="1" s="1"/>
  <c r="L685" i="18"/>
  <c r="AI608" i="1" s="1"/>
  <c r="E685" i="18"/>
  <c r="K608" i="1" s="1"/>
  <c r="J685" i="18"/>
  <c r="W608" i="1" s="1"/>
  <c r="AM87" i="1"/>
  <c r="AJ502" i="1"/>
  <c r="AF88" i="1"/>
  <c r="F77" i="1"/>
  <c r="E77" i="1"/>
  <c r="D77" i="1"/>
  <c r="C491" i="1"/>
  <c r="K502" i="1"/>
  <c r="G502" i="1" s="1"/>
  <c r="BN88" i="1"/>
  <c r="BD88" i="1"/>
  <c r="CE87" i="1"/>
  <c r="CB501" i="1"/>
  <c r="R574" i="2"/>
  <c r="K574" i="2"/>
  <c r="L574" i="2"/>
  <c r="H574" i="2"/>
  <c r="I574" i="2"/>
  <c r="Q574" i="2"/>
  <c r="E574" i="2"/>
  <c r="D575" i="2"/>
  <c r="BU502" i="1"/>
  <c r="B564" i="2"/>
  <c r="A564" i="2"/>
  <c r="BU85" i="1"/>
  <c r="A73" i="10"/>
  <c r="P196" i="2" s="1"/>
  <c r="AF211" i="1" s="1"/>
  <c r="C196" i="18"/>
  <c r="C319" i="18"/>
  <c r="C441" i="18"/>
  <c r="A73" i="13"/>
  <c r="C73" i="13" s="1"/>
  <c r="C199" i="12"/>
  <c r="BA88" i="1" l="1"/>
  <c r="AX502" i="1"/>
  <c r="L89" i="1"/>
  <c r="R87" i="2"/>
  <c r="L87" i="2"/>
  <c r="E87" i="2"/>
  <c r="M87" i="2"/>
  <c r="N87" i="2"/>
  <c r="D88" i="2"/>
  <c r="O87" i="2"/>
  <c r="K87" i="2"/>
  <c r="P87" i="2"/>
  <c r="H87" i="2"/>
  <c r="Q87" i="2"/>
  <c r="I87" i="2"/>
  <c r="W86" i="1"/>
  <c r="BU503" i="1"/>
  <c r="I87" i="1"/>
  <c r="D490" i="1"/>
  <c r="E490" i="1"/>
  <c r="P440" i="18"/>
  <c r="AE341" i="1" s="1"/>
  <c r="AE728" i="1"/>
  <c r="CA728" i="1"/>
  <c r="R440" i="18"/>
  <c r="CA341" i="1" s="1"/>
  <c r="BR729" i="1"/>
  <c r="O441" i="2"/>
  <c r="BR342" i="1" s="1"/>
  <c r="R729" i="1"/>
  <c r="H441" i="2"/>
  <c r="R342" i="1" s="1"/>
  <c r="BV728" i="1"/>
  <c r="Q440" i="2"/>
  <c r="BV341" i="1" s="1"/>
  <c r="BJ728" i="1"/>
  <c r="M440" i="2"/>
  <c r="BJ341" i="1" s="1"/>
  <c r="C564" i="2"/>
  <c r="C686" i="2" s="1"/>
  <c r="U88" i="1"/>
  <c r="R502" i="1"/>
  <c r="Q196" i="2"/>
  <c r="BV211" i="1" s="1"/>
  <c r="N196" i="2"/>
  <c r="BN211" i="1" s="1"/>
  <c r="CB89" i="1"/>
  <c r="BN89" i="1"/>
  <c r="AT210" i="1"/>
  <c r="B77" i="2"/>
  <c r="A77" i="2"/>
  <c r="C77" i="2" s="1"/>
  <c r="BU86" i="1"/>
  <c r="Q503" i="1"/>
  <c r="M440" i="18"/>
  <c r="BG341" i="1" s="1"/>
  <c r="BG728" i="1"/>
  <c r="AW728" i="1"/>
  <c r="I440" i="18"/>
  <c r="AW341" i="1" s="1"/>
  <c r="J441" i="2"/>
  <c r="X342" i="1" s="1"/>
  <c r="X729" i="1"/>
  <c r="BD728" i="1"/>
  <c r="K440" i="2"/>
  <c r="BD341" i="1" s="1"/>
  <c r="O440" i="18"/>
  <c r="BQ341" i="1" s="1"/>
  <c r="BQ728" i="1"/>
  <c r="AX729" i="1"/>
  <c r="I441" i="2"/>
  <c r="AX342" i="1" s="1"/>
  <c r="CB729" i="1"/>
  <c r="R441" i="2"/>
  <c r="CB342" i="1" s="1"/>
  <c r="R728" i="1"/>
  <c r="H440" i="2"/>
  <c r="R341" i="1" s="1"/>
  <c r="L728" i="1"/>
  <c r="E440" i="2"/>
  <c r="L341" i="1" s="1"/>
  <c r="AM88" i="1"/>
  <c r="AJ503" i="1"/>
  <c r="AJ89" i="1"/>
  <c r="C198" i="2"/>
  <c r="C321" i="2"/>
  <c r="C443" i="2"/>
  <c r="C79" i="1"/>
  <c r="C213" i="1"/>
  <c r="C622" i="1" s="1"/>
  <c r="C344" i="1"/>
  <c r="D344" i="1" s="1"/>
  <c r="W503" i="1"/>
  <c r="O685" i="2"/>
  <c r="BR608" i="1" s="1"/>
  <c r="F685" i="2"/>
  <c r="AB608" i="1" s="1"/>
  <c r="P685" i="2"/>
  <c r="AF608" i="1" s="1"/>
  <c r="G685" i="2"/>
  <c r="AP608" i="1" s="1"/>
  <c r="M685" i="2"/>
  <c r="BJ608" i="1" s="1"/>
  <c r="J685" i="2"/>
  <c r="X608" i="1" s="1"/>
  <c r="N685" i="2"/>
  <c r="R685" i="2"/>
  <c r="E685" i="2"/>
  <c r="L685" i="2"/>
  <c r="H685" i="2"/>
  <c r="I685" i="2"/>
  <c r="K685" i="2"/>
  <c r="BD608" i="1" s="1"/>
  <c r="Q685" i="2"/>
  <c r="Q728" i="1"/>
  <c r="H440" i="18"/>
  <c r="Q341" i="1" s="1"/>
  <c r="G440" i="2"/>
  <c r="AP341" i="1" s="1"/>
  <c r="AP728" i="1"/>
  <c r="BH88" i="1"/>
  <c r="BD502" i="1"/>
  <c r="BV89" i="1"/>
  <c r="C197" i="2"/>
  <c r="C320" i="2"/>
  <c r="C442" i="2"/>
  <c r="C78" i="1"/>
  <c r="C212" i="1"/>
  <c r="C621" i="1" s="1"/>
  <c r="C343" i="1"/>
  <c r="D343" i="1" s="1"/>
  <c r="H84" i="18"/>
  <c r="I84" i="18"/>
  <c r="Q84" i="18"/>
  <c r="J84" i="18"/>
  <c r="R84" i="18"/>
  <c r="K84" i="18"/>
  <c r="G84" i="18"/>
  <c r="D85" i="18"/>
  <c r="E84" i="18"/>
  <c r="J575" i="18"/>
  <c r="L575" i="18"/>
  <c r="E575" i="18"/>
  <c r="D576" i="18"/>
  <c r="R575" i="18"/>
  <c r="H575" i="18"/>
  <c r="Q575" i="18"/>
  <c r="CE88" i="1"/>
  <c r="CB502" i="1"/>
  <c r="R685" i="18"/>
  <c r="CA608" i="1" s="1"/>
  <c r="O685" i="18"/>
  <c r="BQ608" i="1" s="1"/>
  <c r="H196" i="2"/>
  <c r="R211" i="1" s="1"/>
  <c r="G196" i="2"/>
  <c r="AP211" i="1" s="1"/>
  <c r="AX89" i="1"/>
  <c r="Q86" i="1"/>
  <c r="K503" i="1"/>
  <c r="BY210" i="1"/>
  <c r="BV607" i="1"/>
  <c r="K728" i="1"/>
  <c r="E440" i="18"/>
  <c r="K341" i="1" s="1"/>
  <c r="BV729" i="1"/>
  <c r="Q441" i="2"/>
  <c r="BV342" i="1" s="1"/>
  <c r="BD729" i="1"/>
  <c r="K441" i="2"/>
  <c r="BD342" i="1" s="1"/>
  <c r="AJ728" i="1"/>
  <c r="L440" i="2"/>
  <c r="AJ341" i="1" s="1"/>
  <c r="F440" i="2"/>
  <c r="AB341" i="1" s="1"/>
  <c r="AB728" i="1"/>
  <c r="L199" i="12"/>
  <c r="M199" i="12"/>
  <c r="E199" i="12"/>
  <c r="F199" i="12"/>
  <c r="G199" i="12"/>
  <c r="O199" i="12"/>
  <c r="H199" i="12"/>
  <c r="P199" i="12"/>
  <c r="I199" i="12"/>
  <c r="Q199" i="12"/>
  <c r="J199" i="12"/>
  <c r="R199" i="12"/>
  <c r="N199" i="12"/>
  <c r="K199" i="12"/>
  <c r="S199" i="12"/>
  <c r="D491" i="1"/>
  <c r="E491" i="1"/>
  <c r="A565" i="2"/>
  <c r="B565" i="2"/>
  <c r="BJ89" i="1"/>
  <c r="A74" i="10"/>
  <c r="C197" i="18"/>
  <c r="C320" i="18"/>
  <c r="C442" i="18"/>
  <c r="A74" i="13"/>
  <c r="C74" i="13" s="1"/>
  <c r="C200" i="12"/>
  <c r="AW86" i="1"/>
  <c r="AF729" i="1"/>
  <c r="P441" i="2"/>
  <c r="AF342" i="1" s="1"/>
  <c r="BR728" i="1"/>
  <c r="O440" i="2"/>
  <c r="BR341" i="1" s="1"/>
  <c r="K319" i="18"/>
  <c r="E319" i="18"/>
  <c r="O319" i="18"/>
  <c r="F319" i="18"/>
  <c r="P319" i="18"/>
  <c r="G319" i="18"/>
  <c r="Q319" i="18"/>
  <c r="I319" i="18"/>
  <c r="M319" i="18"/>
  <c r="R319" i="18"/>
  <c r="J319" i="18"/>
  <c r="H319" i="18"/>
  <c r="L319" i="18"/>
  <c r="CE210" i="1"/>
  <c r="CB607" i="1"/>
  <c r="H88" i="1"/>
  <c r="AO86" i="1"/>
  <c r="M196" i="18"/>
  <c r="BG211" i="1" s="1"/>
  <c r="P196" i="18"/>
  <c r="AE211" i="1" s="1"/>
  <c r="L196" i="18"/>
  <c r="AI211" i="1" s="1"/>
  <c r="A195" i="13"/>
  <c r="C195" i="13" s="1"/>
  <c r="O196" i="18"/>
  <c r="BQ211" i="1" s="1"/>
  <c r="F196" i="18"/>
  <c r="AA211" i="1" s="1"/>
  <c r="G196" i="18"/>
  <c r="AO211" i="1" s="1"/>
  <c r="K196" i="18"/>
  <c r="BC211" i="1" s="1"/>
  <c r="J196" i="18"/>
  <c r="W211" i="1" s="1"/>
  <c r="I196" i="18"/>
  <c r="AW211" i="1" s="1"/>
  <c r="Q196" i="18"/>
  <c r="BU211" i="1" s="1"/>
  <c r="H196" i="18"/>
  <c r="Q211" i="1" s="1"/>
  <c r="R196" i="18"/>
  <c r="CA211" i="1" s="1"/>
  <c r="E196" i="18"/>
  <c r="K211" i="1" s="1"/>
  <c r="H575" i="2"/>
  <c r="I575" i="2"/>
  <c r="Q575" i="2"/>
  <c r="R575" i="2"/>
  <c r="D576" i="2"/>
  <c r="E575" i="2"/>
  <c r="L575" i="2"/>
  <c r="K575" i="2"/>
  <c r="Q685" i="18"/>
  <c r="BU608" i="1" s="1"/>
  <c r="G685" i="18"/>
  <c r="AO608" i="1" s="1"/>
  <c r="G608" i="1" s="1"/>
  <c r="I196" i="2"/>
  <c r="AX211" i="1" s="1"/>
  <c r="F196" i="2"/>
  <c r="AB211" i="1" s="1"/>
  <c r="H211" i="1" s="1"/>
  <c r="AF89" i="1"/>
  <c r="G607" i="1"/>
  <c r="O210" i="1"/>
  <c r="L607" i="1"/>
  <c r="K86" i="1"/>
  <c r="AI503" i="1"/>
  <c r="AO728" i="1"/>
  <c r="G440" i="18"/>
  <c r="AO341" i="1" s="1"/>
  <c r="L440" i="18"/>
  <c r="AI341" i="1" s="1"/>
  <c r="AI728" i="1"/>
  <c r="L729" i="1"/>
  <c r="E441" i="2"/>
  <c r="L342" i="1" s="1"/>
  <c r="AJ729" i="1"/>
  <c r="L441" i="2"/>
  <c r="AJ342" i="1" s="1"/>
  <c r="B77" i="18"/>
  <c r="A77" i="18"/>
  <c r="J440" i="2"/>
  <c r="X341" i="1" s="1"/>
  <c r="X728" i="1"/>
  <c r="CB728" i="1"/>
  <c r="R440" i="2"/>
  <c r="CB341" i="1" s="1"/>
  <c r="AF728" i="1"/>
  <c r="P440" i="2"/>
  <c r="AF341" i="1" s="1"/>
  <c r="O88" i="1"/>
  <c r="L502" i="1"/>
  <c r="B565" i="18"/>
  <c r="A565" i="18"/>
  <c r="C565" i="18" s="1"/>
  <c r="C687" i="18" s="1"/>
  <c r="U210" i="1"/>
  <c r="R607" i="1"/>
  <c r="BA210" i="1"/>
  <c r="AV210" i="1" s="1"/>
  <c r="AX607" i="1"/>
  <c r="R89" i="1"/>
  <c r="H210" i="1"/>
  <c r="BC86" i="1"/>
  <c r="AM210" i="1"/>
  <c r="AJ607" i="1"/>
  <c r="F440" i="18"/>
  <c r="AA341" i="1" s="1"/>
  <c r="AA728" i="1"/>
  <c r="BC728" i="1"/>
  <c r="K440" i="18"/>
  <c r="BC341" i="1" s="1"/>
  <c r="F441" i="2"/>
  <c r="AB342" i="1" s="1"/>
  <c r="AB729" i="1"/>
  <c r="A75" i="10"/>
  <c r="C321" i="18"/>
  <c r="C198" i="18"/>
  <c r="C443" i="18"/>
  <c r="A75" i="13"/>
  <c r="C75" i="13" s="1"/>
  <c r="C201" i="12"/>
  <c r="BY88" i="1"/>
  <c r="BV502" i="1"/>
  <c r="H685" i="18"/>
  <c r="Q608" i="1" s="1"/>
  <c r="C564" i="18"/>
  <c r="C686" i="18" s="1"/>
  <c r="BD89" i="1"/>
  <c r="BR89" i="1"/>
  <c r="G85" i="1"/>
  <c r="CA86" i="1"/>
  <c r="CA503" i="1"/>
  <c r="H501" i="1"/>
  <c r="BU728" i="1"/>
  <c r="Q440" i="18"/>
  <c r="BU341" i="1" s="1"/>
  <c r="W728" i="1"/>
  <c r="J440" i="18"/>
  <c r="W341" i="1" s="1"/>
  <c r="BJ729" i="1"/>
  <c r="M441" i="2"/>
  <c r="BJ342" i="1" s="1"/>
  <c r="G441" i="2"/>
  <c r="AP342" i="1" s="1"/>
  <c r="AP729" i="1"/>
  <c r="AX728" i="1"/>
  <c r="I440" i="2"/>
  <c r="AX341" i="1" s="1"/>
  <c r="AW729" i="1" l="1"/>
  <c r="I441" i="18"/>
  <c r="AW342" i="1" s="1"/>
  <c r="B566" i="2"/>
  <c r="A566" i="2"/>
  <c r="C566" i="2" s="1"/>
  <c r="C688" i="2" s="1"/>
  <c r="CA504" i="1"/>
  <c r="F686" i="2"/>
  <c r="AB609" i="1" s="1"/>
  <c r="O686" i="2"/>
  <c r="BR609" i="1" s="1"/>
  <c r="J686" i="2"/>
  <c r="X609" i="1" s="1"/>
  <c r="M686" i="2"/>
  <c r="BJ609" i="1" s="1"/>
  <c r="N686" i="2"/>
  <c r="P686" i="2"/>
  <c r="AF609" i="1" s="1"/>
  <c r="G686" i="2"/>
  <c r="AP609" i="1" s="1"/>
  <c r="K686" i="2"/>
  <c r="BD609" i="1" s="1"/>
  <c r="Q686" i="2"/>
  <c r="R686" i="2"/>
  <c r="E686" i="2"/>
  <c r="L686" i="2"/>
  <c r="I686" i="2"/>
  <c r="H686" i="2"/>
  <c r="AF90" i="1"/>
  <c r="CB90" i="1"/>
  <c r="E78" i="1"/>
  <c r="D78" i="1"/>
  <c r="F78" i="1"/>
  <c r="C492" i="1"/>
  <c r="O89" i="1"/>
  <c r="L503" i="1"/>
  <c r="CA87" i="1"/>
  <c r="H89" i="1"/>
  <c r="L201" i="12"/>
  <c r="E201" i="12"/>
  <c r="G201" i="12"/>
  <c r="O201" i="12"/>
  <c r="H201" i="12"/>
  <c r="P201" i="12"/>
  <c r="I201" i="12"/>
  <c r="Q201" i="12"/>
  <c r="J201" i="12"/>
  <c r="R201" i="12"/>
  <c r="N201" i="12"/>
  <c r="K201" i="12"/>
  <c r="S201" i="12"/>
  <c r="M201" i="12"/>
  <c r="F201" i="12"/>
  <c r="H342" i="1"/>
  <c r="AO729" i="1"/>
  <c r="G441" i="18"/>
  <c r="AO342" i="1" s="1"/>
  <c r="E320" i="18"/>
  <c r="M320" i="18"/>
  <c r="I320" i="18"/>
  <c r="J320" i="18"/>
  <c r="K320" i="18"/>
  <c r="O320" i="18"/>
  <c r="R320" i="18"/>
  <c r="F320" i="18"/>
  <c r="G320" i="18"/>
  <c r="H320" i="18"/>
  <c r="P320" i="18"/>
  <c r="Q320" i="18"/>
  <c r="L320" i="18"/>
  <c r="CE89" i="1"/>
  <c r="CB503" i="1"/>
  <c r="P441" i="18"/>
  <c r="AE342" i="1" s="1"/>
  <c r="AE729" i="1"/>
  <c r="AI504" i="1"/>
  <c r="J197" i="2"/>
  <c r="X212" i="1" s="1"/>
  <c r="F197" i="2"/>
  <c r="AB212" i="1" s="1"/>
  <c r="G197" i="2"/>
  <c r="AP212" i="1" s="1"/>
  <c r="R197" i="2"/>
  <c r="CB212" i="1" s="1"/>
  <c r="Q197" i="2"/>
  <c r="BV212" i="1" s="1"/>
  <c r="P197" i="2"/>
  <c r="AF212" i="1" s="1"/>
  <c r="L197" i="2"/>
  <c r="AJ212" i="1" s="1"/>
  <c r="N197" i="2"/>
  <c r="BN212" i="1" s="1"/>
  <c r="I197" i="2"/>
  <c r="AX212" i="1" s="1"/>
  <c r="AT212" i="1" s="1"/>
  <c r="M197" i="2"/>
  <c r="BJ212" i="1" s="1"/>
  <c r="E197" i="2"/>
  <c r="L212" i="1" s="1"/>
  <c r="H197" i="2"/>
  <c r="R212" i="1" s="1"/>
  <c r="O197" i="2"/>
  <c r="BR212" i="1" s="1"/>
  <c r="K197" i="2"/>
  <c r="BD212" i="1" s="1"/>
  <c r="H341" i="1"/>
  <c r="H88" i="2"/>
  <c r="P88" i="2"/>
  <c r="R88" i="2"/>
  <c r="K88" i="2"/>
  <c r="L88" i="2"/>
  <c r="E88" i="2"/>
  <c r="M88" i="2"/>
  <c r="N88" i="2"/>
  <c r="O88" i="2"/>
  <c r="D89" i="2"/>
  <c r="I88" i="2"/>
  <c r="Q88" i="2"/>
  <c r="B566" i="18"/>
  <c r="A566" i="18"/>
  <c r="C566" i="18" s="1"/>
  <c r="C688" i="18" s="1"/>
  <c r="AT211" i="1"/>
  <c r="BY89" i="1"/>
  <c r="BV503" i="1"/>
  <c r="Q729" i="1"/>
  <c r="H441" i="18"/>
  <c r="Q342" i="1" s="1"/>
  <c r="F441" i="18"/>
  <c r="AA342" i="1" s="1"/>
  <c r="AA729" i="1"/>
  <c r="W504" i="1"/>
  <c r="AW87" i="1"/>
  <c r="O211" i="1"/>
  <c r="L608" i="1"/>
  <c r="J198" i="2"/>
  <c r="X213" i="1" s="1"/>
  <c r="G198" i="2"/>
  <c r="AP213" i="1" s="1"/>
  <c r="F198" i="2"/>
  <c r="AB213" i="1" s="1"/>
  <c r="K198" i="2"/>
  <c r="BD213" i="1" s="1"/>
  <c r="I198" i="2"/>
  <c r="AX213" i="1" s="1"/>
  <c r="O198" i="2"/>
  <c r="BR213" i="1" s="1"/>
  <c r="M198" i="2"/>
  <c r="BJ213" i="1" s="1"/>
  <c r="P198" i="2"/>
  <c r="AF213" i="1" s="1"/>
  <c r="E198" i="2"/>
  <c r="L213" i="1" s="1"/>
  <c r="Q198" i="2"/>
  <c r="BV213" i="1" s="1"/>
  <c r="N198" i="2"/>
  <c r="BN213" i="1" s="1"/>
  <c r="H198" i="2"/>
  <c r="R213" i="1" s="1"/>
  <c r="R198" i="2"/>
  <c r="CB213" i="1" s="1"/>
  <c r="L198" i="2"/>
  <c r="AJ213" i="1" s="1"/>
  <c r="BN90" i="1"/>
  <c r="AM89" i="1"/>
  <c r="AJ504" i="1"/>
  <c r="R576" i="18"/>
  <c r="J576" i="18"/>
  <c r="L576" i="18"/>
  <c r="E576" i="18"/>
  <c r="D577" i="18"/>
  <c r="H576" i="18"/>
  <c r="Q576" i="18"/>
  <c r="BD90" i="1"/>
  <c r="W87" i="1"/>
  <c r="C199" i="2"/>
  <c r="C322" i="2"/>
  <c r="C444" i="2"/>
  <c r="C80" i="1"/>
  <c r="C214" i="1"/>
  <c r="C623" i="1" s="1"/>
  <c r="C345" i="1"/>
  <c r="D345" i="1" s="1"/>
  <c r="M687" i="18"/>
  <c r="BG610" i="1" s="1"/>
  <c r="F687" i="18"/>
  <c r="AA610" i="1" s="1"/>
  <c r="O687" i="18"/>
  <c r="BQ610" i="1" s="1"/>
  <c r="G687" i="18"/>
  <c r="AO610" i="1" s="1"/>
  <c r="P687" i="18"/>
  <c r="AE610" i="1" s="1"/>
  <c r="K687" i="18"/>
  <c r="BC610" i="1" s="1"/>
  <c r="I687" i="18"/>
  <c r="AW610" i="1" s="1"/>
  <c r="R687" i="18"/>
  <c r="CA610" i="1" s="1"/>
  <c r="E687" i="18"/>
  <c r="K610" i="1" s="1"/>
  <c r="Q687" i="18"/>
  <c r="BU610" i="1" s="1"/>
  <c r="J687" i="18"/>
  <c r="W610" i="1" s="1"/>
  <c r="L687" i="18"/>
  <c r="AI610" i="1" s="1"/>
  <c r="H687" i="18"/>
  <c r="Q610" i="1" s="1"/>
  <c r="G341" i="1"/>
  <c r="CG341" i="1" s="1"/>
  <c r="AM211" i="1"/>
  <c r="AJ608" i="1"/>
  <c r="H502" i="1"/>
  <c r="H607" i="1"/>
  <c r="BA89" i="1"/>
  <c r="AX503" i="1"/>
  <c r="W729" i="1"/>
  <c r="J441" i="18"/>
  <c r="W342" i="1" s="1"/>
  <c r="O441" i="18"/>
  <c r="BQ342" i="1" s="1"/>
  <c r="BQ729" i="1"/>
  <c r="K87" i="1"/>
  <c r="Q87" i="1"/>
  <c r="CE211" i="1"/>
  <c r="CB608" i="1"/>
  <c r="AX90" i="1"/>
  <c r="BJ90" i="1"/>
  <c r="BA211" i="1"/>
  <c r="AX608" i="1"/>
  <c r="U211" i="1"/>
  <c r="R608" i="1"/>
  <c r="L441" i="18"/>
  <c r="AI342" i="1" s="1"/>
  <c r="AI729" i="1"/>
  <c r="P197" i="18"/>
  <c r="AE212" i="1" s="1"/>
  <c r="M197" i="18"/>
  <c r="BG212" i="1" s="1"/>
  <c r="F197" i="18"/>
  <c r="AA212" i="1" s="1"/>
  <c r="O197" i="18"/>
  <c r="BQ212" i="1" s="1"/>
  <c r="A196" i="13"/>
  <c r="C196" i="13" s="1"/>
  <c r="L197" i="18"/>
  <c r="AI212" i="1" s="1"/>
  <c r="G197" i="18"/>
  <c r="AO212" i="1" s="1"/>
  <c r="E197" i="18"/>
  <c r="K212" i="1" s="1"/>
  <c r="R197" i="18"/>
  <c r="CA212" i="1" s="1"/>
  <c r="J197" i="18"/>
  <c r="W212" i="1" s="1"/>
  <c r="H197" i="18"/>
  <c r="Q212" i="1" s="1"/>
  <c r="Q197" i="18"/>
  <c r="BU212" i="1" s="1"/>
  <c r="K197" i="18"/>
  <c r="BC212" i="1" s="1"/>
  <c r="I197" i="18"/>
  <c r="AW212" i="1" s="1"/>
  <c r="BU87" i="1"/>
  <c r="A78" i="2"/>
  <c r="B78" i="2"/>
  <c r="G321" i="18"/>
  <c r="P321" i="18"/>
  <c r="M321" i="18"/>
  <c r="E321" i="18"/>
  <c r="O321" i="18"/>
  <c r="F321" i="18"/>
  <c r="Q321" i="18"/>
  <c r="I321" i="18"/>
  <c r="H321" i="18"/>
  <c r="J321" i="18"/>
  <c r="K321" i="18"/>
  <c r="L321" i="18"/>
  <c r="R321" i="18"/>
  <c r="I88" i="1"/>
  <c r="C77" i="18"/>
  <c r="I210" i="1"/>
  <c r="U89" i="1"/>
  <c r="R503" i="1"/>
  <c r="CA729" i="1"/>
  <c r="R441" i="18"/>
  <c r="CA342" i="1" s="1"/>
  <c r="K729" i="1"/>
  <c r="E441" i="18"/>
  <c r="K342" i="1" s="1"/>
  <c r="BU504" i="1"/>
  <c r="J85" i="18"/>
  <c r="R85" i="18"/>
  <c r="G85" i="18"/>
  <c r="H85" i="18"/>
  <c r="Q85" i="18"/>
  <c r="I85" i="18"/>
  <c r="K85" i="18"/>
  <c r="D86" i="18"/>
  <c r="E85" i="18"/>
  <c r="BV90" i="1"/>
  <c r="L90" i="1"/>
  <c r="BC87" i="1"/>
  <c r="BU729" i="1"/>
  <c r="Q441" i="18"/>
  <c r="BU342" i="1" s="1"/>
  <c r="C565" i="2"/>
  <c r="C687" i="2" s="1"/>
  <c r="D79" i="1"/>
  <c r="E79" i="1"/>
  <c r="F79" i="1"/>
  <c r="C493" i="1"/>
  <c r="G86" i="1"/>
  <c r="D577" i="2"/>
  <c r="H576" i="2"/>
  <c r="L576" i="2"/>
  <c r="E576" i="2"/>
  <c r="K576" i="2"/>
  <c r="Q576" i="2"/>
  <c r="R576" i="2"/>
  <c r="I576" i="2"/>
  <c r="K504" i="1"/>
  <c r="C730" i="1"/>
  <c r="L320" i="2"/>
  <c r="R320" i="2"/>
  <c r="G320" i="2"/>
  <c r="N320" i="2"/>
  <c r="N442" i="2" s="1"/>
  <c r="BN343" i="1" s="1"/>
  <c r="M320" i="2"/>
  <c r="I320" i="2"/>
  <c r="P320" i="2"/>
  <c r="J320" i="2"/>
  <c r="F320" i="2"/>
  <c r="E320" i="2"/>
  <c r="H320" i="2"/>
  <c r="O320" i="2"/>
  <c r="Q320" i="2"/>
  <c r="K320" i="2"/>
  <c r="BR90" i="1"/>
  <c r="C731" i="1"/>
  <c r="H321" i="2"/>
  <c r="K321" i="2"/>
  <c r="O321" i="2"/>
  <c r="G321" i="2"/>
  <c r="R321" i="2"/>
  <c r="M321" i="2"/>
  <c r="L321" i="2"/>
  <c r="P321" i="2"/>
  <c r="J321" i="2"/>
  <c r="Q321" i="2"/>
  <c r="I321" i="2"/>
  <c r="F321" i="2"/>
  <c r="E321" i="2"/>
  <c r="N321" i="2"/>
  <c r="N443" i="2" s="1"/>
  <c r="BN344" i="1" s="1"/>
  <c r="M686" i="18"/>
  <c r="BG609" i="1" s="1"/>
  <c r="F686" i="18"/>
  <c r="AA609" i="1" s="1"/>
  <c r="O686" i="18"/>
  <c r="BQ609" i="1" s="1"/>
  <c r="G686" i="18"/>
  <c r="AO609" i="1" s="1"/>
  <c r="P686" i="18"/>
  <c r="AE609" i="1" s="1"/>
  <c r="I686" i="18"/>
  <c r="AW609" i="1" s="1"/>
  <c r="K686" i="18"/>
  <c r="BC609" i="1" s="1"/>
  <c r="J686" i="18"/>
  <c r="W609" i="1" s="1"/>
  <c r="Q686" i="18"/>
  <c r="BU609" i="1" s="1"/>
  <c r="H686" i="18"/>
  <c r="Q609" i="1" s="1"/>
  <c r="E686" i="18"/>
  <c r="K609" i="1" s="1"/>
  <c r="L686" i="18"/>
  <c r="AI609" i="1" s="1"/>
  <c r="R686" i="18"/>
  <c r="CA609" i="1" s="1"/>
  <c r="L198" i="18"/>
  <c r="AI213" i="1" s="1"/>
  <c r="M198" i="18"/>
  <c r="BG213" i="1" s="1"/>
  <c r="P198" i="18"/>
  <c r="AE213" i="1" s="1"/>
  <c r="F198" i="18"/>
  <c r="AA213" i="1" s="1"/>
  <c r="O198" i="18"/>
  <c r="BQ213" i="1" s="1"/>
  <c r="A197" i="13"/>
  <c r="C197" i="13" s="1"/>
  <c r="Q198" i="18"/>
  <c r="BU213" i="1" s="1"/>
  <c r="R198" i="18"/>
  <c r="CA213" i="1" s="1"/>
  <c r="G198" i="18"/>
  <c r="AO213" i="1" s="1"/>
  <c r="J198" i="18"/>
  <c r="W213" i="1" s="1"/>
  <c r="H198" i="18"/>
  <c r="Q213" i="1" s="1"/>
  <c r="I198" i="18"/>
  <c r="AW213" i="1" s="1"/>
  <c r="K198" i="18"/>
  <c r="BC213" i="1" s="1"/>
  <c r="E198" i="18"/>
  <c r="K213" i="1" s="1"/>
  <c r="A78" i="18"/>
  <c r="C78" i="18" s="1"/>
  <c r="B78" i="18"/>
  <c r="BH89" i="1"/>
  <c r="BD503" i="1"/>
  <c r="G211" i="1"/>
  <c r="M441" i="18"/>
  <c r="BG342" i="1" s="1"/>
  <c r="BG729" i="1"/>
  <c r="BC729" i="1"/>
  <c r="K441" i="18"/>
  <c r="BC342" i="1" s="1"/>
  <c r="L200" i="12"/>
  <c r="N200" i="12"/>
  <c r="M200" i="12"/>
  <c r="F200" i="12"/>
  <c r="G200" i="12"/>
  <c r="O200" i="12"/>
  <c r="H200" i="12"/>
  <c r="P200" i="12"/>
  <c r="I200" i="12"/>
  <c r="Q200" i="12"/>
  <c r="J200" i="12"/>
  <c r="R200" i="12"/>
  <c r="K200" i="12"/>
  <c r="S200" i="12"/>
  <c r="E200" i="12"/>
  <c r="G503" i="1"/>
  <c r="Q504" i="1"/>
  <c r="AO87" i="1"/>
  <c r="BY211" i="1"/>
  <c r="BV608" i="1"/>
  <c r="R90" i="1"/>
  <c r="AJ90" i="1"/>
  <c r="BJ731" i="1" l="1"/>
  <c r="M443" i="2"/>
  <c r="BJ344" i="1" s="1"/>
  <c r="F443" i="18"/>
  <c r="AA344" i="1" s="1"/>
  <c r="AA731" i="1"/>
  <c r="CA505" i="1"/>
  <c r="N89" i="2"/>
  <c r="D90" i="2"/>
  <c r="H89" i="2"/>
  <c r="P89" i="2"/>
  <c r="I89" i="2"/>
  <c r="Q89" i="2"/>
  <c r="R89" i="2"/>
  <c r="K89" i="2"/>
  <c r="L89" i="2"/>
  <c r="M89" i="2"/>
  <c r="E89" i="2"/>
  <c r="O89" i="2"/>
  <c r="BC730" i="1"/>
  <c r="K442" i="18"/>
  <c r="BC343" i="1" s="1"/>
  <c r="P688" i="2"/>
  <c r="AF611" i="1" s="1"/>
  <c r="I688" i="2"/>
  <c r="L731" i="1"/>
  <c r="E443" i="2"/>
  <c r="L344" i="1" s="1"/>
  <c r="Q88" i="1"/>
  <c r="BU730" i="1"/>
  <c r="Q442" i="18"/>
  <c r="BU343" i="1" s="1"/>
  <c r="BD731" i="1"/>
  <c r="K443" i="2"/>
  <c r="BD344" i="1" s="1"/>
  <c r="D493" i="1"/>
  <c r="E493" i="1"/>
  <c r="W88" i="1"/>
  <c r="W731" i="1"/>
  <c r="J443" i="18"/>
  <c r="W344" i="1" s="1"/>
  <c r="P443" i="18"/>
  <c r="AE344" i="1" s="1"/>
  <c r="AE731" i="1"/>
  <c r="H577" i="18"/>
  <c r="Q577" i="18"/>
  <c r="R577" i="18"/>
  <c r="J577" i="18"/>
  <c r="L577" i="18"/>
  <c r="E577" i="18"/>
  <c r="D578" i="18"/>
  <c r="H213" i="1"/>
  <c r="K688" i="18"/>
  <c r="BC611" i="1" s="1"/>
  <c r="E688" i="18"/>
  <c r="K611" i="1" s="1"/>
  <c r="R688" i="18"/>
  <c r="CA611" i="1" s="1"/>
  <c r="L91" i="1"/>
  <c r="AO730" i="1"/>
  <c r="G442" i="18"/>
  <c r="AO343" i="1" s="1"/>
  <c r="K730" i="1"/>
  <c r="E442" i="18"/>
  <c r="K343" i="1" s="1"/>
  <c r="I89" i="1"/>
  <c r="CE212" i="1"/>
  <c r="CB609" i="1"/>
  <c r="AM90" i="1"/>
  <c r="AJ505" i="1"/>
  <c r="D80" i="1"/>
  <c r="E80" i="1"/>
  <c r="C494" i="1"/>
  <c r="AF91" i="1"/>
  <c r="G504" i="1"/>
  <c r="W730" i="1"/>
  <c r="J442" i="18"/>
  <c r="W343" i="1" s="1"/>
  <c r="A77" i="10"/>
  <c r="C323" i="18"/>
  <c r="C200" i="18"/>
  <c r="C445" i="18"/>
  <c r="A77" i="13"/>
  <c r="C77" i="13" s="1"/>
  <c r="C203" i="12"/>
  <c r="BV731" i="1"/>
  <c r="Q443" i="2"/>
  <c r="BV344" i="1" s="1"/>
  <c r="BR730" i="1"/>
  <c r="O442" i="2"/>
  <c r="BR343" i="1" s="1"/>
  <c r="CE90" i="1"/>
  <c r="CB504" i="1"/>
  <c r="K88" i="1"/>
  <c r="G213" i="1"/>
  <c r="G609" i="1"/>
  <c r="J443" i="2"/>
  <c r="X344" i="1" s="1"/>
  <c r="X731" i="1"/>
  <c r="R731" i="1"/>
  <c r="H443" i="2"/>
  <c r="R344" i="1" s="1"/>
  <c r="R730" i="1"/>
  <c r="H442" i="2"/>
  <c r="R343" i="1" s="1"/>
  <c r="G442" i="2"/>
  <c r="AP343" i="1" s="1"/>
  <c r="AP730" i="1"/>
  <c r="BY90" i="1"/>
  <c r="BV504" i="1"/>
  <c r="H86" i="18"/>
  <c r="G86" i="18"/>
  <c r="I86" i="18"/>
  <c r="Q86" i="18"/>
  <c r="J86" i="18"/>
  <c r="R86" i="18"/>
  <c r="K86" i="18"/>
  <c r="E86" i="18"/>
  <c r="D87" i="18"/>
  <c r="Q731" i="1"/>
  <c r="H443" i="18"/>
  <c r="Q344" i="1" s="1"/>
  <c r="AO731" i="1"/>
  <c r="G443" i="18"/>
  <c r="AO344" i="1" s="1"/>
  <c r="G610" i="1"/>
  <c r="K505" i="1"/>
  <c r="H608" i="1"/>
  <c r="B567" i="18"/>
  <c r="A567" i="18"/>
  <c r="C567" i="18" s="1"/>
  <c r="C689" i="18" s="1"/>
  <c r="AJ91" i="1"/>
  <c r="F442" i="18"/>
  <c r="AA343" i="1" s="1"/>
  <c r="AA730" i="1"/>
  <c r="BY212" i="1"/>
  <c r="BV609" i="1"/>
  <c r="L442" i="18"/>
  <c r="AI343" i="1" s="1"/>
  <c r="AI730" i="1"/>
  <c r="CB731" i="1"/>
  <c r="R443" i="2"/>
  <c r="CB344" i="1" s="1"/>
  <c r="G212" i="1"/>
  <c r="AF731" i="1"/>
  <c r="P443" i="2"/>
  <c r="AF344" i="1" s="1"/>
  <c r="BH90" i="1"/>
  <c r="BD504" i="1"/>
  <c r="H90" i="1"/>
  <c r="AV211" i="1"/>
  <c r="AI505" i="1"/>
  <c r="I211" i="1"/>
  <c r="BV91" i="1"/>
  <c r="H212" i="1"/>
  <c r="CA730" i="1"/>
  <c r="R442" i="18"/>
  <c r="CA343" i="1" s="1"/>
  <c r="D492" i="1"/>
  <c r="E492" i="1"/>
  <c r="BU88" i="1"/>
  <c r="AT213" i="1"/>
  <c r="U90" i="1"/>
  <c r="R504" i="1"/>
  <c r="O443" i="18"/>
  <c r="BQ344" i="1" s="1"/>
  <c r="BQ731" i="1"/>
  <c r="BR91" i="1"/>
  <c r="L730" i="1"/>
  <c r="E442" i="2"/>
  <c r="L343" i="1" s="1"/>
  <c r="CB730" i="1"/>
  <c r="R442" i="2"/>
  <c r="CB343" i="1" s="1"/>
  <c r="BC88" i="1"/>
  <c r="AW731" i="1"/>
  <c r="I443" i="18"/>
  <c r="AW344" i="1" s="1"/>
  <c r="B79" i="2"/>
  <c r="A79" i="2"/>
  <c r="BD91" i="1"/>
  <c r="AJ731" i="1"/>
  <c r="L443" i="2"/>
  <c r="AJ344" i="1" s="1"/>
  <c r="F442" i="2"/>
  <c r="AB343" i="1" s="1"/>
  <c r="AB730" i="1"/>
  <c r="AJ730" i="1"/>
  <c r="L442" i="2"/>
  <c r="AJ343" i="1" s="1"/>
  <c r="O90" i="1"/>
  <c r="I90" i="1" s="1"/>
  <c r="L504" i="1"/>
  <c r="AW88" i="1"/>
  <c r="G342" i="1"/>
  <c r="CG342" i="1" s="1"/>
  <c r="A76" i="10"/>
  <c r="J688" i="2" s="1"/>
  <c r="X611" i="1" s="1"/>
  <c r="C199" i="18"/>
  <c r="C322" i="18"/>
  <c r="C444" i="18"/>
  <c r="A76" i="13"/>
  <c r="C76" i="13" s="1"/>
  <c r="C202" i="12"/>
  <c r="BU731" i="1"/>
  <c r="Q443" i="18"/>
  <c r="BU344" i="1" s="1"/>
  <c r="C78" i="2"/>
  <c r="W505" i="1"/>
  <c r="AX91" i="1"/>
  <c r="CB91" i="1"/>
  <c r="O442" i="18"/>
  <c r="BQ343" i="1" s="1"/>
  <c r="BQ730" i="1"/>
  <c r="M687" i="2"/>
  <c r="BJ610" i="1" s="1"/>
  <c r="F687" i="2"/>
  <c r="AB610" i="1" s="1"/>
  <c r="P687" i="2"/>
  <c r="AF610" i="1" s="1"/>
  <c r="G687" i="2"/>
  <c r="AP610" i="1" s="1"/>
  <c r="J687" i="2"/>
  <c r="X610" i="1" s="1"/>
  <c r="N687" i="2"/>
  <c r="O687" i="2"/>
  <c r="BR610" i="1" s="1"/>
  <c r="Q687" i="2"/>
  <c r="I687" i="2"/>
  <c r="K687" i="2"/>
  <c r="BD610" i="1" s="1"/>
  <c r="R687" i="2"/>
  <c r="E687" i="2"/>
  <c r="L687" i="2"/>
  <c r="H687" i="2"/>
  <c r="U212" i="1"/>
  <c r="R609" i="1"/>
  <c r="R91" i="1"/>
  <c r="BA212" i="1"/>
  <c r="AX609" i="1"/>
  <c r="A567" i="2"/>
  <c r="B567" i="2"/>
  <c r="G87" i="1"/>
  <c r="C732" i="1"/>
  <c r="R322" i="2"/>
  <c r="G322" i="2"/>
  <c r="N322" i="2"/>
  <c r="N444" i="2" s="1"/>
  <c r="BN345" i="1" s="1"/>
  <c r="M322" i="2"/>
  <c r="I322" i="2"/>
  <c r="P322" i="2"/>
  <c r="J322" i="2"/>
  <c r="L322" i="2"/>
  <c r="H322" i="2"/>
  <c r="O322" i="2"/>
  <c r="K322" i="2"/>
  <c r="Q322" i="2"/>
  <c r="F322" i="2"/>
  <c r="E322" i="2"/>
  <c r="BU505" i="1"/>
  <c r="BN91" i="1"/>
  <c r="P442" i="18"/>
  <c r="AE343" i="1" s="1"/>
  <c r="AE730" i="1"/>
  <c r="AW730" i="1"/>
  <c r="I442" i="18"/>
  <c r="AW343" i="1" s="1"/>
  <c r="AM212" i="1"/>
  <c r="AJ609" i="1"/>
  <c r="J442" i="2"/>
  <c r="X343" i="1" s="1"/>
  <c r="X730" i="1"/>
  <c r="AF730" i="1"/>
  <c r="P442" i="2"/>
  <c r="AF343" i="1" s="1"/>
  <c r="CA731" i="1"/>
  <c r="R443" i="18"/>
  <c r="CA344" i="1" s="1"/>
  <c r="F443" i="2"/>
  <c r="AB344" i="1" s="1"/>
  <c r="AB731" i="1"/>
  <c r="G443" i="2"/>
  <c r="AP344" i="1" s="1"/>
  <c r="AP731" i="1"/>
  <c r="BD730" i="1"/>
  <c r="K442" i="2"/>
  <c r="BD343" i="1" s="1"/>
  <c r="AX730" i="1"/>
  <c r="I442" i="2"/>
  <c r="AX343" i="1" s="1"/>
  <c r="L577" i="2"/>
  <c r="E577" i="2"/>
  <c r="D578" i="2"/>
  <c r="R577" i="2"/>
  <c r="K577" i="2"/>
  <c r="Q577" i="2"/>
  <c r="H577" i="2"/>
  <c r="I577" i="2"/>
  <c r="AO88" i="1"/>
  <c r="L443" i="18"/>
  <c r="AI344" i="1" s="1"/>
  <c r="AI731" i="1"/>
  <c r="K731" i="1"/>
  <c r="E443" i="18"/>
  <c r="K344" i="1" s="1"/>
  <c r="B79" i="18"/>
  <c r="A79" i="18"/>
  <c r="AX731" i="1"/>
  <c r="I443" i="2"/>
  <c r="AX344" i="1" s="1"/>
  <c r="BR731" i="1"/>
  <c r="O443" i="2"/>
  <c r="BR344" i="1" s="1"/>
  <c r="BV730" i="1"/>
  <c r="Q442" i="2"/>
  <c r="BV343" i="1" s="1"/>
  <c r="BJ730" i="1"/>
  <c r="M442" i="2"/>
  <c r="BJ343" i="1" s="1"/>
  <c r="BA90" i="1"/>
  <c r="AX504" i="1"/>
  <c r="CA88" i="1"/>
  <c r="BC731" i="1"/>
  <c r="K443" i="18"/>
  <c r="BC344" i="1" s="1"/>
  <c r="M443" i="18"/>
  <c r="BG344" i="1" s="1"/>
  <c r="BG731" i="1"/>
  <c r="J199" i="2"/>
  <c r="X214" i="1" s="1"/>
  <c r="O199" i="2"/>
  <c r="BR214" i="1" s="1"/>
  <c r="E199" i="2"/>
  <c r="L214" i="1" s="1"/>
  <c r="L199" i="2"/>
  <c r="AJ214" i="1" s="1"/>
  <c r="P199" i="2"/>
  <c r="AF214" i="1" s="1"/>
  <c r="H199" i="2"/>
  <c r="R214" i="1" s="1"/>
  <c r="K199" i="2"/>
  <c r="BD214" i="1" s="1"/>
  <c r="Q199" i="2"/>
  <c r="BV214" i="1" s="1"/>
  <c r="Q505" i="1"/>
  <c r="BJ91" i="1"/>
  <c r="Q730" i="1"/>
  <c r="H442" i="18"/>
  <c r="Q343" i="1" s="1"/>
  <c r="M442" i="18"/>
  <c r="BG343" i="1" s="1"/>
  <c r="BG730" i="1"/>
  <c r="H503" i="1"/>
  <c r="O212" i="1"/>
  <c r="L609" i="1"/>
  <c r="K689" i="18" l="1"/>
  <c r="BC612" i="1" s="1"/>
  <c r="O689" i="18"/>
  <c r="BQ612" i="1" s="1"/>
  <c r="P689" i="18"/>
  <c r="AE612" i="1" s="1"/>
  <c r="G689" i="18"/>
  <c r="AO612" i="1" s="1"/>
  <c r="F689" i="18"/>
  <c r="AA612" i="1" s="1"/>
  <c r="I689" i="18"/>
  <c r="AW612" i="1" s="1"/>
  <c r="M689" i="18"/>
  <c r="BG612" i="1" s="1"/>
  <c r="E689" i="18"/>
  <c r="K612" i="1" s="1"/>
  <c r="H689" i="18"/>
  <c r="Q612" i="1" s="1"/>
  <c r="L689" i="18"/>
  <c r="AI612" i="1" s="1"/>
  <c r="Q689" i="18"/>
  <c r="BU612" i="1" s="1"/>
  <c r="R689" i="18"/>
  <c r="CA612" i="1" s="1"/>
  <c r="J689" i="18"/>
  <c r="W612" i="1" s="1"/>
  <c r="AW89" i="1"/>
  <c r="G88" i="1"/>
  <c r="G343" i="1"/>
  <c r="F688" i="18"/>
  <c r="AA611" i="1" s="1"/>
  <c r="W506" i="1"/>
  <c r="L688" i="2"/>
  <c r="G688" i="2"/>
  <c r="AP611" i="1" s="1"/>
  <c r="BJ92" i="1"/>
  <c r="L90" i="2"/>
  <c r="N90" i="2"/>
  <c r="D91" i="2"/>
  <c r="O90" i="2"/>
  <c r="H90" i="2"/>
  <c r="P90" i="2"/>
  <c r="I90" i="2"/>
  <c r="Q90" i="2"/>
  <c r="K90" i="2"/>
  <c r="E90" i="2"/>
  <c r="M90" i="2"/>
  <c r="R90" i="2"/>
  <c r="BA91" i="1"/>
  <c r="AX505" i="1"/>
  <c r="J444" i="2"/>
  <c r="X345" i="1" s="1"/>
  <c r="X732" i="1"/>
  <c r="I322" i="18"/>
  <c r="R322" i="18"/>
  <c r="H322" i="18"/>
  <c r="J322" i="18"/>
  <c r="K322" i="18"/>
  <c r="M322" i="18"/>
  <c r="G322" i="18"/>
  <c r="L322" i="18"/>
  <c r="O322" i="18"/>
  <c r="P322" i="18"/>
  <c r="Q322" i="18"/>
  <c r="E322" i="18"/>
  <c r="F322" i="18"/>
  <c r="G344" i="1"/>
  <c r="L732" i="1"/>
  <c r="E444" i="2"/>
  <c r="L345" i="1" s="1"/>
  <c r="M199" i="18"/>
  <c r="BG214" i="1" s="1"/>
  <c r="P199" i="18"/>
  <c r="AE214" i="1" s="1"/>
  <c r="O199" i="18"/>
  <c r="BQ214" i="1" s="1"/>
  <c r="F199" i="18"/>
  <c r="AA214" i="1" s="1"/>
  <c r="A198" i="13"/>
  <c r="C198" i="13" s="1"/>
  <c r="L199" i="18"/>
  <c r="AI214" i="1" s="1"/>
  <c r="Q199" i="18"/>
  <c r="BU214" i="1" s="1"/>
  <c r="G199" i="18"/>
  <c r="AO214" i="1" s="1"/>
  <c r="R199" i="18"/>
  <c r="CA214" i="1" s="1"/>
  <c r="I199" i="18"/>
  <c r="AW214" i="1" s="1"/>
  <c r="K199" i="18"/>
  <c r="BC214" i="1" s="1"/>
  <c r="E199" i="18"/>
  <c r="K214" i="1" s="1"/>
  <c r="J199" i="18"/>
  <c r="W214" i="1" s="1"/>
  <c r="H199" i="18"/>
  <c r="Q214" i="1" s="1"/>
  <c r="BA214" i="1"/>
  <c r="AX611" i="1"/>
  <c r="BY91" i="1"/>
  <c r="BV505" i="1"/>
  <c r="U213" i="1"/>
  <c r="R610" i="1"/>
  <c r="C200" i="2"/>
  <c r="C323" i="2"/>
  <c r="C445" i="2"/>
  <c r="C81" i="1"/>
  <c r="C215" i="1"/>
  <c r="C624" i="1" s="1"/>
  <c r="C346" i="1"/>
  <c r="D346" i="1" s="1"/>
  <c r="D88" i="18"/>
  <c r="G87" i="18"/>
  <c r="H87" i="18"/>
  <c r="I87" i="18"/>
  <c r="Q87" i="18"/>
  <c r="J87" i="18"/>
  <c r="R87" i="18"/>
  <c r="E87" i="18"/>
  <c r="K87" i="18"/>
  <c r="Q89" i="1"/>
  <c r="L203" i="12"/>
  <c r="M203" i="12"/>
  <c r="F203" i="12"/>
  <c r="G203" i="12"/>
  <c r="O203" i="12"/>
  <c r="H203" i="12"/>
  <c r="P203" i="12"/>
  <c r="N203" i="12"/>
  <c r="I203" i="12"/>
  <c r="Q203" i="12"/>
  <c r="J203" i="12"/>
  <c r="R203" i="12"/>
  <c r="K203" i="12"/>
  <c r="S203" i="12"/>
  <c r="E203" i="12"/>
  <c r="J688" i="18"/>
  <c r="W611" i="1" s="1"/>
  <c r="P688" i="18"/>
  <c r="AE611" i="1" s="1"/>
  <c r="BU506" i="1"/>
  <c r="K688" i="2"/>
  <c r="BD611" i="1" s="1"/>
  <c r="O688" i="2"/>
  <c r="BR611" i="1" s="1"/>
  <c r="BD92" i="1"/>
  <c r="H609" i="1"/>
  <c r="R199" i="2"/>
  <c r="CB214" i="1" s="1"/>
  <c r="G199" i="2"/>
  <c r="AP214" i="1" s="1"/>
  <c r="BH91" i="1"/>
  <c r="BD505" i="1"/>
  <c r="BV732" i="1"/>
  <c r="Q444" i="2"/>
  <c r="BV345" i="1" s="1"/>
  <c r="BJ732" i="1"/>
  <c r="M444" i="2"/>
  <c r="BJ345" i="1" s="1"/>
  <c r="AM213" i="1"/>
  <c r="AJ610" i="1"/>
  <c r="C79" i="2"/>
  <c r="G505" i="1"/>
  <c r="K89" i="1"/>
  <c r="Q688" i="18"/>
  <c r="BU611" i="1" s="1"/>
  <c r="G688" i="18"/>
  <c r="AO611" i="1" s="1"/>
  <c r="G611" i="1" s="1"/>
  <c r="Q506" i="1"/>
  <c r="E688" i="2"/>
  <c r="M688" i="2"/>
  <c r="BJ611" i="1" s="1"/>
  <c r="CB92" i="1"/>
  <c r="U91" i="1"/>
  <c r="R505" i="1"/>
  <c r="CA506" i="1"/>
  <c r="F199" i="2"/>
  <c r="AB214" i="1" s="1"/>
  <c r="H214" i="1" s="1"/>
  <c r="AV212" i="1"/>
  <c r="O213" i="1"/>
  <c r="L610" i="1"/>
  <c r="A80" i="2"/>
  <c r="C80" i="2" s="1"/>
  <c r="B80" i="2"/>
  <c r="H343" i="1"/>
  <c r="BC89" i="1"/>
  <c r="H91" i="1"/>
  <c r="L688" i="18"/>
  <c r="AI611" i="1" s="1"/>
  <c r="H344" i="1"/>
  <c r="Q688" i="2"/>
  <c r="BV92" i="1"/>
  <c r="A568" i="18"/>
  <c r="B568" i="18"/>
  <c r="AJ92" i="1"/>
  <c r="AX732" i="1"/>
  <c r="I444" i="2"/>
  <c r="AX345" i="1" s="1"/>
  <c r="N199" i="2"/>
  <c r="BN214" i="1" s="1"/>
  <c r="CE91" i="1"/>
  <c r="CB505" i="1"/>
  <c r="BD732" i="1"/>
  <c r="K444" i="2"/>
  <c r="BD345" i="1" s="1"/>
  <c r="I199" i="2"/>
  <c r="AX214" i="1" s="1"/>
  <c r="R578" i="2"/>
  <c r="K578" i="2"/>
  <c r="L578" i="2"/>
  <c r="H578" i="2"/>
  <c r="I578" i="2"/>
  <c r="Q578" i="2"/>
  <c r="E578" i="2"/>
  <c r="D579" i="2"/>
  <c r="BR732" i="1"/>
  <c r="O444" i="2"/>
  <c r="BR345" i="1" s="1"/>
  <c r="G444" i="2"/>
  <c r="AP345" i="1" s="1"/>
  <c r="AP732" i="1"/>
  <c r="CE213" i="1"/>
  <c r="CB610" i="1"/>
  <c r="L202" i="12"/>
  <c r="M202" i="12"/>
  <c r="N202" i="12"/>
  <c r="E202" i="12"/>
  <c r="F202" i="12"/>
  <c r="G202" i="12"/>
  <c r="O202" i="12"/>
  <c r="H202" i="12"/>
  <c r="P202" i="12"/>
  <c r="I202" i="12"/>
  <c r="Q202" i="12"/>
  <c r="J202" i="12"/>
  <c r="R202" i="12"/>
  <c r="K202" i="12"/>
  <c r="S202" i="12"/>
  <c r="CA89" i="1"/>
  <c r="M200" i="18"/>
  <c r="BG215" i="1" s="1"/>
  <c r="F200" i="18"/>
  <c r="AA215" i="1" s="1"/>
  <c r="O200" i="18"/>
  <c r="BQ215" i="1" s="1"/>
  <c r="P200" i="18"/>
  <c r="AE215" i="1" s="1"/>
  <c r="L200" i="18"/>
  <c r="AI215" i="1" s="1"/>
  <c r="A199" i="13"/>
  <c r="C199" i="13" s="1"/>
  <c r="R200" i="18"/>
  <c r="CA215" i="1" s="1"/>
  <c r="H200" i="18"/>
  <c r="Q215" i="1" s="1"/>
  <c r="G200" i="18"/>
  <c r="AO215" i="1" s="1"/>
  <c r="I200" i="18"/>
  <c r="AW215" i="1" s="1"/>
  <c r="J200" i="18"/>
  <c r="W215" i="1" s="1"/>
  <c r="E200" i="18"/>
  <c r="K215" i="1" s="1"/>
  <c r="Q200" i="18"/>
  <c r="BU215" i="1" s="1"/>
  <c r="K200" i="18"/>
  <c r="BC215" i="1" s="1"/>
  <c r="I688" i="18"/>
  <c r="AW611" i="1" s="1"/>
  <c r="H578" i="18"/>
  <c r="Q578" i="18"/>
  <c r="R578" i="18"/>
  <c r="J578" i="18"/>
  <c r="E578" i="18"/>
  <c r="D579" i="18"/>
  <c r="L578" i="18"/>
  <c r="N688" i="2"/>
  <c r="AX92" i="1"/>
  <c r="BY213" i="1"/>
  <c r="BV610" i="1"/>
  <c r="AF732" i="1"/>
  <c r="P444" i="2"/>
  <c r="AF345" i="1" s="1"/>
  <c r="BN92" i="1"/>
  <c r="F444" i="2"/>
  <c r="AB345" i="1" s="1"/>
  <c r="AB732" i="1"/>
  <c r="C567" i="2"/>
  <c r="C689" i="2" s="1"/>
  <c r="I212" i="1"/>
  <c r="M199" i="2"/>
  <c r="BJ214" i="1" s="1"/>
  <c r="O91" i="1"/>
  <c r="L505" i="1"/>
  <c r="R732" i="1"/>
  <c r="H444" i="2"/>
  <c r="R345" i="1" s="1"/>
  <c r="CB732" i="1"/>
  <c r="R444" i="2"/>
  <c r="CB345" i="1" s="1"/>
  <c r="W89" i="1"/>
  <c r="K323" i="18"/>
  <c r="M323" i="18"/>
  <c r="E323" i="18"/>
  <c r="O323" i="18"/>
  <c r="F323" i="18"/>
  <c r="P323" i="18"/>
  <c r="H323" i="18"/>
  <c r="R323" i="18"/>
  <c r="L323" i="18"/>
  <c r="Q323" i="18"/>
  <c r="I323" i="18"/>
  <c r="G323" i="18"/>
  <c r="J323" i="18"/>
  <c r="D494" i="1"/>
  <c r="E494" i="1"/>
  <c r="M688" i="18"/>
  <c r="BG611" i="1" s="1"/>
  <c r="K506" i="1"/>
  <c r="R688" i="2"/>
  <c r="F688" i="2"/>
  <c r="AB611" i="1" s="1"/>
  <c r="BR92" i="1"/>
  <c r="AF92" i="1"/>
  <c r="B80" i="18"/>
  <c r="A80" i="18"/>
  <c r="C80" i="18" s="1"/>
  <c r="A568" i="2"/>
  <c r="C568" i="2" s="1"/>
  <c r="C690" i="2" s="1"/>
  <c r="B568" i="2"/>
  <c r="AO89" i="1"/>
  <c r="C79" i="18"/>
  <c r="AM91" i="1"/>
  <c r="AJ506" i="1"/>
  <c r="AJ732" i="1"/>
  <c r="L444" i="2"/>
  <c r="AJ345" i="1" s="1"/>
  <c r="BA213" i="1"/>
  <c r="AX610" i="1"/>
  <c r="H504" i="1"/>
  <c r="BU89" i="1"/>
  <c r="F80" i="1"/>
  <c r="H688" i="18"/>
  <c r="Q611" i="1" s="1"/>
  <c r="O688" i="18"/>
  <c r="BQ611" i="1" s="1"/>
  <c r="AI506" i="1"/>
  <c r="H688" i="2"/>
  <c r="L92" i="1"/>
  <c r="R92" i="1"/>
  <c r="W733" i="1" l="1"/>
  <c r="J445" i="18"/>
  <c r="W346" i="1" s="1"/>
  <c r="BY92" i="1"/>
  <c r="BV506" i="1"/>
  <c r="AM214" i="1"/>
  <c r="AJ611" i="1"/>
  <c r="AO733" i="1"/>
  <c r="G445" i="18"/>
  <c r="AO346" i="1" s="1"/>
  <c r="R91" i="2"/>
  <c r="L91" i="2"/>
  <c r="E91" i="2"/>
  <c r="N91" i="2"/>
  <c r="D92" i="2"/>
  <c r="O91" i="2"/>
  <c r="H91" i="2"/>
  <c r="I91" i="2"/>
  <c r="M91" i="2"/>
  <c r="P91" i="2"/>
  <c r="K91" i="2"/>
  <c r="Q91" i="2"/>
  <c r="U214" i="1"/>
  <c r="R611" i="1"/>
  <c r="AW733" i="1"/>
  <c r="I445" i="18"/>
  <c r="AW346" i="1" s="1"/>
  <c r="A78" i="10"/>
  <c r="L690" i="2" s="1"/>
  <c r="C324" i="18"/>
  <c r="C201" i="18"/>
  <c r="C446" i="18"/>
  <c r="A78" i="13"/>
  <c r="C78" i="13" s="1"/>
  <c r="C204" i="12"/>
  <c r="L445" i="18"/>
  <c r="AI346" i="1" s="1"/>
  <c r="AI733" i="1"/>
  <c r="AV213" i="1"/>
  <c r="I91" i="1"/>
  <c r="Q733" i="1"/>
  <c r="H445" i="18"/>
  <c r="Q346" i="1" s="1"/>
  <c r="Q507" i="1"/>
  <c r="H92" i="1"/>
  <c r="B569" i="2"/>
  <c r="A569" i="2"/>
  <c r="C569" i="2" s="1"/>
  <c r="C691" i="2" s="1"/>
  <c r="P445" i="18"/>
  <c r="AE346" i="1" s="1"/>
  <c r="AE733" i="1"/>
  <c r="O92" i="1"/>
  <c r="I92" i="1" s="1"/>
  <c r="L506" i="1"/>
  <c r="BY214" i="1"/>
  <c r="BV611" i="1"/>
  <c r="A81" i="2"/>
  <c r="C81" i="2" s="1"/>
  <c r="B81" i="2"/>
  <c r="C201" i="2"/>
  <c r="C324" i="2"/>
  <c r="C446" i="2"/>
  <c r="C82" i="1"/>
  <c r="C216" i="1"/>
  <c r="C625" i="1" s="1"/>
  <c r="C347" i="1"/>
  <c r="D347" i="1" s="1"/>
  <c r="BC90" i="1"/>
  <c r="E88" i="18"/>
  <c r="D89" i="18"/>
  <c r="G88" i="18"/>
  <c r="H88" i="18"/>
  <c r="I88" i="18"/>
  <c r="Q88" i="18"/>
  <c r="J88" i="18"/>
  <c r="K88" i="18"/>
  <c r="R88" i="18"/>
  <c r="G214" i="1"/>
  <c r="K732" i="1"/>
  <c r="E444" i="18"/>
  <c r="K345" i="1" s="1"/>
  <c r="W732" i="1"/>
  <c r="J444" i="18"/>
  <c r="W345" i="1" s="1"/>
  <c r="R93" i="1"/>
  <c r="Q732" i="1"/>
  <c r="H444" i="18"/>
  <c r="Q345" i="1" s="1"/>
  <c r="O445" i="18"/>
  <c r="BQ346" i="1" s="1"/>
  <c r="BQ733" i="1"/>
  <c r="BA92" i="1"/>
  <c r="AX506" i="1"/>
  <c r="CA732" i="1"/>
  <c r="R444" i="18"/>
  <c r="CA345" i="1" s="1"/>
  <c r="K733" i="1"/>
  <c r="E445" i="18"/>
  <c r="K346" i="1" s="1"/>
  <c r="G215" i="1"/>
  <c r="U92" i="1"/>
  <c r="R506" i="1"/>
  <c r="A569" i="18"/>
  <c r="B569" i="18"/>
  <c r="I213" i="1"/>
  <c r="W90" i="1"/>
  <c r="D81" i="1"/>
  <c r="E81" i="1"/>
  <c r="F81" i="1"/>
  <c r="C495" i="1"/>
  <c r="O444" i="18"/>
  <c r="BQ345" i="1" s="1"/>
  <c r="BQ732" i="1"/>
  <c r="AW732" i="1"/>
  <c r="I444" i="18"/>
  <c r="AW345" i="1" s="1"/>
  <c r="L93" i="1"/>
  <c r="BN93" i="1"/>
  <c r="BR93" i="1"/>
  <c r="A79" i="10"/>
  <c r="C325" i="18"/>
  <c r="C202" i="18"/>
  <c r="C447" i="18"/>
  <c r="A79" i="13"/>
  <c r="C79" i="13" s="1"/>
  <c r="C205" i="12"/>
  <c r="BU733" i="1"/>
  <c r="Q445" i="18"/>
  <c r="BU346" i="1" s="1"/>
  <c r="M445" i="18"/>
  <c r="BG346" i="1" s="1"/>
  <c r="BG733" i="1"/>
  <c r="W507" i="1"/>
  <c r="AM92" i="1"/>
  <c r="AJ507" i="1"/>
  <c r="C568" i="18"/>
  <c r="C690" i="18" s="1"/>
  <c r="G89" i="1"/>
  <c r="BU90" i="1"/>
  <c r="H345" i="1"/>
  <c r="L444" i="18"/>
  <c r="AI345" i="1" s="1"/>
  <c r="AI732" i="1"/>
  <c r="BD93" i="1"/>
  <c r="AJ93" i="1"/>
  <c r="P690" i="2"/>
  <c r="AF613" i="1" s="1"/>
  <c r="J690" i="2"/>
  <c r="X613" i="1" s="1"/>
  <c r="M690" i="2"/>
  <c r="BJ613" i="1" s="1"/>
  <c r="N690" i="2"/>
  <c r="O690" i="2"/>
  <c r="BR613" i="1" s="1"/>
  <c r="F690" i="2"/>
  <c r="AB613" i="1" s="1"/>
  <c r="G690" i="2"/>
  <c r="AP613" i="1" s="1"/>
  <c r="R690" i="2"/>
  <c r="Q690" i="2"/>
  <c r="K690" i="2"/>
  <c r="BD613" i="1" s="1"/>
  <c r="E690" i="2"/>
  <c r="I690" i="2"/>
  <c r="H690" i="2"/>
  <c r="AI507" i="1"/>
  <c r="C202" i="2"/>
  <c r="C325" i="2"/>
  <c r="C447" i="2"/>
  <c r="C83" i="1"/>
  <c r="C217" i="1"/>
  <c r="C626" i="1" s="1"/>
  <c r="C348" i="1"/>
  <c r="D348" i="1" s="1"/>
  <c r="P444" i="18"/>
  <c r="AE345" i="1" s="1"/>
  <c r="AE732" i="1"/>
  <c r="K507" i="1"/>
  <c r="BC733" i="1"/>
  <c r="K445" i="18"/>
  <c r="BC346" i="1" s="1"/>
  <c r="H505" i="1"/>
  <c r="CA507" i="1"/>
  <c r="BH92" i="1"/>
  <c r="BD506" i="1"/>
  <c r="AW90" i="1"/>
  <c r="C733" i="1"/>
  <c r="H323" i="2"/>
  <c r="O323" i="2"/>
  <c r="M323" i="2"/>
  <c r="L323" i="2"/>
  <c r="Q323" i="2"/>
  <c r="N323" i="2"/>
  <c r="N445" i="2" s="1"/>
  <c r="BN346" i="1" s="1"/>
  <c r="I323" i="2"/>
  <c r="R323" i="2"/>
  <c r="P323" i="2"/>
  <c r="J323" i="2"/>
  <c r="G323" i="2"/>
  <c r="F323" i="2"/>
  <c r="E323" i="2"/>
  <c r="K323" i="2"/>
  <c r="AO732" i="1"/>
  <c r="G444" i="18"/>
  <c r="AO345" i="1" s="1"/>
  <c r="BV93" i="1"/>
  <c r="CG343" i="1"/>
  <c r="K90" i="1"/>
  <c r="BU732" i="1"/>
  <c r="Q444" i="18"/>
  <c r="BU345" i="1" s="1"/>
  <c r="G689" i="2"/>
  <c r="AP612" i="1" s="1"/>
  <c r="O689" i="2"/>
  <c r="BR612" i="1" s="1"/>
  <c r="F689" i="2"/>
  <c r="AB612" i="1" s="1"/>
  <c r="P689" i="2"/>
  <c r="AF612" i="1" s="1"/>
  <c r="J689" i="2"/>
  <c r="X612" i="1" s="1"/>
  <c r="N689" i="2"/>
  <c r="M689" i="2"/>
  <c r="BJ612" i="1" s="1"/>
  <c r="I689" i="2"/>
  <c r="E689" i="2"/>
  <c r="L689" i="2"/>
  <c r="H689" i="2"/>
  <c r="K689" i="2"/>
  <c r="BD612" i="1" s="1"/>
  <c r="Q689" i="2"/>
  <c r="R689" i="2"/>
  <c r="H579" i="18"/>
  <c r="Q579" i="18"/>
  <c r="R579" i="18"/>
  <c r="J579" i="18"/>
  <c r="E579" i="18"/>
  <c r="D580" i="18"/>
  <c r="L579" i="18"/>
  <c r="H610" i="1"/>
  <c r="B81" i="18"/>
  <c r="A81" i="18"/>
  <c r="CA733" i="1"/>
  <c r="R445" i="18"/>
  <c r="CA346" i="1" s="1"/>
  <c r="BU507" i="1"/>
  <c r="CE92" i="1"/>
  <c r="CB506" i="1"/>
  <c r="Q90" i="1"/>
  <c r="F200" i="2"/>
  <c r="AB215" i="1" s="1"/>
  <c r="J200" i="2"/>
  <c r="X215" i="1" s="1"/>
  <c r="G200" i="2"/>
  <c r="AP215" i="1" s="1"/>
  <c r="O200" i="2"/>
  <c r="BR215" i="1" s="1"/>
  <c r="I200" i="2"/>
  <c r="AX215" i="1" s="1"/>
  <c r="E200" i="2"/>
  <c r="L215" i="1" s="1"/>
  <c r="R200" i="2"/>
  <c r="CB215" i="1" s="1"/>
  <c r="P200" i="2"/>
  <c r="AF215" i="1" s="1"/>
  <c r="K200" i="2"/>
  <c r="BD215" i="1" s="1"/>
  <c r="L200" i="2"/>
  <c r="AJ215" i="1" s="1"/>
  <c r="H200" i="2"/>
  <c r="R215" i="1" s="1"/>
  <c r="Q200" i="2"/>
  <c r="BV215" i="1" s="1"/>
  <c r="N200" i="2"/>
  <c r="BN215" i="1" s="1"/>
  <c r="M200" i="2"/>
  <c r="BJ215" i="1" s="1"/>
  <c r="CG344" i="1"/>
  <c r="M444" i="18"/>
  <c r="BG345" i="1" s="1"/>
  <c r="BG732" i="1"/>
  <c r="AX93" i="1"/>
  <c r="F445" i="18"/>
  <c r="AA346" i="1" s="1"/>
  <c r="AA733" i="1"/>
  <c r="CB93" i="1"/>
  <c r="CA90" i="1"/>
  <c r="BJ93" i="1"/>
  <c r="CE214" i="1"/>
  <c r="AV214" i="1" s="1"/>
  <c r="CB611" i="1"/>
  <c r="G506" i="1"/>
  <c r="H579" i="2"/>
  <c r="I579" i="2"/>
  <c r="Q579" i="2"/>
  <c r="R579" i="2"/>
  <c r="D580" i="2"/>
  <c r="K579" i="2"/>
  <c r="L579" i="2"/>
  <c r="E579" i="2"/>
  <c r="AT214" i="1"/>
  <c r="O214" i="1"/>
  <c r="I214" i="1" s="1"/>
  <c r="L611" i="1"/>
  <c r="H611" i="1" s="1"/>
  <c r="AO90" i="1"/>
  <c r="F444" i="18"/>
  <c r="AA345" i="1" s="1"/>
  <c r="AA732" i="1"/>
  <c r="BC732" i="1"/>
  <c r="K444" i="18"/>
  <c r="BC345" i="1" s="1"/>
  <c r="AF93" i="1"/>
  <c r="G612" i="1"/>
  <c r="AM216" i="1" l="1"/>
  <c r="AJ613" i="1"/>
  <c r="U216" i="1"/>
  <c r="R613" i="1"/>
  <c r="E495" i="1"/>
  <c r="D495" i="1"/>
  <c r="K508" i="1"/>
  <c r="BH93" i="1"/>
  <c r="BD507" i="1"/>
  <c r="AM215" i="1"/>
  <c r="AJ612" i="1"/>
  <c r="CA508" i="1"/>
  <c r="G445" i="2"/>
  <c r="AP346" i="1" s="1"/>
  <c r="AP733" i="1"/>
  <c r="CE93" i="1"/>
  <c r="CB507" i="1"/>
  <c r="H215" i="1"/>
  <c r="C81" i="18"/>
  <c r="BU508" i="1"/>
  <c r="BA215" i="1"/>
  <c r="AX612" i="1"/>
  <c r="J445" i="2"/>
  <c r="X346" i="1" s="1"/>
  <c r="X733" i="1"/>
  <c r="BR733" i="1"/>
  <c r="O445" i="2"/>
  <c r="BR346" i="1" s="1"/>
  <c r="G346" i="1"/>
  <c r="G345" i="1"/>
  <c r="CG345" i="1" s="1"/>
  <c r="Q91" i="1"/>
  <c r="R94" i="1"/>
  <c r="H506" i="1"/>
  <c r="CB733" i="1"/>
  <c r="R445" i="2"/>
  <c r="CB346" i="1" s="1"/>
  <c r="U93" i="1"/>
  <c r="R507" i="1"/>
  <c r="AI508" i="1"/>
  <c r="BY215" i="1"/>
  <c r="BV612" i="1"/>
  <c r="AX733" i="1"/>
  <c r="I445" i="2"/>
  <c r="AX346" i="1" s="1"/>
  <c r="BA216" i="1"/>
  <c r="AX613" i="1"/>
  <c r="G325" i="18"/>
  <c r="P325" i="18"/>
  <c r="L325" i="18"/>
  <c r="M325" i="18"/>
  <c r="E325" i="18"/>
  <c r="O325" i="18"/>
  <c r="H325" i="18"/>
  <c r="R325" i="18"/>
  <c r="F325" i="18"/>
  <c r="I325" i="18"/>
  <c r="J325" i="18"/>
  <c r="K325" i="18"/>
  <c r="Q325" i="18"/>
  <c r="H93" i="1"/>
  <c r="C569" i="18"/>
  <c r="C691" i="18" s="1"/>
  <c r="CA91" i="1"/>
  <c r="K91" i="1"/>
  <c r="C734" i="1"/>
  <c r="L324" i="2"/>
  <c r="R324" i="2"/>
  <c r="F324" i="2"/>
  <c r="E324" i="2"/>
  <c r="G324" i="2"/>
  <c r="N324" i="2"/>
  <c r="N446" i="2" s="1"/>
  <c r="BN347" i="1" s="1"/>
  <c r="M324" i="2"/>
  <c r="I324" i="2"/>
  <c r="P324" i="2"/>
  <c r="J324" i="2"/>
  <c r="K324" i="2"/>
  <c r="H324" i="2"/>
  <c r="O324" i="2"/>
  <c r="Q324" i="2"/>
  <c r="BV94" i="1"/>
  <c r="BN94" i="1"/>
  <c r="BY93" i="1"/>
  <c r="BV507" i="1"/>
  <c r="Q508" i="1"/>
  <c r="AO91" i="1"/>
  <c r="F82" i="1"/>
  <c r="E82" i="1"/>
  <c r="D82" i="1"/>
  <c r="C496" i="1"/>
  <c r="L204" i="12"/>
  <c r="M204" i="12"/>
  <c r="N204" i="12"/>
  <c r="G204" i="12"/>
  <c r="O204" i="12"/>
  <c r="H204" i="12"/>
  <c r="P204" i="12"/>
  <c r="I204" i="12"/>
  <c r="Q204" i="12"/>
  <c r="J204" i="12"/>
  <c r="R204" i="12"/>
  <c r="F204" i="12"/>
  <c r="K204" i="12"/>
  <c r="S204" i="12"/>
  <c r="E204" i="12"/>
  <c r="A570" i="18"/>
  <c r="B570" i="18"/>
  <c r="O93" i="1"/>
  <c r="L507" i="1"/>
  <c r="E580" i="18"/>
  <c r="D581" i="18"/>
  <c r="H580" i="18"/>
  <c r="Q580" i="18"/>
  <c r="R580" i="18"/>
  <c r="L580" i="18"/>
  <c r="J580" i="18"/>
  <c r="BD733" i="1"/>
  <c r="K445" i="2"/>
  <c r="BD346" i="1" s="1"/>
  <c r="D83" i="1"/>
  <c r="E83" i="1"/>
  <c r="F83" i="1"/>
  <c r="C497" i="1"/>
  <c r="O216" i="1"/>
  <c r="L613" i="1"/>
  <c r="BC91" i="1"/>
  <c r="F201" i="2"/>
  <c r="AB216" i="1" s="1"/>
  <c r="G201" i="2"/>
  <c r="AP216" i="1" s="1"/>
  <c r="J201" i="2"/>
  <c r="X216" i="1" s="1"/>
  <c r="M201" i="2"/>
  <c r="BJ216" i="1" s="1"/>
  <c r="N201" i="2"/>
  <c r="BN216" i="1" s="1"/>
  <c r="I201" i="2"/>
  <c r="AX216" i="1" s="1"/>
  <c r="Q201" i="2"/>
  <c r="BV216" i="1" s="1"/>
  <c r="K201" i="2"/>
  <c r="BD216" i="1" s="1"/>
  <c r="R201" i="2"/>
  <c r="CB216" i="1" s="1"/>
  <c r="P201" i="2"/>
  <c r="AF216" i="1" s="1"/>
  <c r="O201" i="2"/>
  <c r="BR216" i="1" s="1"/>
  <c r="L201" i="2"/>
  <c r="AJ216" i="1" s="1"/>
  <c r="H201" i="2"/>
  <c r="R216" i="1" s="1"/>
  <c r="E201" i="2"/>
  <c r="L216" i="1" s="1"/>
  <c r="P201" i="18"/>
  <c r="AE216" i="1" s="1"/>
  <c r="F201" i="18"/>
  <c r="AA216" i="1" s="1"/>
  <c r="L201" i="18"/>
  <c r="AI216" i="1" s="1"/>
  <c r="M201" i="18"/>
  <c r="BG216" i="1" s="1"/>
  <c r="O201" i="18"/>
  <c r="BQ216" i="1" s="1"/>
  <c r="A200" i="13"/>
  <c r="C200" i="13" s="1"/>
  <c r="Q201" i="18"/>
  <c r="BU216" i="1" s="1"/>
  <c r="I201" i="18"/>
  <c r="AW216" i="1" s="1"/>
  <c r="E201" i="18"/>
  <c r="K216" i="1" s="1"/>
  <c r="G216" i="1" s="1"/>
  <c r="H201" i="18"/>
  <c r="Q216" i="1" s="1"/>
  <c r="J201" i="18"/>
  <c r="W216" i="1" s="1"/>
  <c r="K201" i="18"/>
  <c r="BC216" i="1" s="1"/>
  <c r="R201" i="18"/>
  <c r="CA216" i="1" s="1"/>
  <c r="G201" i="18"/>
  <c r="AO216" i="1" s="1"/>
  <c r="BD94" i="1"/>
  <c r="L94" i="1"/>
  <c r="R733" i="1"/>
  <c r="H445" i="2"/>
  <c r="R346" i="1" s="1"/>
  <c r="AM93" i="1"/>
  <c r="AJ508" i="1"/>
  <c r="U215" i="1"/>
  <c r="R612" i="1"/>
  <c r="L733" i="1"/>
  <c r="E445" i="2"/>
  <c r="L346" i="1" s="1"/>
  <c r="BV733" i="1"/>
  <c r="Q445" i="2"/>
  <c r="BV346" i="1" s="1"/>
  <c r="K690" i="18"/>
  <c r="BC613" i="1" s="1"/>
  <c r="M690" i="18"/>
  <c r="BG613" i="1" s="1"/>
  <c r="I690" i="18"/>
  <c r="AW613" i="1" s="1"/>
  <c r="G690" i="18"/>
  <c r="AO613" i="1" s="1"/>
  <c r="O690" i="18"/>
  <c r="BQ613" i="1" s="1"/>
  <c r="P690" i="18"/>
  <c r="AE613" i="1" s="1"/>
  <c r="F690" i="18"/>
  <c r="AA613" i="1" s="1"/>
  <c r="E690" i="18"/>
  <c r="K613" i="1" s="1"/>
  <c r="H690" i="18"/>
  <c r="Q613" i="1" s="1"/>
  <c r="R690" i="18"/>
  <c r="CA613" i="1" s="1"/>
  <c r="Q690" i="18"/>
  <c r="BU613" i="1" s="1"/>
  <c r="J690" i="18"/>
  <c r="W613" i="1" s="1"/>
  <c r="L690" i="18"/>
  <c r="AI613" i="1" s="1"/>
  <c r="W91" i="1"/>
  <c r="A82" i="2"/>
  <c r="B82" i="2"/>
  <c r="E324" i="18"/>
  <c r="M324" i="18"/>
  <c r="H324" i="18"/>
  <c r="R324" i="18"/>
  <c r="I324" i="18"/>
  <c r="J324" i="18"/>
  <c r="L324" i="18"/>
  <c r="Q324" i="18"/>
  <c r="F324" i="18"/>
  <c r="G324" i="18"/>
  <c r="O324" i="18"/>
  <c r="K324" i="18"/>
  <c r="P324" i="18"/>
  <c r="AF94" i="1"/>
  <c r="AJ94" i="1"/>
  <c r="G90" i="1"/>
  <c r="F202" i="18"/>
  <c r="AA217" i="1" s="1"/>
  <c r="L202" i="18"/>
  <c r="AI217" i="1" s="1"/>
  <c r="M202" i="18"/>
  <c r="BG217" i="1" s="1"/>
  <c r="O202" i="18"/>
  <c r="BQ217" i="1" s="1"/>
  <c r="P202" i="18"/>
  <c r="AE217" i="1" s="1"/>
  <c r="A201" i="13"/>
  <c r="C201" i="13" s="1"/>
  <c r="H202" i="18"/>
  <c r="Q217" i="1" s="1"/>
  <c r="G202" i="18"/>
  <c r="AO217" i="1" s="1"/>
  <c r="E202" i="18"/>
  <c r="K217" i="1" s="1"/>
  <c r="R202" i="18"/>
  <c r="CA217" i="1" s="1"/>
  <c r="Q202" i="18"/>
  <c r="BU217" i="1" s="1"/>
  <c r="J202" i="18"/>
  <c r="W217" i="1" s="1"/>
  <c r="I202" i="18"/>
  <c r="AW217" i="1" s="1"/>
  <c r="K202" i="18"/>
  <c r="BC217" i="1" s="1"/>
  <c r="J89" i="18"/>
  <c r="R89" i="18"/>
  <c r="D90" i="18"/>
  <c r="E89" i="18"/>
  <c r="G89" i="18"/>
  <c r="H89" i="18"/>
  <c r="Q89" i="18"/>
  <c r="I89" i="18"/>
  <c r="K89" i="18"/>
  <c r="H92" i="2"/>
  <c r="P92" i="2"/>
  <c r="R92" i="2"/>
  <c r="L92" i="2"/>
  <c r="E92" i="2"/>
  <c r="M92" i="2"/>
  <c r="O92" i="2"/>
  <c r="Q92" i="2"/>
  <c r="K92" i="2"/>
  <c r="I92" i="2"/>
  <c r="D93" i="2"/>
  <c r="N92" i="2"/>
  <c r="W508" i="1"/>
  <c r="F445" i="2"/>
  <c r="AB346" i="1" s="1"/>
  <c r="AB733" i="1"/>
  <c r="AJ733" i="1"/>
  <c r="L445" i="2"/>
  <c r="AJ346" i="1" s="1"/>
  <c r="G507" i="1"/>
  <c r="C735" i="1"/>
  <c r="H325" i="2"/>
  <c r="Q325" i="2"/>
  <c r="K325" i="2"/>
  <c r="R325" i="2"/>
  <c r="G325" i="2"/>
  <c r="I325" i="2"/>
  <c r="L325" i="2"/>
  <c r="P325" i="2"/>
  <c r="J325" i="2"/>
  <c r="N325" i="2"/>
  <c r="N447" i="2" s="1"/>
  <c r="BN348" i="1" s="1"/>
  <c r="F325" i="2"/>
  <c r="E325" i="2"/>
  <c r="O325" i="2"/>
  <c r="M325" i="2"/>
  <c r="BY216" i="1"/>
  <c r="BV613" i="1"/>
  <c r="BU91" i="1"/>
  <c r="C203" i="2"/>
  <c r="C326" i="2"/>
  <c r="C448" i="2"/>
  <c r="C84" i="1"/>
  <c r="C218" i="1"/>
  <c r="C627" i="1" s="1"/>
  <c r="C349" i="1"/>
  <c r="D349" i="1" s="1"/>
  <c r="M691" i="2"/>
  <c r="BJ614" i="1" s="1"/>
  <c r="J691" i="2"/>
  <c r="X614" i="1" s="1"/>
  <c r="N691" i="2"/>
  <c r="F691" i="2"/>
  <c r="AB614" i="1" s="1"/>
  <c r="O691" i="2"/>
  <c r="BR614" i="1" s="1"/>
  <c r="G691" i="2"/>
  <c r="AP614" i="1" s="1"/>
  <c r="P691" i="2"/>
  <c r="AF614" i="1" s="1"/>
  <c r="L691" i="2"/>
  <c r="Q691" i="2"/>
  <c r="K691" i="2"/>
  <c r="BD614" i="1" s="1"/>
  <c r="I691" i="2"/>
  <c r="E691" i="2"/>
  <c r="H691" i="2"/>
  <c r="R691" i="2"/>
  <c r="BJ94" i="1"/>
  <c r="CB94" i="1"/>
  <c r="AT215" i="1"/>
  <c r="B82" i="18"/>
  <c r="A82" i="18"/>
  <c r="C82" i="18" s="1"/>
  <c r="AF733" i="1"/>
  <c r="P445" i="2"/>
  <c r="AF346" i="1" s="1"/>
  <c r="BR94" i="1"/>
  <c r="BA93" i="1"/>
  <c r="AX507" i="1"/>
  <c r="CE215" i="1"/>
  <c r="CB612" i="1"/>
  <c r="D581" i="2"/>
  <c r="H580" i="2"/>
  <c r="L580" i="2"/>
  <c r="E580" i="2"/>
  <c r="Q580" i="2"/>
  <c r="K580" i="2"/>
  <c r="I580" i="2"/>
  <c r="R580" i="2"/>
  <c r="O215" i="1"/>
  <c r="L612" i="1"/>
  <c r="BJ733" i="1"/>
  <c r="M445" i="2"/>
  <c r="BJ346" i="1" s="1"/>
  <c r="F202" i="2"/>
  <c r="AB217" i="1" s="1"/>
  <c r="G202" i="2"/>
  <c r="AP217" i="1" s="1"/>
  <c r="J202" i="2"/>
  <c r="X217" i="1" s="1"/>
  <c r="R202" i="2"/>
  <c r="CB217" i="1" s="1"/>
  <c r="K202" i="2"/>
  <c r="BD217" i="1" s="1"/>
  <c r="Q202" i="2"/>
  <c r="BV217" i="1" s="1"/>
  <c r="I202" i="2"/>
  <c r="AX217" i="1" s="1"/>
  <c r="H202" i="2"/>
  <c r="R217" i="1" s="1"/>
  <c r="P202" i="2"/>
  <c r="AF217" i="1" s="1"/>
  <c r="N202" i="2"/>
  <c r="BN217" i="1" s="1"/>
  <c r="L202" i="2"/>
  <c r="AJ217" i="1" s="1"/>
  <c r="E202" i="2"/>
  <c r="L217" i="1" s="1"/>
  <c r="O202" i="2"/>
  <c r="BR217" i="1" s="1"/>
  <c r="M202" i="2"/>
  <c r="BJ217" i="1" s="1"/>
  <c r="CE216" i="1"/>
  <c r="CB613" i="1"/>
  <c r="L205" i="12"/>
  <c r="M205" i="12"/>
  <c r="N205" i="12"/>
  <c r="G205" i="12"/>
  <c r="O205" i="12"/>
  <c r="H205" i="12"/>
  <c r="P205" i="12"/>
  <c r="I205" i="12"/>
  <c r="Q205" i="12"/>
  <c r="J205" i="12"/>
  <c r="R205" i="12"/>
  <c r="K205" i="12"/>
  <c r="S205" i="12"/>
  <c r="E205" i="12"/>
  <c r="F205" i="12"/>
  <c r="AW91" i="1"/>
  <c r="B570" i="2"/>
  <c r="A570" i="2"/>
  <c r="AX94" i="1"/>
  <c r="L95" i="1" l="1"/>
  <c r="W735" i="1"/>
  <c r="J447" i="18"/>
  <c r="W348" i="1" s="1"/>
  <c r="AO92" i="1"/>
  <c r="P447" i="18"/>
  <c r="AE348" i="1" s="1"/>
  <c r="AE735" i="1"/>
  <c r="BY94" i="1"/>
  <c r="BV508" i="1"/>
  <c r="G613" i="1"/>
  <c r="W509" i="1"/>
  <c r="C570" i="2"/>
  <c r="C692" i="2" s="1"/>
  <c r="H217" i="1"/>
  <c r="CE94" i="1"/>
  <c r="CB508" i="1"/>
  <c r="BY217" i="1"/>
  <c r="BV614" i="1"/>
  <c r="BV735" i="1"/>
  <c r="Q447" i="2"/>
  <c r="BV348" i="1" s="1"/>
  <c r="BJ95" i="1"/>
  <c r="BU92" i="1"/>
  <c r="F446" i="18"/>
  <c r="AA347" i="1" s="1"/>
  <c r="AA734" i="1"/>
  <c r="K734" i="1"/>
  <c r="E446" i="18"/>
  <c r="K347" i="1" s="1"/>
  <c r="L581" i="18"/>
  <c r="E581" i="18"/>
  <c r="D582" i="18"/>
  <c r="H581" i="18"/>
  <c r="Q581" i="18"/>
  <c r="J581" i="18"/>
  <c r="R581" i="18"/>
  <c r="BV734" i="1"/>
  <c r="Q446" i="2"/>
  <c r="BV347" i="1" s="1"/>
  <c r="BC735" i="1"/>
  <c r="K447" i="18"/>
  <c r="BC348" i="1" s="1"/>
  <c r="M447" i="18"/>
  <c r="BG348" i="1" s="1"/>
  <c r="BG735" i="1"/>
  <c r="G508" i="1"/>
  <c r="R735" i="1"/>
  <c r="H447" i="2"/>
  <c r="R348" i="1" s="1"/>
  <c r="K509" i="1"/>
  <c r="L447" i="18"/>
  <c r="AI348" i="1" s="1"/>
  <c r="AI735" i="1"/>
  <c r="A81" i="10"/>
  <c r="C327" i="18"/>
  <c r="C204" i="18"/>
  <c r="C449" i="18"/>
  <c r="A81" i="13"/>
  <c r="C81" i="13" s="1"/>
  <c r="C207" i="12"/>
  <c r="C82" i="2"/>
  <c r="AW735" i="1"/>
  <c r="I447" i="18"/>
  <c r="AW348" i="1" s="1"/>
  <c r="CB95" i="1"/>
  <c r="W734" i="1"/>
  <c r="J446" i="18"/>
  <c r="W347" i="1" s="1"/>
  <c r="H613" i="1"/>
  <c r="I93" i="1"/>
  <c r="BD734" i="1"/>
  <c r="K446" i="2"/>
  <c r="BD347" i="1" s="1"/>
  <c r="AO735" i="1"/>
  <c r="G447" i="18"/>
  <c r="AO348" i="1" s="1"/>
  <c r="O94" i="1"/>
  <c r="L508" i="1"/>
  <c r="U217" i="1"/>
  <c r="R614" i="1"/>
  <c r="BJ735" i="1"/>
  <c r="M447" i="2"/>
  <c r="BJ348" i="1" s="1"/>
  <c r="AX735" i="1"/>
  <c r="I447" i="2"/>
  <c r="AX348" i="1" s="1"/>
  <c r="AX95" i="1"/>
  <c r="AF95" i="1"/>
  <c r="H90" i="18"/>
  <c r="E90" i="18"/>
  <c r="D91" i="18"/>
  <c r="G90" i="18"/>
  <c r="I90" i="18"/>
  <c r="Q90" i="18"/>
  <c r="J90" i="18"/>
  <c r="K90" i="18"/>
  <c r="R90" i="18"/>
  <c r="G217" i="1"/>
  <c r="P446" i="18"/>
  <c r="AE347" i="1" s="1"/>
  <c r="AE734" i="1"/>
  <c r="AW734" i="1"/>
  <c r="I446" i="18"/>
  <c r="AW347" i="1" s="1"/>
  <c r="I216" i="1"/>
  <c r="AI509" i="1"/>
  <c r="J446" i="2"/>
  <c r="X347" i="1" s="1"/>
  <c r="X734" i="1"/>
  <c r="CB734" i="1"/>
  <c r="R446" i="2"/>
  <c r="CB347" i="1" s="1"/>
  <c r="CA735" i="1"/>
  <c r="R447" i="18"/>
  <c r="CA348" i="1" s="1"/>
  <c r="J447" i="2"/>
  <c r="X348" i="1" s="1"/>
  <c r="X735" i="1"/>
  <c r="B83" i="2"/>
  <c r="A83" i="2"/>
  <c r="CG346" i="1"/>
  <c r="AJ95" i="1"/>
  <c r="AT216" i="1"/>
  <c r="H507" i="1"/>
  <c r="CE217" i="1"/>
  <c r="CB614" i="1"/>
  <c r="D84" i="1"/>
  <c r="C498" i="1"/>
  <c r="F447" i="18"/>
  <c r="AA348" i="1" s="1"/>
  <c r="AA735" i="1"/>
  <c r="AT217" i="1"/>
  <c r="AM94" i="1"/>
  <c r="AJ509" i="1"/>
  <c r="O217" i="1"/>
  <c r="L614" i="1"/>
  <c r="C736" i="1"/>
  <c r="M326" i="2"/>
  <c r="R326" i="2"/>
  <c r="G326" i="2"/>
  <c r="N326" i="2"/>
  <c r="N448" i="2" s="1"/>
  <c r="BN349" i="1" s="1"/>
  <c r="I326" i="2"/>
  <c r="F326" i="2"/>
  <c r="E326" i="2"/>
  <c r="P326" i="2"/>
  <c r="J326" i="2"/>
  <c r="L326" i="2"/>
  <c r="H326" i="2"/>
  <c r="O326" i="2"/>
  <c r="K326" i="2"/>
  <c r="Q326" i="2"/>
  <c r="BR735" i="1"/>
  <c r="O447" i="2"/>
  <c r="BR348" i="1" s="1"/>
  <c r="G447" i="2"/>
  <c r="AP348" i="1" s="1"/>
  <c r="AP735" i="1"/>
  <c r="BD95" i="1"/>
  <c r="R95" i="1"/>
  <c r="CA92" i="1"/>
  <c r="BC734" i="1"/>
  <c r="K446" i="18"/>
  <c r="BC347" i="1" s="1"/>
  <c r="CA734" i="1"/>
  <c r="R446" i="18"/>
  <c r="CA347" i="1" s="1"/>
  <c r="H346" i="1"/>
  <c r="E497" i="1"/>
  <c r="D497" i="1"/>
  <c r="CA509" i="1"/>
  <c r="A571" i="18"/>
  <c r="C571" i="18" s="1"/>
  <c r="C693" i="18" s="1"/>
  <c r="B571" i="18"/>
  <c r="AF734" i="1"/>
  <c r="P446" i="2"/>
  <c r="AF347" i="1" s="1"/>
  <c r="AJ734" i="1"/>
  <c r="L446" i="2"/>
  <c r="AJ347" i="1" s="1"/>
  <c r="G691" i="18"/>
  <c r="AO614" i="1" s="1"/>
  <c r="I691" i="18"/>
  <c r="AW614" i="1" s="1"/>
  <c r="K691" i="18"/>
  <c r="BC614" i="1" s="1"/>
  <c r="P691" i="18"/>
  <c r="AE614" i="1" s="1"/>
  <c r="F691" i="18"/>
  <c r="AA614" i="1" s="1"/>
  <c r="O691" i="18"/>
  <c r="BQ614" i="1" s="1"/>
  <c r="M691" i="18"/>
  <c r="BG614" i="1" s="1"/>
  <c r="E691" i="18"/>
  <c r="K614" i="1" s="1"/>
  <c r="L691" i="18"/>
  <c r="AI614" i="1" s="1"/>
  <c r="R691" i="18"/>
  <c r="CA614" i="1" s="1"/>
  <c r="J691" i="18"/>
  <c r="W614" i="1" s="1"/>
  <c r="Q691" i="18"/>
  <c r="BU614" i="1" s="1"/>
  <c r="H691" i="18"/>
  <c r="Q614" i="1" s="1"/>
  <c r="Q735" i="1"/>
  <c r="H447" i="18"/>
  <c r="Q348" i="1" s="1"/>
  <c r="AV216" i="1"/>
  <c r="AM217" i="1"/>
  <c r="AJ614" i="1"/>
  <c r="Q92" i="1"/>
  <c r="BU734" i="1"/>
  <c r="Q446" i="18"/>
  <c r="BU347" i="1" s="1"/>
  <c r="BR734" i="1"/>
  <c r="O446" i="2"/>
  <c r="BR347" i="1" s="1"/>
  <c r="AF735" i="1"/>
  <c r="P447" i="2"/>
  <c r="AF348" i="1" s="1"/>
  <c r="H216" i="1"/>
  <c r="R734" i="1"/>
  <c r="H446" i="2"/>
  <c r="R347" i="1" s="1"/>
  <c r="H612" i="1"/>
  <c r="U94" i="1"/>
  <c r="R508" i="1"/>
  <c r="BA217" i="1"/>
  <c r="AX614" i="1"/>
  <c r="Q203" i="2"/>
  <c r="BV218" i="1" s="1"/>
  <c r="E203" i="2"/>
  <c r="L218" i="1" s="1"/>
  <c r="H203" i="2"/>
  <c r="R218" i="1" s="1"/>
  <c r="I203" i="2"/>
  <c r="AX218" i="1" s="1"/>
  <c r="L735" i="1"/>
  <c r="E447" i="2"/>
  <c r="L348" i="1" s="1"/>
  <c r="CB735" i="1"/>
  <c r="R447" i="2"/>
  <c r="CB348" i="1" s="1"/>
  <c r="BV95" i="1"/>
  <c r="BC92" i="1"/>
  <c r="W92" i="1"/>
  <c r="O446" i="18"/>
  <c r="BQ347" i="1" s="1"/>
  <c r="BQ734" i="1"/>
  <c r="Q734" i="1"/>
  <c r="H446" i="18"/>
  <c r="Q347" i="1" s="1"/>
  <c r="H94" i="1"/>
  <c r="BU509" i="1"/>
  <c r="C570" i="18"/>
  <c r="C692" i="18" s="1"/>
  <c r="D496" i="1"/>
  <c r="E496" i="1"/>
  <c r="AX734" i="1"/>
  <c r="I446" i="2"/>
  <c r="AX347" i="1" s="1"/>
  <c r="O447" i="18"/>
  <c r="BQ348" i="1" s="1"/>
  <c r="BQ735" i="1"/>
  <c r="A571" i="2"/>
  <c r="B571" i="2"/>
  <c r="BA94" i="1"/>
  <c r="AX508" i="1"/>
  <c r="G446" i="2"/>
  <c r="AP347" i="1" s="1"/>
  <c r="AP734" i="1"/>
  <c r="BH94" i="1"/>
  <c r="BD508" i="1"/>
  <c r="BN95" i="1"/>
  <c r="L446" i="18"/>
  <c r="AI347" i="1" s="1"/>
  <c r="AI734" i="1"/>
  <c r="L734" i="1"/>
  <c r="E446" i="2"/>
  <c r="L347" i="1" s="1"/>
  <c r="A80" i="10"/>
  <c r="G203" i="2" s="1"/>
  <c r="AP218" i="1" s="1"/>
  <c r="C203" i="18"/>
  <c r="C448" i="18"/>
  <c r="C326" i="18"/>
  <c r="A80" i="13"/>
  <c r="C80" i="13" s="1"/>
  <c r="C206" i="12"/>
  <c r="A83" i="18"/>
  <c r="B83" i="18"/>
  <c r="AJ735" i="1"/>
  <c r="L447" i="2"/>
  <c r="AJ348" i="1" s="1"/>
  <c r="H93" i="2"/>
  <c r="P93" i="2"/>
  <c r="R93" i="2"/>
  <c r="I93" i="2"/>
  <c r="K93" i="2"/>
  <c r="E93" i="2"/>
  <c r="N93" i="2"/>
  <c r="O93" i="2"/>
  <c r="L93" i="2"/>
  <c r="D94" i="2"/>
  <c r="M93" i="2"/>
  <c r="Q93" i="2"/>
  <c r="K92" i="1"/>
  <c r="G92" i="1" s="1"/>
  <c r="F446" i="2"/>
  <c r="AB347" i="1" s="1"/>
  <c r="AB734" i="1"/>
  <c r="I215" i="1"/>
  <c r="L581" i="2"/>
  <c r="E581" i="2"/>
  <c r="D582" i="2"/>
  <c r="R581" i="2"/>
  <c r="K581" i="2"/>
  <c r="H581" i="2"/>
  <c r="I581" i="2"/>
  <c r="Q581" i="2"/>
  <c r="F447" i="2"/>
  <c r="AB348" i="1" s="1"/>
  <c r="AB735" i="1"/>
  <c r="BD735" i="1"/>
  <c r="K447" i="2"/>
  <c r="BD348" i="1" s="1"/>
  <c r="BR95" i="1"/>
  <c r="AW92" i="1"/>
  <c r="AO734" i="1"/>
  <c r="G446" i="18"/>
  <c r="AO347" i="1" s="1"/>
  <c r="M446" i="18"/>
  <c r="BG347" i="1" s="1"/>
  <c r="BG734" i="1"/>
  <c r="Q509" i="1"/>
  <c r="BJ734" i="1"/>
  <c r="M446" i="2"/>
  <c r="BJ347" i="1" s="1"/>
  <c r="G91" i="1"/>
  <c r="BU735" i="1"/>
  <c r="Q447" i="18"/>
  <c r="BU348" i="1" s="1"/>
  <c r="K735" i="1"/>
  <c r="E447" i="18"/>
  <c r="K348" i="1" s="1"/>
  <c r="AV215" i="1"/>
  <c r="U95" i="1" l="1"/>
  <c r="R509" i="1"/>
  <c r="L203" i="18"/>
  <c r="AI218" i="1" s="1"/>
  <c r="M203" i="18"/>
  <c r="BG218" i="1" s="1"/>
  <c r="F203" i="18"/>
  <c r="AA218" i="1" s="1"/>
  <c r="P203" i="18"/>
  <c r="AE218" i="1" s="1"/>
  <c r="O203" i="18"/>
  <c r="BQ218" i="1" s="1"/>
  <c r="A202" i="13"/>
  <c r="C202" i="13" s="1"/>
  <c r="Q203" i="18"/>
  <c r="BU218" i="1" s="1"/>
  <c r="R203" i="18"/>
  <c r="CA218" i="1" s="1"/>
  <c r="K203" i="18"/>
  <c r="BC218" i="1" s="1"/>
  <c r="J203" i="18"/>
  <c r="W218" i="1" s="1"/>
  <c r="G203" i="18"/>
  <c r="AO218" i="1" s="1"/>
  <c r="I203" i="18"/>
  <c r="AW218" i="1" s="1"/>
  <c r="E203" i="18"/>
  <c r="K218" i="1" s="1"/>
  <c r="H203" i="18"/>
  <c r="Q218" i="1" s="1"/>
  <c r="BN96" i="1"/>
  <c r="G692" i="18"/>
  <c r="AO615" i="1" s="1"/>
  <c r="P692" i="18"/>
  <c r="AE615" i="1" s="1"/>
  <c r="I692" i="18"/>
  <c r="AW615" i="1" s="1"/>
  <c r="K692" i="18"/>
  <c r="BC615" i="1" s="1"/>
  <c r="F692" i="18"/>
  <c r="AA615" i="1" s="1"/>
  <c r="O692" i="18"/>
  <c r="BQ615" i="1" s="1"/>
  <c r="M692" i="18"/>
  <c r="BG615" i="1" s="1"/>
  <c r="Q692" i="18"/>
  <c r="BU615" i="1" s="1"/>
  <c r="H692" i="18"/>
  <c r="Q615" i="1" s="1"/>
  <c r="R692" i="18"/>
  <c r="CA615" i="1" s="1"/>
  <c r="E692" i="18"/>
  <c r="K615" i="1" s="1"/>
  <c r="G615" i="1" s="1"/>
  <c r="L692" i="18"/>
  <c r="AI615" i="1" s="1"/>
  <c r="J692" i="18"/>
  <c r="W615" i="1" s="1"/>
  <c r="CA93" i="1"/>
  <c r="O95" i="1"/>
  <c r="L509" i="1"/>
  <c r="BV96" i="1"/>
  <c r="AX96" i="1"/>
  <c r="L206" i="12"/>
  <c r="M206" i="12"/>
  <c r="F206" i="12"/>
  <c r="G206" i="12"/>
  <c r="O206" i="12"/>
  <c r="H206" i="12"/>
  <c r="P206" i="12"/>
  <c r="I206" i="12"/>
  <c r="Q206" i="12"/>
  <c r="J206" i="12"/>
  <c r="R206" i="12"/>
  <c r="N206" i="12"/>
  <c r="K206" i="12"/>
  <c r="S206" i="12"/>
  <c r="E206" i="12"/>
  <c r="H348" i="1"/>
  <c r="M203" i="2"/>
  <c r="BJ218" i="1" s="1"/>
  <c r="A572" i="18"/>
  <c r="C572" i="18" s="1"/>
  <c r="C694" i="18" s="1"/>
  <c r="B572" i="18"/>
  <c r="BV736" i="1"/>
  <c r="Q448" i="2"/>
  <c r="BV349" i="1" s="1"/>
  <c r="F448" i="2"/>
  <c r="AB349" i="1" s="1"/>
  <c r="AB736" i="1"/>
  <c r="I217" i="1"/>
  <c r="F84" i="1"/>
  <c r="BU93" i="1"/>
  <c r="BU510" i="1"/>
  <c r="BR736" i="1"/>
  <c r="O448" i="2"/>
  <c r="BR349" i="1" s="1"/>
  <c r="AJ736" i="1"/>
  <c r="L448" i="2"/>
  <c r="AJ349" i="1" s="1"/>
  <c r="BH95" i="1"/>
  <c r="BD509" i="1"/>
  <c r="F203" i="2"/>
  <c r="AB218" i="1" s="1"/>
  <c r="H218" i="1" s="1"/>
  <c r="BJ736" i="1"/>
  <c r="M448" i="2"/>
  <c r="BJ349" i="1" s="1"/>
  <c r="AM95" i="1"/>
  <c r="AJ510" i="1"/>
  <c r="BJ96" i="1"/>
  <c r="CB96" i="1"/>
  <c r="K203" i="2"/>
  <c r="BD218" i="1" s="1"/>
  <c r="AT218" i="1" s="1"/>
  <c r="AV217" i="1"/>
  <c r="F693" i="18"/>
  <c r="AA616" i="1" s="1"/>
  <c r="P693" i="18"/>
  <c r="AE616" i="1" s="1"/>
  <c r="G693" i="18"/>
  <c r="AO616" i="1" s="1"/>
  <c r="O693" i="18"/>
  <c r="BQ616" i="1" s="1"/>
  <c r="M693" i="18"/>
  <c r="BG616" i="1" s="1"/>
  <c r="I693" i="18"/>
  <c r="AW616" i="1" s="1"/>
  <c r="K693" i="18"/>
  <c r="BC616" i="1" s="1"/>
  <c r="Q693" i="18"/>
  <c r="BU616" i="1" s="1"/>
  <c r="H693" i="18"/>
  <c r="Q616" i="1" s="1"/>
  <c r="L693" i="18"/>
  <c r="AI616" i="1" s="1"/>
  <c r="J693" i="18"/>
  <c r="W616" i="1" s="1"/>
  <c r="R693" i="18"/>
  <c r="CA616" i="1" s="1"/>
  <c r="E693" i="18"/>
  <c r="K616" i="1" s="1"/>
  <c r="BD736" i="1"/>
  <c r="K448" i="2"/>
  <c r="BD349" i="1" s="1"/>
  <c r="AX736" i="1"/>
  <c r="I448" i="2"/>
  <c r="AX349" i="1" s="1"/>
  <c r="E84" i="1"/>
  <c r="AW93" i="1"/>
  <c r="Q510" i="1"/>
  <c r="AF96" i="1"/>
  <c r="AO93" i="1"/>
  <c r="H508" i="1"/>
  <c r="C204" i="2"/>
  <c r="C327" i="2"/>
  <c r="C449" i="2"/>
  <c r="C85" i="1"/>
  <c r="C219" i="1"/>
  <c r="C628" i="1" s="1"/>
  <c r="C350" i="1"/>
  <c r="D350" i="1" s="1"/>
  <c r="L582" i="18"/>
  <c r="E582" i="18"/>
  <c r="D583" i="18"/>
  <c r="J582" i="18"/>
  <c r="Q582" i="18"/>
  <c r="R582" i="18"/>
  <c r="H582" i="18"/>
  <c r="G348" i="1"/>
  <c r="BA95" i="1"/>
  <c r="AX509" i="1"/>
  <c r="AJ96" i="1"/>
  <c r="R96" i="1"/>
  <c r="L203" i="2"/>
  <c r="AJ218" i="1" s="1"/>
  <c r="N203" i="2"/>
  <c r="BN218" i="1" s="1"/>
  <c r="R736" i="1"/>
  <c r="H448" i="2"/>
  <c r="R349" i="1" s="1"/>
  <c r="G448" i="2"/>
  <c r="AP349" i="1" s="1"/>
  <c r="AP736" i="1"/>
  <c r="C83" i="2"/>
  <c r="D92" i="18"/>
  <c r="K91" i="18"/>
  <c r="E91" i="18"/>
  <c r="G91" i="18"/>
  <c r="J91" i="18"/>
  <c r="R91" i="18"/>
  <c r="Q91" i="18"/>
  <c r="H91" i="18"/>
  <c r="I91" i="18"/>
  <c r="I94" i="1"/>
  <c r="L207" i="12"/>
  <c r="M207" i="12"/>
  <c r="N207" i="12"/>
  <c r="F207" i="12"/>
  <c r="G207" i="12"/>
  <c r="O207" i="12"/>
  <c r="H207" i="12"/>
  <c r="P207" i="12"/>
  <c r="I207" i="12"/>
  <c r="Q207" i="12"/>
  <c r="J207" i="12"/>
  <c r="R207" i="12"/>
  <c r="K207" i="12"/>
  <c r="S207" i="12"/>
  <c r="E207" i="12"/>
  <c r="G509" i="1"/>
  <c r="K510" i="1"/>
  <c r="AI510" i="1"/>
  <c r="BY95" i="1"/>
  <c r="BV509" i="1"/>
  <c r="G614" i="1"/>
  <c r="K93" i="1"/>
  <c r="H94" i="2"/>
  <c r="P94" i="2"/>
  <c r="K94" i="2"/>
  <c r="L94" i="2"/>
  <c r="O94" i="2"/>
  <c r="Q94" i="2"/>
  <c r="I94" i="2"/>
  <c r="R94" i="2"/>
  <c r="E94" i="2"/>
  <c r="D95" i="2"/>
  <c r="M94" i="2"/>
  <c r="N94" i="2"/>
  <c r="I326" i="18"/>
  <c r="R326" i="18"/>
  <c r="G326" i="18"/>
  <c r="Q326" i="18"/>
  <c r="H326" i="18"/>
  <c r="J326" i="18"/>
  <c r="L326" i="18"/>
  <c r="F326" i="18"/>
  <c r="K326" i="18"/>
  <c r="M326" i="18"/>
  <c r="O326" i="18"/>
  <c r="P326" i="18"/>
  <c r="E326" i="18"/>
  <c r="BR96" i="1"/>
  <c r="CB736" i="1"/>
  <c r="R448" i="2"/>
  <c r="CB349" i="1" s="1"/>
  <c r="B84" i="2"/>
  <c r="A84" i="2"/>
  <c r="B572" i="2"/>
  <c r="A572" i="2"/>
  <c r="P203" i="2"/>
  <c r="AF218" i="1" s="1"/>
  <c r="Q93" i="1"/>
  <c r="G347" i="1"/>
  <c r="CG347" i="1" s="1"/>
  <c r="CE95" i="1"/>
  <c r="CB509" i="1"/>
  <c r="L96" i="1"/>
  <c r="H96" i="1" s="1"/>
  <c r="A84" i="18"/>
  <c r="C84" i="18" s="1"/>
  <c r="B84" i="18"/>
  <c r="H347" i="1"/>
  <c r="C571" i="2"/>
  <c r="C693" i="2" s="1"/>
  <c r="R203" i="2"/>
  <c r="CB218" i="1" s="1"/>
  <c r="J203" i="2"/>
  <c r="X218" i="1" s="1"/>
  <c r="AF736" i="1"/>
  <c r="P448" i="2"/>
  <c r="AF349" i="1" s="1"/>
  <c r="BC93" i="1"/>
  <c r="M204" i="18"/>
  <c r="BG219" i="1" s="1"/>
  <c r="F204" i="18"/>
  <c r="AA219" i="1" s="1"/>
  <c r="O204" i="18"/>
  <c r="BQ219" i="1" s="1"/>
  <c r="P204" i="18"/>
  <c r="AE219" i="1" s="1"/>
  <c r="L204" i="18"/>
  <c r="AI219" i="1" s="1"/>
  <c r="A203" i="13"/>
  <c r="C203" i="13" s="1"/>
  <c r="K204" i="18"/>
  <c r="BC219" i="1" s="1"/>
  <c r="J204" i="18"/>
  <c r="W219" i="1" s="1"/>
  <c r="H204" i="18"/>
  <c r="Q219" i="1" s="1"/>
  <c r="G204" i="18"/>
  <c r="AO219" i="1" s="1"/>
  <c r="Q204" i="18"/>
  <c r="BU219" i="1" s="1"/>
  <c r="R204" i="18"/>
  <c r="CA219" i="1" s="1"/>
  <c r="E204" i="18"/>
  <c r="K219" i="1" s="1"/>
  <c r="G219" i="1" s="1"/>
  <c r="I204" i="18"/>
  <c r="AW219" i="1" s="1"/>
  <c r="CA510" i="1"/>
  <c r="J448" i="2"/>
  <c r="X349" i="1" s="1"/>
  <c r="X736" i="1"/>
  <c r="H95" i="1"/>
  <c r="R582" i="2"/>
  <c r="K582" i="2"/>
  <c r="L582" i="2"/>
  <c r="H582" i="2"/>
  <c r="I582" i="2"/>
  <c r="Q582" i="2"/>
  <c r="E582" i="2"/>
  <c r="D583" i="2"/>
  <c r="BD96" i="1"/>
  <c r="C83" i="18"/>
  <c r="O203" i="2"/>
  <c r="BR218" i="1" s="1"/>
  <c r="L736" i="1"/>
  <c r="E448" i="2"/>
  <c r="L349" i="1" s="1"/>
  <c r="H614" i="1"/>
  <c r="D498" i="1"/>
  <c r="E498" i="1"/>
  <c r="W93" i="1"/>
  <c r="K327" i="18"/>
  <c r="L327" i="18"/>
  <c r="M327" i="18"/>
  <c r="E327" i="18"/>
  <c r="O327" i="18"/>
  <c r="G327" i="18"/>
  <c r="Q327" i="18"/>
  <c r="J327" i="18"/>
  <c r="P327" i="18"/>
  <c r="R327" i="18"/>
  <c r="H327" i="18"/>
  <c r="F327" i="18"/>
  <c r="I327" i="18"/>
  <c r="W510" i="1"/>
  <c r="J692" i="2"/>
  <c r="X615" i="1" s="1"/>
  <c r="G692" i="2"/>
  <c r="AP615" i="1" s="1"/>
  <c r="P692" i="2"/>
  <c r="AF615" i="1" s="1"/>
  <c r="N692" i="2"/>
  <c r="F692" i="2"/>
  <c r="AB615" i="1" s="1"/>
  <c r="M692" i="2"/>
  <c r="BJ615" i="1" s="1"/>
  <c r="O692" i="2"/>
  <c r="BR615" i="1" s="1"/>
  <c r="E692" i="2"/>
  <c r="R692" i="2"/>
  <c r="K692" i="2"/>
  <c r="BD615" i="1" s="1"/>
  <c r="L692" i="2"/>
  <c r="Q692" i="2"/>
  <c r="I692" i="2"/>
  <c r="H692" i="2"/>
  <c r="O449" i="18" l="1"/>
  <c r="BQ350" i="1" s="1"/>
  <c r="BQ737" i="1"/>
  <c r="BC736" i="1"/>
  <c r="K448" i="18"/>
  <c r="BC349" i="1" s="1"/>
  <c r="BA218" i="1"/>
  <c r="AX615" i="1"/>
  <c r="F449" i="18"/>
  <c r="AA350" i="1" s="1"/>
  <c r="AA737" i="1"/>
  <c r="K737" i="1"/>
  <c r="E449" i="18"/>
  <c r="K350" i="1" s="1"/>
  <c r="CE96" i="1"/>
  <c r="CB510" i="1"/>
  <c r="F448" i="18"/>
  <c r="AA349" i="1" s="1"/>
  <c r="AA736" i="1"/>
  <c r="BN97" i="1"/>
  <c r="AJ97" i="1"/>
  <c r="BC94" i="1"/>
  <c r="K511" i="1"/>
  <c r="I95" i="1"/>
  <c r="BH96" i="1"/>
  <c r="BD510" i="1"/>
  <c r="K94" i="1"/>
  <c r="J583" i="18"/>
  <c r="L583" i="18"/>
  <c r="E583" i="18"/>
  <c r="D584" i="18"/>
  <c r="R583" i="18"/>
  <c r="Q583" i="18"/>
  <c r="H583" i="18"/>
  <c r="J204" i="2"/>
  <c r="X219" i="1" s="1"/>
  <c r="F204" i="2"/>
  <c r="AB219" i="1" s="1"/>
  <c r="G204" i="2"/>
  <c r="AP219" i="1" s="1"/>
  <c r="E204" i="2"/>
  <c r="L219" i="1" s="1"/>
  <c r="N204" i="2"/>
  <c r="BN219" i="1" s="1"/>
  <c r="Q204" i="2"/>
  <c r="BV219" i="1" s="1"/>
  <c r="I204" i="2"/>
  <c r="AX219" i="1" s="1"/>
  <c r="R204" i="2"/>
  <c r="CB219" i="1" s="1"/>
  <c r="K204" i="2"/>
  <c r="BD219" i="1" s="1"/>
  <c r="L204" i="2"/>
  <c r="AJ219" i="1" s="1"/>
  <c r="O204" i="2"/>
  <c r="BR219" i="1" s="1"/>
  <c r="P204" i="2"/>
  <c r="AF219" i="1" s="1"/>
  <c r="H204" i="2"/>
  <c r="R219" i="1" s="1"/>
  <c r="M204" i="2"/>
  <c r="BJ219" i="1" s="1"/>
  <c r="F694" i="18"/>
  <c r="AA617" i="1" s="1"/>
  <c r="R694" i="18"/>
  <c r="CA617" i="1" s="1"/>
  <c r="M449" i="18"/>
  <c r="BG350" i="1" s="1"/>
  <c r="BG737" i="1"/>
  <c r="H583" i="2"/>
  <c r="I583" i="2"/>
  <c r="Q583" i="2"/>
  <c r="R583" i="2"/>
  <c r="D584" i="2"/>
  <c r="E583" i="2"/>
  <c r="K583" i="2"/>
  <c r="L583" i="2"/>
  <c r="L448" i="18"/>
  <c r="AI349" i="1" s="1"/>
  <c r="AI736" i="1"/>
  <c r="BJ97" i="1"/>
  <c r="BD97" i="1"/>
  <c r="AW94" i="1"/>
  <c r="J92" i="18"/>
  <c r="R92" i="18"/>
  <c r="K92" i="18"/>
  <c r="E92" i="18"/>
  <c r="D93" i="18"/>
  <c r="I92" i="18"/>
  <c r="Q92" i="18"/>
  <c r="H92" i="18"/>
  <c r="G92" i="18"/>
  <c r="AI511" i="1"/>
  <c r="G616" i="1"/>
  <c r="AM218" i="1"/>
  <c r="AJ615" i="1"/>
  <c r="CA737" i="1"/>
  <c r="R449" i="18"/>
  <c r="CA350" i="1" s="1"/>
  <c r="L449" i="18"/>
  <c r="AI350" i="1" s="1"/>
  <c r="AI737" i="1"/>
  <c r="H349" i="1"/>
  <c r="O96" i="1"/>
  <c r="L510" i="1"/>
  <c r="C572" i="2"/>
  <c r="C694" i="2" s="1"/>
  <c r="W736" i="1"/>
  <c r="J448" i="18"/>
  <c r="W349" i="1" s="1"/>
  <c r="N95" i="2"/>
  <c r="D96" i="2"/>
  <c r="I95" i="2"/>
  <c r="R95" i="2"/>
  <c r="K95" i="2"/>
  <c r="O95" i="2"/>
  <c r="P95" i="2"/>
  <c r="H95" i="2"/>
  <c r="M95" i="2"/>
  <c r="Q95" i="2"/>
  <c r="E95" i="2"/>
  <c r="L95" i="2"/>
  <c r="AF97" i="1"/>
  <c r="Q94" i="1"/>
  <c r="C205" i="2"/>
  <c r="C328" i="2"/>
  <c r="C450" i="2"/>
  <c r="C86" i="1"/>
  <c r="C220" i="1"/>
  <c r="C629" i="1" s="1"/>
  <c r="C351" i="1"/>
  <c r="D351" i="1" s="1"/>
  <c r="CG348" i="1"/>
  <c r="Q737" i="1"/>
  <c r="H449" i="18"/>
  <c r="Q350" i="1" s="1"/>
  <c r="P449" i="18"/>
  <c r="AE350" i="1" s="1"/>
  <c r="AE737" i="1"/>
  <c r="BC737" i="1"/>
  <c r="K449" i="18"/>
  <c r="BC350" i="1" s="1"/>
  <c r="BY96" i="1"/>
  <c r="BV510" i="1"/>
  <c r="J693" i="2"/>
  <c r="X616" i="1" s="1"/>
  <c r="M693" i="2"/>
  <c r="BJ616" i="1" s="1"/>
  <c r="N693" i="2"/>
  <c r="O693" i="2"/>
  <c r="BR616" i="1" s="1"/>
  <c r="G693" i="2"/>
  <c r="AP616" i="1" s="1"/>
  <c r="F693" i="2"/>
  <c r="AB616" i="1" s="1"/>
  <c r="P693" i="2"/>
  <c r="AF616" i="1" s="1"/>
  <c r="R693" i="2"/>
  <c r="I693" i="2"/>
  <c r="H693" i="2"/>
  <c r="K693" i="2"/>
  <c r="BD616" i="1" s="1"/>
  <c r="E693" i="2"/>
  <c r="L693" i="2"/>
  <c r="Q693" i="2"/>
  <c r="B573" i="2"/>
  <c r="A573" i="2"/>
  <c r="K736" i="1"/>
  <c r="E448" i="18"/>
  <c r="K349" i="1" s="1"/>
  <c r="Q736" i="1"/>
  <c r="H448" i="18"/>
  <c r="Q349" i="1" s="1"/>
  <c r="L97" i="1"/>
  <c r="R97" i="1"/>
  <c r="BU94" i="1"/>
  <c r="Q511" i="1"/>
  <c r="U218" i="1"/>
  <c r="R615" i="1"/>
  <c r="BR97" i="1"/>
  <c r="CE218" i="1"/>
  <c r="CB615" i="1"/>
  <c r="W737" i="1"/>
  <c r="J449" i="18"/>
  <c r="W350" i="1" s="1"/>
  <c r="BA96" i="1"/>
  <c r="AX510" i="1"/>
  <c r="C84" i="2"/>
  <c r="P448" i="18"/>
  <c r="AE349" i="1" s="1"/>
  <c r="AE736" i="1"/>
  <c r="BU736" i="1"/>
  <c r="Q448" i="18"/>
  <c r="BU349" i="1" s="1"/>
  <c r="CB97" i="1"/>
  <c r="G93" i="1"/>
  <c r="CA94" i="1"/>
  <c r="CA511" i="1"/>
  <c r="F85" i="1"/>
  <c r="D85" i="1"/>
  <c r="E85" i="1"/>
  <c r="C499" i="1"/>
  <c r="AW737" i="1"/>
  <c r="I449" i="18"/>
  <c r="AW350" i="1" s="1"/>
  <c r="AW736" i="1"/>
  <c r="I448" i="18"/>
  <c r="AW349" i="1" s="1"/>
  <c r="O218" i="1"/>
  <c r="L615" i="1"/>
  <c r="BU737" i="1"/>
  <c r="Q449" i="18"/>
  <c r="BU350" i="1" s="1"/>
  <c r="A82" i="10"/>
  <c r="O694" i="18" s="1"/>
  <c r="BQ617" i="1" s="1"/>
  <c r="C205" i="18"/>
  <c r="C328" i="18"/>
  <c r="C450" i="18"/>
  <c r="A82" i="13"/>
  <c r="C82" i="13" s="1"/>
  <c r="C208" i="12"/>
  <c r="U96" i="1"/>
  <c r="R510" i="1"/>
  <c r="B85" i="18"/>
  <c r="A85" i="18"/>
  <c r="A85" i="2"/>
  <c r="C85" i="2" s="1"/>
  <c r="B85" i="2"/>
  <c r="O448" i="18"/>
  <c r="BQ349" i="1" s="1"/>
  <c r="BQ736" i="1"/>
  <c r="AO736" i="1"/>
  <c r="G448" i="18"/>
  <c r="AO349" i="1" s="1"/>
  <c r="AX97" i="1"/>
  <c r="W94" i="1"/>
  <c r="BU511" i="1"/>
  <c r="H509" i="1"/>
  <c r="BY218" i="1"/>
  <c r="BV615" i="1"/>
  <c r="AO737" i="1"/>
  <c r="G449" i="18"/>
  <c r="AO350" i="1" s="1"/>
  <c r="AM96" i="1"/>
  <c r="AJ511" i="1"/>
  <c r="A83" i="10"/>
  <c r="C206" i="18"/>
  <c r="C329" i="18"/>
  <c r="C451" i="18"/>
  <c r="A83" i="13"/>
  <c r="C83" i="13" s="1"/>
  <c r="C209" i="12"/>
  <c r="M448" i="18"/>
  <c r="BG349" i="1" s="1"/>
  <c r="BG736" i="1"/>
  <c r="CA736" i="1"/>
  <c r="R448" i="18"/>
  <c r="CA349" i="1" s="1"/>
  <c r="BV97" i="1"/>
  <c r="G510" i="1"/>
  <c r="AO94" i="1"/>
  <c r="W511" i="1"/>
  <c r="C737" i="1"/>
  <c r="H327" i="2"/>
  <c r="N327" i="2"/>
  <c r="N449" i="2" s="1"/>
  <c r="BN350" i="1" s="1"/>
  <c r="K327" i="2"/>
  <c r="I327" i="2"/>
  <c r="Q327" i="2"/>
  <c r="L327" i="2"/>
  <c r="M327" i="2"/>
  <c r="R327" i="2"/>
  <c r="E327" i="2"/>
  <c r="P327" i="2"/>
  <c r="J327" i="2"/>
  <c r="O327" i="2"/>
  <c r="F327" i="2"/>
  <c r="G327" i="2"/>
  <c r="A573" i="18"/>
  <c r="C573" i="18" s="1"/>
  <c r="C695" i="18" s="1"/>
  <c r="B573" i="18"/>
  <c r="G218" i="1"/>
  <c r="BY97" i="1" l="1"/>
  <c r="BV511" i="1"/>
  <c r="AF737" i="1"/>
  <c r="P449" i="2"/>
  <c r="AF350" i="1" s="1"/>
  <c r="L209" i="12"/>
  <c r="M209" i="12"/>
  <c r="F209" i="12"/>
  <c r="G209" i="12"/>
  <c r="O209" i="12"/>
  <c r="H209" i="12"/>
  <c r="P209" i="12"/>
  <c r="I209" i="12"/>
  <c r="Q209" i="12"/>
  <c r="J209" i="12"/>
  <c r="R209" i="12"/>
  <c r="N209" i="12"/>
  <c r="K209" i="12"/>
  <c r="S209" i="12"/>
  <c r="E209" i="12"/>
  <c r="C206" i="2"/>
  <c r="C451" i="2"/>
  <c r="C329" i="2"/>
  <c r="C87" i="1"/>
  <c r="C221" i="1"/>
  <c r="C630" i="1" s="1"/>
  <c r="C352" i="1"/>
  <c r="D352" i="1" s="1"/>
  <c r="O219" i="1"/>
  <c r="L616" i="1"/>
  <c r="E86" i="1"/>
  <c r="D86" i="1"/>
  <c r="F86" i="1"/>
  <c r="C500" i="1"/>
  <c r="BR98" i="1"/>
  <c r="N694" i="2"/>
  <c r="F694" i="2"/>
  <c r="AB617" i="1" s="1"/>
  <c r="P694" i="2"/>
  <c r="AF617" i="1" s="1"/>
  <c r="G694" i="2"/>
  <c r="AP617" i="1" s="1"/>
  <c r="J694" i="2"/>
  <c r="X617" i="1" s="1"/>
  <c r="M694" i="2"/>
  <c r="BJ617" i="1" s="1"/>
  <c r="O694" i="2"/>
  <c r="BR617" i="1" s="1"/>
  <c r="Q694" i="2"/>
  <c r="E694" i="2"/>
  <c r="H694" i="2"/>
  <c r="K694" i="2"/>
  <c r="BD617" i="1" s="1"/>
  <c r="L694" i="2"/>
  <c r="R694" i="2"/>
  <c r="I694" i="2"/>
  <c r="BU95" i="1"/>
  <c r="BA97" i="1"/>
  <c r="AX511" i="1"/>
  <c r="L694" i="18"/>
  <c r="AI617" i="1" s="1"/>
  <c r="M694" i="18"/>
  <c r="BG617" i="1" s="1"/>
  <c r="AT219" i="1"/>
  <c r="BU512" i="1"/>
  <c r="BD737" i="1"/>
  <c r="K449" i="2"/>
  <c r="BD350" i="1" s="1"/>
  <c r="AF98" i="1"/>
  <c r="Q95" i="1"/>
  <c r="L737" i="1"/>
  <c r="E449" i="2"/>
  <c r="L350" i="1" s="1"/>
  <c r="R737" i="1"/>
  <c r="H449" i="2"/>
  <c r="R350" i="1" s="1"/>
  <c r="L208" i="12"/>
  <c r="M208" i="12"/>
  <c r="G208" i="12"/>
  <c r="O208" i="12"/>
  <c r="H208" i="12"/>
  <c r="P208" i="12"/>
  <c r="N208" i="12"/>
  <c r="I208" i="12"/>
  <c r="Q208" i="12"/>
  <c r="J208" i="12"/>
  <c r="R208" i="12"/>
  <c r="K208" i="12"/>
  <c r="S208" i="12"/>
  <c r="E208" i="12"/>
  <c r="F208" i="12"/>
  <c r="H615" i="1"/>
  <c r="BD98" i="1"/>
  <c r="H510" i="1"/>
  <c r="AW95" i="1"/>
  <c r="U97" i="1"/>
  <c r="R511" i="1"/>
  <c r="Q694" i="18"/>
  <c r="BU617" i="1" s="1"/>
  <c r="CA512" i="1"/>
  <c r="B574" i="18"/>
  <c r="A574" i="18"/>
  <c r="C574" i="18" s="1"/>
  <c r="C696" i="18" s="1"/>
  <c r="CB737" i="1"/>
  <c r="R449" i="2"/>
  <c r="CB350" i="1" s="1"/>
  <c r="A86" i="2"/>
  <c r="C86" i="2" s="1"/>
  <c r="B86" i="2"/>
  <c r="I218" i="1"/>
  <c r="G349" i="1"/>
  <c r="CG349" i="1" s="1"/>
  <c r="U219" i="1"/>
  <c r="R616" i="1"/>
  <c r="C738" i="1"/>
  <c r="M328" i="2"/>
  <c r="L328" i="2"/>
  <c r="R328" i="2"/>
  <c r="G328" i="2"/>
  <c r="N328" i="2"/>
  <c r="N450" i="2" s="1"/>
  <c r="BN351" i="1" s="1"/>
  <c r="I328" i="2"/>
  <c r="K328" i="2"/>
  <c r="E328" i="2"/>
  <c r="P328" i="2"/>
  <c r="J328" i="2"/>
  <c r="F328" i="2"/>
  <c r="H328" i="2"/>
  <c r="O328" i="2"/>
  <c r="Q328" i="2"/>
  <c r="AJ98" i="1"/>
  <c r="CB98" i="1"/>
  <c r="I96" i="1"/>
  <c r="J93" i="18"/>
  <c r="R93" i="18"/>
  <c r="I93" i="18"/>
  <c r="K93" i="18"/>
  <c r="D94" i="18"/>
  <c r="E93" i="18"/>
  <c r="H93" i="18"/>
  <c r="Q93" i="18"/>
  <c r="G93" i="18"/>
  <c r="AM97" i="1"/>
  <c r="AJ512" i="1"/>
  <c r="K694" i="18"/>
  <c r="BC617" i="1" s="1"/>
  <c r="R584" i="18"/>
  <c r="J584" i="18"/>
  <c r="L584" i="18"/>
  <c r="E584" i="18"/>
  <c r="D585" i="18"/>
  <c r="H584" i="18"/>
  <c r="Q584" i="18"/>
  <c r="AV218" i="1"/>
  <c r="BJ737" i="1"/>
  <c r="M449" i="2"/>
  <c r="BJ350" i="1" s="1"/>
  <c r="G329" i="18"/>
  <c r="P329" i="18"/>
  <c r="K329" i="18"/>
  <c r="L329" i="18"/>
  <c r="M329" i="18"/>
  <c r="F329" i="18"/>
  <c r="Q329" i="18"/>
  <c r="E329" i="18"/>
  <c r="H329" i="18"/>
  <c r="I329" i="18"/>
  <c r="J329" i="18"/>
  <c r="R329" i="18"/>
  <c r="O329" i="18"/>
  <c r="C207" i="2"/>
  <c r="C330" i="2"/>
  <c r="C452" i="2"/>
  <c r="C88" i="1"/>
  <c r="C222" i="1"/>
  <c r="C631" i="1" s="1"/>
  <c r="C353" i="1"/>
  <c r="D353" i="1" s="1"/>
  <c r="BA219" i="1"/>
  <c r="AV219" i="1" s="1"/>
  <c r="AX616" i="1"/>
  <c r="J205" i="2"/>
  <c r="X220" i="1" s="1"/>
  <c r="F205" i="2"/>
  <c r="AB220" i="1" s="1"/>
  <c r="G205" i="2"/>
  <c r="AP220" i="1" s="1"/>
  <c r="K205" i="2"/>
  <c r="BD220" i="1" s="1"/>
  <c r="O205" i="2"/>
  <c r="BR220" i="1" s="1"/>
  <c r="R205" i="2"/>
  <c r="CB220" i="1" s="1"/>
  <c r="M205" i="2"/>
  <c r="BJ220" i="1" s="1"/>
  <c r="E205" i="2"/>
  <c r="L220" i="1" s="1"/>
  <c r="H205" i="2"/>
  <c r="R220" i="1" s="1"/>
  <c r="I205" i="2"/>
  <c r="AX220" i="1" s="1"/>
  <c r="P205" i="2"/>
  <c r="AF220" i="1" s="1"/>
  <c r="L205" i="2"/>
  <c r="AJ220" i="1" s="1"/>
  <c r="Q205" i="2"/>
  <c r="BV220" i="1" s="1"/>
  <c r="N205" i="2"/>
  <c r="BN220" i="1" s="1"/>
  <c r="L98" i="1"/>
  <c r="AX98" i="1"/>
  <c r="K95" i="1"/>
  <c r="G95" i="1" s="1"/>
  <c r="BH97" i="1"/>
  <c r="BD511" i="1"/>
  <c r="I694" i="18"/>
  <c r="AW617" i="1" s="1"/>
  <c r="H219" i="1"/>
  <c r="K512" i="1"/>
  <c r="D499" i="1"/>
  <c r="E499" i="1"/>
  <c r="Q512" i="1"/>
  <c r="M695" i="18"/>
  <c r="BG618" i="1" s="1"/>
  <c r="F695" i="18"/>
  <c r="AA618" i="1" s="1"/>
  <c r="O695" i="18"/>
  <c r="BQ618" i="1" s="1"/>
  <c r="G695" i="18"/>
  <c r="AO618" i="1" s="1"/>
  <c r="P695" i="18"/>
  <c r="AE618" i="1" s="1"/>
  <c r="K695" i="18"/>
  <c r="BC618" i="1" s="1"/>
  <c r="I695" i="18"/>
  <c r="AW618" i="1" s="1"/>
  <c r="R695" i="18"/>
  <c r="CA618" i="1" s="1"/>
  <c r="E695" i="18"/>
  <c r="K618" i="1" s="1"/>
  <c r="Q695" i="18"/>
  <c r="BU618" i="1" s="1"/>
  <c r="H695" i="18"/>
  <c r="Q618" i="1" s="1"/>
  <c r="L695" i="18"/>
  <c r="AI618" i="1" s="1"/>
  <c r="J695" i="18"/>
  <c r="W618" i="1" s="1"/>
  <c r="G449" i="2"/>
  <c r="AP350" i="1" s="1"/>
  <c r="AP737" i="1"/>
  <c r="AJ737" i="1"/>
  <c r="L449" i="2"/>
  <c r="AJ350" i="1" s="1"/>
  <c r="M206" i="18"/>
  <c r="BG221" i="1" s="1"/>
  <c r="O206" i="18"/>
  <c r="BQ221" i="1" s="1"/>
  <c r="P206" i="18"/>
  <c r="AE221" i="1" s="1"/>
  <c r="L206" i="18"/>
  <c r="AI221" i="1" s="1"/>
  <c r="A205" i="13"/>
  <c r="C205" i="13" s="1"/>
  <c r="F206" i="18"/>
  <c r="AA221" i="1" s="1"/>
  <c r="E206" i="18"/>
  <c r="K221" i="1" s="1"/>
  <c r="Q206" i="18"/>
  <c r="BU221" i="1" s="1"/>
  <c r="H206" i="18"/>
  <c r="Q221" i="1" s="1"/>
  <c r="G206" i="18"/>
  <c r="AO221" i="1" s="1"/>
  <c r="R206" i="18"/>
  <c r="CA221" i="1" s="1"/>
  <c r="J206" i="18"/>
  <c r="W221" i="1" s="1"/>
  <c r="I206" i="18"/>
  <c r="AW221" i="1" s="1"/>
  <c r="K206" i="18"/>
  <c r="BC221" i="1" s="1"/>
  <c r="C85" i="18"/>
  <c r="E328" i="18"/>
  <c r="M328" i="18"/>
  <c r="G328" i="18"/>
  <c r="Q328" i="18"/>
  <c r="H328" i="18"/>
  <c r="R328" i="18"/>
  <c r="I328" i="18"/>
  <c r="K328" i="18"/>
  <c r="P328" i="18"/>
  <c r="F328" i="18"/>
  <c r="L328" i="18"/>
  <c r="J328" i="18"/>
  <c r="O328" i="18"/>
  <c r="C573" i="2"/>
  <c r="C695" i="2" s="1"/>
  <c r="CE219" i="1"/>
  <c r="CB616" i="1"/>
  <c r="BV98" i="1"/>
  <c r="L96" i="2"/>
  <c r="I96" i="2"/>
  <c r="R96" i="2"/>
  <c r="K96" i="2"/>
  <c r="O96" i="2"/>
  <c r="P96" i="2"/>
  <c r="E96" i="2"/>
  <c r="D97" i="2"/>
  <c r="M96" i="2"/>
  <c r="N96" i="2"/>
  <c r="Q96" i="2"/>
  <c r="H96" i="2"/>
  <c r="BC95" i="1"/>
  <c r="O97" i="1"/>
  <c r="L511" i="1"/>
  <c r="H694" i="18"/>
  <c r="Q617" i="1" s="1"/>
  <c r="P694" i="18"/>
  <c r="AE617" i="1" s="1"/>
  <c r="AI512" i="1"/>
  <c r="J449" i="2"/>
  <c r="X350" i="1" s="1"/>
  <c r="X737" i="1"/>
  <c r="BV737" i="1"/>
  <c r="Q449" i="2"/>
  <c r="BV350" i="1" s="1"/>
  <c r="A86" i="18"/>
  <c r="C86" i="18" s="1"/>
  <c r="B86" i="18"/>
  <c r="P205" i="18"/>
  <c r="AE220" i="1" s="1"/>
  <c r="M205" i="18"/>
  <c r="BG220" i="1" s="1"/>
  <c r="F205" i="18"/>
  <c r="AA220" i="1" s="1"/>
  <c r="L205" i="18"/>
  <c r="AI220" i="1" s="1"/>
  <c r="A204" i="13"/>
  <c r="C204" i="13" s="1"/>
  <c r="O205" i="18"/>
  <c r="BQ220" i="1" s="1"/>
  <c r="G205" i="18"/>
  <c r="AO220" i="1" s="1"/>
  <c r="H205" i="18"/>
  <c r="Q220" i="1" s="1"/>
  <c r="K205" i="18"/>
  <c r="BC220" i="1" s="1"/>
  <c r="Q205" i="18"/>
  <c r="BU220" i="1" s="1"/>
  <c r="I205" i="18"/>
  <c r="AW220" i="1" s="1"/>
  <c r="R205" i="18"/>
  <c r="CA220" i="1" s="1"/>
  <c r="J205" i="18"/>
  <c r="W220" i="1" s="1"/>
  <c r="E205" i="18"/>
  <c r="K220" i="1" s="1"/>
  <c r="G220" i="1" s="1"/>
  <c r="H97" i="1"/>
  <c r="B574" i="2"/>
  <c r="A574" i="2"/>
  <c r="BJ98" i="1"/>
  <c r="BN98" i="1"/>
  <c r="CA95" i="1"/>
  <c r="D585" i="2"/>
  <c r="H584" i="2"/>
  <c r="L584" i="2"/>
  <c r="E584" i="2"/>
  <c r="Q584" i="2"/>
  <c r="I584" i="2"/>
  <c r="R584" i="2"/>
  <c r="K584" i="2"/>
  <c r="E694" i="18"/>
  <c r="K617" i="1" s="1"/>
  <c r="G694" i="18"/>
  <c r="AO617" i="1" s="1"/>
  <c r="W512" i="1"/>
  <c r="G511" i="1"/>
  <c r="G350" i="1"/>
  <c r="AM219" i="1"/>
  <c r="AJ616" i="1"/>
  <c r="F449" i="2"/>
  <c r="AB350" i="1" s="1"/>
  <c r="AB737" i="1"/>
  <c r="BR737" i="1"/>
  <c r="O449" i="2"/>
  <c r="BR350" i="1" s="1"/>
  <c r="AX737" i="1"/>
  <c r="I449" i="2"/>
  <c r="AX350" i="1" s="1"/>
  <c r="BY219" i="1"/>
  <c r="BV616" i="1"/>
  <c r="R98" i="1"/>
  <c r="AO95" i="1"/>
  <c r="W95" i="1"/>
  <c r="CE97" i="1"/>
  <c r="CB511" i="1"/>
  <c r="J694" i="18"/>
  <c r="W617" i="1" s="1"/>
  <c r="G94" i="1"/>
  <c r="CA739" i="1" l="1"/>
  <c r="R451" i="18"/>
  <c r="CA352" i="1" s="1"/>
  <c r="H511" i="1"/>
  <c r="Q738" i="1"/>
  <c r="H450" i="18"/>
  <c r="Q351" i="1" s="1"/>
  <c r="L451" i="18"/>
  <c r="AI352" i="1" s="1"/>
  <c r="AI739" i="1"/>
  <c r="BJ99" i="1"/>
  <c r="BU738" i="1"/>
  <c r="Q450" i="18"/>
  <c r="BU351" i="1" s="1"/>
  <c r="BC739" i="1"/>
  <c r="K451" i="18"/>
  <c r="BC352" i="1" s="1"/>
  <c r="BD738" i="1"/>
  <c r="K450" i="2"/>
  <c r="BD351" i="1" s="1"/>
  <c r="AW739" i="1"/>
  <c r="I451" i="18"/>
  <c r="AW352" i="1" s="1"/>
  <c r="P451" i="18"/>
  <c r="AE352" i="1" s="1"/>
  <c r="AE739" i="1"/>
  <c r="K513" i="1"/>
  <c r="AO96" i="1"/>
  <c r="W96" i="1"/>
  <c r="BV738" i="1"/>
  <c r="Q450" i="2"/>
  <c r="BV351" i="1" s="1"/>
  <c r="AX738" i="1"/>
  <c r="I450" i="2"/>
  <c r="AX351" i="1" s="1"/>
  <c r="B575" i="18"/>
  <c r="A575" i="18"/>
  <c r="C575" i="18" s="1"/>
  <c r="C697" i="18" s="1"/>
  <c r="H350" i="1"/>
  <c r="G617" i="1"/>
  <c r="L585" i="2"/>
  <c r="E585" i="2"/>
  <c r="D586" i="2"/>
  <c r="R585" i="2"/>
  <c r="K585" i="2"/>
  <c r="I585" i="2"/>
  <c r="Q585" i="2"/>
  <c r="H585" i="2"/>
  <c r="L99" i="1"/>
  <c r="F450" i="18"/>
  <c r="AA351" i="1" s="1"/>
  <c r="AA738" i="1"/>
  <c r="M450" i="18"/>
  <c r="BG351" i="1" s="1"/>
  <c r="BG738" i="1"/>
  <c r="D88" i="1"/>
  <c r="F88" i="1"/>
  <c r="C502" i="1"/>
  <c r="Q739" i="1"/>
  <c r="H451" i="18"/>
  <c r="Q352" i="1" s="1"/>
  <c r="AO739" i="1"/>
  <c r="G451" i="18"/>
  <c r="AO352" i="1" s="1"/>
  <c r="AI513" i="1"/>
  <c r="BU96" i="1"/>
  <c r="BR738" i="1"/>
  <c r="O450" i="2"/>
  <c r="BR351" i="1" s="1"/>
  <c r="U220" i="1"/>
  <c r="R617" i="1"/>
  <c r="J206" i="2"/>
  <c r="X221" i="1" s="1"/>
  <c r="F206" i="2"/>
  <c r="AB221" i="1" s="1"/>
  <c r="G206" i="2"/>
  <c r="AP221" i="1" s="1"/>
  <c r="O206" i="2"/>
  <c r="BR221" i="1" s="1"/>
  <c r="P206" i="2"/>
  <c r="AF221" i="1" s="1"/>
  <c r="H206" i="2"/>
  <c r="R221" i="1" s="1"/>
  <c r="M206" i="2"/>
  <c r="BJ221" i="1" s="1"/>
  <c r="Q206" i="2"/>
  <c r="BV221" i="1" s="1"/>
  <c r="K206" i="2"/>
  <c r="BD221" i="1" s="1"/>
  <c r="I206" i="2"/>
  <c r="AX221" i="1" s="1"/>
  <c r="R206" i="2"/>
  <c r="CB221" i="1" s="1"/>
  <c r="L206" i="2"/>
  <c r="AJ221" i="1" s="1"/>
  <c r="E206" i="2"/>
  <c r="L221" i="1" s="1"/>
  <c r="N206" i="2"/>
  <c r="BN221" i="1" s="1"/>
  <c r="AX99" i="1"/>
  <c r="AW96" i="1"/>
  <c r="W738" i="1"/>
  <c r="J450" i="18"/>
  <c r="W351" i="1" s="1"/>
  <c r="AM220" i="1"/>
  <c r="AJ617" i="1"/>
  <c r="C739" i="1"/>
  <c r="H329" i="2"/>
  <c r="G329" i="2"/>
  <c r="K329" i="2"/>
  <c r="O329" i="2"/>
  <c r="M329" i="2"/>
  <c r="R329" i="2"/>
  <c r="E329" i="2"/>
  <c r="L329" i="2"/>
  <c r="P329" i="2"/>
  <c r="J329" i="2"/>
  <c r="F329" i="2"/>
  <c r="Q329" i="2"/>
  <c r="N329" i="2"/>
  <c r="N451" i="2" s="1"/>
  <c r="BN352" i="1" s="1"/>
  <c r="I329" i="2"/>
  <c r="AO738" i="1"/>
  <c r="G450" i="18"/>
  <c r="AO351" i="1" s="1"/>
  <c r="BH98" i="1"/>
  <c r="BD512" i="1"/>
  <c r="AF99" i="1"/>
  <c r="P450" i="18"/>
  <c r="AE351" i="1" s="1"/>
  <c r="AE738" i="1"/>
  <c r="K738" i="1"/>
  <c r="E450" i="18"/>
  <c r="K351" i="1" s="1"/>
  <c r="G618" i="1"/>
  <c r="K739" i="1"/>
  <c r="E451" i="18"/>
  <c r="K352" i="1" s="1"/>
  <c r="W513" i="1"/>
  <c r="Q96" i="1"/>
  <c r="R738" i="1"/>
  <c r="H450" i="2"/>
  <c r="R351" i="1" s="1"/>
  <c r="G450" i="2"/>
  <c r="AP351" i="1" s="1"/>
  <c r="AP738" i="1"/>
  <c r="O220" i="1"/>
  <c r="L617" i="1"/>
  <c r="H616" i="1"/>
  <c r="BN99" i="1"/>
  <c r="L738" i="1"/>
  <c r="E450" i="2"/>
  <c r="L351" i="1" s="1"/>
  <c r="AJ99" i="1"/>
  <c r="CA96" i="1"/>
  <c r="L450" i="18"/>
  <c r="AI351" i="1" s="1"/>
  <c r="AI738" i="1"/>
  <c r="CE98" i="1"/>
  <c r="CB512" i="1"/>
  <c r="C574" i="2"/>
  <c r="C696" i="2" s="1"/>
  <c r="BR99" i="1"/>
  <c r="BC738" i="1"/>
  <c r="K450" i="18"/>
  <c r="BC351" i="1" s="1"/>
  <c r="A84" i="10"/>
  <c r="E88" i="1" s="1"/>
  <c r="C207" i="18"/>
  <c r="C452" i="18"/>
  <c r="C330" i="18"/>
  <c r="A84" i="13"/>
  <c r="C84" i="13" s="1"/>
  <c r="C210" i="12"/>
  <c r="G221" i="1"/>
  <c r="AT220" i="1"/>
  <c r="C740" i="1"/>
  <c r="L330" i="2"/>
  <c r="M330" i="2"/>
  <c r="R330" i="2"/>
  <c r="G330" i="2"/>
  <c r="N330" i="2"/>
  <c r="N452" i="2" s="1"/>
  <c r="BN353" i="1" s="1"/>
  <c r="I330" i="2"/>
  <c r="E330" i="2"/>
  <c r="P330" i="2"/>
  <c r="J330" i="2"/>
  <c r="H330" i="2"/>
  <c r="O330" i="2"/>
  <c r="K330" i="2"/>
  <c r="Q330" i="2"/>
  <c r="F330" i="2"/>
  <c r="BU739" i="1"/>
  <c r="Q451" i="18"/>
  <c r="BU352" i="1" s="1"/>
  <c r="CA513" i="1"/>
  <c r="K96" i="1"/>
  <c r="F450" i="2"/>
  <c r="AB351" i="1" s="1"/>
  <c r="AB738" i="1"/>
  <c r="CB738" i="1"/>
  <c r="R450" i="2"/>
  <c r="CB351" i="1" s="1"/>
  <c r="B87" i="2"/>
  <c r="A87" i="2"/>
  <c r="BY220" i="1"/>
  <c r="BV617" i="1"/>
  <c r="I219" i="1"/>
  <c r="Q513" i="1"/>
  <c r="D500" i="1"/>
  <c r="E500" i="1"/>
  <c r="AM98" i="1"/>
  <c r="AJ513" i="1"/>
  <c r="I97" i="1"/>
  <c r="W739" i="1"/>
  <c r="J451" i="18"/>
  <c r="W352" i="1" s="1"/>
  <c r="U98" i="1"/>
  <c r="R512" i="1"/>
  <c r="R97" i="2"/>
  <c r="I97" i="2"/>
  <c r="Q97" i="2"/>
  <c r="K97" i="2"/>
  <c r="N97" i="2"/>
  <c r="O97" i="2"/>
  <c r="P97" i="2"/>
  <c r="E97" i="2"/>
  <c r="D98" i="2"/>
  <c r="L97" i="2"/>
  <c r="M97" i="2"/>
  <c r="H97" i="2"/>
  <c r="CG350" i="1"/>
  <c r="BA98" i="1"/>
  <c r="AX512" i="1"/>
  <c r="A575" i="2"/>
  <c r="B575" i="2"/>
  <c r="A87" i="18"/>
  <c r="C87" i="18" s="1"/>
  <c r="B87" i="18"/>
  <c r="R99" i="1"/>
  <c r="BD99" i="1"/>
  <c r="AW738" i="1"/>
  <c r="I450" i="18"/>
  <c r="AW351" i="1" s="1"/>
  <c r="H98" i="1"/>
  <c r="G207" i="2"/>
  <c r="AP222" i="1" s="1"/>
  <c r="F207" i="2"/>
  <c r="AB222" i="1" s="1"/>
  <c r="J207" i="2"/>
  <c r="X222" i="1" s="1"/>
  <c r="I207" i="2"/>
  <c r="AX222" i="1" s="1"/>
  <c r="Q207" i="2"/>
  <c r="BV222" i="1" s="1"/>
  <c r="P207" i="2"/>
  <c r="AF222" i="1" s="1"/>
  <c r="E207" i="2"/>
  <c r="L222" i="1" s="1"/>
  <c r="N207" i="2"/>
  <c r="BN222" i="1" s="1"/>
  <c r="O207" i="2"/>
  <c r="BR222" i="1" s="1"/>
  <c r="K207" i="2"/>
  <c r="BD222" i="1" s="1"/>
  <c r="R207" i="2"/>
  <c r="CB222" i="1" s="1"/>
  <c r="M207" i="2"/>
  <c r="BJ222" i="1" s="1"/>
  <c r="H207" i="2"/>
  <c r="R222" i="1" s="1"/>
  <c r="L207" i="2"/>
  <c r="AJ222" i="1" s="1"/>
  <c r="F451" i="18"/>
  <c r="AA352" i="1" s="1"/>
  <c r="AA739" i="1"/>
  <c r="H94" i="18"/>
  <c r="J94" i="18"/>
  <c r="R94" i="18"/>
  <c r="K94" i="18"/>
  <c r="E94" i="18"/>
  <c r="D95" i="18"/>
  <c r="I94" i="18"/>
  <c r="Q94" i="18"/>
  <c r="G94" i="18"/>
  <c r="J450" i="2"/>
  <c r="X351" i="1" s="1"/>
  <c r="X738" i="1"/>
  <c r="AJ738" i="1"/>
  <c r="L450" i="2"/>
  <c r="AJ351" i="1" s="1"/>
  <c r="C208" i="2"/>
  <c r="C331" i="2"/>
  <c r="C453" i="2"/>
  <c r="C89" i="1"/>
  <c r="C223" i="1"/>
  <c r="C632" i="1" s="1"/>
  <c r="C354" i="1"/>
  <c r="D354" i="1" s="1"/>
  <c r="O98" i="1"/>
  <c r="L512" i="1"/>
  <c r="O450" i="18"/>
  <c r="BQ351" i="1" s="1"/>
  <c r="BQ738" i="1"/>
  <c r="CE220" i="1"/>
  <c r="CB617" i="1"/>
  <c r="D87" i="1"/>
  <c r="E87" i="1"/>
  <c r="F87" i="1"/>
  <c r="C501" i="1"/>
  <c r="G512" i="1"/>
  <c r="H585" i="18"/>
  <c r="Q585" i="18"/>
  <c r="R585" i="18"/>
  <c r="J585" i="18"/>
  <c r="L585" i="18"/>
  <c r="E585" i="18"/>
  <c r="D586" i="18"/>
  <c r="G696" i="18"/>
  <c r="AO619" i="1" s="1"/>
  <c r="P696" i="18"/>
  <c r="AE619" i="1" s="1"/>
  <c r="K696" i="18"/>
  <c r="BC619" i="1" s="1"/>
  <c r="F696" i="18"/>
  <c r="AA619" i="1" s="1"/>
  <c r="O696" i="18"/>
  <c r="BQ619" i="1" s="1"/>
  <c r="M696" i="18"/>
  <c r="BG619" i="1" s="1"/>
  <c r="I696" i="18"/>
  <c r="AW619" i="1" s="1"/>
  <c r="Q696" i="18"/>
  <c r="BU619" i="1" s="1"/>
  <c r="H696" i="18"/>
  <c r="Q619" i="1" s="1"/>
  <c r="J696" i="18"/>
  <c r="W619" i="1" s="1"/>
  <c r="R696" i="18"/>
  <c r="CA619" i="1" s="1"/>
  <c r="L696" i="18"/>
  <c r="AI619" i="1" s="1"/>
  <c r="E696" i="18"/>
  <c r="K619" i="1" s="1"/>
  <c r="BY98" i="1"/>
  <c r="BV512" i="1"/>
  <c r="A85" i="10"/>
  <c r="C331" i="18"/>
  <c r="C453" i="18"/>
  <c r="C208" i="18"/>
  <c r="A85" i="13"/>
  <c r="C85" i="13" s="1"/>
  <c r="C211" i="12"/>
  <c r="BV99" i="1"/>
  <c r="CB99" i="1"/>
  <c r="M695" i="2"/>
  <c r="BJ618" i="1" s="1"/>
  <c r="N695" i="2"/>
  <c r="O695" i="2"/>
  <c r="BR618" i="1" s="1"/>
  <c r="F695" i="2"/>
  <c r="AB618" i="1" s="1"/>
  <c r="P695" i="2"/>
  <c r="AF618" i="1" s="1"/>
  <c r="G695" i="2"/>
  <c r="AP618" i="1" s="1"/>
  <c r="J695" i="2"/>
  <c r="X618" i="1" s="1"/>
  <c r="R695" i="2"/>
  <c r="I695" i="2"/>
  <c r="E695" i="2"/>
  <c r="H695" i="2"/>
  <c r="K695" i="2"/>
  <c r="BD618" i="1" s="1"/>
  <c r="L695" i="2"/>
  <c r="Q695" i="2"/>
  <c r="CA738" i="1"/>
  <c r="R450" i="18"/>
  <c r="CA351" i="1" s="1"/>
  <c r="H220" i="1"/>
  <c r="O451" i="18"/>
  <c r="BQ352" i="1" s="1"/>
  <c r="BQ739" i="1"/>
  <c r="M451" i="18"/>
  <c r="BG352" i="1" s="1"/>
  <c r="BG739" i="1"/>
  <c r="BU513" i="1"/>
  <c r="BC96" i="1"/>
  <c r="AF738" i="1"/>
  <c r="P450" i="2"/>
  <c r="AF351" i="1" s="1"/>
  <c r="BJ738" i="1"/>
  <c r="M450" i="2"/>
  <c r="BJ351" i="1" s="1"/>
  <c r="BA220" i="1"/>
  <c r="AV220" i="1" s="1"/>
  <c r="AX617" i="1"/>
  <c r="BA221" i="1" l="1"/>
  <c r="AX618" i="1"/>
  <c r="G619" i="1"/>
  <c r="W514" i="1"/>
  <c r="CA97" i="1"/>
  <c r="L100" i="1"/>
  <c r="C87" i="2"/>
  <c r="BR740" i="1"/>
  <c r="O452" i="2"/>
  <c r="BR353" i="1" s="1"/>
  <c r="CB740" i="1"/>
  <c r="R452" i="2"/>
  <c r="CB353" i="1" s="1"/>
  <c r="I330" i="18"/>
  <c r="R330" i="18"/>
  <c r="F330" i="18"/>
  <c r="P330" i="18"/>
  <c r="G330" i="18"/>
  <c r="Q330" i="18"/>
  <c r="H330" i="18"/>
  <c r="K330" i="18"/>
  <c r="E330" i="18"/>
  <c r="J330" i="18"/>
  <c r="L330" i="18"/>
  <c r="M330" i="18"/>
  <c r="O330" i="18"/>
  <c r="F451" i="2"/>
  <c r="AB352" i="1" s="1"/>
  <c r="AB739" i="1"/>
  <c r="BD739" i="1"/>
  <c r="K451" i="2"/>
  <c r="BD352" i="1" s="1"/>
  <c r="CE99" i="1"/>
  <c r="CB513" i="1"/>
  <c r="CA514" i="1"/>
  <c r="AF100" i="1"/>
  <c r="B88" i="2"/>
  <c r="A88" i="2"/>
  <c r="C88" i="2" s="1"/>
  <c r="BJ740" i="1"/>
  <c r="M452" i="2"/>
  <c r="BJ353" i="1" s="1"/>
  <c r="BU514" i="1"/>
  <c r="D89" i="1"/>
  <c r="E89" i="1"/>
  <c r="F89" i="1"/>
  <c r="C503" i="1"/>
  <c r="BR100" i="1"/>
  <c r="J452" i="2"/>
  <c r="X353" i="1" s="1"/>
  <c r="X740" i="1"/>
  <c r="AF739" i="1"/>
  <c r="P451" i="2"/>
  <c r="AF352" i="1" s="1"/>
  <c r="R739" i="1"/>
  <c r="H451" i="2"/>
  <c r="R352" i="1" s="1"/>
  <c r="O99" i="1"/>
  <c r="L513" i="1"/>
  <c r="G513" i="1"/>
  <c r="BY221" i="1"/>
  <c r="BV618" i="1"/>
  <c r="K331" i="18"/>
  <c r="J331" i="18"/>
  <c r="L331" i="18"/>
  <c r="M331" i="18"/>
  <c r="F331" i="18"/>
  <c r="P331" i="18"/>
  <c r="I331" i="18"/>
  <c r="O331" i="18"/>
  <c r="Q331" i="18"/>
  <c r="R331" i="18"/>
  <c r="G331" i="18"/>
  <c r="H331" i="18"/>
  <c r="E331" i="18"/>
  <c r="Q514" i="1"/>
  <c r="BU97" i="1"/>
  <c r="BN100" i="1"/>
  <c r="AF740" i="1"/>
  <c r="P452" i="2"/>
  <c r="AF353" i="1" s="1"/>
  <c r="H617" i="1"/>
  <c r="AJ739" i="1"/>
  <c r="L451" i="2"/>
  <c r="AJ352" i="1" s="1"/>
  <c r="AM99" i="1"/>
  <c r="AJ514" i="1"/>
  <c r="G351" i="1"/>
  <c r="CG351" i="1" s="1"/>
  <c r="H99" i="1"/>
  <c r="AT221" i="1"/>
  <c r="AM221" i="1"/>
  <c r="AJ618" i="1"/>
  <c r="C741" i="1"/>
  <c r="H331" i="2"/>
  <c r="O331" i="2"/>
  <c r="L331" i="2"/>
  <c r="G331" i="2"/>
  <c r="M331" i="2"/>
  <c r="R331" i="2"/>
  <c r="N331" i="2"/>
  <c r="N453" i="2" s="1"/>
  <c r="BN354" i="1" s="1"/>
  <c r="K331" i="2"/>
  <c r="E331" i="2"/>
  <c r="P331" i="2"/>
  <c r="J331" i="2"/>
  <c r="Q331" i="2"/>
  <c r="I331" i="2"/>
  <c r="F331" i="2"/>
  <c r="AW97" i="1"/>
  <c r="H222" i="1"/>
  <c r="A88" i="18"/>
  <c r="C88" i="18" s="1"/>
  <c r="B88" i="18"/>
  <c r="R100" i="1"/>
  <c r="BD100" i="1"/>
  <c r="L740" i="1"/>
  <c r="E452" i="2"/>
  <c r="L353" i="1" s="1"/>
  <c r="I220" i="1"/>
  <c r="L739" i="1"/>
  <c r="E451" i="2"/>
  <c r="L352" i="1" s="1"/>
  <c r="U99" i="1"/>
  <c r="R513" i="1"/>
  <c r="J451" i="2"/>
  <c r="X352" i="1" s="1"/>
  <c r="X739" i="1"/>
  <c r="Q97" i="1"/>
  <c r="L207" i="18"/>
  <c r="AI222" i="1" s="1"/>
  <c r="P207" i="18"/>
  <c r="AE222" i="1" s="1"/>
  <c r="F207" i="18"/>
  <c r="AA222" i="1" s="1"/>
  <c r="O207" i="18"/>
  <c r="BQ222" i="1" s="1"/>
  <c r="A206" i="13"/>
  <c r="C206" i="13" s="1"/>
  <c r="M207" i="18"/>
  <c r="BG222" i="1" s="1"/>
  <c r="G207" i="18"/>
  <c r="AO222" i="1" s="1"/>
  <c r="I207" i="18"/>
  <c r="AW222" i="1" s="1"/>
  <c r="Q207" i="18"/>
  <c r="BU222" i="1" s="1"/>
  <c r="H207" i="18"/>
  <c r="Q222" i="1" s="1"/>
  <c r="R207" i="18"/>
  <c r="CA222" i="1" s="1"/>
  <c r="J207" i="18"/>
  <c r="W222" i="1" s="1"/>
  <c r="E207" i="18"/>
  <c r="K222" i="1" s="1"/>
  <c r="K207" i="18"/>
  <c r="BC222" i="1" s="1"/>
  <c r="H586" i="18"/>
  <c r="Q586" i="18"/>
  <c r="R586" i="18"/>
  <c r="J586" i="18"/>
  <c r="L586" i="18"/>
  <c r="E586" i="18"/>
  <c r="D587" i="18"/>
  <c r="D501" i="1"/>
  <c r="E501" i="1"/>
  <c r="H512" i="1"/>
  <c r="F208" i="2"/>
  <c r="AB223" i="1" s="1"/>
  <c r="J208" i="2"/>
  <c r="X223" i="1" s="1"/>
  <c r="G208" i="2"/>
  <c r="AP223" i="1" s="1"/>
  <c r="N208" i="2"/>
  <c r="BN223" i="1" s="1"/>
  <c r="L208" i="2"/>
  <c r="AJ223" i="1" s="1"/>
  <c r="M208" i="2"/>
  <c r="BJ223" i="1" s="1"/>
  <c r="P208" i="2"/>
  <c r="AF223" i="1" s="1"/>
  <c r="Q208" i="2"/>
  <c r="BV223" i="1" s="1"/>
  <c r="I208" i="2"/>
  <c r="AX223" i="1" s="1"/>
  <c r="H208" i="2"/>
  <c r="R223" i="1" s="1"/>
  <c r="K208" i="2"/>
  <c r="BD223" i="1" s="1"/>
  <c r="E208" i="2"/>
  <c r="L223" i="1" s="1"/>
  <c r="H223" i="1" s="1"/>
  <c r="R208" i="2"/>
  <c r="CB223" i="1" s="1"/>
  <c r="O208" i="2"/>
  <c r="BR223" i="1" s="1"/>
  <c r="D96" i="18"/>
  <c r="H95" i="18"/>
  <c r="I95" i="18"/>
  <c r="Q95" i="18"/>
  <c r="J95" i="18"/>
  <c r="R95" i="18"/>
  <c r="K95" i="18"/>
  <c r="G95" i="18"/>
  <c r="E95" i="18"/>
  <c r="A86" i="10"/>
  <c r="C209" i="18"/>
  <c r="C332" i="18"/>
  <c r="C454" i="18"/>
  <c r="A86" i="13"/>
  <c r="C86" i="13" s="1"/>
  <c r="C212" i="12"/>
  <c r="BJ100" i="1"/>
  <c r="BV100" i="1"/>
  <c r="F452" i="2"/>
  <c r="AB353" i="1" s="1"/>
  <c r="AB740" i="1"/>
  <c r="AX740" i="1"/>
  <c r="I452" i="2"/>
  <c r="AX353" i="1" s="1"/>
  <c r="H351" i="1"/>
  <c r="AX739" i="1"/>
  <c r="I451" i="2"/>
  <c r="AX352" i="1" s="1"/>
  <c r="CB739" i="1"/>
  <c r="R451" i="2"/>
  <c r="CB352" i="1" s="1"/>
  <c r="BY99" i="1"/>
  <c r="BV513" i="1"/>
  <c r="CE221" i="1"/>
  <c r="CB618" i="1"/>
  <c r="W97" i="1"/>
  <c r="R740" i="1"/>
  <c r="H452" i="2"/>
  <c r="R353" i="1" s="1"/>
  <c r="G451" i="2"/>
  <c r="AP352" i="1" s="1"/>
  <c r="AP739" i="1"/>
  <c r="R586" i="2"/>
  <c r="K586" i="2"/>
  <c r="L586" i="2"/>
  <c r="H586" i="2"/>
  <c r="I586" i="2"/>
  <c r="Q586" i="2"/>
  <c r="D587" i="2"/>
  <c r="E586" i="2"/>
  <c r="U221" i="1"/>
  <c r="R618" i="1"/>
  <c r="K514" i="1"/>
  <c r="G514" i="1" s="1"/>
  <c r="I98" i="1"/>
  <c r="K97" i="1"/>
  <c r="A576" i="2"/>
  <c r="B576" i="2"/>
  <c r="AJ100" i="1"/>
  <c r="AX100" i="1"/>
  <c r="G96" i="1"/>
  <c r="BV740" i="1"/>
  <c r="Q452" i="2"/>
  <c r="BV353" i="1" s="1"/>
  <c r="L210" i="12"/>
  <c r="M210" i="12"/>
  <c r="N210" i="12"/>
  <c r="F210" i="12"/>
  <c r="G210" i="12"/>
  <c r="O210" i="12"/>
  <c r="H210" i="12"/>
  <c r="P210" i="12"/>
  <c r="I210" i="12"/>
  <c r="Q210" i="12"/>
  <c r="J210" i="12"/>
  <c r="R210" i="12"/>
  <c r="K210" i="12"/>
  <c r="S210" i="12"/>
  <c r="E210" i="12"/>
  <c r="G352" i="1"/>
  <c r="BJ739" i="1"/>
  <c r="M451" i="2"/>
  <c r="BJ352" i="1" s="1"/>
  <c r="BA99" i="1"/>
  <c r="AX513" i="1"/>
  <c r="K697" i="18"/>
  <c r="BC620" i="1" s="1"/>
  <c r="F697" i="18"/>
  <c r="AA620" i="1" s="1"/>
  <c r="G697" i="18"/>
  <c r="AO620" i="1" s="1"/>
  <c r="O697" i="18"/>
  <c r="BQ620" i="1" s="1"/>
  <c r="P697" i="18"/>
  <c r="AE620" i="1" s="1"/>
  <c r="I697" i="18"/>
  <c r="AW620" i="1" s="1"/>
  <c r="M697" i="18"/>
  <c r="BG620" i="1" s="1"/>
  <c r="J697" i="18"/>
  <c r="W620" i="1" s="1"/>
  <c r="E697" i="18"/>
  <c r="K620" i="1" s="1"/>
  <c r="L697" i="18"/>
  <c r="AI620" i="1" s="1"/>
  <c r="R697" i="18"/>
  <c r="CA620" i="1" s="1"/>
  <c r="H697" i="18"/>
  <c r="Q620" i="1" s="1"/>
  <c r="Q697" i="18"/>
  <c r="BU620" i="1" s="1"/>
  <c r="F208" i="18"/>
  <c r="AA223" i="1" s="1"/>
  <c r="O208" i="18"/>
  <c r="BQ223" i="1" s="1"/>
  <c r="P208" i="18"/>
  <c r="AE223" i="1" s="1"/>
  <c r="L208" i="18"/>
  <c r="AI223" i="1" s="1"/>
  <c r="M208" i="18"/>
  <c r="BG223" i="1" s="1"/>
  <c r="A207" i="13"/>
  <c r="C207" i="13" s="1"/>
  <c r="H208" i="18"/>
  <c r="Q223" i="1" s="1"/>
  <c r="E208" i="18"/>
  <c r="K223" i="1" s="1"/>
  <c r="K208" i="18"/>
  <c r="BC223" i="1" s="1"/>
  <c r="I208" i="18"/>
  <c r="AW223" i="1" s="1"/>
  <c r="Q208" i="18"/>
  <c r="BU223" i="1" s="1"/>
  <c r="R208" i="18"/>
  <c r="CA223" i="1" s="1"/>
  <c r="J208" i="18"/>
  <c r="W223" i="1" s="1"/>
  <c r="G208" i="18"/>
  <c r="AO223" i="1" s="1"/>
  <c r="G696" i="2"/>
  <c r="AP619" i="1" s="1"/>
  <c r="J696" i="2"/>
  <c r="X619" i="1" s="1"/>
  <c r="M696" i="2"/>
  <c r="BJ619" i="1" s="1"/>
  <c r="P696" i="2"/>
  <c r="AF619" i="1" s="1"/>
  <c r="O696" i="2"/>
  <c r="BR619" i="1" s="1"/>
  <c r="N696" i="2"/>
  <c r="F696" i="2"/>
  <c r="AB619" i="1" s="1"/>
  <c r="I696" i="2"/>
  <c r="H696" i="2"/>
  <c r="E696" i="2"/>
  <c r="R696" i="2"/>
  <c r="K696" i="2"/>
  <c r="BD619" i="1" s="1"/>
  <c r="Q696" i="2"/>
  <c r="L696" i="2"/>
  <c r="D502" i="1"/>
  <c r="E502" i="1"/>
  <c r="AO97" i="1"/>
  <c r="AJ740" i="1"/>
  <c r="L452" i="2"/>
  <c r="AJ353" i="1" s="1"/>
  <c r="O221" i="1"/>
  <c r="I221" i="1" s="1"/>
  <c r="L618" i="1"/>
  <c r="H618" i="1" s="1"/>
  <c r="L211" i="12"/>
  <c r="M211" i="12"/>
  <c r="G211" i="12"/>
  <c r="O211" i="12"/>
  <c r="H211" i="12"/>
  <c r="P211" i="12"/>
  <c r="I211" i="12"/>
  <c r="Q211" i="12"/>
  <c r="J211" i="12"/>
  <c r="R211" i="12"/>
  <c r="N211" i="12"/>
  <c r="K211" i="12"/>
  <c r="S211" i="12"/>
  <c r="E211" i="12"/>
  <c r="F211" i="12"/>
  <c r="AI514" i="1"/>
  <c r="BC97" i="1"/>
  <c r="AT222" i="1"/>
  <c r="C575" i="2"/>
  <c r="C697" i="2" s="1"/>
  <c r="H98" i="2"/>
  <c r="P98" i="2"/>
  <c r="I98" i="2"/>
  <c r="R98" i="2"/>
  <c r="K98" i="2"/>
  <c r="E98" i="2"/>
  <c r="N98" i="2"/>
  <c r="O98" i="2"/>
  <c r="Q98" i="2"/>
  <c r="D99" i="2"/>
  <c r="L98" i="2"/>
  <c r="M98" i="2"/>
  <c r="CB100" i="1"/>
  <c r="BD740" i="1"/>
  <c r="K452" i="2"/>
  <c r="BD353" i="1" s="1"/>
  <c r="G452" i="2"/>
  <c r="AP353" i="1" s="1"/>
  <c r="AP740" i="1"/>
  <c r="BV739" i="1"/>
  <c r="Q451" i="2"/>
  <c r="BV352" i="1" s="1"/>
  <c r="BR739" i="1"/>
  <c r="O451" i="2"/>
  <c r="BR352" i="1" s="1"/>
  <c r="H221" i="1"/>
  <c r="BH99" i="1"/>
  <c r="BD513" i="1"/>
  <c r="A576" i="18"/>
  <c r="C576" i="18" s="1"/>
  <c r="C698" i="18" s="1"/>
  <c r="B576" i="18"/>
  <c r="CB101" i="1" l="1"/>
  <c r="K515" i="1"/>
  <c r="AJ741" i="1"/>
  <c r="L453" i="2"/>
  <c r="AJ354" i="1" s="1"/>
  <c r="AF741" i="1"/>
  <c r="P453" i="2"/>
  <c r="AF354" i="1" s="1"/>
  <c r="E332" i="18"/>
  <c r="M332" i="18"/>
  <c r="F332" i="18"/>
  <c r="P332" i="18"/>
  <c r="G332" i="18"/>
  <c r="Q332" i="18"/>
  <c r="H332" i="18"/>
  <c r="R332" i="18"/>
  <c r="J332" i="18"/>
  <c r="O332" i="18"/>
  <c r="K332" i="18"/>
  <c r="I332" i="18"/>
  <c r="L332" i="18"/>
  <c r="W515" i="1"/>
  <c r="R741" i="1"/>
  <c r="H453" i="2"/>
  <c r="R354" i="1" s="1"/>
  <c r="AM222" i="1"/>
  <c r="AJ619" i="1"/>
  <c r="G620" i="1"/>
  <c r="C576" i="2"/>
  <c r="C698" i="2" s="1"/>
  <c r="CE100" i="1"/>
  <c r="CB514" i="1"/>
  <c r="M209" i="18"/>
  <c r="BG224" i="1" s="1"/>
  <c r="O209" i="18"/>
  <c r="BQ224" i="1" s="1"/>
  <c r="P209" i="18"/>
  <c r="AE224" i="1" s="1"/>
  <c r="F209" i="18"/>
  <c r="AA224" i="1" s="1"/>
  <c r="L209" i="18"/>
  <c r="AI224" i="1" s="1"/>
  <c r="A208" i="13"/>
  <c r="C208" i="13" s="1"/>
  <c r="K209" i="18"/>
  <c r="BC224" i="1" s="1"/>
  <c r="I209" i="18"/>
  <c r="AW224" i="1" s="1"/>
  <c r="E209" i="18"/>
  <c r="K224" i="1" s="1"/>
  <c r="Q209" i="18"/>
  <c r="BU224" i="1" s="1"/>
  <c r="J209" i="18"/>
  <c r="W224" i="1" s="1"/>
  <c r="H209" i="18"/>
  <c r="Q224" i="1" s="1"/>
  <c r="G209" i="18"/>
  <c r="AO224" i="1" s="1"/>
  <c r="R209" i="18"/>
  <c r="CA224" i="1" s="1"/>
  <c r="AW98" i="1"/>
  <c r="AT223" i="1"/>
  <c r="CA515" i="1"/>
  <c r="BD741" i="1"/>
  <c r="K453" i="2"/>
  <c r="BD354" i="1" s="1"/>
  <c r="AO741" i="1"/>
  <c r="G453" i="18"/>
  <c r="AO354" i="1" s="1"/>
  <c r="L453" i="18"/>
  <c r="AI354" i="1" s="1"/>
  <c r="AI741" i="1"/>
  <c r="O452" i="18"/>
  <c r="BQ353" i="1" s="1"/>
  <c r="BQ740" i="1"/>
  <c r="AO740" i="1"/>
  <c r="G452" i="18"/>
  <c r="AO353" i="1" s="1"/>
  <c r="AI515" i="1"/>
  <c r="BR741" i="1"/>
  <c r="O453" i="2"/>
  <c r="BR354" i="1" s="1"/>
  <c r="AF101" i="1"/>
  <c r="BH100" i="1"/>
  <c r="BD514" i="1"/>
  <c r="L741" i="1"/>
  <c r="E453" i="2"/>
  <c r="L354" i="1" s="1"/>
  <c r="BV101" i="1"/>
  <c r="BY222" i="1"/>
  <c r="BV619" i="1"/>
  <c r="G97" i="1"/>
  <c r="O100" i="1"/>
  <c r="L514" i="1"/>
  <c r="Q98" i="1"/>
  <c r="BU515" i="1"/>
  <c r="H352" i="1"/>
  <c r="CA741" i="1"/>
  <c r="R453" i="18"/>
  <c r="CA354" i="1" s="1"/>
  <c r="W741" i="1"/>
  <c r="J453" i="18"/>
  <c r="W354" i="1" s="1"/>
  <c r="M452" i="18"/>
  <c r="BG353" i="1" s="1"/>
  <c r="BG740" i="1"/>
  <c r="P452" i="18"/>
  <c r="AE353" i="1" s="1"/>
  <c r="AE740" i="1"/>
  <c r="C209" i="2"/>
  <c r="C332" i="2"/>
  <c r="C454" i="2"/>
  <c r="C90" i="1"/>
  <c r="C224" i="1"/>
  <c r="C633" i="1" s="1"/>
  <c r="C355" i="1"/>
  <c r="D355" i="1" s="1"/>
  <c r="BC740" i="1"/>
  <c r="K452" i="18"/>
  <c r="BC353" i="1" s="1"/>
  <c r="AJ101" i="1"/>
  <c r="AM100" i="1"/>
  <c r="AJ515" i="1"/>
  <c r="Q740" i="1"/>
  <c r="H452" i="18"/>
  <c r="Q353" i="1" s="1"/>
  <c r="M453" i="18"/>
  <c r="BG354" i="1" s="1"/>
  <c r="BG741" i="1"/>
  <c r="H587" i="2"/>
  <c r="I587" i="2"/>
  <c r="Q587" i="2"/>
  <c r="D588" i="2"/>
  <c r="R587" i="2"/>
  <c r="K587" i="2"/>
  <c r="E587" i="2"/>
  <c r="L587" i="2"/>
  <c r="K98" i="1"/>
  <c r="G96" i="18"/>
  <c r="H96" i="18"/>
  <c r="I96" i="18"/>
  <c r="Q96" i="18"/>
  <c r="J96" i="18"/>
  <c r="R96" i="18"/>
  <c r="K96" i="18"/>
  <c r="E96" i="18"/>
  <c r="D97" i="18"/>
  <c r="Q515" i="1"/>
  <c r="F453" i="2"/>
  <c r="AB354" i="1" s="1"/>
  <c r="AB741" i="1"/>
  <c r="CB741" i="1"/>
  <c r="R453" i="2"/>
  <c r="CB354" i="1" s="1"/>
  <c r="BU741" i="1"/>
  <c r="Q453" i="18"/>
  <c r="BU354" i="1" s="1"/>
  <c r="BC741" i="1"/>
  <c r="K453" i="18"/>
  <c r="BC354" i="1" s="1"/>
  <c r="E503" i="1"/>
  <c r="D503" i="1"/>
  <c r="C210" i="2"/>
  <c r="C333" i="2"/>
  <c r="C455" i="2"/>
  <c r="C91" i="1"/>
  <c r="C225" i="1"/>
  <c r="C634" i="1" s="1"/>
  <c r="C356" i="1"/>
  <c r="D356" i="1" s="1"/>
  <c r="L452" i="18"/>
  <c r="AI353" i="1" s="1"/>
  <c r="AI740" i="1"/>
  <c r="F452" i="18"/>
  <c r="AA353" i="1" s="1"/>
  <c r="AA740" i="1"/>
  <c r="H100" i="1"/>
  <c r="K698" i="18"/>
  <c r="BC621" i="1" s="1"/>
  <c r="M698" i="18"/>
  <c r="BG621" i="1" s="1"/>
  <c r="I698" i="18"/>
  <c r="AW621" i="1" s="1"/>
  <c r="F698" i="18"/>
  <c r="AA621" i="1" s="1"/>
  <c r="G698" i="18"/>
  <c r="AO621" i="1" s="1"/>
  <c r="O698" i="18"/>
  <c r="BQ621" i="1" s="1"/>
  <c r="P698" i="18"/>
  <c r="AE621" i="1" s="1"/>
  <c r="Q698" i="18"/>
  <c r="BU621" i="1" s="1"/>
  <c r="H698" i="18"/>
  <c r="Q621" i="1" s="1"/>
  <c r="E698" i="18"/>
  <c r="K621" i="1" s="1"/>
  <c r="L698" i="18"/>
  <c r="AI621" i="1" s="1"/>
  <c r="R698" i="18"/>
  <c r="CA621" i="1" s="1"/>
  <c r="J698" i="18"/>
  <c r="W621" i="1" s="1"/>
  <c r="J453" i="2"/>
  <c r="X354" i="1" s="1"/>
  <c r="X741" i="1"/>
  <c r="AX101" i="1"/>
  <c r="F453" i="18"/>
  <c r="AA354" i="1" s="1"/>
  <c r="AA741" i="1"/>
  <c r="B577" i="2"/>
  <c r="A577" i="2"/>
  <c r="BU740" i="1"/>
  <c r="Q452" i="18"/>
  <c r="BU353" i="1" s="1"/>
  <c r="G697" i="2"/>
  <c r="AP620" i="1" s="1"/>
  <c r="O697" i="2"/>
  <c r="BR620" i="1" s="1"/>
  <c r="N697" i="2"/>
  <c r="M697" i="2"/>
  <c r="BJ620" i="1" s="1"/>
  <c r="P697" i="2"/>
  <c r="AF620" i="1" s="1"/>
  <c r="F697" i="2"/>
  <c r="AB620" i="1" s="1"/>
  <c r="J697" i="2"/>
  <c r="X620" i="1" s="1"/>
  <c r="L697" i="2"/>
  <c r="I697" i="2"/>
  <c r="K697" i="2"/>
  <c r="BD620" i="1" s="1"/>
  <c r="Q697" i="2"/>
  <c r="R697" i="2"/>
  <c r="E697" i="2"/>
  <c r="H697" i="2"/>
  <c r="BY100" i="1"/>
  <c r="BV514" i="1"/>
  <c r="AO98" i="1"/>
  <c r="AX741" i="1"/>
  <c r="I453" i="2"/>
  <c r="AX354" i="1" s="1"/>
  <c r="BJ741" i="1"/>
  <c r="M453" i="2"/>
  <c r="BJ354" i="1" s="1"/>
  <c r="O453" i="18"/>
  <c r="BQ354" i="1" s="1"/>
  <c r="BQ741" i="1"/>
  <c r="A89" i="2"/>
  <c r="C89" i="2" s="1"/>
  <c r="B89" i="2"/>
  <c r="W740" i="1"/>
  <c r="J452" i="18"/>
  <c r="W353" i="1" s="1"/>
  <c r="CA740" i="1"/>
  <c r="R452" i="18"/>
  <c r="CA353" i="1" s="1"/>
  <c r="BJ101" i="1"/>
  <c r="U222" i="1"/>
  <c r="R619" i="1"/>
  <c r="U100" i="1"/>
  <c r="R514" i="1"/>
  <c r="CA98" i="1"/>
  <c r="A87" i="10"/>
  <c r="C333" i="18"/>
  <c r="C455" i="18"/>
  <c r="C210" i="18"/>
  <c r="A87" i="13"/>
  <c r="C87" i="13" s="1"/>
  <c r="C213" i="12"/>
  <c r="P453" i="18"/>
  <c r="AE354" i="1" s="1"/>
  <c r="AE741" i="1"/>
  <c r="BA222" i="1"/>
  <c r="AX619" i="1"/>
  <c r="CG352" i="1"/>
  <c r="W98" i="1"/>
  <c r="K741" i="1"/>
  <c r="E453" i="18"/>
  <c r="K354" i="1" s="1"/>
  <c r="H513" i="1"/>
  <c r="N99" i="2"/>
  <c r="D100" i="2"/>
  <c r="H99" i="2"/>
  <c r="Q99" i="2"/>
  <c r="I99" i="2"/>
  <c r="R99" i="2"/>
  <c r="E99" i="2"/>
  <c r="M99" i="2"/>
  <c r="O99" i="2"/>
  <c r="P99" i="2"/>
  <c r="K99" i="2"/>
  <c r="L99" i="2"/>
  <c r="BU98" i="1"/>
  <c r="Q741" i="1"/>
  <c r="H453" i="18"/>
  <c r="Q354" i="1" s="1"/>
  <c r="I99" i="1"/>
  <c r="R101" i="1"/>
  <c r="BR101" i="1"/>
  <c r="BN101" i="1"/>
  <c r="L101" i="1"/>
  <c r="CE222" i="1"/>
  <c r="CB619" i="1"/>
  <c r="A577" i="18"/>
  <c r="C577" i="18" s="1"/>
  <c r="C699" i="18" s="1"/>
  <c r="B577" i="18"/>
  <c r="BD101" i="1"/>
  <c r="O222" i="1"/>
  <c r="L619" i="1"/>
  <c r="G223" i="1"/>
  <c r="BA100" i="1"/>
  <c r="AX514" i="1"/>
  <c r="L212" i="12"/>
  <c r="M212" i="12"/>
  <c r="F212" i="12"/>
  <c r="N212" i="12"/>
  <c r="G212" i="12"/>
  <c r="O212" i="12"/>
  <c r="H212" i="12"/>
  <c r="P212" i="12"/>
  <c r="I212" i="12"/>
  <c r="Q212" i="12"/>
  <c r="J212" i="12"/>
  <c r="R212" i="12"/>
  <c r="K212" i="12"/>
  <c r="S212" i="12"/>
  <c r="E212" i="12"/>
  <c r="BC98" i="1"/>
  <c r="H587" i="18"/>
  <c r="Q587" i="18"/>
  <c r="R587" i="18"/>
  <c r="J587" i="18"/>
  <c r="E587" i="18"/>
  <c r="D588" i="18"/>
  <c r="L587" i="18"/>
  <c r="G222" i="1"/>
  <c r="H353" i="1"/>
  <c r="B89" i="18"/>
  <c r="A89" i="18"/>
  <c r="C89" i="18" s="1"/>
  <c r="BV741" i="1"/>
  <c r="Q453" i="2"/>
  <c r="BV354" i="1" s="1"/>
  <c r="G453" i="2"/>
  <c r="AP354" i="1" s="1"/>
  <c r="AP741" i="1"/>
  <c r="AW741" i="1"/>
  <c r="I453" i="18"/>
  <c r="AW354" i="1" s="1"/>
  <c r="K740" i="1"/>
  <c r="E452" i="18"/>
  <c r="K353" i="1" s="1"/>
  <c r="AW740" i="1"/>
  <c r="I452" i="18"/>
  <c r="AW353" i="1" s="1"/>
  <c r="AV221" i="1"/>
  <c r="AO99" i="1" l="1"/>
  <c r="AJ102" i="1"/>
  <c r="BY101" i="1"/>
  <c r="BV515" i="1"/>
  <c r="E588" i="18"/>
  <c r="D589" i="18"/>
  <c r="H588" i="18"/>
  <c r="Q588" i="18"/>
  <c r="R588" i="18"/>
  <c r="L588" i="18"/>
  <c r="J588" i="18"/>
  <c r="BD102" i="1"/>
  <c r="R102" i="1"/>
  <c r="L210" i="18"/>
  <c r="AI225" i="1" s="1"/>
  <c r="M210" i="18"/>
  <c r="BG225" i="1" s="1"/>
  <c r="P210" i="18"/>
  <c r="AE225" i="1" s="1"/>
  <c r="F210" i="18"/>
  <c r="AA225" i="1" s="1"/>
  <c r="A209" i="13"/>
  <c r="C209" i="13" s="1"/>
  <c r="O210" i="18"/>
  <c r="BQ225" i="1" s="1"/>
  <c r="H210" i="18"/>
  <c r="Q225" i="1" s="1"/>
  <c r="K210" i="18"/>
  <c r="BC225" i="1" s="1"/>
  <c r="E210" i="18"/>
  <c r="K225" i="1" s="1"/>
  <c r="G210" i="18"/>
  <c r="AO225" i="1" s="1"/>
  <c r="Q210" i="18"/>
  <c r="BU225" i="1" s="1"/>
  <c r="J210" i="18"/>
  <c r="W225" i="1" s="1"/>
  <c r="R210" i="18"/>
  <c r="CA225" i="1" s="1"/>
  <c r="I210" i="18"/>
  <c r="AW225" i="1" s="1"/>
  <c r="C743" i="1"/>
  <c r="H333" i="2"/>
  <c r="K333" i="2"/>
  <c r="Q333" i="2"/>
  <c r="N333" i="2"/>
  <c r="N455" i="2" s="1"/>
  <c r="BN356" i="1" s="1"/>
  <c r="I333" i="2"/>
  <c r="L333" i="2"/>
  <c r="M333" i="2"/>
  <c r="R333" i="2"/>
  <c r="E333" i="2"/>
  <c r="P333" i="2"/>
  <c r="J333" i="2"/>
  <c r="G333" i="2"/>
  <c r="F333" i="2"/>
  <c r="O333" i="2"/>
  <c r="BC99" i="1"/>
  <c r="BA101" i="1"/>
  <c r="AX515" i="1"/>
  <c r="D90" i="1"/>
  <c r="E90" i="1"/>
  <c r="F90" i="1"/>
  <c r="C504" i="1"/>
  <c r="P698" i="2"/>
  <c r="AF621" i="1" s="1"/>
  <c r="G698" i="2"/>
  <c r="AP621" i="1" s="1"/>
  <c r="J698" i="2"/>
  <c r="X621" i="1" s="1"/>
  <c r="M698" i="2"/>
  <c r="BJ621" i="1" s="1"/>
  <c r="O698" i="2"/>
  <c r="BR621" i="1" s="1"/>
  <c r="F698" i="2"/>
  <c r="AB621" i="1" s="1"/>
  <c r="N698" i="2"/>
  <c r="I698" i="2"/>
  <c r="R698" i="2"/>
  <c r="Q698" i="2"/>
  <c r="H698" i="2"/>
  <c r="L698" i="2"/>
  <c r="E698" i="2"/>
  <c r="K698" i="2"/>
  <c r="BD621" i="1" s="1"/>
  <c r="L454" i="18"/>
  <c r="AI355" i="1" s="1"/>
  <c r="AI742" i="1"/>
  <c r="AO742" i="1"/>
  <c r="G454" i="18"/>
  <c r="AO355" i="1" s="1"/>
  <c r="K516" i="1"/>
  <c r="A578" i="18"/>
  <c r="B578" i="18"/>
  <c r="AF102" i="1"/>
  <c r="L100" i="2"/>
  <c r="H100" i="2"/>
  <c r="Q100" i="2"/>
  <c r="I100" i="2"/>
  <c r="R100" i="2"/>
  <c r="E100" i="2"/>
  <c r="N100" i="2"/>
  <c r="O100" i="2"/>
  <c r="P100" i="2"/>
  <c r="D101" i="2"/>
  <c r="K100" i="2"/>
  <c r="M100" i="2"/>
  <c r="U223" i="1"/>
  <c r="R620" i="1"/>
  <c r="C577" i="2"/>
  <c r="C699" i="2" s="1"/>
  <c r="F210" i="2"/>
  <c r="AB225" i="1" s="1"/>
  <c r="G210" i="2"/>
  <c r="AP225" i="1" s="1"/>
  <c r="J210" i="2"/>
  <c r="X225" i="1" s="1"/>
  <c r="L210" i="2"/>
  <c r="AJ225" i="1" s="1"/>
  <c r="I210" i="2"/>
  <c r="AX225" i="1" s="1"/>
  <c r="H210" i="2"/>
  <c r="R225" i="1" s="1"/>
  <c r="E210" i="2"/>
  <c r="L225" i="1" s="1"/>
  <c r="N210" i="2"/>
  <c r="BN225" i="1" s="1"/>
  <c r="M210" i="2"/>
  <c r="BJ225" i="1" s="1"/>
  <c r="P210" i="2"/>
  <c r="AF225" i="1" s="1"/>
  <c r="R210" i="2"/>
  <c r="CB225" i="1" s="1"/>
  <c r="K210" i="2"/>
  <c r="BD225" i="1" s="1"/>
  <c r="Q210" i="2"/>
  <c r="BV225" i="1" s="1"/>
  <c r="O210" i="2"/>
  <c r="BR225" i="1" s="1"/>
  <c r="CA99" i="1"/>
  <c r="U101" i="1"/>
  <c r="R515" i="1"/>
  <c r="AW742" i="1"/>
  <c r="I454" i="18"/>
  <c r="AW355" i="1" s="1"/>
  <c r="P454" i="18"/>
  <c r="AE355" i="1" s="1"/>
  <c r="AE742" i="1"/>
  <c r="G515" i="1"/>
  <c r="L213" i="12"/>
  <c r="E213" i="12"/>
  <c r="F213" i="12"/>
  <c r="G213" i="12"/>
  <c r="O213" i="12"/>
  <c r="H213" i="12"/>
  <c r="P213" i="12"/>
  <c r="N213" i="12"/>
  <c r="I213" i="12"/>
  <c r="Q213" i="12"/>
  <c r="J213" i="12"/>
  <c r="R213" i="12"/>
  <c r="K213" i="12"/>
  <c r="S213" i="12"/>
  <c r="M213" i="12"/>
  <c r="J97" i="18"/>
  <c r="R97" i="18"/>
  <c r="G97" i="18"/>
  <c r="H97" i="18"/>
  <c r="Q97" i="18"/>
  <c r="I97" i="18"/>
  <c r="K97" i="18"/>
  <c r="E97" i="18"/>
  <c r="D98" i="18"/>
  <c r="D589" i="2"/>
  <c r="L588" i="2"/>
  <c r="E588" i="2"/>
  <c r="I588" i="2"/>
  <c r="R588" i="2"/>
  <c r="K588" i="2"/>
  <c r="Q588" i="2"/>
  <c r="H588" i="2"/>
  <c r="AI516" i="1"/>
  <c r="G98" i="1"/>
  <c r="BU742" i="1"/>
  <c r="Q454" i="18"/>
  <c r="BU355" i="1" s="1"/>
  <c r="W516" i="1"/>
  <c r="I699" i="18"/>
  <c r="AW622" i="1" s="1"/>
  <c r="K699" i="18"/>
  <c r="BC622" i="1" s="1"/>
  <c r="P699" i="18"/>
  <c r="AE622" i="1" s="1"/>
  <c r="F699" i="18"/>
  <c r="AA622" i="1" s="1"/>
  <c r="G699" i="18"/>
  <c r="AO622" i="1" s="1"/>
  <c r="O699" i="18"/>
  <c r="BQ622" i="1" s="1"/>
  <c r="M699" i="18"/>
  <c r="BG622" i="1" s="1"/>
  <c r="R699" i="18"/>
  <c r="CA622" i="1" s="1"/>
  <c r="E699" i="18"/>
  <c r="K622" i="1" s="1"/>
  <c r="L699" i="18"/>
  <c r="AI622" i="1" s="1"/>
  <c r="H699" i="18"/>
  <c r="Q622" i="1" s="1"/>
  <c r="J699" i="18"/>
  <c r="W622" i="1" s="1"/>
  <c r="Q699" i="18"/>
  <c r="BU622" i="1" s="1"/>
  <c r="BR102" i="1"/>
  <c r="BN102" i="1"/>
  <c r="G333" i="18"/>
  <c r="P333" i="18"/>
  <c r="J333" i="18"/>
  <c r="K333" i="18"/>
  <c r="L333" i="18"/>
  <c r="E333" i="18"/>
  <c r="O333" i="18"/>
  <c r="F333" i="18"/>
  <c r="H333" i="18"/>
  <c r="I333" i="18"/>
  <c r="Q333" i="18"/>
  <c r="M333" i="18"/>
  <c r="R333" i="18"/>
  <c r="O223" i="1"/>
  <c r="L620" i="1"/>
  <c r="H620" i="1" s="1"/>
  <c r="B578" i="2"/>
  <c r="A578" i="2"/>
  <c r="W99" i="1"/>
  <c r="AM101" i="1"/>
  <c r="AJ516" i="1"/>
  <c r="C742" i="1"/>
  <c r="M332" i="2"/>
  <c r="R332" i="2"/>
  <c r="F332" i="2"/>
  <c r="G332" i="2"/>
  <c r="N332" i="2"/>
  <c r="N454" i="2" s="1"/>
  <c r="BN355" i="1" s="1"/>
  <c r="I332" i="2"/>
  <c r="E332" i="2"/>
  <c r="P332" i="2"/>
  <c r="J332" i="2"/>
  <c r="L332" i="2"/>
  <c r="H332" i="2"/>
  <c r="K332" i="2"/>
  <c r="O332" i="2"/>
  <c r="Q332" i="2"/>
  <c r="H514" i="1"/>
  <c r="BC742" i="1"/>
  <c r="K454" i="18"/>
  <c r="BC355" i="1" s="1"/>
  <c r="F454" i="18"/>
  <c r="AA355" i="1" s="1"/>
  <c r="AA742" i="1"/>
  <c r="A88" i="10"/>
  <c r="C211" i="18"/>
  <c r="C334" i="18"/>
  <c r="C456" i="18"/>
  <c r="A88" i="13"/>
  <c r="C88" i="13" s="1"/>
  <c r="C214" i="12"/>
  <c r="CA516" i="1"/>
  <c r="BJ102" i="1"/>
  <c r="AV222" i="1"/>
  <c r="A90" i="2"/>
  <c r="C90" i="2" s="1"/>
  <c r="B90" i="2"/>
  <c r="CE223" i="1"/>
  <c r="CB620" i="1"/>
  <c r="BU99" i="1"/>
  <c r="O101" i="1"/>
  <c r="I101" i="1" s="1"/>
  <c r="L515" i="1"/>
  <c r="F209" i="2"/>
  <c r="AB224" i="1" s="1"/>
  <c r="G209" i="2"/>
  <c r="AP224" i="1" s="1"/>
  <c r="J209" i="2"/>
  <c r="X224" i="1" s="1"/>
  <c r="Q209" i="2"/>
  <c r="BV224" i="1" s="1"/>
  <c r="H209" i="2"/>
  <c r="R224" i="1" s="1"/>
  <c r="E209" i="2"/>
  <c r="L224" i="1" s="1"/>
  <c r="L209" i="2"/>
  <c r="AJ224" i="1" s="1"/>
  <c r="O209" i="2"/>
  <c r="BR224" i="1" s="1"/>
  <c r="P209" i="2"/>
  <c r="AF224" i="1" s="1"/>
  <c r="N209" i="2"/>
  <c r="BN224" i="1" s="1"/>
  <c r="K209" i="2"/>
  <c r="BD224" i="1" s="1"/>
  <c r="M209" i="2"/>
  <c r="BJ224" i="1" s="1"/>
  <c r="R209" i="2"/>
  <c r="CB224" i="1" s="1"/>
  <c r="I209" i="2"/>
  <c r="AX224" i="1" s="1"/>
  <c r="AT224" i="1" s="1"/>
  <c r="I100" i="1"/>
  <c r="H354" i="1"/>
  <c r="O454" i="18"/>
  <c r="BQ355" i="1" s="1"/>
  <c r="BQ742" i="1"/>
  <c r="M454" i="18"/>
  <c r="BG355" i="1" s="1"/>
  <c r="BG742" i="1"/>
  <c r="AX102" i="1"/>
  <c r="D91" i="1"/>
  <c r="E91" i="1"/>
  <c r="F91" i="1"/>
  <c r="C505" i="1"/>
  <c r="AM223" i="1"/>
  <c r="AJ620" i="1"/>
  <c r="BU516" i="1"/>
  <c r="H619" i="1"/>
  <c r="L102" i="1"/>
  <c r="G354" i="1"/>
  <c r="C211" i="2"/>
  <c r="C334" i="2"/>
  <c r="C456" i="2"/>
  <c r="C92" i="1"/>
  <c r="C226" i="1"/>
  <c r="C635" i="1" s="1"/>
  <c r="C357" i="1"/>
  <c r="D357" i="1" s="1"/>
  <c r="BY223" i="1"/>
  <c r="BV620" i="1"/>
  <c r="AW99" i="1"/>
  <c r="BH101" i="1"/>
  <c r="BD515" i="1"/>
  <c r="G224" i="1"/>
  <c r="W742" i="1"/>
  <c r="J454" i="18"/>
  <c r="W355" i="1" s="1"/>
  <c r="K742" i="1"/>
  <c r="E454" i="18"/>
  <c r="K355" i="1" s="1"/>
  <c r="G355" i="1" s="1"/>
  <c r="BA223" i="1"/>
  <c r="AV223" i="1" s="1"/>
  <c r="AX620" i="1"/>
  <c r="Q742" i="1"/>
  <c r="H454" i="18"/>
  <c r="Q355" i="1" s="1"/>
  <c r="BV102" i="1"/>
  <c r="K99" i="1"/>
  <c r="G353" i="1"/>
  <c r="CG353" i="1" s="1"/>
  <c r="A90" i="18"/>
  <c r="C90" i="18" s="1"/>
  <c r="B90" i="18"/>
  <c r="Q516" i="1"/>
  <c r="I222" i="1"/>
  <c r="H101" i="1"/>
  <c r="CB102" i="1"/>
  <c r="G621" i="1"/>
  <c r="Q99" i="1"/>
  <c r="CE101" i="1"/>
  <c r="CB515" i="1"/>
  <c r="CA742" i="1"/>
  <c r="R454" i="18"/>
  <c r="CA355" i="1" s="1"/>
  <c r="F455" i="18" l="1"/>
  <c r="AA356" i="1" s="1"/>
  <c r="AA743" i="1"/>
  <c r="U224" i="1"/>
  <c r="R621" i="1"/>
  <c r="J455" i="2"/>
  <c r="X356" i="1" s="1"/>
  <c r="X743" i="1"/>
  <c r="L742" i="1"/>
  <c r="E454" i="2"/>
  <c r="L355" i="1" s="1"/>
  <c r="H355" i="1" s="1"/>
  <c r="CG355" i="1" s="1"/>
  <c r="AJ103" i="1"/>
  <c r="AF743" i="1"/>
  <c r="P455" i="2"/>
  <c r="AF356" i="1" s="1"/>
  <c r="G211" i="2"/>
  <c r="AP226" i="1" s="1"/>
  <c r="F211" i="2"/>
  <c r="AB226" i="1" s="1"/>
  <c r="J211" i="2"/>
  <c r="X226" i="1" s="1"/>
  <c r="M211" i="2"/>
  <c r="BJ226" i="1" s="1"/>
  <c r="K211" i="2"/>
  <c r="BD226" i="1" s="1"/>
  <c r="Q211" i="2"/>
  <c r="BV226" i="1" s="1"/>
  <c r="I211" i="2"/>
  <c r="AX226" i="1" s="1"/>
  <c r="N211" i="2"/>
  <c r="BN226" i="1" s="1"/>
  <c r="H211" i="2"/>
  <c r="R226" i="1" s="1"/>
  <c r="L211" i="2"/>
  <c r="AJ226" i="1" s="1"/>
  <c r="R211" i="2"/>
  <c r="CB226" i="1" s="1"/>
  <c r="O211" i="2"/>
  <c r="BR226" i="1" s="1"/>
  <c r="P211" i="2"/>
  <c r="AF226" i="1" s="1"/>
  <c r="E211" i="2"/>
  <c r="L226" i="1" s="1"/>
  <c r="I334" i="18"/>
  <c r="R334" i="18"/>
  <c r="E334" i="18"/>
  <c r="O334" i="18"/>
  <c r="F334" i="18"/>
  <c r="P334" i="18"/>
  <c r="G334" i="18"/>
  <c r="Q334" i="18"/>
  <c r="J334" i="18"/>
  <c r="H334" i="18"/>
  <c r="K334" i="18"/>
  <c r="L334" i="18"/>
  <c r="M334" i="18"/>
  <c r="BV742" i="1"/>
  <c r="Q454" i="2"/>
  <c r="BV355" i="1" s="1"/>
  <c r="AX742" i="1"/>
  <c r="I454" i="2"/>
  <c r="AX355" i="1" s="1"/>
  <c r="I223" i="1"/>
  <c r="K743" i="1"/>
  <c r="E455" i="18"/>
  <c r="K356" i="1" s="1"/>
  <c r="G622" i="1"/>
  <c r="U102" i="1"/>
  <c r="R516" i="1"/>
  <c r="H98" i="18"/>
  <c r="G98" i="18"/>
  <c r="I98" i="18"/>
  <c r="Q98" i="18"/>
  <c r="J98" i="18"/>
  <c r="R98" i="18"/>
  <c r="K98" i="18"/>
  <c r="E98" i="18"/>
  <c r="D99" i="18"/>
  <c r="W100" i="1"/>
  <c r="BR103" i="1"/>
  <c r="CE224" i="1"/>
  <c r="CB621" i="1"/>
  <c r="L743" i="1"/>
  <c r="E455" i="2"/>
  <c r="L356" i="1" s="1"/>
  <c r="R743" i="1"/>
  <c r="H455" i="2"/>
  <c r="R356" i="1" s="1"/>
  <c r="CA517" i="1"/>
  <c r="B91" i="18"/>
  <c r="A91" i="18"/>
  <c r="C91" i="18" s="1"/>
  <c r="CG354" i="1"/>
  <c r="L211" i="18"/>
  <c r="AI226" i="1" s="1"/>
  <c r="M211" i="18"/>
  <c r="BG226" i="1" s="1"/>
  <c r="O211" i="18"/>
  <c r="BQ226" i="1" s="1"/>
  <c r="F211" i="18"/>
  <c r="AA226" i="1" s="1"/>
  <c r="P211" i="18"/>
  <c r="AE226" i="1" s="1"/>
  <c r="A210" i="13"/>
  <c r="C210" i="13" s="1"/>
  <c r="J211" i="18"/>
  <c r="W226" i="1" s="1"/>
  <c r="E211" i="18"/>
  <c r="K226" i="1" s="1"/>
  <c r="R211" i="18"/>
  <c r="CA226" i="1" s="1"/>
  <c r="K211" i="18"/>
  <c r="BC226" i="1" s="1"/>
  <c r="I211" i="18"/>
  <c r="AW226" i="1" s="1"/>
  <c r="Q211" i="18"/>
  <c r="BU226" i="1" s="1"/>
  <c r="G211" i="18"/>
  <c r="AO226" i="1" s="1"/>
  <c r="H211" i="18"/>
  <c r="Q226" i="1" s="1"/>
  <c r="BR742" i="1"/>
  <c r="O454" i="2"/>
  <c r="BR355" i="1" s="1"/>
  <c r="CA743" i="1"/>
  <c r="R455" i="18"/>
  <c r="CA356" i="1" s="1"/>
  <c r="L455" i="18"/>
  <c r="AI356" i="1" s="1"/>
  <c r="AI743" i="1"/>
  <c r="BY102" i="1"/>
  <c r="BV516" i="1"/>
  <c r="K100" i="1"/>
  <c r="G100" i="1" s="1"/>
  <c r="N699" i="2"/>
  <c r="O699" i="2"/>
  <c r="BR622" i="1" s="1"/>
  <c r="F699" i="2"/>
  <c r="AB622" i="1" s="1"/>
  <c r="P699" i="2"/>
  <c r="AF622" i="1" s="1"/>
  <c r="G699" i="2"/>
  <c r="AP622" i="1" s="1"/>
  <c r="J699" i="2"/>
  <c r="X622" i="1" s="1"/>
  <c r="M699" i="2"/>
  <c r="BJ622" i="1" s="1"/>
  <c r="E699" i="2"/>
  <c r="R699" i="2"/>
  <c r="L699" i="2"/>
  <c r="K699" i="2"/>
  <c r="BD622" i="1" s="1"/>
  <c r="Q699" i="2"/>
  <c r="I699" i="2"/>
  <c r="H699" i="2"/>
  <c r="BN103" i="1"/>
  <c r="BA224" i="1"/>
  <c r="AV224" i="1" s="1"/>
  <c r="AX621" i="1"/>
  <c r="D504" i="1"/>
  <c r="E504" i="1"/>
  <c r="CB743" i="1"/>
  <c r="R455" i="2"/>
  <c r="CB356" i="1" s="1"/>
  <c r="BU517" i="1"/>
  <c r="C212" i="2"/>
  <c r="C335" i="2"/>
  <c r="C457" i="2"/>
  <c r="C93" i="1"/>
  <c r="C227" i="1"/>
  <c r="C636" i="1" s="1"/>
  <c r="C358" i="1"/>
  <c r="D358" i="1" s="1"/>
  <c r="AO100" i="1"/>
  <c r="R103" i="1"/>
  <c r="BV743" i="1"/>
  <c r="Q455" i="2"/>
  <c r="BV356" i="1" s="1"/>
  <c r="CA100" i="1"/>
  <c r="G225" i="1"/>
  <c r="A89" i="10"/>
  <c r="C212" i="18"/>
  <c r="C335" i="18"/>
  <c r="C457" i="18"/>
  <c r="A89" i="13"/>
  <c r="C89" i="13" s="1"/>
  <c r="C215" i="12"/>
  <c r="H102" i="1"/>
  <c r="E505" i="1"/>
  <c r="D505" i="1"/>
  <c r="BD742" i="1"/>
  <c r="K454" i="2"/>
  <c r="BD355" i="1" s="1"/>
  <c r="G454" i="2"/>
  <c r="AP355" i="1" s="1"/>
  <c r="AP742" i="1"/>
  <c r="M455" i="18"/>
  <c r="BG356" i="1" s="1"/>
  <c r="BG743" i="1"/>
  <c r="BC743" i="1"/>
  <c r="K455" i="18"/>
  <c r="BC356" i="1" s="1"/>
  <c r="BH102" i="1"/>
  <c r="BD516" i="1"/>
  <c r="BC100" i="1"/>
  <c r="H225" i="1"/>
  <c r="L103" i="1"/>
  <c r="BJ743" i="1"/>
  <c r="M455" i="2"/>
  <c r="BJ356" i="1" s="1"/>
  <c r="Q517" i="1"/>
  <c r="O455" i="18"/>
  <c r="BQ356" i="1" s="1"/>
  <c r="BQ743" i="1"/>
  <c r="BY224" i="1"/>
  <c r="BV621" i="1"/>
  <c r="AI517" i="1"/>
  <c r="R742" i="1"/>
  <c r="H454" i="2"/>
  <c r="R355" i="1" s="1"/>
  <c r="F454" i="2"/>
  <c r="AB355" i="1" s="1"/>
  <c r="AB742" i="1"/>
  <c r="BU743" i="1"/>
  <c r="Q455" i="18"/>
  <c r="BU356" i="1" s="1"/>
  <c r="W743" i="1"/>
  <c r="J455" i="18"/>
  <c r="W356" i="1" s="1"/>
  <c r="CE102" i="1"/>
  <c r="CB516" i="1"/>
  <c r="AW100" i="1"/>
  <c r="CB103" i="1"/>
  <c r="A579" i="18"/>
  <c r="B579" i="18"/>
  <c r="BR743" i="1"/>
  <c r="O455" i="2"/>
  <c r="BR356" i="1" s="1"/>
  <c r="AJ743" i="1"/>
  <c r="L455" i="2"/>
  <c r="AJ356" i="1" s="1"/>
  <c r="L589" i="18"/>
  <c r="E589" i="18"/>
  <c r="D590" i="18"/>
  <c r="H589" i="18"/>
  <c r="Q589" i="18"/>
  <c r="R589" i="18"/>
  <c r="J589" i="18"/>
  <c r="W517" i="1"/>
  <c r="C744" i="1"/>
  <c r="M334" i="2"/>
  <c r="R334" i="2"/>
  <c r="G334" i="2"/>
  <c r="N334" i="2"/>
  <c r="N456" i="2" s="1"/>
  <c r="BN357" i="1" s="1"/>
  <c r="I334" i="2"/>
  <c r="E334" i="2"/>
  <c r="P334" i="2"/>
  <c r="J334" i="2"/>
  <c r="H334" i="2"/>
  <c r="L334" i="2"/>
  <c r="O334" i="2"/>
  <c r="K334" i="2"/>
  <c r="Q334" i="2"/>
  <c r="F334" i="2"/>
  <c r="AF103" i="1"/>
  <c r="BD743" i="1"/>
  <c r="K455" i="2"/>
  <c r="BD356" i="1" s="1"/>
  <c r="G99" i="1"/>
  <c r="AJ742" i="1"/>
  <c r="L454" i="2"/>
  <c r="AJ355" i="1" s="1"/>
  <c r="CB742" i="1"/>
  <c r="R454" i="2"/>
  <c r="CB355" i="1" s="1"/>
  <c r="AW743" i="1"/>
  <c r="I455" i="18"/>
  <c r="AW356" i="1" s="1"/>
  <c r="P455" i="18"/>
  <c r="AE356" i="1" s="1"/>
  <c r="AE743" i="1"/>
  <c r="BA102" i="1"/>
  <c r="AX516" i="1"/>
  <c r="BU100" i="1"/>
  <c r="AT225" i="1"/>
  <c r="BJ103" i="1"/>
  <c r="AX103" i="1"/>
  <c r="C578" i="18"/>
  <c r="C700" i="18" s="1"/>
  <c r="O224" i="1"/>
  <c r="L621" i="1"/>
  <c r="F455" i="2"/>
  <c r="AB356" i="1" s="1"/>
  <c r="AB743" i="1"/>
  <c r="AX743" i="1"/>
  <c r="I455" i="2"/>
  <c r="AX356" i="1" s="1"/>
  <c r="K517" i="1"/>
  <c r="AF742" i="1"/>
  <c r="P454" i="2"/>
  <c r="AF355" i="1" s="1"/>
  <c r="A579" i="2"/>
  <c r="B579" i="2"/>
  <c r="AM102" i="1"/>
  <c r="AJ517" i="1"/>
  <c r="R101" i="2"/>
  <c r="H101" i="2"/>
  <c r="P101" i="2"/>
  <c r="I101" i="2"/>
  <c r="Q101" i="2"/>
  <c r="E101" i="2"/>
  <c r="M101" i="2"/>
  <c r="D102" i="2"/>
  <c r="N101" i="2"/>
  <c r="O101" i="2"/>
  <c r="K101" i="2"/>
  <c r="L101" i="2"/>
  <c r="H224" i="1"/>
  <c r="L589" i="2"/>
  <c r="E589" i="2"/>
  <c r="R589" i="2"/>
  <c r="K589" i="2"/>
  <c r="Q589" i="2"/>
  <c r="I589" i="2"/>
  <c r="D590" i="2"/>
  <c r="H589" i="2"/>
  <c r="D92" i="1"/>
  <c r="E92" i="1"/>
  <c r="F92" i="1"/>
  <c r="C506" i="1"/>
  <c r="H515" i="1"/>
  <c r="B91" i="2"/>
  <c r="A91" i="2"/>
  <c r="C91" i="2" s="1"/>
  <c r="L214" i="12"/>
  <c r="E214" i="12"/>
  <c r="N214" i="12"/>
  <c r="G214" i="12"/>
  <c r="O214" i="12"/>
  <c r="H214" i="12"/>
  <c r="P214" i="12"/>
  <c r="I214" i="12"/>
  <c r="Q214" i="12"/>
  <c r="J214" i="12"/>
  <c r="R214" i="12"/>
  <c r="F214" i="12"/>
  <c r="K214" i="12"/>
  <c r="S214" i="12"/>
  <c r="M214" i="12"/>
  <c r="J454" i="2"/>
  <c r="X355" i="1" s="1"/>
  <c r="X742" i="1"/>
  <c r="BJ742" i="1"/>
  <c r="M454" i="2"/>
  <c r="BJ355" i="1" s="1"/>
  <c r="C578" i="2"/>
  <c r="C700" i="2" s="1"/>
  <c r="Q743" i="1"/>
  <c r="H455" i="18"/>
  <c r="Q356" i="1" s="1"/>
  <c r="AO743" i="1"/>
  <c r="G455" i="18"/>
  <c r="AO356" i="1" s="1"/>
  <c r="O102" i="1"/>
  <c r="I102" i="1" s="1"/>
  <c r="L516" i="1"/>
  <c r="Q100" i="1"/>
  <c r="BD103" i="1"/>
  <c r="BV103" i="1"/>
  <c r="G516" i="1"/>
  <c r="AM224" i="1"/>
  <c r="AJ621" i="1"/>
  <c r="G455" i="2"/>
  <c r="AP356" i="1" s="1"/>
  <c r="AP743" i="1"/>
  <c r="L104" i="1" l="1"/>
  <c r="F456" i="18"/>
  <c r="AA357" i="1" s="1"/>
  <c r="AA744" i="1"/>
  <c r="B580" i="2"/>
  <c r="A580" i="2"/>
  <c r="C580" i="2" s="1"/>
  <c r="C702" i="2" s="1"/>
  <c r="G356" i="1"/>
  <c r="L456" i="18"/>
  <c r="AI357" i="1" s="1"/>
  <c r="AI744" i="1"/>
  <c r="C213" i="2"/>
  <c r="C336" i="2"/>
  <c r="C458" i="2"/>
  <c r="C94" i="1"/>
  <c r="C228" i="1"/>
  <c r="C637" i="1" s="1"/>
  <c r="C359" i="1"/>
  <c r="D359" i="1" s="1"/>
  <c r="R590" i="2"/>
  <c r="K590" i="2"/>
  <c r="H590" i="2"/>
  <c r="I590" i="2"/>
  <c r="Q590" i="2"/>
  <c r="D591" i="2"/>
  <c r="L590" i="2"/>
  <c r="E590" i="2"/>
  <c r="C579" i="2"/>
  <c r="C701" i="2" s="1"/>
  <c r="BV744" i="1"/>
  <c r="Q456" i="2"/>
  <c r="BV357" i="1" s="1"/>
  <c r="AX744" i="1"/>
  <c r="I456" i="2"/>
  <c r="AX357" i="1" s="1"/>
  <c r="W518" i="1"/>
  <c r="H103" i="1"/>
  <c r="K335" i="18"/>
  <c r="I335" i="18"/>
  <c r="J335" i="18"/>
  <c r="L335" i="18"/>
  <c r="E335" i="18"/>
  <c r="O335" i="18"/>
  <c r="H335" i="18"/>
  <c r="M335" i="18"/>
  <c r="P335" i="18"/>
  <c r="Q335" i="18"/>
  <c r="R335" i="18"/>
  <c r="F335" i="18"/>
  <c r="G335" i="18"/>
  <c r="H356" i="1"/>
  <c r="AW101" i="1"/>
  <c r="BC744" i="1"/>
  <c r="K456" i="18"/>
  <c r="BC357" i="1" s="1"/>
  <c r="K744" i="1"/>
  <c r="E456" i="18"/>
  <c r="K357" i="1" s="1"/>
  <c r="B92" i="2"/>
  <c r="A92" i="2"/>
  <c r="C92" i="2" s="1"/>
  <c r="BA103" i="1"/>
  <c r="AX517" i="1"/>
  <c r="BD104" i="1"/>
  <c r="AF104" i="1"/>
  <c r="H621" i="1"/>
  <c r="BD744" i="1"/>
  <c r="K456" i="2"/>
  <c r="BD357" i="1" s="1"/>
  <c r="CA518" i="1"/>
  <c r="F212" i="18"/>
  <c r="AA227" i="1" s="1"/>
  <c r="O212" i="18"/>
  <c r="BQ227" i="1" s="1"/>
  <c r="P212" i="18"/>
  <c r="AE227" i="1" s="1"/>
  <c r="M212" i="18"/>
  <c r="BG227" i="1" s="1"/>
  <c r="L212" i="18"/>
  <c r="AI227" i="1" s="1"/>
  <c r="A211" i="13"/>
  <c r="C211" i="13" s="1"/>
  <c r="E212" i="18"/>
  <c r="K227" i="1" s="1"/>
  <c r="K212" i="18"/>
  <c r="BC227" i="1" s="1"/>
  <c r="J212" i="18"/>
  <c r="W227" i="1" s="1"/>
  <c r="H212" i="18"/>
  <c r="Q227" i="1" s="1"/>
  <c r="R212" i="18"/>
  <c r="CA227" i="1" s="1"/>
  <c r="Q212" i="18"/>
  <c r="BU227" i="1" s="1"/>
  <c r="I212" i="18"/>
  <c r="AW227" i="1" s="1"/>
  <c r="G212" i="18"/>
  <c r="AO227" i="1" s="1"/>
  <c r="D93" i="1"/>
  <c r="E93" i="1"/>
  <c r="F93" i="1"/>
  <c r="C507" i="1"/>
  <c r="U225" i="1"/>
  <c r="R622" i="1"/>
  <c r="G226" i="1"/>
  <c r="AO101" i="1"/>
  <c r="Q744" i="1"/>
  <c r="H456" i="18"/>
  <c r="Q357" i="1" s="1"/>
  <c r="CA744" i="1"/>
  <c r="R456" i="18"/>
  <c r="CA357" i="1" s="1"/>
  <c r="AF744" i="1"/>
  <c r="P456" i="2"/>
  <c r="AF357" i="1" s="1"/>
  <c r="U103" i="1"/>
  <c r="R517" i="1"/>
  <c r="O225" i="1"/>
  <c r="L622" i="1"/>
  <c r="BY103" i="1"/>
  <c r="BV517" i="1"/>
  <c r="BR104" i="1"/>
  <c r="R104" i="1"/>
  <c r="I224" i="1"/>
  <c r="BR744" i="1"/>
  <c r="O456" i="2"/>
  <c r="BR357" i="1" s="1"/>
  <c r="G456" i="2"/>
  <c r="AP357" i="1" s="1"/>
  <c r="AP744" i="1"/>
  <c r="BU518" i="1"/>
  <c r="BA225" i="1"/>
  <c r="AX622" i="1"/>
  <c r="A90" i="10"/>
  <c r="C336" i="18"/>
  <c r="C213" i="18"/>
  <c r="C458" i="18"/>
  <c r="A90" i="13"/>
  <c r="C90" i="13" s="1"/>
  <c r="C216" i="12"/>
  <c r="D100" i="18"/>
  <c r="E99" i="18"/>
  <c r="G99" i="18"/>
  <c r="H99" i="18"/>
  <c r="I99" i="18"/>
  <c r="Q99" i="18"/>
  <c r="R99" i="18"/>
  <c r="J99" i="18"/>
  <c r="K99" i="18"/>
  <c r="Q101" i="1"/>
  <c r="W744" i="1"/>
  <c r="J456" i="18"/>
  <c r="W357" i="1" s="1"/>
  <c r="AW744" i="1"/>
  <c r="I456" i="18"/>
  <c r="AW357" i="1" s="1"/>
  <c r="AT226" i="1"/>
  <c r="AM103" i="1"/>
  <c r="AJ518" i="1"/>
  <c r="CE225" i="1"/>
  <c r="CB622" i="1"/>
  <c r="W101" i="1"/>
  <c r="BV104" i="1"/>
  <c r="O456" i="18"/>
  <c r="BQ357" i="1" s="1"/>
  <c r="BQ744" i="1"/>
  <c r="AX104" i="1"/>
  <c r="D506" i="1"/>
  <c r="E506" i="1"/>
  <c r="BH103" i="1"/>
  <c r="BD517" i="1"/>
  <c r="BN104" i="1"/>
  <c r="CB104" i="1"/>
  <c r="G517" i="1"/>
  <c r="G700" i="18"/>
  <c r="AO623" i="1" s="1"/>
  <c r="P700" i="18"/>
  <c r="AE623" i="1" s="1"/>
  <c r="I700" i="18"/>
  <c r="AW623" i="1" s="1"/>
  <c r="K700" i="18"/>
  <c r="BC623" i="1" s="1"/>
  <c r="F700" i="18"/>
  <c r="AA623" i="1" s="1"/>
  <c r="O700" i="18"/>
  <c r="BQ623" i="1" s="1"/>
  <c r="M700" i="18"/>
  <c r="BG623" i="1" s="1"/>
  <c r="E700" i="18"/>
  <c r="K623" i="1" s="1"/>
  <c r="Q700" i="18"/>
  <c r="BU623" i="1" s="1"/>
  <c r="L700" i="18"/>
  <c r="AI623" i="1" s="1"/>
  <c r="H700" i="18"/>
  <c r="Q623" i="1" s="1"/>
  <c r="J700" i="18"/>
  <c r="W623" i="1" s="1"/>
  <c r="R700" i="18"/>
  <c r="CA623" i="1" s="1"/>
  <c r="AJ744" i="1"/>
  <c r="L456" i="2"/>
  <c r="AJ357" i="1" s="1"/>
  <c r="CB744" i="1"/>
  <c r="R456" i="2"/>
  <c r="CB357" i="1" s="1"/>
  <c r="Q518" i="1"/>
  <c r="A580" i="18"/>
  <c r="C580" i="18" s="1"/>
  <c r="C702" i="18" s="1"/>
  <c r="B580" i="18"/>
  <c r="C745" i="1"/>
  <c r="H335" i="2"/>
  <c r="Q335" i="2"/>
  <c r="I335" i="2"/>
  <c r="O335" i="2"/>
  <c r="L335" i="2"/>
  <c r="K335" i="2"/>
  <c r="M335" i="2"/>
  <c r="R335" i="2"/>
  <c r="G335" i="2"/>
  <c r="E335" i="2"/>
  <c r="P335" i="2"/>
  <c r="J335" i="2"/>
  <c r="N335" i="2"/>
  <c r="N457" i="2" s="1"/>
  <c r="BN358" i="1" s="1"/>
  <c r="F335" i="2"/>
  <c r="BY225" i="1"/>
  <c r="BV622" i="1"/>
  <c r="A92" i="18"/>
  <c r="C92" i="18" s="1"/>
  <c r="B92" i="18"/>
  <c r="K101" i="1"/>
  <c r="BU744" i="1"/>
  <c r="Q456" i="18"/>
  <c r="BU357" i="1" s="1"/>
  <c r="H226" i="1"/>
  <c r="AI518" i="1"/>
  <c r="L744" i="1"/>
  <c r="E456" i="2"/>
  <c r="L357" i="1" s="1"/>
  <c r="H357" i="1" s="1"/>
  <c r="AJ104" i="1"/>
  <c r="J700" i="2"/>
  <c r="X623" i="1" s="1"/>
  <c r="O700" i="2"/>
  <c r="BR623" i="1" s="1"/>
  <c r="M700" i="2"/>
  <c r="BJ623" i="1" s="1"/>
  <c r="N700" i="2"/>
  <c r="G700" i="2"/>
  <c r="AP623" i="1" s="1"/>
  <c r="P700" i="2"/>
  <c r="AF623" i="1" s="1"/>
  <c r="F700" i="2"/>
  <c r="AB623" i="1" s="1"/>
  <c r="I700" i="2"/>
  <c r="H700" i="2"/>
  <c r="Q700" i="2"/>
  <c r="E700" i="2"/>
  <c r="R700" i="2"/>
  <c r="L700" i="2"/>
  <c r="K700" i="2"/>
  <c r="BD623" i="1" s="1"/>
  <c r="CE103" i="1"/>
  <c r="CB517" i="1"/>
  <c r="H102" i="2"/>
  <c r="P102" i="2"/>
  <c r="Q102" i="2"/>
  <c r="I102" i="2"/>
  <c r="R102" i="2"/>
  <c r="M102" i="2"/>
  <c r="D103" i="2"/>
  <c r="E102" i="2"/>
  <c r="N102" i="2"/>
  <c r="O102" i="2"/>
  <c r="K102" i="2"/>
  <c r="L102" i="2"/>
  <c r="R744" i="1"/>
  <c r="H456" i="2"/>
  <c r="R357" i="1" s="1"/>
  <c r="BJ744" i="1"/>
  <c r="M456" i="2"/>
  <c r="BJ357" i="1" s="1"/>
  <c r="L590" i="18"/>
  <c r="E590" i="18"/>
  <c r="D591" i="18"/>
  <c r="J590" i="18"/>
  <c r="H590" i="18"/>
  <c r="Q590" i="18"/>
  <c r="R590" i="18"/>
  <c r="C579" i="18"/>
  <c r="C701" i="18" s="1"/>
  <c r="J212" i="2"/>
  <c r="X227" i="1" s="1"/>
  <c r="F212" i="2"/>
  <c r="AB227" i="1" s="1"/>
  <c r="G212" i="2"/>
  <c r="AP227" i="1" s="1"/>
  <c r="O212" i="2"/>
  <c r="BR227" i="1" s="1"/>
  <c r="R212" i="2"/>
  <c r="CB227" i="1" s="1"/>
  <c r="P212" i="2"/>
  <c r="AF227" i="1" s="1"/>
  <c r="H212" i="2"/>
  <c r="R227" i="1" s="1"/>
  <c r="E212" i="2"/>
  <c r="L227" i="1" s="1"/>
  <c r="K212" i="2"/>
  <c r="BD227" i="1" s="1"/>
  <c r="M212" i="2"/>
  <c r="BJ227" i="1" s="1"/>
  <c r="Q212" i="2"/>
  <c r="BV227" i="1" s="1"/>
  <c r="I212" i="2"/>
  <c r="AX227" i="1" s="1"/>
  <c r="AT227" i="1" s="1"/>
  <c r="N212" i="2"/>
  <c r="BN227" i="1" s="1"/>
  <c r="L212" i="2"/>
  <c r="AJ227" i="1" s="1"/>
  <c r="BC101" i="1"/>
  <c r="AO744" i="1"/>
  <c r="G456" i="18"/>
  <c r="AO357" i="1" s="1"/>
  <c r="M456" i="18"/>
  <c r="BG357" i="1" s="1"/>
  <c r="BG744" i="1"/>
  <c r="F456" i="2"/>
  <c r="AB357" i="1" s="1"/>
  <c r="AB744" i="1"/>
  <c r="BU101" i="1"/>
  <c r="H516" i="1"/>
  <c r="O103" i="1"/>
  <c r="I103" i="1" s="1"/>
  <c r="L517" i="1"/>
  <c r="H517" i="1" s="1"/>
  <c r="BJ104" i="1"/>
  <c r="J456" i="2"/>
  <c r="X357" i="1" s="1"/>
  <c r="X744" i="1"/>
  <c r="K518" i="1"/>
  <c r="G518" i="1" s="1"/>
  <c r="L215" i="12"/>
  <c r="E215" i="12"/>
  <c r="N215" i="12"/>
  <c r="G215" i="12"/>
  <c r="O215" i="12"/>
  <c r="H215" i="12"/>
  <c r="P215" i="12"/>
  <c r="I215" i="12"/>
  <c r="Q215" i="12"/>
  <c r="J215" i="12"/>
  <c r="R215" i="12"/>
  <c r="K215" i="12"/>
  <c r="S215" i="12"/>
  <c r="M215" i="12"/>
  <c r="F215" i="12"/>
  <c r="AM225" i="1"/>
  <c r="AJ622" i="1"/>
  <c r="CA101" i="1"/>
  <c r="P456" i="18"/>
  <c r="AE357" i="1" s="1"/>
  <c r="AE744" i="1"/>
  <c r="AJ105" i="1" l="1"/>
  <c r="Q519" i="1"/>
  <c r="CB105" i="1"/>
  <c r="G101" i="1"/>
  <c r="AJ745" i="1"/>
  <c r="L457" i="2"/>
  <c r="AJ358" i="1" s="1"/>
  <c r="W102" i="1"/>
  <c r="L216" i="12"/>
  <c r="E216" i="12"/>
  <c r="N216" i="12"/>
  <c r="F216" i="12"/>
  <c r="G216" i="12"/>
  <c r="O216" i="12"/>
  <c r="H216" i="12"/>
  <c r="P216" i="12"/>
  <c r="I216" i="12"/>
  <c r="Q216" i="12"/>
  <c r="J216" i="12"/>
  <c r="R216" i="12"/>
  <c r="K216" i="12"/>
  <c r="S216" i="12"/>
  <c r="M216" i="12"/>
  <c r="H622" i="1"/>
  <c r="M457" i="18"/>
  <c r="BG358" i="1" s="1"/>
  <c r="BG745" i="1"/>
  <c r="O104" i="1"/>
  <c r="L518" i="1"/>
  <c r="CG356" i="1"/>
  <c r="AX105" i="1"/>
  <c r="C214" i="2"/>
  <c r="C337" i="2"/>
  <c r="C459" i="2"/>
  <c r="C95" i="1"/>
  <c r="C229" i="1"/>
  <c r="C638" i="1" s="1"/>
  <c r="C360" i="1"/>
  <c r="D360" i="1" s="1"/>
  <c r="AM104" i="1"/>
  <c r="AJ519" i="1"/>
  <c r="M702" i="2"/>
  <c r="BJ625" i="1" s="1"/>
  <c r="J702" i="2"/>
  <c r="X625" i="1" s="1"/>
  <c r="N702" i="2"/>
  <c r="O702" i="2"/>
  <c r="BR625" i="1" s="1"/>
  <c r="F702" i="2"/>
  <c r="AB625" i="1" s="1"/>
  <c r="P702" i="2"/>
  <c r="AF625" i="1" s="1"/>
  <c r="G702" i="2"/>
  <c r="AP625" i="1" s="1"/>
  <c r="K702" i="2"/>
  <c r="BD625" i="1" s="1"/>
  <c r="Q702" i="2"/>
  <c r="L702" i="2"/>
  <c r="E702" i="2"/>
  <c r="R702" i="2"/>
  <c r="H702" i="2"/>
  <c r="I702" i="2"/>
  <c r="J591" i="18"/>
  <c r="L591" i="18"/>
  <c r="E591" i="18"/>
  <c r="D592" i="18"/>
  <c r="R591" i="18"/>
  <c r="H591" i="18"/>
  <c r="Q591" i="18"/>
  <c r="CE226" i="1"/>
  <c r="CB623" i="1"/>
  <c r="AF745" i="1"/>
  <c r="P457" i="2"/>
  <c r="AF358" i="1" s="1"/>
  <c r="AX745" i="1"/>
  <c r="I457" i="2"/>
  <c r="AX358" i="1" s="1"/>
  <c r="BU102" i="1"/>
  <c r="B93" i="2"/>
  <c r="A93" i="2"/>
  <c r="O457" i="18"/>
  <c r="BQ358" i="1" s="1"/>
  <c r="BQ745" i="1"/>
  <c r="H591" i="2"/>
  <c r="I591" i="2"/>
  <c r="Q591" i="2"/>
  <c r="D592" i="2"/>
  <c r="E591" i="2"/>
  <c r="R591" i="2"/>
  <c r="L591" i="2"/>
  <c r="K591" i="2"/>
  <c r="F94" i="1"/>
  <c r="E94" i="1"/>
  <c r="D94" i="1"/>
  <c r="C508" i="1"/>
  <c r="B581" i="2"/>
  <c r="A581" i="2"/>
  <c r="K519" i="1"/>
  <c r="BR105" i="1"/>
  <c r="AF105" i="1"/>
  <c r="O226" i="1"/>
  <c r="L623" i="1"/>
  <c r="B93" i="18"/>
  <c r="A93" i="18"/>
  <c r="C93" i="18" s="1"/>
  <c r="L745" i="1"/>
  <c r="E457" i="2"/>
  <c r="L358" i="1" s="1"/>
  <c r="BV745" i="1"/>
  <c r="Q457" i="2"/>
  <c r="BV358" i="1" s="1"/>
  <c r="G623" i="1"/>
  <c r="AW102" i="1"/>
  <c r="L213" i="18"/>
  <c r="AI228" i="1" s="1"/>
  <c r="M213" i="18"/>
  <c r="BG228" i="1" s="1"/>
  <c r="P213" i="18"/>
  <c r="AE228" i="1" s="1"/>
  <c r="F213" i="18"/>
  <c r="AA228" i="1" s="1"/>
  <c r="O213" i="18"/>
  <c r="BQ228" i="1" s="1"/>
  <c r="A212" i="13"/>
  <c r="C212" i="13" s="1"/>
  <c r="H213" i="18"/>
  <c r="Q228" i="1" s="1"/>
  <c r="G213" i="18"/>
  <c r="AO228" i="1" s="1"/>
  <c r="R213" i="18"/>
  <c r="CA228" i="1" s="1"/>
  <c r="J213" i="18"/>
  <c r="W228" i="1" s="1"/>
  <c r="K213" i="18"/>
  <c r="BC228" i="1" s="1"/>
  <c r="I213" i="18"/>
  <c r="AW228" i="1" s="1"/>
  <c r="Q213" i="18"/>
  <c r="BU228" i="1" s="1"/>
  <c r="E213" i="18"/>
  <c r="K228" i="1" s="1"/>
  <c r="G357" i="1"/>
  <c r="CG357" i="1" s="1"/>
  <c r="AO745" i="1"/>
  <c r="G457" i="18"/>
  <c r="AO358" i="1" s="1"/>
  <c r="K745" i="1"/>
  <c r="E457" i="18"/>
  <c r="K358" i="1" s="1"/>
  <c r="G358" i="1" s="1"/>
  <c r="BY104" i="1"/>
  <c r="BV518" i="1"/>
  <c r="J457" i="2"/>
  <c r="X358" i="1" s="1"/>
  <c r="X745" i="1"/>
  <c r="AI519" i="1"/>
  <c r="BN105" i="1"/>
  <c r="R105" i="1"/>
  <c r="BY226" i="1"/>
  <c r="BV623" i="1"/>
  <c r="A91" i="10"/>
  <c r="C337" i="18"/>
  <c r="C214" i="18"/>
  <c r="C459" i="18"/>
  <c r="A91" i="13"/>
  <c r="C91" i="13" s="1"/>
  <c r="C217" i="12"/>
  <c r="G457" i="2"/>
  <c r="AP358" i="1" s="1"/>
  <c r="AP745" i="1"/>
  <c r="R745" i="1"/>
  <c r="H457" i="2"/>
  <c r="R358" i="1" s="1"/>
  <c r="Q102" i="1"/>
  <c r="E336" i="18"/>
  <c r="M336" i="18"/>
  <c r="O336" i="18"/>
  <c r="F336" i="18"/>
  <c r="P336" i="18"/>
  <c r="G336" i="18"/>
  <c r="Q336" i="18"/>
  <c r="I336" i="18"/>
  <c r="L336" i="18"/>
  <c r="R336" i="18"/>
  <c r="J336" i="18"/>
  <c r="K336" i="18"/>
  <c r="H336" i="18"/>
  <c r="G227" i="1"/>
  <c r="F457" i="18"/>
  <c r="AA358" i="1" s="1"/>
  <c r="AA745" i="1"/>
  <c r="L457" i="18"/>
  <c r="AI358" i="1" s="1"/>
  <c r="AI745" i="1"/>
  <c r="BA104" i="1"/>
  <c r="AX518" i="1"/>
  <c r="C746" i="1"/>
  <c r="M336" i="2"/>
  <c r="R336" i="2"/>
  <c r="K336" i="2"/>
  <c r="G336" i="2"/>
  <c r="N336" i="2"/>
  <c r="N458" i="2" s="1"/>
  <c r="BN359" i="1" s="1"/>
  <c r="I336" i="2"/>
  <c r="L336" i="2"/>
  <c r="E336" i="2"/>
  <c r="P336" i="2"/>
  <c r="J336" i="2"/>
  <c r="F336" i="2"/>
  <c r="H336" i="2"/>
  <c r="O336" i="2"/>
  <c r="Q336" i="2"/>
  <c r="AM226" i="1"/>
  <c r="AJ623" i="1"/>
  <c r="Q745" i="1"/>
  <c r="H457" i="18"/>
  <c r="Q358" i="1" s="1"/>
  <c r="BD105" i="1"/>
  <c r="H227" i="1"/>
  <c r="F701" i="18"/>
  <c r="AA624" i="1" s="1"/>
  <c r="G701" i="18"/>
  <c r="AO624" i="1" s="1"/>
  <c r="O701" i="18"/>
  <c r="BQ624" i="1" s="1"/>
  <c r="P701" i="18"/>
  <c r="AE624" i="1" s="1"/>
  <c r="M701" i="18"/>
  <c r="BG624" i="1" s="1"/>
  <c r="K701" i="18"/>
  <c r="BC624" i="1" s="1"/>
  <c r="I701" i="18"/>
  <c r="AW624" i="1" s="1"/>
  <c r="H701" i="18"/>
  <c r="Q624" i="1" s="1"/>
  <c r="E701" i="18"/>
  <c r="K624" i="1" s="1"/>
  <c r="Q701" i="18"/>
  <c r="BU624" i="1" s="1"/>
  <c r="L701" i="18"/>
  <c r="AI624" i="1" s="1"/>
  <c r="R701" i="18"/>
  <c r="CA624" i="1" s="1"/>
  <c r="J701" i="18"/>
  <c r="W624" i="1" s="1"/>
  <c r="L105" i="1"/>
  <c r="H105" i="1" s="1"/>
  <c r="U226" i="1"/>
  <c r="R623" i="1"/>
  <c r="CB745" i="1"/>
  <c r="R457" i="2"/>
  <c r="CB358" i="1" s="1"/>
  <c r="AO102" i="1"/>
  <c r="CA745" i="1"/>
  <c r="R457" i="18"/>
  <c r="CA358" i="1" s="1"/>
  <c r="W745" i="1"/>
  <c r="J457" i="18"/>
  <c r="W358" i="1" s="1"/>
  <c r="U104" i="1"/>
  <c r="R518" i="1"/>
  <c r="J213" i="2"/>
  <c r="X228" i="1" s="1"/>
  <c r="F213" i="2"/>
  <c r="AB228" i="1" s="1"/>
  <c r="G213" i="2"/>
  <c r="AP228" i="1" s="1"/>
  <c r="Q213" i="2"/>
  <c r="BV228" i="1" s="1"/>
  <c r="R213" i="2"/>
  <c r="CB228" i="1" s="1"/>
  <c r="O213" i="2"/>
  <c r="BR228" i="1" s="1"/>
  <c r="I213" i="2"/>
  <c r="AX228" i="1" s="1"/>
  <c r="P213" i="2"/>
  <c r="AF228" i="1" s="1"/>
  <c r="M213" i="2"/>
  <c r="BJ228" i="1" s="1"/>
  <c r="H213" i="2"/>
  <c r="R228" i="1" s="1"/>
  <c r="N213" i="2"/>
  <c r="BN228" i="1" s="1"/>
  <c r="K213" i="2"/>
  <c r="BD228" i="1" s="1"/>
  <c r="E213" i="2"/>
  <c r="L228" i="1" s="1"/>
  <c r="L213" i="2"/>
  <c r="AJ228" i="1" s="1"/>
  <c r="H104" i="1"/>
  <c r="BR745" i="1"/>
  <c r="O457" i="2"/>
  <c r="BR358" i="1" s="1"/>
  <c r="BV105" i="1"/>
  <c r="CA519" i="1"/>
  <c r="N103" i="2"/>
  <c r="D104" i="2"/>
  <c r="P103" i="2"/>
  <c r="H103" i="2"/>
  <c r="Q103" i="2"/>
  <c r="I103" i="2"/>
  <c r="R103" i="2"/>
  <c r="L103" i="2"/>
  <c r="E103" i="2"/>
  <c r="M103" i="2"/>
  <c r="K103" i="2"/>
  <c r="O103" i="2"/>
  <c r="BA226" i="1"/>
  <c r="AX623" i="1"/>
  <c r="BJ745" i="1"/>
  <c r="M457" i="2"/>
  <c r="BJ358" i="1" s="1"/>
  <c r="A581" i="18"/>
  <c r="C581" i="18" s="1"/>
  <c r="C703" i="18" s="1"/>
  <c r="B581" i="18"/>
  <c r="K102" i="1"/>
  <c r="BU745" i="1"/>
  <c r="Q457" i="18"/>
  <c r="BU358" i="1" s="1"/>
  <c r="AW745" i="1"/>
  <c r="I457" i="18"/>
  <c r="AW358" i="1" s="1"/>
  <c r="BH104" i="1"/>
  <c r="BD518" i="1"/>
  <c r="W519" i="1"/>
  <c r="CA102" i="1"/>
  <c r="I225" i="1"/>
  <c r="D507" i="1"/>
  <c r="E507" i="1"/>
  <c r="BU519" i="1"/>
  <c r="BJ105" i="1"/>
  <c r="F457" i="2"/>
  <c r="AB358" i="1" s="1"/>
  <c r="AB745" i="1"/>
  <c r="BD745" i="1"/>
  <c r="K457" i="2"/>
  <c r="BD358" i="1" s="1"/>
  <c r="M702" i="18"/>
  <c r="BG625" i="1" s="1"/>
  <c r="F702" i="18"/>
  <c r="AA625" i="1" s="1"/>
  <c r="O702" i="18"/>
  <c r="BQ625" i="1" s="1"/>
  <c r="G702" i="18"/>
  <c r="AO625" i="1" s="1"/>
  <c r="P702" i="18"/>
  <c r="AE625" i="1" s="1"/>
  <c r="I702" i="18"/>
  <c r="AW625" i="1" s="1"/>
  <c r="K702" i="18"/>
  <c r="BC625" i="1" s="1"/>
  <c r="Q702" i="18"/>
  <c r="BU625" i="1" s="1"/>
  <c r="L702" i="18"/>
  <c r="AI625" i="1" s="1"/>
  <c r="E702" i="18"/>
  <c r="K625" i="1" s="1"/>
  <c r="R702" i="18"/>
  <c r="CA625" i="1" s="1"/>
  <c r="H702" i="18"/>
  <c r="Q625" i="1" s="1"/>
  <c r="J702" i="18"/>
  <c r="W625" i="1" s="1"/>
  <c r="BC102" i="1"/>
  <c r="E100" i="18"/>
  <c r="D101" i="18"/>
  <c r="G100" i="18"/>
  <c r="H100" i="18"/>
  <c r="K100" i="18"/>
  <c r="I100" i="18"/>
  <c r="R100" i="18"/>
  <c r="J100" i="18"/>
  <c r="Q100" i="18"/>
  <c r="AV225" i="1"/>
  <c r="P457" i="18"/>
  <c r="AE358" i="1" s="1"/>
  <c r="AE745" i="1"/>
  <c r="BC745" i="1"/>
  <c r="K457" i="18"/>
  <c r="BC358" i="1" s="1"/>
  <c r="O701" i="2"/>
  <c r="BR624" i="1" s="1"/>
  <c r="F701" i="2"/>
  <c r="AB624" i="1" s="1"/>
  <c r="P701" i="2"/>
  <c r="AF624" i="1" s="1"/>
  <c r="G701" i="2"/>
  <c r="AP624" i="1" s="1"/>
  <c r="J701" i="2"/>
  <c r="X624" i="1" s="1"/>
  <c r="M701" i="2"/>
  <c r="BJ624" i="1" s="1"/>
  <c r="N701" i="2"/>
  <c r="K701" i="2"/>
  <c r="BD624" i="1" s="1"/>
  <c r="R701" i="2"/>
  <c r="H701" i="2"/>
  <c r="Q701" i="2"/>
  <c r="E701" i="2"/>
  <c r="I701" i="2"/>
  <c r="L701" i="2"/>
  <c r="CE104" i="1"/>
  <c r="CB518" i="1"/>
  <c r="CA103" i="1" l="1"/>
  <c r="BV746" i="1"/>
  <c r="Q458" i="2"/>
  <c r="BV359" i="1" s="1"/>
  <c r="W520" i="1"/>
  <c r="U227" i="1"/>
  <c r="R624" i="1"/>
  <c r="W103" i="1"/>
  <c r="G102" i="1"/>
  <c r="AV226" i="1"/>
  <c r="BV106" i="1"/>
  <c r="G624" i="1"/>
  <c r="AJ746" i="1"/>
  <c r="L458" i="2"/>
  <c r="AJ359" i="1" s="1"/>
  <c r="Q746" i="1"/>
  <c r="H458" i="18"/>
  <c r="Q359" i="1" s="1"/>
  <c r="P458" i="18"/>
  <c r="AE359" i="1" s="1"/>
  <c r="AE746" i="1"/>
  <c r="G337" i="18"/>
  <c r="P337" i="18"/>
  <c r="I337" i="18"/>
  <c r="J337" i="18"/>
  <c r="K337" i="18"/>
  <c r="M337" i="18"/>
  <c r="R337" i="18"/>
  <c r="E337" i="18"/>
  <c r="F337" i="18"/>
  <c r="H337" i="18"/>
  <c r="O337" i="18"/>
  <c r="L337" i="18"/>
  <c r="Q337" i="18"/>
  <c r="C581" i="2"/>
  <c r="C703" i="2" s="1"/>
  <c r="CE105" i="1"/>
  <c r="CB519" i="1"/>
  <c r="C93" i="2"/>
  <c r="AI520" i="1"/>
  <c r="J214" i="2"/>
  <c r="X229" i="1" s="1"/>
  <c r="G214" i="2"/>
  <c r="AP229" i="1" s="1"/>
  <c r="F214" i="2"/>
  <c r="AB229" i="1" s="1"/>
  <c r="E214" i="2"/>
  <c r="L229" i="1" s="1"/>
  <c r="R214" i="2"/>
  <c r="CB229" i="1" s="1"/>
  <c r="M214" i="2"/>
  <c r="BJ229" i="1" s="1"/>
  <c r="O214" i="2"/>
  <c r="BR229" i="1" s="1"/>
  <c r="I214" i="2"/>
  <c r="AX229" i="1" s="1"/>
  <c r="K214" i="2"/>
  <c r="BD229" i="1" s="1"/>
  <c r="L214" i="2"/>
  <c r="AJ229" i="1" s="1"/>
  <c r="P214" i="2"/>
  <c r="AF229" i="1" s="1"/>
  <c r="H214" i="2"/>
  <c r="R229" i="1" s="1"/>
  <c r="Q214" i="2"/>
  <c r="BV229" i="1" s="1"/>
  <c r="N214" i="2"/>
  <c r="BN229" i="1" s="1"/>
  <c r="CE227" i="1"/>
  <c r="CB624" i="1"/>
  <c r="AX746" i="1"/>
  <c r="I458" i="2"/>
  <c r="AX359" i="1" s="1"/>
  <c r="BC103" i="1"/>
  <c r="B582" i="18"/>
  <c r="A582" i="18"/>
  <c r="BJ106" i="1"/>
  <c r="L104" i="2"/>
  <c r="P104" i="2"/>
  <c r="H104" i="2"/>
  <c r="Q104" i="2"/>
  <c r="I104" i="2"/>
  <c r="R104" i="2"/>
  <c r="M104" i="2"/>
  <c r="D105" i="2"/>
  <c r="E104" i="2"/>
  <c r="N104" i="2"/>
  <c r="K104" i="2"/>
  <c r="O104" i="2"/>
  <c r="R746" i="1"/>
  <c r="H458" i="2"/>
  <c r="R359" i="1" s="1"/>
  <c r="G458" i="2"/>
  <c r="AP359" i="1" s="1"/>
  <c r="AP746" i="1"/>
  <c r="CA746" i="1"/>
  <c r="R458" i="18"/>
  <c r="CA359" i="1" s="1"/>
  <c r="M458" i="18"/>
  <c r="BG359" i="1" s="1"/>
  <c r="BG746" i="1"/>
  <c r="BY105" i="1"/>
  <c r="BV519" i="1"/>
  <c r="BU520" i="1"/>
  <c r="U228" i="1"/>
  <c r="R625" i="1"/>
  <c r="F458" i="18"/>
  <c r="AA359" i="1" s="1"/>
  <c r="AA746" i="1"/>
  <c r="AF106" i="1"/>
  <c r="BR746" i="1"/>
  <c r="O458" i="2"/>
  <c r="BR359" i="1" s="1"/>
  <c r="L106" i="1"/>
  <c r="BN106" i="1"/>
  <c r="AT228" i="1"/>
  <c r="F458" i="2"/>
  <c r="AB359" i="1" s="1"/>
  <c r="AB746" i="1"/>
  <c r="BD746" i="1"/>
  <c r="K458" i="2"/>
  <c r="BD359" i="1" s="1"/>
  <c r="L458" i="18"/>
  <c r="AI359" i="1" s="1"/>
  <c r="AI746" i="1"/>
  <c r="K746" i="1"/>
  <c r="E458" i="18"/>
  <c r="K359" i="1" s="1"/>
  <c r="L217" i="12"/>
  <c r="M217" i="12"/>
  <c r="E217" i="12"/>
  <c r="G217" i="12"/>
  <c r="O217" i="12"/>
  <c r="H217" i="12"/>
  <c r="P217" i="12"/>
  <c r="I217" i="12"/>
  <c r="Q217" i="12"/>
  <c r="J217" i="12"/>
  <c r="R217" i="12"/>
  <c r="F217" i="12"/>
  <c r="K217" i="12"/>
  <c r="S217" i="12"/>
  <c r="N217" i="12"/>
  <c r="A92" i="10"/>
  <c r="C215" i="18"/>
  <c r="C338" i="18"/>
  <c r="C460" i="18"/>
  <c r="A92" i="13"/>
  <c r="C92" i="13" s="1"/>
  <c r="C218" i="12"/>
  <c r="BA105" i="1"/>
  <c r="AX519" i="1"/>
  <c r="Q520" i="1"/>
  <c r="CE228" i="1"/>
  <c r="CB625" i="1"/>
  <c r="R106" i="1"/>
  <c r="B582" i="2"/>
  <c r="A582" i="2"/>
  <c r="C582" i="2" s="1"/>
  <c r="C704" i="2" s="1"/>
  <c r="AW103" i="1"/>
  <c r="Q103" i="1"/>
  <c r="AJ106" i="1"/>
  <c r="J458" i="2"/>
  <c r="X359" i="1" s="1"/>
  <c r="X746" i="1"/>
  <c r="CB746" i="1"/>
  <c r="R458" i="2"/>
  <c r="CB359" i="1" s="1"/>
  <c r="AW746" i="1"/>
  <c r="I458" i="18"/>
  <c r="AW359" i="1" s="1"/>
  <c r="A94" i="18"/>
  <c r="C94" i="18" s="1"/>
  <c r="B94" i="18"/>
  <c r="U105" i="1"/>
  <c r="R519" i="1"/>
  <c r="CA520" i="1"/>
  <c r="O228" i="1"/>
  <c r="L625" i="1"/>
  <c r="E95" i="1"/>
  <c r="F95" i="1"/>
  <c r="D95" i="1"/>
  <c r="C509" i="1"/>
  <c r="H518" i="1"/>
  <c r="O105" i="1"/>
  <c r="L519" i="1"/>
  <c r="A94" i="2"/>
  <c r="C94" i="2" s="1"/>
  <c r="B94" i="2"/>
  <c r="W746" i="1"/>
  <c r="J458" i="18"/>
  <c r="W359" i="1" s="1"/>
  <c r="BA228" i="1"/>
  <c r="AX625" i="1"/>
  <c r="AM227" i="1"/>
  <c r="AJ624" i="1"/>
  <c r="M703" i="18"/>
  <c r="BG626" i="1" s="1"/>
  <c r="F703" i="18"/>
  <c r="AA626" i="1" s="1"/>
  <c r="O703" i="18"/>
  <c r="BQ626" i="1" s="1"/>
  <c r="G703" i="18"/>
  <c r="AO626" i="1" s="1"/>
  <c r="K703" i="18"/>
  <c r="BC626" i="1" s="1"/>
  <c r="I703" i="18"/>
  <c r="AW626" i="1" s="1"/>
  <c r="P703" i="18"/>
  <c r="AE626" i="1" s="1"/>
  <c r="J703" i="18"/>
  <c r="W626" i="1" s="1"/>
  <c r="R703" i="18"/>
  <c r="CA626" i="1" s="1"/>
  <c r="Q703" i="18"/>
  <c r="BU626" i="1" s="1"/>
  <c r="L703" i="18"/>
  <c r="AI626" i="1" s="1"/>
  <c r="E703" i="18"/>
  <c r="K626" i="1" s="1"/>
  <c r="G626" i="1" s="1"/>
  <c r="H703" i="18"/>
  <c r="Q626" i="1" s="1"/>
  <c r="G625" i="1"/>
  <c r="CB106" i="1"/>
  <c r="AF746" i="1"/>
  <c r="P458" i="2"/>
  <c r="AF359" i="1" s="1"/>
  <c r="BJ746" i="1"/>
  <c r="M458" i="2"/>
  <c r="BJ359" i="1" s="1"/>
  <c r="BU746" i="1"/>
  <c r="Q458" i="18"/>
  <c r="BU359" i="1" s="1"/>
  <c r="G228" i="1"/>
  <c r="H623" i="1"/>
  <c r="G519" i="1"/>
  <c r="BH105" i="1"/>
  <c r="BD519" i="1"/>
  <c r="R592" i="18"/>
  <c r="J592" i="18"/>
  <c r="L592" i="18"/>
  <c r="E592" i="18"/>
  <c r="D593" i="18"/>
  <c r="H592" i="18"/>
  <c r="Q592" i="18"/>
  <c r="AM228" i="1"/>
  <c r="AJ625" i="1"/>
  <c r="I104" i="1"/>
  <c r="BR106" i="1"/>
  <c r="BC746" i="1"/>
  <c r="K458" i="18"/>
  <c r="BC359" i="1" s="1"/>
  <c r="BD106" i="1"/>
  <c r="O458" i="18"/>
  <c r="BQ359" i="1" s="1"/>
  <c r="BQ746" i="1"/>
  <c r="H358" i="1"/>
  <c r="CG358" i="1" s="1"/>
  <c r="D508" i="1"/>
  <c r="E508" i="1"/>
  <c r="D593" i="2"/>
  <c r="L592" i="2"/>
  <c r="E592" i="2"/>
  <c r="H592" i="2"/>
  <c r="Q592" i="2"/>
  <c r="I592" i="2"/>
  <c r="R592" i="2"/>
  <c r="K592" i="2"/>
  <c r="BA227" i="1"/>
  <c r="AX624" i="1"/>
  <c r="AO103" i="1"/>
  <c r="O227" i="1"/>
  <c r="I227" i="1" s="1"/>
  <c r="L624" i="1"/>
  <c r="H624" i="1" s="1"/>
  <c r="J101" i="18"/>
  <c r="R101" i="18"/>
  <c r="D102" i="18"/>
  <c r="E101" i="18"/>
  <c r="G101" i="18"/>
  <c r="K101" i="18"/>
  <c r="Q101" i="18"/>
  <c r="H101" i="18"/>
  <c r="I101" i="18"/>
  <c r="H228" i="1"/>
  <c r="BY227" i="1"/>
  <c r="BV624" i="1"/>
  <c r="BU103" i="1"/>
  <c r="K103" i="1"/>
  <c r="AX106" i="1"/>
  <c r="L746" i="1"/>
  <c r="E458" i="2"/>
  <c r="L359" i="1" s="1"/>
  <c r="AO746" i="1"/>
  <c r="G458" i="18"/>
  <c r="AO359" i="1" s="1"/>
  <c r="M214" i="18"/>
  <c r="BG229" i="1" s="1"/>
  <c r="O214" i="18"/>
  <c r="BQ229" i="1" s="1"/>
  <c r="L214" i="18"/>
  <c r="AI229" i="1" s="1"/>
  <c r="P214" i="18"/>
  <c r="AE229" i="1" s="1"/>
  <c r="F214" i="18"/>
  <c r="AA229" i="1" s="1"/>
  <c r="A213" i="13"/>
  <c r="C213" i="13" s="1"/>
  <c r="Q214" i="18"/>
  <c r="BU229" i="1" s="1"/>
  <c r="H214" i="18"/>
  <c r="Q229" i="1" s="1"/>
  <c r="R214" i="18"/>
  <c r="CA229" i="1" s="1"/>
  <c r="K214" i="18"/>
  <c r="BC229" i="1" s="1"/>
  <c r="J214" i="18"/>
  <c r="W229" i="1" s="1"/>
  <c r="I214" i="18"/>
  <c r="AW229" i="1" s="1"/>
  <c r="E214" i="18"/>
  <c r="K229" i="1" s="1"/>
  <c r="G214" i="18"/>
  <c r="AO229" i="1" s="1"/>
  <c r="I226" i="1"/>
  <c r="AM105" i="1"/>
  <c r="AJ520" i="1"/>
  <c r="K520" i="1"/>
  <c r="G520" i="1" s="1"/>
  <c r="BY228" i="1"/>
  <c r="BV625" i="1"/>
  <c r="C747" i="1"/>
  <c r="L337" i="2"/>
  <c r="H337" i="2"/>
  <c r="N337" i="2"/>
  <c r="N459" i="2" s="1"/>
  <c r="BN360" i="1" s="1"/>
  <c r="K337" i="2"/>
  <c r="M337" i="2"/>
  <c r="I337" i="2"/>
  <c r="E337" i="2"/>
  <c r="P337" i="2"/>
  <c r="J337" i="2"/>
  <c r="O337" i="2"/>
  <c r="F337" i="2"/>
  <c r="Q337" i="2"/>
  <c r="G337" i="2"/>
  <c r="R337" i="2"/>
  <c r="AJ747" i="1" l="1"/>
  <c r="L459" i="2"/>
  <c r="AJ360" i="1" s="1"/>
  <c r="BU747" i="1"/>
  <c r="Q459" i="18"/>
  <c r="BU360" i="1" s="1"/>
  <c r="G229" i="1"/>
  <c r="BY106" i="1"/>
  <c r="BV520" i="1"/>
  <c r="BR107" i="1"/>
  <c r="P459" i="18"/>
  <c r="AE360" i="1" s="1"/>
  <c r="AE747" i="1"/>
  <c r="BJ747" i="1"/>
  <c r="M459" i="2"/>
  <c r="BJ360" i="1" s="1"/>
  <c r="BV747" i="1"/>
  <c r="Q459" i="2"/>
  <c r="BV360" i="1" s="1"/>
  <c r="BD747" i="1"/>
  <c r="K459" i="2"/>
  <c r="BD360" i="1" s="1"/>
  <c r="K104" i="1"/>
  <c r="O106" i="1"/>
  <c r="L520" i="1"/>
  <c r="W521" i="1"/>
  <c r="I105" i="1"/>
  <c r="H625" i="1"/>
  <c r="A93" i="10"/>
  <c r="C339" i="18"/>
  <c r="C216" i="18"/>
  <c r="C461" i="18"/>
  <c r="A93" i="13"/>
  <c r="C93" i="13" s="1"/>
  <c r="C219" i="12"/>
  <c r="J704" i="2"/>
  <c r="X627" i="1" s="1"/>
  <c r="M704" i="2"/>
  <c r="BJ627" i="1" s="1"/>
  <c r="O704" i="2"/>
  <c r="BR627" i="1" s="1"/>
  <c r="P704" i="2"/>
  <c r="AF627" i="1" s="1"/>
  <c r="G704" i="2"/>
  <c r="AP627" i="1" s="1"/>
  <c r="N704" i="2"/>
  <c r="F704" i="2"/>
  <c r="AB627" i="1" s="1"/>
  <c r="Q704" i="2"/>
  <c r="R704" i="2"/>
  <c r="K704" i="2"/>
  <c r="BD627" i="1" s="1"/>
  <c r="E704" i="2"/>
  <c r="I704" i="2"/>
  <c r="H704" i="2"/>
  <c r="L704" i="2"/>
  <c r="L215" i="18"/>
  <c r="AI230" i="1" s="1"/>
  <c r="M215" i="18"/>
  <c r="BG230" i="1" s="1"/>
  <c r="P215" i="18"/>
  <c r="AE230" i="1" s="1"/>
  <c r="O215" i="18"/>
  <c r="BQ230" i="1" s="1"/>
  <c r="A214" i="13"/>
  <c r="C214" i="13" s="1"/>
  <c r="F215" i="18"/>
  <c r="AA230" i="1" s="1"/>
  <c r="J215" i="18"/>
  <c r="W230" i="1" s="1"/>
  <c r="I215" i="18"/>
  <c r="AW230" i="1" s="1"/>
  <c r="H215" i="18"/>
  <c r="Q230" i="1" s="1"/>
  <c r="Q215" i="18"/>
  <c r="BU230" i="1" s="1"/>
  <c r="G215" i="18"/>
  <c r="AO230" i="1" s="1"/>
  <c r="R215" i="18"/>
  <c r="CA230" i="1" s="1"/>
  <c r="K215" i="18"/>
  <c r="BC230" i="1" s="1"/>
  <c r="E215" i="18"/>
  <c r="K230" i="1" s="1"/>
  <c r="G230" i="1" s="1"/>
  <c r="BN107" i="1"/>
  <c r="AF107" i="1"/>
  <c r="H229" i="1"/>
  <c r="K747" i="1"/>
  <c r="E459" i="18"/>
  <c r="K360" i="1" s="1"/>
  <c r="BU521" i="1"/>
  <c r="AX747" i="1"/>
  <c r="I459" i="2"/>
  <c r="AX360" i="1" s="1"/>
  <c r="C216" i="2"/>
  <c r="C339" i="2"/>
  <c r="C461" i="2"/>
  <c r="C97" i="1"/>
  <c r="C231" i="1"/>
  <c r="C640" i="1" s="1"/>
  <c r="C362" i="1"/>
  <c r="D362" i="1" s="1"/>
  <c r="BV107" i="1"/>
  <c r="Q747" i="1"/>
  <c r="H459" i="18"/>
  <c r="Q360" i="1" s="1"/>
  <c r="F459" i="2"/>
  <c r="AB360" i="1" s="1"/>
  <c r="AB747" i="1"/>
  <c r="H102" i="18"/>
  <c r="E102" i="18"/>
  <c r="D103" i="18"/>
  <c r="G102" i="18"/>
  <c r="K102" i="18"/>
  <c r="I102" i="18"/>
  <c r="R102" i="18"/>
  <c r="J102" i="18"/>
  <c r="Q102" i="18"/>
  <c r="AM106" i="1"/>
  <c r="AJ521" i="1"/>
  <c r="CA521" i="1"/>
  <c r="I228" i="1"/>
  <c r="A583" i="2"/>
  <c r="C583" i="2" s="1"/>
  <c r="C705" i="2" s="1"/>
  <c r="B583" i="2"/>
  <c r="G359" i="1"/>
  <c r="L107" i="1"/>
  <c r="AJ107" i="1"/>
  <c r="CA747" i="1"/>
  <c r="R459" i="18"/>
  <c r="CA360" i="1" s="1"/>
  <c r="BH106" i="1"/>
  <c r="BD520" i="1"/>
  <c r="K521" i="1"/>
  <c r="C215" i="2"/>
  <c r="C338" i="2"/>
  <c r="C460" i="2"/>
  <c r="C96" i="1"/>
  <c r="C230" i="1"/>
  <c r="C639" i="1" s="1"/>
  <c r="C361" i="1"/>
  <c r="D361" i="1" s="1"/>
  <c r="BR747" i="1"/>
  <c r="O459" i="2"/>
  <c r="BR360" i="1" s="1"/>
  <c r="R747" i="1"/>
  <c r="H459" i="2"/>
  <c r="R360" i="1" s="1"/>
  <c r="G103" i="1"/>
  <c r="CA104" i="1"/>
  <c r="AV227" i="1"/>
  <c r="L593" i="2"/>
  <c r="E593" i="2"/>
  <c r="R593" i="2"/>
  <c r="K593" i="2"/>
  <c r="H593" i="2"/>
  <c r="D594" i="2"/>
  <c r="Q593" i="2"/>
  <c r="I593" i="2"/>
  <c r="AV228" i="1"/>
  <c r="R105" i="2"/>
  <c r="O105" i="2"/>
  <c r="H105" i="2"/>
  <c r="P105" i="2"/>
  <c r="I105" i="2"/>
  <c r="Q105" i="2"/>
  <c r="L105" i="2"/>
  <c r="E105" i="2"/>
  <c r="M105" i="2"/>
  <c r="D106" i="2"/>
  <c r="N105" i="2"/>
  <c r="K105" i="2"/>
  <c r="M703" i="2"/>
  <c r="BJ626" i="1" s="1"/>
  <c r="P703" i="2"/>
  <c r="AF626" i="1" s="1"/>
  <c r="F703" i="2"/>
  <c r="AB626" i="1" s="1"/>
  <c r="J703" i="2"/>
  <c r="X626" i="1" s="1"/>
  <c r="N703" i="2"/>
  <c r="G703" i="2"/>
  <c r="AP626" i="1" s="1"/>
  <c r="O703" i="2"/>
  <c r="BR626" i="1" s="1"/>
  <c r="K703" i="2"/>
  <c r="BD626" i="1" s="1"/>
  <c r="H703" i="2"/>
  <c r="R703" i="2"/>
  <c r="Q703" i="2"/>
  <c r="E703" i="2"/>
  <c r="I703" i="2"/>
  <c r="L703" i="2"/>
  <c r="M459" i="18"/>
  <c r="BG360" i="1" s="1"/>
  <c r="BG747" i="1"/>
  <c r="J459" i="2"/>
  <c r="X360" i="1" s="1"/>
  <c r="X747" i="1"/>
  <c r="W104" i="1"/>
  <c r="BJ107" i="1"/>
  <c r="AF747" i="1"/>
  <c r="P459" i="2"/>
  <c r="AF360" i="1" s="1"/>
  <c r="Q104" i="1"/>
  <c r="CE106" i="1"/>
  <c r="CB520" i="1"/>
  <c r="Q521" i="1"/>
  <c r="D509" i="1"/>
  <c r="E509" i="1"/>
  <c r="L218" i="12"/>
  <c r="M218" i="12"/>
  <c r="F218" i="12"/>
  <c r="G218" i="12"/>
  <c r="O218" i="12"/>
  <c r="H218" i="12"/>
  <c r="P218" i="12"/>
  <c r="N218" i="12"/>
  <c r="I218" i="12"/>
  <c r="Q218" i="12"/>
  <c r="J218" i="12"/>
  <c r="R218" i="12"/>
  <c r="K218" i="12"/>
  <c r="S218" i="12"/>
  <c r="E218" i="12"/>
  <c r="CB107" i="1"/>
  <c r="AT229" i="1"/>
  <c r="L459" i="18"/>
  <c r="AI360" i="1" s="1"/>
  <c r="AI747" i="1"/>
  <c r="W747" i="1"/>
  <c r="J459" i="18"/>
  <c r="W360" i="1" s="1"/>
  <c r="BC747" i="1"/>
  <c r="K459" i="18"/>
  <c r="BC360" i="1" s="1"/>
  <c r="L747" i="1"/>
  <c r="E459" i="2"/>
  <c r="L360" i="1" s="1"/>
  <c r="H359" i="1"/>
  <c r="BU104" i="1"/>
  <c r="BA106" i="1"/>
  <c r="AX520" i="1"/>
  <c r="H593" i="18"/>
  <c r="Q593" i="18"/>
  <c r="R593" i="18"/>
  <c r="J593" i="18"/>
  <c r="L593" i="18"/>
  <c r="E593" i="18"/>
  <c r="D594" i="18"/>
  <c r="A95" i="2"/>
  <c r="C95" i="2" s="1"/>
  <c r="B95" i="2"/>
  <c r="H106" i="1"/>
  <c r="AX107" i="1"/>
  <c r="C582" i="18"/>
  <c r="C704" i="18" s="1"/>
  <c r="O459" i="18"/>
  <c r="BQ360" i="1" s="1"/>
  <c r="BQ747" i="1"/>
  <c r="AW747" i="1"/>
  <c r="I459" i="18"/>
  <c r="AW360" i="1" s="1"/>
  <c r="AW104" i="1"/>
  <c r="CB747" i="1"/>
  <c r="R459" i="2"/>
  <c r="CB360" i="1" s="1"/>
  <c r="BC104" i="1"/>
  <c r="B583" i="18"/>
  <c r="A583" i="18"/>
  <c r="C583" i="18" s="1"/>
  <c r="C705" i="18" s="1"/>
  <c r="G459" i="2"/>
  <c r="AP360" i="1" s="1"/>
  <c r="AP747" i="1"/>
  <c r="AO104" i="1"/>
  <c r="U106" i="1"/>
  <c r="R520" i="1"/>
  <c r="AI521" i="1"/>
  <c r="H519" i="1"/>
  <c r="A95" i="18"/>
  <c r="C95" i="18" s="1"/>
  <c r="B95" i="18"/>
  <c r="I338" i="18"/>
  <c r="R338" i="18"/>
  <c r="M338" i="18"/>
  <c r="E338" i="18"/>
  <c r="O338" i="18"/>
  <c r="F338" i="18"/>
  <c r="P338" i="18"/>
  <c r="H338" i="18"/>
  <c r="G338" i="18"/>
  <c r="J338" i="18"/>
  <c r="K338" i="18"/>
  <c r="L338" i="18"/>
  <c r="Q338" i="18"/>
  <c r="BD107" i="1"/>
  <c r="R107" i="1"/>
  <c r="F459" i="18"/>
  <c r="AA360" i="1" s="1"/>
  <c r="AA747" i="1"/>
  <c r="AO747" i="1"/>
  <c r="G459" i="18"/>
  <c r="AO360" i="1" s="1"/>
  <c r="AJ108" i="1" l="1"/>
  <c r="AW105" i="1"/>
  <c r="BC748" i="1"/>
  <c r="K460" i="18"/>
  <c r="BC361" i="1" s="1"/>
  <c r="W522" i="1"/>
  <c r="BY107" i="1"/>
  <c r="BV521" i="1"/>
  <c r="H107" i="1"/>
  <c r="C749" i="1"/>
  <c r="H339" i="2"/>
  <c r="G339" i="2"/>
  <c r="L339" i="2"/>
  <c r="O339" i="2"/>
  <c r="M339" i="2"/>
  <c r="R339" i="2"/>
  <c r="E339" i="2"/>
  <c r="P339" i="2"/>
  <c r="N339" i="2"/>
  <c r="N461" i="2" s="1"/>
  <c r="BN362" i="1" s="1"/>
  <c r="K339" i="2"/>
  <c r="Q339" i="2"/>
  <c r="F339" i="2"/>
  <c r="J339" i="2"/>
  <c r="I339" i="2"/>
  <c r="O230" i="1"/>
  <c r="L627" i="1"/>
  <c r="A584" i="18"/>
  <c r="B584" i="18"/>
  <c r="AA748" i="1"/>
  <c r="F460" i="18"/>
  <c r="AA361" i="1" s="1"/>
  <c r="H594" i="18"/>
  <c r="Q594" i="18"/>
  <c r="R594" i="18"/>
  <c r="J594" i="18"/>
  <c r="E594" i="18"/>
  <c r="D595" i="18"/>
  <c r="L594" i="18"/>
  <c r="BA229" i="1"/>
  <c r="AX626" i="1"/>
  <c r="BJ108" i="1"/>
  <c r="CB108" i="1"/>
  <c r="O107" i="1"/>
  <c r="L521" i="1"/>
  <c r="J215" i="2"/>
  <c r="X230" i="1" s="1"/>
  <c r="G215" i="2"/>
  <c r="AP230" i="1" s="1"/>
  <c r="F215" i="2"/>
  <c r="AB230" i="1" s="1"/>
  <c r="Q215" i="2"/>
  <c r="BV230" i="1" s="1"/>
  <c r="P215" i="2"/>
  <c r="AF230" i="1" s="1"/>
  <c r="L215" i="2"/>
  <c r="AJ230" i="1" s="1"/>
  <c r="M215" i="2"/>
  <c r="BJ230" i="1" s="1"/>
  <c r="N215" i="2"/>
  <c r="BN230" i="1" s="1"/>
  <c r="I215" i="2"/>
  <c r="AX230" i="1" s="1"/>
  <c r="AT230" i="1" s="1"/>
  <c r="H215" i="2"/>
  <c r="R230" i="1" s="1"/>
  <c r="R215" i="2"/>
  <c r="CB230" i="1" s="1"/>
  <c r="O215" i="2"/>
  <c r="BR230" i="1" s="1"/>
  <c r="E215" i="2"/>
  <c r="L230" i="1" s="1"/>
  <c r="K215" i="2"/>
  <c r="BD230" i="1" s="1"/>
  <c r="G705" i="2"/>
  <c r="AP628" i="1" s="1"/>
  <c r="O705" i="2"/>
  <c r="BR628" i="1" s="1"/>
  <c r="M705" i="2"/>
  <c r="BJ628" i="1" s="1"/>
  <c r="J705" i="2"/>
  <c r="X628" i="1" s="1"/>
  <c r="P705" i="2"/>
  <c r="AF628" i="1" s="1"/>
  <c r="F705" i="2"/>
  <c r="AB628" i="1" s="1"/>
  <c r="N705" i="2"/>
  <c r="Q705" i="2"/>
  <c r="K705" i="2"/>
  <c r="BD628" i="1" s="1"/>
  <c r="I705" i="2"/>
  <c r="E705" i="2"/>
  <c r="R705" i="2"/>
  <c r="L705" i="2"/>
  <c r="H705" i="2"/>
  <c r="W105" i="1"/>
  <c r="AM230" i="1"/>
  <c r="AJ627" i="1"/>
  <c r="BU748" i="1"/>
  <c r="Q460" i="18"/>
  <c r="BU361" i="1" s="1"/>
  <c r="O460" i="18"/>
  <c r="BQ361" i="1" s="1"/>
  <c r="BQ748" i="1"/>
  <c r="G704" i="18"/>
  <c r="AO627" i="1" s="1"/>
  <c r="P704" i="18"/>
  <c r="AE627" i="1" s="1"/>
  <c r="K704" i="18"/>
  <c r="BC627" i="1" s="1"/>
  <c r="F704" i="18"/>
  <c r="AA627" i="1" s="1"/>
  <c r="O704" i="18"/>
  <c r="BQ627" i="1" s="1"/>
  <c r="M704" i="18"/>
  <c r="BG627" i="1" s="1"/>
  <c r="I704" i="18"/>
  <c r="AW627" i="1" s="1"/>
  <c r="E704" i="18"/>
  <c r="K627" i="1" s="1"/>
  <c r="H704" i="18"/>
  <c r="Q627" i="1" s="1"/>
  <c r="L704" i="18"/>
  <c r="AI627" i="1" s="1"/>
  <c r="Q704" i="18"/>
  <c r="BU627" i="1" s="1"/>
  <c r="R704" i="18"/>
  <c r="CA627" i="1" s="1"/>
  <c r="J704" i="18"/>
  <c r="W627" i="1" s="1"/>
  <c r="K522" i="1"/>
  <c r="O229" i="1"/>
  <c r="L626" i="1"/>
  <c r="L108" i="1"/>
  <c r="AM107" i="1"/>
  <c r="AJ522" i="1"/>
  <c r="G521" i="1"/>
  <c r="CA105" i="1"/>
  <c r="D97" i="1"/>
  <c r="E97" i="1"/>
  <c r="F97" i="1"/>
  <c r="C511" i="1"/>
  <c r="G360" i="1"/>
  <c r="U230" i="1"/>
  <c r="R627" i="1"/>
  <c r="P216" i="18"/>
  <c r="AE231" i="1" s="1"/>
  <c r="L216" i="18"/>
  <c r="AI231" i="1" s="1"/>
  <c r="M216" i="18"/>
  <c r="BG231" i="1" s="1"/>
  <c r="A215" i="13"/>
  <c r="C215" i="13" s="1"/>
  <c r="O216" i="18"/>
  <c r="BQ231" i="1" s="1"/>
  <c r="F216" i="18"/>
  <c r="AA231" i="1" s="1"/>
  <c r="J216" i="18"/>
  <c r="W231" i="1" s="1"/>
  <c r="H216" i="18"/>
  <c r="Q231" i="1" s="1"/>
  <c r="E216" i="18"/>
  <c r="K231" i="1" s="1"/>
  <c r="Q216" i="18"/>
  <c r="BU231" i="1" s="1"/>
  <c r="R216" i="18"/>
  <c r="CA231" i="1" s="1"/>
  <c r="I216" i="18"/>
  <c r="AW231" i="1" s="1"/>
  <c r="G216" i="18"/>
  <c r="AO231" i="1" s="1"/>
  <c r="K216" i="18"/>
  <c r="BC231" i="1" s="1"/>
  <c r="I106" i="1"/>
  <c r="K748" i="1"/>
  <c r="E460" i="18"/>
  <c r="K361" i="1" s="1"/>
  <c r="K705" i="18"/>
  <c r="BC628" i="1" s="1"/>
  <c r="O705" i="18"/>
  <c r="BQ628" i="1" s="1"/>
  <c r="P705" i="18"/>
  <c r="AE628" i="1" s="1"/>
  <c r="G705" i="18"/>
  <c r="AO628" i="1" s="1"/>
  <c r="F705" i="18"/>
  <c r="AA628" i="1" s="1"/>
  <c r="I705" i="18"/>
  <c r="AW628" i="1" s="1"/>
  <c r="M705" i="18"/>
  <c r="BG628" i="1" s="1"/>
  <c r="H705" i="18"/>
  <c r="Q628" i="1" s="1"/>
  <c r="Q705" i="18"/>
  <c r="BU628" i="1" s="1"/>
  <c r="L705" i="18"/>
  <c r="AI628" i="1" s="1"/>
  <c r="J705" i="18"/>
  <c r="W628" i="1" s="1"/>
  <c r="R705" i="18"/>
  <c r="CA628" i="1" s="1"/>
  <c r="E705" i="18"/>
  <c r="K628" i="1" s="1"/>
  <c r="BV108" i="1"/>
  <c r="BC105" i="1"/>
  <c r="W748" i="1"/>
  <c r="J460" i="18"/>
  <c r="W361" i="1" s="1"/>
  <c r="AX108" i="1"/>
  <c r="R594" i="2"/>
  <c r="K594" i="2"/>
  <c r="H594" i="2"/>
  <c r="I594" i="2"/>
  <c r="Q594" i="2"/>
  <c r="D595" i="2"/>
  <c r="L594" i="2"/>
  <c r="E594" i="2"/>
  <c r="AO105" i="1"/>
  <c r="F216" i="2"/>
  <c r="AB231" i="1" s="1"/>
  <c r="J216" i="2"/>
  <c r="X231" i="1" s="1"/>
  <c r="G216" i="2"/>
  <c r="AP231" i="1" s="1"/>
  <c r="I216" i="2"/>
  <c r="AX231" i="1" s="1"/>
  <c r="N216" i="2"/>
  <c r="BN231" i="1" s="1"/>
  <c r="L216" i="2"/>
  <c r="AJ231" i="1" s="1"/>
  <c r="K216" i="2"/>
  <c r="BD231" i="1" s="1"/>
  <c r="H216" i="2"/>
  <c r="R231" i="1" s="1"/>
  <c r="E216" i="2"/>
  <c r="L231" i="1" s="1"/>
  <c r="R216" i="2"/>
  <c r="CB231" i="1" s="1"/>
  <c r="Q216" i="2"/>
  <c r="BV231" i="1" s="1"/>
  <c r="O216" i="2"/>
  <c r="BR231" i="1" s="1"/>
  <c r="P216" i="2"/>
  <c r="AF231" i="1" s="1"/>
  <c r="M216" i="2"/>
  <c r="BJ231" i="1" s="1"/>
  <c r="AO748" i="1"/>
  <c r="G460" i="18"/>
  <c r="AO361" i="1" s="1"/>
  <c r="AW748" i="1"/>
  <c r="I460" i="18"/>
  <c r="AW361" i="1" s="1"/>
  <c r="BU522" i="1"/>
  <c r="BD108" i="1"/>
  <c r="AF108" i="1"/>
  <c r="U107" i="1"/>
  <c r="R521" i="1"/>
  <c r="D96" i="1"/>
  <c r="E96" i="1"/>
  <c r="F96" i="1"/>
  <c r="C510" i="1"/>
  <c r="D104" i="18"/>
  <c r="J103" i="18"/>
  <c r="R103" i="18"/>
  <c r="K103" i="18"/>
  <c r="E103" i="18"/>
  <c r="I103" i="18"/>
  <c r="Q103" i="18"/>
  <c r="G103" i="18"/>
  <c r="H103" i="18"/>
  <c r="CE230" i="1"/>
  <c r="CB627" i="1"/>
  <c r="AI522" i="1"/>
  <c r="BA107" i="1"/>
  <c r="AX521" i="1"/>
  <c r="M460" i="18"/>
  <c r="BG361" i="1" s="1"/>
  <c r="BG748" i="1"/>
  <c r="CE229" i="1"/>
  <c r="CB626" i="1"/>
  <c r="G104" i="1"/>
  <c r="CA522" i="1"/>
  <c r="U229" i="1"/>
  <c r="R626" i="1"/>
  <c r="Q748" i="1"/>
  <c r="H460" i="18"/>
  <c r="Q361" i="1" s="1"/>
  <c r="A96" i="18"/>
  <c r="B96" i="18"/>
  <c r="A96" i="2"/>
  <c r="C96" i="2" s="1"/>
  <c r="B96" i="2"/>
  <c r="Q522" i="1"/>
  <c r="H360" i="1"/>
  <c r="BN108" i="1"/>
  <c r="R108" i="1"/>
  <c r="BH107" i="1"/>
  <c r="BD521" i="1"/>
  <c r="CG359" i="1"/>
  <c r="K105" i="1"/>
  <c r="BY230" i="1"/>
  <c r="BV627" i="1"/>
  <c r="L219" i="12"/>
  <c r="M219" i="12"/>
  <c r="N219" i="12"/>
  <c r="G219" i="12"/>
  <c r="O219" i="12"/>
  <c r="H219" i="12"/>
  <c r="P219" i="12"/>
  <c r="I219" i="12"/>
  <c r="Q219" i="12"/>
  <c r="J219" i="12"/>
  <c r="R219" i="12"/>
  <c r="F219" i="12"/>
  <c r="K219" i="12"/>
  <c r="S219" i="12"/>
  <c r="E219" i="12"/>
  <c r="L460" i="18"/>
  <c r="AI361" i="1" s="1"/>
  <c r="AI748" i="1"/>
  <c r="BY229" i="1"/>
  <c r="BV626" i="1"/>
  <c r="BA230" i="1"/>
  <c r="AV230" i="1" s="1"/>
  <c r="AX627" i="1"/>
  <c r="K339" i="18"/>
  <c r="H339" i="18"/>
  <c r="R339" i="18"/>
  <c r="I339" i="18"/>
  <c r="J339" i="18"/>
  <c r="M339" i="18"/>
  <c r="G339" i="18"/>
  <c r="L339" i="18"/>
  <c r="O339" i="18"/>
  <c r="P339" i="18"/>
  <c r="Q339" i="18"/>
  <c r="E339" i="18"/>
  <c r="F339" i="18"/>
  <c r="CA748" i="1"/>
  <c r="R460" i="18"/>
  <c r="CA361" i="1" s="1"/>
  <c r="P460" i="18"/>
  <c r="AE361" i="1" s="1"/>
  <c r="AE748" i="1"/>
  <c r="A94" i="10"/>
  <c r="C340" i="18"/>
  <c r="C217" i="18"/>
  <c r="C462" i="18"/>
  <c r="A94" i="13"/>
  <c r="C94" i="13" s="1"/>
  <c r="C220" i="12"/>
  <c r="C340" i="2"/>
  <c r="C217" i="2"/>
  <c r="C462" i="2"/>
  <c r="C98" i="1"/>
  <c r="C232" i="1"/>
  <c r="C641" i="1" s="1"/>
  <c r="C363" i="1"/>
  <c r="D363" i="1" s="1"/>
  <c r="AM229" i="1"/>
  <c r="AJ626" i="1"/>
  <c r="H106" i="2"/>
  <c r="P106" i="2"/>
  <c r="O106" i="2"/>
  <c r="Q106" i="2"/>
  <c r="I106" i="2"/>
  <c r="R106" i="2"/>
  <c r="L106" i="2"/>
  <c r="M106" i="2"/>
  <c r="D107" i="2"/>
  <c r="E106" i="2"/>
  <c r="N106" i="2"/>
  <c r="K106" i="2"/>
  <c r="BR108" i="1"/>
  <c r="CE107" i="1"/>
  <c r="CB521" i="1"/>
  <c r="C748" i="1"/>
  <c r="M338" i="2"/>
  <c r="L338" i="2"/>
  <c r="G338" i="2"/>
  <c r="N338" i="2"/>
  <c r="N460" i="2" s="1"/>
  <c r="BN361" i="1" s="1"/>
  <c r="R338" i="2"/>
  <c r="I338" i="2"/>
  <c r="E338" i="2"/>
  <c r="P338" i="2"/>
  <c r="H338" i="2"/>
  <c r="O338" i="2"/>
  <c r="K338" i="2"/>
  <c r="Q338" i="2"/>
  <c r="F338" i="2"/>
  <c r="J338" i="2"/>
  <c r="B584" i="2"/>
  <c r="A584" i="2"/>
  <c r="C584" i="2" s="1"/>
  <c r="C706" i="2" s="1"/>
  <c r="BU105" i="1"/>
  <c r="Q105" i="1"/>
  <c r="H520" i="1"/>
  <c r="L461" i="18" l="1"/>
  <c r="AI362" i="1" s="1"/>
  <c r="AI749" i="1"/>
  <c r="K106" i="1"/>
  <c r="CE108" i="1"/>
  <c r="CB522" i="1"/>
  <c r="BV748" i="1"/>
  <c r="Q460" i="2"/>
  <c r="BV361" i="1" s="1"/>
  <c r="AJ748" i="1"/>
  <c r="L460" i="2"/>
  <c r="AJ361" i="1" s="1"/>
  <c r="BJ748" i="1"/>
  <c r="M460" i="2"/>
  <c r="BJ361" i="1" s="1"/>
  <c r="BV109" i="1"/>
  <c r="D98" i="1"/>
  <c r="E98" i="1"/>
  <c r="F98" i="1"/>
  <c r="C512" i="1"/>
  <c r="E340" i="18"/>
  <c r="M340" i="18"/>
  <c r="L340" i="18"/>
  <c r="O340" i="18"/>
  <c r="F340" i="18"/>
  <c r="P340" i="18"/>
  <c r="H340" i="18"/>
  <c r="R340" i="18"/>
  <c r="K340" i="18"/>
  <c r="Q340" i="18"/>
  <c r="I340" i="18"/>
  <c r="G340" i="18"/>
  <c r="J340" i="18"/>
  <c r="AF748" i="1"/>
  <c r="P460" i="2"/>
  <c r="AF361" i="1" s="1"/>
  <c r="BR109" i="1"/>
  <c r="P461" i="18"/>
  <c r="AE362" i="1" s="1"/>
  <c r="AE749" i="1"/>
  <c r="Q749" i="1"/>
  <c r="H461" i="18"/>
  <c r="Q362" i="1" s="1"/>
  <c r="B585" i="2"/>
  <c r="A585" i="2"/>
  <c r="C585" i="2" s="1"/>
  <c r="C707" i="2" s="1"/>
  <c r="L748" i="1"/>
  <c r="E460" i="2"/>
  <c r="L361" i="1" s="1"/>
  <c r="L109" i="1"/>
  <c r="AF109" i="1"/>
  <c r="F217" i="2"/>
  <c r="AB232" i="1" s="1"/>
  <c r="G217" i="2"/>
  <c r="AP232" i="1" s="1"/>
  <c r="J217" i="2"/>
  <c r="X232" i="1" s="1"/>
  <c r="O217" i="2"/>
  <c r="BR232" i="1" s="1"/>
  <c r="K217" i="2"/>
  <c r="BD232" i="1" s="1"/>
  <c r="R217" i="2"/>
  <c r="CB232" i="1" s="1"/>
  <c r="L217" i="2"/>
  <c r="AJ232" i="1" s="1"/>
  <c r="I217" i="2"/>
  <c r="AX232" i="1" s="1"/>
  <c r="Q217" i="2"/>
  <c r="BV232" i="1" s="1"/>
  <c r="M217" i="2"/>
  <c r="BJ232" i="1" s="1"/>
  <c r="E217" i="2"/>
  <c r="L232" i="1" s="1"/>
  <c r="H232" i="1" s="1"/>
  <c r="H217" i="2"/>
  <c r="R232" i="1" s="1"/>
  <c r="P217" i="2"/>
  <c r="AF232" i="1" s="1"/>
  <c r="N217" i="2"/>
  <c r="BN232" i="1" s="1"/>
  <c r="O461" i="18"/>
  <c r="BQ362" i="1" s="1"/>
  <c r="BQ749" i="1"/>
  <c r="BC749" i="1"/>
  <c r="K461" i="18"/>
  <c r="BC362" i="1" s="1"/>
  <c r="G105" i="1"/>
  <c r="B97" i="2"/>
  <c r="A97" i="2"/>
  <c r="C97" i="2" s="1"/>
  <c r="BU106" i="1"/>
  <c r="U108" i="1"/>
  <c r="R522" i="1"/>
  <c r="AM231" i="1"/>
  <c r="AJ628" i="1"/>
  <c r="K523" i="1"/>
  <c r="C584" i="18"/>
  <c r="C706" i="18" s="1"/>
  <c r="R749" i="1"/>
  <c r="H461" i="2"/>
  <c r="R362" i="1" s="1"/>
  <c r="AX748" i="1"/>
  <c r="I460" i="2"/>
  <c r="AX361" i="1" s="1"/>
  <c r="R109" i="1"/>
  <c r="C750" i="1"/>
  <c r="M340" i="2"/>
  <c r="G340" i="2"/>
  <c r="R340" i="2"/>
  <c r="I340" i="2"/>
  <c r="E340" i="2"/>
  <c r="P340" i="2"/>
  <c r="N340" i="2"/>
  <c r="N462" i="2" s="1"/>
  <c r="BN363" i="1" s="1"/>
  <c r="J340" i="2"/>
  <c r="H340" i="2"/>
  <c r="F340" i="2"/>
  <c r="K340" i="2"/>
  <c r="L340" i="2"/>
  <c r="O340" i="2"/>
  <c r="Q340" i="2"/>
  <c r="AW106" i="1"/>
  <c r="CE231" i="1"/>
  <c r="CB628" i="1"/>
  <c r="CB748" i="1"/>
  <c r="R460" i="2"/>
  <c r="CB361" i="1" s="1"/>
  <c r="AO749" i="1"/>
  <c r="G461" i="18"/>
  <c r="AO362" i="1" s="1"/>
  <c r="L749" i="1"/>
  <c r="E461" i="2"/>
  <c r="L362" i="1" s="1"/>
  <c r="AJ109" i="1"/>
  <c r="BC106" i="1"/>
  <c r="O108" i="1"/>
  <c r="I108" i="1" s="1"/>
  <c r="L522" i="1"/>
  <c r="G361" i="1"/>
  <c r="G231" i="1"/>
  <c r="BA231" i="1"/>
  <c r="AX628" i="1"/>
  <c r="H521" i="1"/>
  <c r="BU523" i="1"/>
  <c r="AX749" i="1"/>
  <c r="I461" i="2"/>
  <c r="AX362" i="1" s="1"/>
  <c r="CB749" i="1"/>
  <c r="R461" i="2"/>
  <c r="CB362" i="1" s="1"/>
  <c r="BD748" i="1"/>
  <c r="K460" i="2"/>
  <c r="BD361" i="1" s="1"/>
  <c r="G460" i="2"/>
  <c r="AP361" i="1" s="1"/>
  <c r="AP748" i="1"/>
  <c r="CB109" i="1"/>
  <c r="F461" i="18"/>
  <c r="AA362" i="1" s="1"/>
  <c r="AA749" i="1"/>
  <c r="W749" i="1"/>
  <c r="J461" i="18"/>
  <c r="W362" i="1" s="1"/>
  <c r="CA106" i="1"/>
  <c r="AT231" i="1"/>
  <c r="AM108" i="1"/>
  <c r="AJ523" i="1"/>
  <c r="I107" i="1"/>
  <c r="Q523" i="1"/>
  <c r="J461" i="2"/>
  <c r="X362" i="1" s="1"/>
  <c r="X749" i="1"/>
  <c r="BJ749" i="1"/>
  <c r="M461" i="2"/>
  <c r="BJ362" i="1" s="1"/>
  <c r="J460" i="2"/>
  <c r="X361" i="1" s="1"/>
  <c r="X748" i="1"/>
  <c r="N107" i="2"/>
  <c r="D108" i="2"/>
  <c r="O107" i="2"/>
  <c r="P107" i="2"/>
  <c r="H107" i="2"/>
  <c r="Q107" i="2"/>
  <c r="K107" i="2"/>
  <c r="L107" i="2"/>
  <c r="E107" i="2"/>
  <c r="M107" i="2"/>
  <c r="R107" i="2"/>
  <c r="I107" i="2"/>
  <c r="C218" i="2"/>
  <c r="C341" i="2"/>
  <c r="C463" i="2"/>
  <c r="C99" i="1"/>
  <c r="C233" i="1"/>
  <c r="C642" i="1" s="1"/>
  <c r="C364" i="1"/>
  <c r="D364" i="1" s="1"/>
  <c r="H627" i="1"/>
  <c r="B97" i="18"/>
  <c r="A97" i="18"/>
  <c r="C97" i="18" s="1"/>
  <c r="H108" i="1"/>
  <c r="I230" i="1"/>
  <c r="BR748" i="1"/>
  <c r="O460" i="2"/>
  <c r="BR361" i="1" s="1"/>
  <c r="AX109" i="1"/>
  <c r="O217" i="18"/>
  <c r="BQ232" i="1" s="1"/>
  <c r="F217" i="18"/>
  <c r="AA232" i="1" s="1"/>
  <c r="L217" i="18"/>
  <c r="AI232" i="1" s="1"/>
  <c r="P217" i="18"/>
  <c r="AE232" i="1" s="1"/>
  <c r="A216" i="13"/>
  <c r="C216" i="13" s="1"/>
  <c r="M217" i="18"/>
  <c r="BG232" i="1" s="1"/>
  <c r="G217" i="18"/>
  <c r="AO232" i="1" s="1"/>
  <c r="R217" i="18"/>
  <c r="CA232" i="1" s="1"/>
  <c r="H217" i="18"/>
  <c r="Q232" i="1" s="1"/>
  <c r="E217" i="18"/>
  <c r="K232" i="1" s="1"/>
  <c r="J217" i="18"/>
  <c r="W232" i="1" s="1"/>
  <c r="K217" i="18"/>
  <c r="BC232" i="1" s="1"/>
  <c r="I217" i="18"/>
  <c r="AW232" i="1" s="1"/>
  <c r="Q217" i="18"/>
  <c r="BU232" i="1" s="1"/>
  <c r="K749" i="1"/>
  <c r="E461" i="18"/>
  <c r="K362" i="1" s="1"/>
  <c r="AW749" i="1"/>
  <c r="I461" i="18"/>
  <c r="AW362" i="1" s="1"/>
  <c r="W106" i="1"/>
  <c r="H595" i="2"/>
  <c r="I595" i="2"/>
  <c r="Q595" i="2"/>
  <c r="D596" i="2"/>
  <c r="L595" i="2"/>
  <c r="E595" i="2"/>
  <c r="R595" i="2"/>
  <c r="K595" i="2"/>
  <c r="H626" i="1"/>
  <c r="BY231" i="1"/>
  <c r="BV628" i="1"/>
  <c r="AV229" i="1"/>
  <c r="F461" i="2"/>
  <c r="AB362" i="1" s="1"/>
  <c r="AB749" i="1"/>
  <c r="BR749" i="1"/>
  <c r="O461" i="2"/>
  <c r="BR362" i="1" s="1"/>
  <c r="W523" i="1"/>
  <c r="BJ109" i="1"/>
  <c r="CA523" i="1"/>
  <c r="BD109" i="1"/>
  <c r="BU749" i="1"/>
  <c r="Q461" i="18"/>
  <c r="BU362" i="1" s="1"/>
  <c r="CA749" i="1"/>
  <c r="R461" i="18"/>
  <c r="CA362" i="1" s="1"/>
  <c r="Q106" i="1"/>
  <c r="I104" i="18"/>
  <c r="Q104" i="18"/>
  <c r="J104" i="18"/>
  <c r="R104" i="18"/>
  <c r="K104" i="18"/>
  <c r="E104" i="18"/>
  <c r="D105" i="18"/>
  <c r="H104" i="18"/>
  <c r="G104" i="18"/>
  <c r="BY108" i="1"/>
  <c r="BV522" i="1"/>
  <c r="G628" i="1"/>
  <c r="CG360" i="1"/>
  <c r="I229" i="1"/>
  <c r="G627" i="1"/>
  <c r="H230" i="1"/>
  <c r="AI523" i="1"/>
  <c r="BV749" i="1"/>
  <c r="Q461" i="2"/>
  <c r="BV362" i="1" s="1"/>
  <c r="AJ749" i="1"/>
  <c r="L461" i="2"/>
  <c r="AJ362" i="1" s="1"/>
  <c r="BH108" i="1"/>
  <c r="BD522" i="1"/>
  <c r="AF749" i="1"/>
  <c r="P461" i="2"/>
  <c r="AF362" i="1" s="1"/>
  <c r="F460" i="2"/>
  <c r="AB361" i="1" s="1"/>
  <c r="AB748" i="1"/>
  <c r="L220" i="12"/>
  <c r="M220" i="12"/>
  <c r="F220" i="12"/>
  <c r="G220" i="12"/>
  <c r="O220" i="12"/>
  <c r="H220" i="12"/>
  <c r="P220" i="12"/>
  <c r="I220" i="12"/>
  <c r="Q220" i="12"/>
  <c r="J220" i="12"/>
  <c r="R220" i="12"/>
  <c r="K220" i="12"/>
  <c r="S220" i="12"/>
  <c r="E220" i="12"/>
  <c r="N220" i="12"/>
  <c r="O231" i="1"/>
  <c r="L628" i="1"/>
  <c r="M461" i="18"/>
  <c r="BG362" i="1" s="1"/>
  <c r="BG749" i="1"/>
  <c r="C96" i="18"/>
  <c r="R748" i="1"/>
  <c r="H460" i="2"/>
  <c r="R361" i="1" s="1"/>
  <c r="P706" i="2"/>
  <c r="AF629" i="1" s="1"/>
  <c r="G706" i="2"/>
  <c r="AP629" i="1" s="1"/>
  <c r="M706" i="2"/>
  <c r="BJ629" i="1" s="1"/>
  <c r="N706" i="2"/>
  <c r="O706" i="2"/>
  <c r="BR629" i="1" s="1"/>
  <c r="F706" i="2"/>
  <c r="AB629" i="1" s="1"/>
  <c r="J706" i="2"/>
  <c r="X629" i="1" s="1"/>
  <c r="E706" i="2"/>
  <c r="Q706" i="2"/>
  <c r="H706" i="2"/>
  <c r="K706" i="2"/>
  <c r="BD629" i="1" s="1"/>
  <c r="R706" i="2"/>
  <c r="I706" i="2"/>
  <c r="L706" i="2"/>
  <c r="BN109" i="1"/>
  <c r="AO106" i="1"/>
  <c r="D510" i="1"/>
  <c r="E510" i="1"/>
  <c r="H231" i="1"/>
  <c r="BA108" i="1"/>
  <c r="AX522" i="1"/>
  <c r="E511" i="1"/>
  <c r="D511" i="1"/>
  <c r="G522" i="1"/>
  <c r="U231" i="1"/>
  <c r="R628" i="1"/>
  <c r="H595" i="18"/>
  <c r="Q595" i="18"/>
  <c r="R595" i="18"/>
  <c r="J595" i="18"/>
  <c r="E595" i="18"/>
  <c r="D596" i="18"/>
  <c r="L595" i="18"/>
  <c r="A585" i="18"/>
  <c r="C585" i="18" s="1"/>
  <c r="C707" i="18" s="1"/>
  <c r="B585" i="18"/>
  <c r="BD749" i="1"/>
  <c r="K461" i="2"/>
  <c r="BD362" i="1" s="1"/>
  <c r="G461" i="2"/>
  <c r="AP362" i="1" s="1"/>
  <c r="AP749" i="1"/>
  <c r="CB110" i="1" l="1"/>
  <c r="BD750" i="1"/>
  <c r="K462" i="2"/>
  <c r="BD363" i="1" s="1"/>
  <c r="AW750" i="1"/>
  <c r="I462" i="18"/>
  <c r="AW363" i="1" s="1"/>
  <c r="L462" i="18"/>
  <c r="AI363" i="1" s="1"/>
  <c r="AI750" i="1"/>
  <c r="K524" i="1"/>
  <c r="CE232" i="1"/>
  <c r="CB629" i="1"/>
  <c r="Q107" i="1"/>
  <c r="U109" i="1"/>
  <c r="R523" i="1"/>
  <c r="BJ110" i="1"/>
  <c r="N108" i="2"/>
  <c r="D109" i="2"/>
  <c r="O108" i="2"/>
  <c r="H108" i="2"/>
  <c r="P108" i="2"/>
  <c r="K108" i="2"/>
  <c r="L108" i="2"/>
  <c r="E108" i="2"/>
  <c r="M108" i="2"/>
  <c r="Q108" i="2"/>
  <c r="R108" i="2"/>
  <c r="I108" i="2"/>
  <c r="H522" i="1"/>
  <c r="F462" i="2"/>
  <c r="AB363" i="1" s="1"/>
  <c r="AB750" i="1"/>
  <c r="G462" i="2"/>
  <c r="AP363" i="1" s="1"/>
  <c r="AP750" i="1"/>
  <c r="H361" i="1"/>
  <c r="BU750" i="1"/>
  <c r="Q462" i="18"/>
  <c r="BU363" i="1" s="1"/>
  <c r="BG750" i="1"/>
  <c r="M462" i="18"/>
  <c r="BG363" i="1" s="1"/>
  <c r="E596" i="18"/>
  <c r="D597" i="18"/>
  <c r="H596" i="18"/>
  <c r="Q596" i="18"/>
  <c r="R596" i="18"/>
  <c r="L596" i="18"/>
  <c r="J596" i="18"/>
  <c r="BA109" i="1"/>
  <c r="AX523" i="1"/>
  <c r="BR110" i="1"/>
  <c r="CB750" i="1"/>
  <c r="R462" i="2"/>
  <c r="CB363" i="1" s="1"/>
  <c r="L110" i="1"/>
  <c r="H362" i="1"/>
  <c r="R750" i="1"/>
  <c r="H462" i="2"/>
  <c r="R363" i="1" s="1"/>
  <c r="K750" i="1"/>
  <c r="E462" i="18"/>
  <c r="K363" i="1" s="1"/>
  <c r="U232" i="1"/>
  <c r="R629" i="1"/>
  <c r="I231" i="1"/>
  <c r="K107" i="1"/>
  <c r="D99" i="1"/>
  <c r="C513" i="1"/>
  <c r="AT232" i="1"/>
  <c r="CA750" i="1"/>
  <c r="R462" i="18"/>
  <c r="CA363" i="1" s="1"/>
  <c r="D512" i="1"/>
  <c r="E512" i="1"/>
  <c r="BY232" i="1"/>
  <c r="BV629" i="1"/>
  <c r="BC107" i="1"/>
  <c r="O109" i="1"/>
  <c r="L523" i="1"/>
  <c r="BD110" i="1"/>
  <c r="G523" i="1"/>
  <c r="B586" i="2"/>
  <c r="A586" i="2"/>
  <c r="Q750" i="1"/>
  <c r="H462" i="18"/>
  <c r="Q363" i="1" s="1"/>
  <c r="BA232" i="1"/>
  <c r="AV232" i="1" s="1"/>
  <c r="AX629" i="1"/>
  <c r="AO107" i="1"/>
  <c r="CG361" i="1"/>
  <c r="H628" i="1"/>
  <c r="BH109" i="1"/>
  <c r="BD523" i="1"/>
  <c r="BN110" i="1"/>
  <c r="BJ750" i="1"/>
  <c r="M462" i="2"/>
  <c r="BJ363" i="1" s="1"/>
  <c r="BC750" i="1"/>
  <c r="K462" i="18"/>
  <c r="BC363" i="1" s="1"/>
  <c r="CA524" i="1"/>
  <c r="CE109" i="1"/>
  <c r="CB523" i="1"/>
  <c r="AJ110" i="1"/>
  <c r="J462" i="2"/>
  <c r="X363" i="1" s="1"/>
  <c r="X750" i="1"/>
  <c r="K706" i="18"/>
  <c r="BC629" i="1" s="1"/>
  <c r="M706" i="18"/>
  <c r="BG629" i="1" s="1"/>
  <c r="I706" i="18"/>
  <c r="AW629" i="1" s="1"/>
  <c r="O706" i="18"/>
  <c r="BQ629" i="1" s="1"/>
  <c r="F706" i="18"/>
  <c r="AA629" i="1" s="1"/>
  <c r="P706" i="18"/>
  <c r="AE629" i="1" s="1"/>
  <c r="G706" i="18"/>
  <c r="AO629" i="1" s="1"/>
  <c r="J706" i="18"/>
  <c r="W629" i="1" s="1"/>
  <c r="R706" i="18"/>
  <c r="CA629" i="1" s="1"/>
  <c r="L706" i="18"/>
  <c r="AI629" i="1" s="1"/>
  <c r="H706" i="18"/>
  <c r="Q629" i="1" s="1"/>
  <c r="E706" i="18"/>
  <c r="K629" i="1" s="1"/>
  <c r="Q706" i="18"/>
  <c r="BU629" i="1" s="1"/>
  <c r="F707" i="2"/>
  <c r="AB630" i="1" s="1"/>
  <c r="P707" i="2"/>
  <c r="AF630" i="1" s="1"/>
  <c r="E707" i="2"/>
  <c r="L707" i="2"/>
  <c r="G106" i="1"/>
  <c r="BU524" i="1"/>
  <c r="A586" i="18"/>
  <c r="B586" i="18"/>
  <c r="Q524" i="1"/>
  <c r="O232" i="1"/>
  <c r="L629" i="1"/>
  <c r="CA107" i="1"/>
  <c r="AM109" i="1"/>
  <c r="AJ524" i="1"/>
  <c r="G232" i="1"/>
  <c r="C751" i="1"/>
  <c r="L341" i="2"/>
  <c r="H341" i="2"/>
  <c r="F341" i="2"/>
  <c r="O341" i="2"/>
  <c r="R341" i="2"/>
  <c r="K341" i="2"/>
  <c r="Q341" i="2"/>
  <c r="G341" i="2"/>
  <c r="M341" i="2"/>
  <c r="E341" i="2"/>
  <c r="P341" i="2"/>
  <c r="N341" i="2"/>
  <c r="N463" i="2" s="1"/>
  <c r="BN364" i="1" s="1"/>
  <c r="I341" i="2"/>
  <c r="J341" i="2"/>
  <c r="BV110" i="1"/>
  <c r="BV750" i="1"/>
  <c r="Q462" i="2"/>
  <c r="BV363" i="1" s="1"/>
  <c r="AF750" i="1"/>
  <c r="P462" i="2"/>
  <c r="AF363" i="1" s="1"/>
  <c r="P462" i="18"/>
  <c r="AE363" i="1" s="1"/>
  <c r="AE750" i="1"/>
  <c r="W524" i="1"/>
  <c r="J105" i="18"/>
  <c r="R105" i="18"/>
  <c r="H105" i="18"/>
  <c r="Q105" i="18"/>
  <c r="I105" i="18"/>
  <c r="K105" i="18"/>
  <c r="D106" i="18"/>
  <c r="G105" i="18"/>
  <c r="E105" i="18"/>
  <c r="O707" i="18"/>
  <c r="BQ630" i="1" s="1"/>
  <c r="G707" i="18"/>
  <c r="AO630" i="1" s="1"/>
  <c r="P707" i="18"/>
  <c r="AE630" i="1" s="1"/>
  <c r="L707" i="18"/>
  <c r="AI630" i="1" s="1"/>
  <c r="J707" i="18"/>
  <c r="W630" i="1" s="1"/>
  <c r="R707" i="18"/>
  <c r="CA630" i="1" s="1"/>
  <c r="W107" i="1"/>
  <c r="D597" i="2"/>
  <c r="L596" i="2"/>
  <c r="E596" i="2"/>
  <c r="H596" i="2"/>
  <c r="Q596" i="2"/>
  <c r="K596" i="2"/>
  <c r="R596" i="2"/>
  <c r="I596" i="2"/>
  <c r="A96" i="10"/>
  <c r="C219" i="18"/>
  <c r="C342" i="18"/>
  <c r="C464" i="18"/>
  <c r="A96" i="13"/>
  <c r="C96" i="13" s="1"/>
  <c r="C222" i="12"/>
  <c r="G218" i="2"/>
  <c r="AP233" i="1" s="1"/>
  <c r="P218" i="2"/>
  <c r="AF233" i="1" s="1"/>
  <c r="Q218" i="2"/>
  <c r="BV233" i="1" s="1"/>
  <c r="I218" i="2"/>
  <c r="AX233" i="1" s="1"/>
  <c r="H218" i="2"/>
  <c r="R233" i="1" s="1"/>
  <c r="R218" i="2"/>
  <c r="CB233" i="1" s="1"/>
  <c r="M218" i="2"/>
  <c r="BJ233" i="1" s="1"/>
  <c r="O218" i="2"/>
  <c r="BR233" i="1" s="1"/>
  <c r="K218" i="2"/>
  <c r="BD233" i="1" s="1"/>
  <c r="R110" i="1"/>
  <c r="AV231" i="1"/>
  <c r="BR750" i="1"/>
  <c r="O462" i="2"/>
  <c r="BR363" i="1" s="1"/>
  <c r="L750" i="1"/>
  <c r="E462" i="2"/>
  <c r="L363" i="1" s="1"/>
  <c r="H363" i="1" s="1"/>
  <c r="C219" i="2"/>
  <c r="C342" i="2"/>
  <c r="C464" i="2"/>
  <c r="C100" i="1"/>
  <c r="C234" i="1"/>
  <c r="C643" i="1" s="1"/>
  <c r="C365" i="1"/>
  <c r="D365" i="1" s="1"/>
  <c r="H109" i="1"/>
  <c r="W750" i="1"/>
  <c r="J462" i="18"/>
  <c r="W363" i="1" s="1"/>
  <c r="F462" i="18"/>
  <c r="AA363" i="1" s="1"/>
  <c r="AA750" i="1"/>
  <c r="AW107" i="1"/>
  <c r="AI524" i="1"/>
  <c r="AM232" i="1"/>
  <c r="AJ629" i="1"/>
  <c r="A95" i="10"/>
  <c r="O707" i="2" s="1"/>
  <c r="BR630" i="1" s="1"/>
  <c r="C341" i="18"/>
  <c r="C463" i="18"/>
  <c r="C218" i="18"/>
  <c r="A95" i="13"/>
  <c r="C95" i="13" s="1"/>
  <c r="C221" i="12"/>
  <c r="BU107" i="1"/>
  <c r="BY109" i="1"/>
  <c r="BV523" i="1"/>
  <c r="G362" i="1"/>
  <c r="A98" i="18"/>
  <c r="C98" i="18" s="1"/>
  <c r="B98" i="18"/>
  <c r="AX110" i="1"/>
  <c r="AF110" i="1"/>
  <c r="AJ750" i="1"/>
  <c r="L462" i="2"/>
  <c r="AJ363" i="1" s="1"/>
  <c r="AX750" i="1"/>
  <c r="I462" i="2"/>
  <c r="AX363" i="1" s="1"/>
  <c r="A98" i="2"/>
  <c r="C98" i="2" s="1"/>
  <c r="B98" i="2"/>
  <c r="AO750" i="1"/>
  <c r="G462" i="18"/>
  <c r="AO363" i="1" s="1"/>
  <c r="O462" i="18"/>
  <c r="BQ363" i="1" s="1"/>
  <c r="BQ750" i="1"/>
  <c r="A97" i="10" l="1"/>
  <c r="C220" i="18"/>
  <c r="C343" i="18"/>
  <c r="C465" i="18"/>
  <c r="A97" i="13"/>
  <c r="C97" i="13" s="1"/>
  <c r="C223" i="12"/>
  <c r="U110" i="1"/>
  <c r="R524" i="1"/>
  <c r="BD751" i="1"/>
  <c r="K463" i="2"/>
  <c r="BD364" i="1" s="1"/>
  <c r="Q525" i="1"/>
  <c r="CB751" i="1"/>
  <c r="R463" i="2"/>
  <c r="CB364" i="1" s="1"/>
  <c r="P218" i="18"/>
  <c r="AE233" i="1" s="1"/>
  <c r="F218" i="18"/>
  <c r="AA233" i="1" s="1"/>
  <c r="L218" i="18"/>
  <c r="AI233" i="1" s="1"/>
  <c r="M218" i="18"/>
  <c r="BG233" i="1" s="1"/>
  <c r="O218" i="18"/>
  <c r="BQ233" i="1" s="1"/>
  <c r="A217" i="13"/>
  <c r="C217" i="13" s="1"/>
  <c r="G218" i="18"/>
  <c r="AO233" i="1" s="1"/>
  <c r="J218" i="18"/>
  <c r="W233" i="1" s="1"/>
  <c r="K218" i="18"/>
  <c r="BC233" i="1" s="1"/>
  <c r="R218" i="18"/>
  <c r="CA233" i="1" s="1"/>
  <c r="Q218" i="18"/>
  <c r="BU233" i="1" s="1"/>
  <c r="I218" i="18"/>
  <c r="AW233" i="1" s="1"/>
  <c r="H218" i="18"/>
  <c r="Q233" i="1" s="1"/>
  <c r="E218" i="18"/>
  <c r="K233" i="1" s="1"/>
  <c r="O219" i="18"/>
  <c r="BQ234" i="1" s="1"/>
  <c r="P219" i="18"/>
  <c r="AE234" i="1" s="1"/>
  <c r="F219" i="18"/>
  <c r="AA234" i="1" s="1"/>
  <c r="A218" i="13"/>
  <c r="C218" i="13" s="1"/>
  <c r="M219" i="18"/>
  <c r="BG234" i="1" s="1"/>
  <c r="L219" i="18"/>
  <c r="AI234" i="1" s="1"/>
  <c r="Q219" i="18"/>
  <c r="BU234" i="1" s="1"/>
  <c r="H219" i="18"/>
  <c r="Q234" i="1" s="1"/>
  <c r="K219" i="18"/>
  <c r="BC234" i="1" s="1"/>
  <c r="I219" i="18"/>
  <c r="AW234" i="1" s="1"/>
  <c r="J219" i="18"/>
  <c r="W234" i="1" s="1"/>
  <c r="E219" i="18"/>
  <c r="K234" i="1" s="1"/>
  <c r="G219" i="18"/>
  <c r="AO234" i="1" s="1"/>
  <c r="R219" i="18"/>
  <c r="CA234" i="1" s="1"/>
  <c r="C220" i="2"/>
  <c r="C343" i="2"/>
  <c r="C465" i="2"/>
  <c r="C101" i="1"/>
  <c r="C235" i="1"/>
  <c r="C644" i="1" s="1"/>
  <c r="C366" i="1"/>
  <c r="D366" i="1" s="1"/>
  <c r="G341" i="18"/>
  <c r="P341" i="18"/>
  <c r="H341" i="18"/>
  <c r="R341" i="18"/>
  <c r="I341" i="18"/>
  <c r="J341" i="18"/>
  <c r="L341" i="18"/>
  <c r="Q341" i="18"/>
  <c r="E341" i="18"/>
  <c r="F341" i="18"/>
  <c r="M341" i="18"/>
  <c r="O341" i="18"/>
  <c r="K341" i="18"/>
  <c r="E218" i="2"/>
  <c r="L233" i="1" s="1"/>
  <c r="H233" i="1" s="1"/>
  <c r="A99" i="18"/>
  <c r="C99" i="18" s="1"/>
  <c r="B99" i="18"/>
  <c r="G219" i="2"/>
  <c r="AP234" i="1" s="1"/>
  <c r="F219" i="2"/>
  <c r="AB234" i="1" s="1"/>
  <c r="J219" i="2"/>
  <c r="X234" i="1" s="1"/>
  <c r="E219" i="2"/>
  <c r="L234" i="1" s="1"/>
  <c r="R219" i="2"/>
  <c r="CB234" i="1" s="1"/>
  <c r="H219" i="2"/>
  <c r="R234" i="1" s="1"/>
  <c r="M219" i="2"/>
  <c r="BJ234" i="1" s="1"/>
  <c r="I219" i="2"/>
  <c r="AX234" i="1" s="1"/>
  <c r="O219" i="2"/>
  <c r="BR234" i="1" s="1"/>
  <c r="P219" i="2"/>
  <c r="AF234" i="1" s="1"/>
  <c r="L219" i="2"/>
  <c r="AJ234" i="1" s="1"/>
  <c r="N219" i="2"/>
  <c r="BN234" i="1" s="1"/>
  <c r="K219" i="2"/>
  <c r="BD234" i="1" s="1"/>
  <c r="Q219" i="2"/>
  <c r="BV234" i="1" s="1"/>
  <c r="L218" i="2"/>
  <c r="AJ233" i="1" s="1"/>
  <c r="BY110" i="1"/>
  <c r="BV524" i="1"/>
  <c r="H707" i="18"/>
  <c r="Q630" i="1" s="1"/>
  <c r="I707" i="18"/>
  <c r="AW630" i="1" s="1"/>
  <c r="BC108" i="1"/>
  <c r="BV751" i="1"/>
  <c r="Q463" i="2"/>
  <c r="BV364" i="1" s="1"/>
  <c r="I232" i="1"/>
  <c r="H707" i="2"/>
  <c r="G707" i="2"/>
  <c r="AP630" i="1" s="1"/>
  <c r="C586" i="2"/>
  <c r="C708" i="2" s="1"/>
  <c r="BU525" i="1"/>
  <c r="BV111" i="1"/>
  <c r="L109" i="2"/>
  <c r="E109" i="2"/>
  <c r="M109" i="2"/>
  <c r="N109" i="2"/>
  <c r="D110" i="2"/>
  <c r="I109" i="2"/>
  <c r="Q109" i="2"/>
  <c r="R109" i="2"/>
  <c r="K109" i="2"/>
  <c r="O109" i="2"/>
  <c r="H109" i="2"/>
  <c r="P109" i="2"/>
  <c r="J463" i="2"/>
  <c r="X364" i="1" s="1"/>
  <c r="X751" i="1"/>
  <c r="AM233" i="1"/>
  <c r="AJ630" i="1"/>
  <c r="BN111" i="1"/>
  <c r="O110" i="1"/>
  <c r="L524" i="1"/>
  <c r="AX751" i="1"/>
  <c r="I463" i="2"/>
  <c r="AX364" i="1" s="1"/>
  <c r="H110" i="1"/>
  <c r="L597" i="18"/>
  <c r="E597" i="18"/>
  <c r="D598" i="18"/>
  <c r="H597" i="18"/>
  <c r="Q597" i="18"/>
  <c r="J597" i="18"/>
  <c r="R597" i="18"/>
  <c r="AM110" i="1"/>
  <c r="AJ525" i="1"/>
  <c r="Q108" i="1"/>
  <c r="BR751" i="1"/>
  <c r="O463" i="2"/>
  <c r="BR364" i="1" s="1"/>
  <c r="A587" i="18"/>
  <c r="B587" i="18"/>
  <c r="I707" i="2"/>
  <c r="N707" i="2"/>
  <c r="E513" i="1"/>
  <c r="D513" i="1"/>
  <c r="K525" i="1"/>
  <c r="AJ111" i="1"/>
  <c r="A99" i="2"/>
  <c r="C99" i="2" s="1"/>
  <c r="B99" i="2"/>
  <c r="N218" i="2"/>
  <c r="BN233" i="1" s="1"/>
  <c r="J218" i="2"/>
  <c r="X233" i="1" s="1"/>
  <c r="L597" i="2"/>
  <c r="E597" i="2"/>
  <c r="R597" i="2"/>
  <c r="K597" i="2"/>
  <c r="H597" i="2"/>
  <c r="D598" i="2"/>
  <c r="I597" i="2"/>
  <c r="Q597" i="2"/>
  <c r="E707" i="18"/>
  <c r="K630" i="1" s="1"/>
  <c r="K707" i="18"/>
  <c r="BC630" i="1" s="1"/>
  <c r="CA108" i="1"/>
  <c r="AF751" i="1"/>
  <c r="P463" i="2"/>
  <c r="AF364" i="1" s="1"/>
  <c r="F463" i="2"/>
  <c r="AB364" i="1" s="1"/>
  <c r="AB751" i="1"/>
  <c r="C586" i="18"/>
  <c r="C708" i="18" s="1"/>
  <c r="R707" i="2"/>
  <c r="M707" i="2"/>
  <c r="BJ630" i="1" s="1"/>
  <c r="F99" i="1"/>
  <c r="BD111" i="1"/>
  <c r="L221" i="12"/>
  <c r="M221" i="12"/>
  <c r="F221" i="12"/>
  <c r="G221" i="12"/>
  <c r="O221" i="12"/>
  <c r="H221" i="12"/>
  <c r="P221" i="12"/>
  <c r="I221" i="12"/>
  <c r="Q221" i="12"/>
  <c r="J221" i="12"/>
  <c r="R221" i="12"/>
  <c r="N221" i="12"/>
  <c r="K221" i="12"/>
  <c r="S221" i="12"/>
  <c r="E221" i="12"/>
  <c r="AW108" i="1"/>
  <c r="BU108" i="1"/>
  <c r="D100" i="1"/>
  <c r="F100" i="1"/>
  <c r="E100" i="1"/>
  <c r="C514" i="1"/>
  <c r="BA110" i="1"/>
  <c r="AX524" i="1"/>
  <c r="Q707" i="18"/>
  <c r="BU630" i="1" s="1"/>
  <c r="K108" i="1"/>
  <c r="W108" i="1"/>
  <c r="L751" i="1"/>
  <c r="E463" i="2"/>
  <c r="L364" i="1" s="1"/>
  <c r="R751" i="1"/>
  <c r="H463" i="2"/>
  <c r="R364" i="1" s="1"/>
  <c r="K707" i="2"/>
  <c r="BD630" i="1" s="1"/>
  <c r="J707" i="2"/>
  <c r="X630" i="1" s="1"/>
  <c r="E99" i="1"/>
  <c r="G363" i="1"/>
  <c r="CG363" i="1" s="1"/>
  <c r="W525" i="1"/>
  <c r="AF111" i="1"/>
  <c r="G524" i="1"/>
  <c r="AT233" i="1"/>
  <c r="BJ111" i="1"/>
  <c r="K342" i="18"/>
  <c r="L342" i="18"/>
  <c r="E342" i="18"/>
  <c r="M342" i="18"/>
  <c r="G342" i="18"/>
  <c r="P342" i="18"/>
  <c r="F342" i="18"/>
  <c r="H342" i="18"/>
  <c r="I342" i="18"/>
  <c r="J342" i="18"/>
  <c r="Q342" i="18"/>
  <c r="O342" i="18"/>
  <c r="R342" i="18"/>
  <c r="F218" i="2"/>
  <c r="AB233" i="1" s="1"/>
  <c r="CE110" i="1"/>
  <c r="CB524" i="1"/>
  <c r="M707" i="18"/>
  <c r="BG630" i="1" s="1"/>
  <c r="AO108" i="1"/>
  <c r="BJ751" i="1"/>
  <c r="M463" i="2"/>
  <c r="BJ364" i="1" s="1"/>
  <c r="AJ751" i="1"/>
  <c r="L463" i="2"/>
  <c r="AJ364" i="1" s="1"/>
  <c r="Q707" i="2"/>
  <c r="H523" i="1"/>
  <c r="AI525" i="1"/>
  <c r="AX111" i="1"/>
  <c r="R111" i="1"/>
  <c r="A587" i="2"/>
  <c r="C587" i="2" s="1"/>
  <c r="C709" i="2" s="1"/>
  <c r="B587" i="2"/>
  <c r="CG362" i="1"/>
  <c r="O233" i="1"/>
  <c r="L630" i="1"/>
  <c r="L111" i="1"/>
  <c r="C752" i="1"/>
  <c r="M342" i="2"/>
  <c r="K342" i="2"/>
  <c r="J342" i="2"/>
  <c r="G342" i="2"/>
  <c r="R342" i="2"/>
  <c r="I342" i="2"/>
  <c r="E342" i="2"/>
  <c r="N342" i="2"/>
  <c r="N464" i="2" s="1"/>
  <c r="BN365" i="1" s="1"/>
  <c r="L342" i="2"/>
  <c r="H342" i="2"/>
  <c r="F342" i="2"/>
  <c r="O342" i="2"/>
  <c r="Q342" i="2"/>
  <c r="P342" i="2"/>
  <c r="L222" i="12"/>
  <c r="E222" i="12"/>
  <c r="F222" i="12"/>
  <c r="N222" i="12"/>
  <c r="G222" i="12"/>
  <c r="O222" i="12"/>
  <c r="H222" i="12"/>
  <c r="P222" i="12"/>
  <c r="I222" i="12"/>
  <c r="Q222" i="12"/>
  <c r="J222" i="12"/>
  <c r="R222" i="12"/>
  <c r="K222" i="12"/>
  <c r="S222" i="12"/>
  <c r="M222" i="12"/>
  <c r="BH110" i="1"/>
  <c r="BD524" i="1"/>
  <c r="F707" i="18"/>
  <c r="AA630" i="1" s="1"/>
  <c r="H106" i="18"/>
  <c r="I106" i="18"/>
  <c r="Q106" i="18"/>
  <c r="J106" i="18"/>
  <c r="R106" i="18"/>
  <c r="K106" i="18"/>
  <c r="G106" i="18"/>
  <c r="D107" i="18"/>
  <c r="E106" i="18"/>
  <c r="G463" i="2"/>
  <c r="AP364" i="1" s="1"/>
  <c r="AP751" i="1"/>
  <c r="H629" i="1"/>
  <c r="G629" i="1"/>
  <c r="I109" i="1"/>
  <c r="G107" i="1"/>
  <c r="CA525" i="1"/>
  <c r="CB111" i="1"/>
  <c r="BR111" i="1"/>
  <c r="BC752" i="1" l="1"/>
  <c r="K464" i="18"/>
  <c r="BC365" i="1" s="1"/>
  <c r="R598" i="2"/>
  <c r="K598" i="2"/>
  <c r="H598" i="2"/>
  <c r="I598" i="2"/>
  <c r="Q598" i="2"/>
  <c r="E598" i="2"/>
  <c r="L598" i="2"/>
  <c r="D599" i="2"/>
  <c r="A100" i="2"/>
  <c r="C100" i="2" s="1"/>
  <c r="B100" i="2"/>
  <c r="Q526" i="1"/>
  <c r="I110" i="1"/>
  <c r="R110" i="2"/>
  <c r="K110" i="2"/>
  <c r="L110" i="2"/>
  <c r="O110" i="2"/>
  <c r="H110" i="2"/>
  <c r="P110" i="2"/>
  <c r="Q110" i="2"/>
  <c r="E110" i="2"/>
  <c r="D111" i="2"/>
  <c r="M110" i="2"/>
  <c r="N110" i="2"/>
  <c r="I110" i="2"/>
  <c r="A98" i="10"/>
  <c r="C221" i="18"/>
  <c r="C344" i="18"/>
  <c r="C466" i="18"/>
  <c r="A98" i="13"/>
  <c r="C98" i="13" s="1"/>
  <c r="C224" i="12"/>
  <c r="L463" i="18"/>
  <c r="AI364" i="1" s="1"/>
  <c r="AI751" i="1"/>
  <c r="W751" i="1"/>
  <c r="J463" i="18"/>
  <c r="W364" i="1" s="1"/>
  <c r="D101" i="1"/>
  <c r="E101" i="1"/>
  <c r="F101" i="1"/>
  <c r="C515" i="1"/>
  <c r="J464" i="2"/>
  <c r="X365" i="1" s="1"/>
  <c r="X752" i="1"/>
  <c r="Q109" i="1"/>
  <c r="BD752" i="1"/>
  <c r="K464" i="2"/>
  <c r="BD365" i="1" s="1"/>
  <c r="CE233" i="1"/>
  <c r="CB630" i="1"/>
  <c r="A588" i="18"/>
  <c r="C588" i="18" s="1"/>
  <c r="C710" i="18" s="1"/>
  <c r="B588" i="18"/>
  <c r="H234" i="1"/>
  <c r="W109" i="1"/>
  <c r="AW752" i="1"/>
  <c r="I464" i="18"/>
  <c r="AW365" i="1" s="1"/>
  <c r="U111" i="1"/>
  <c r="R525" i="1"/>
  <c r="L598" i="18"/>
  <c r="E598" i="18"/>
  <c r="D599" i="18"/>
  <c r="J598" i="18"/>
  <c r="Q598" i="18"/>
  <c r="R598" i="18"/>
  <c r="H598" i="18"/>
  <c r="BH111" i="1"/>
  <c r="BD525" i="1"/>
  <c r="K526" i="1"/>
  <c r="BJ112" i="1"/>
  <c r="BC751" i="1"/>
  <c r="K463" i="18"/>
  <c r="BC364" i="1" s="1"/>
  <c r="L223" i="12"/>
  <c r="E223" i="12"/>
  <c r="N223" i="12"/>
  <c r="G223" i="12"/>
  <c r="O223" i="12"/>
  <c r="H223" i="12"/>
  <c r="P223" i="12"/>
  <c r="I223" i="12"/>
  <c r="Q223" i="12"/>
  <c r="J223" i="12"/>
  <c r="R223" i="12"/>
  <c r="K223" i="12"/>
  <c r="S223" i="12"/>
  <c r="M223" i="12"/>
  <c r="F223" i="12"/>
  <c r="K109" i="1"/>
  <c r="P464" i="18"/>
  <c r="AE365" i="1" s="1"/>
  <c r="AE752" i="1"/>
  <c r="CE111" i="1"/>
  <c r="CB525" i="1"/>
  <c r="AI526" i="1"/>
  <c r="BR112" i="1"/>
  <c r="L112" i="1"/>
  <c r="O463" i="18"/>
  <c r="BQ364" i="1" s="1"/>
  <c r="BQ751" i="1"/>
  <c r="CA751" i="1"/>
  <c r="R463" i="18"/>
  <c r="CA364" i="1" s="1"/>
  <c r="C753" i="1"/>
  <c r="F343" i="2"/>
  <c r="Q343" i="2"/>
  <c r="H343" i="2"/>
  <c r="R343" i="2"/>
  <c r="I343" i="2"/>
  <c r="M343" i="2"/>
  <c r="E343" i="2"/>
  <c r="N343" i="2"/>
  <c r="N465" i="2" s="1"/>
  <c r="BN366" i="1" s="1"/>
  <c r="K343" i="2"/>
  <c r="G343" i="2"/>
  <c r="L343" i="2"/>
  <c r="P343" i="2"/>
  <c r="J343" i="2"/>
  <c r="O343" i="2"/>
  <c r="G233" i="1"/>
  <c r="D108" i="18"/>
  <c r="G107" i="18"/>
  <c r="H107" i="18"/>
  <c r="I107" i="18"/>
  <c r="Q107" i="18"/>
  <c r="J107" i="18"/>
  <c r="R107" i="18"/>
  <c r="K107" i="18"/>
  <c r="E107" i="18"/>
  <c r="AJ752" i="1"/>
  <c r="L464" i="2"/>
  <c r="AJ365" i="1" s="1"/>
  <c r="BJ752" i="1"/>
  <c r="M464" i="2"/>
  <c r="BJ365" i="1" s="1"/>
  <c r="A588" i="2"/>
  <c r="B588" i="2"/>
  <c r="CA752" i="1"/>
  <c r="R464" i="18"/>
  <c r="CA365" i="1" s="1"/>
  <c r="AO752" i="1"/>
  <c r="G464" i="18"/>
  <c r="AO365" i="1" s="1"/>
  <c r="G708" i="18"/>
  <c r="AO631" i="1" s="1"/>
  <c r="P708" i="18"/>
  <c r="AE631" i="1" s="1"/>
  <c r="I708" i="18"/>
  <c r="AW631" i="1" s="1"/>
  <c r="K708" i="18"/>
  <c r="BC631" i="1" s="1"/>
  <c r="F708" i="18"/>
  <c r="AA631" i="1" s="1"/>
  <c r="O708" i="18"/>
  <c r="BQ631" i="1" s="1"/>
  <c r="M708" i="18"/>
  <c r="BG631" i="1" s="1"/>
  <c r="H708" i="18"/>
  <c r="Q631" i="1" s="1"/>
  <c r="L708" i="18"/>
  <c r="AI631" i="1" s="1"/>
  <c r="E708" i="18"/>
  <c r="K631" i="1" s="1"/>
  <c r="G631" i="1" s="1"/>
  <c r="R708" i="18"/>
  <c r="CA631" i="1" s="1"/>
  <c r="J708" i="18"/>
  <c r="W631" i="1" s="1"/>
  <c r="Q708" i="18"/>
  <c r="BU631" i="1" s="1"/>
  <c r="O111" i="1"/>
  <c r="L525" i="1"/>
  <c r="C587" i="18"/>
  <c r="C709" i="18" s="1"/>
  <c r="BD112" i="1"/>
  <c r="AJ112" i="1"/>
  <c r="U233" i="1"/>
  <c r="R630" i="1"/>
  <c r="H630" i="1" s="1"/>
  <c r="M463" i="18"/>
  <c r="BG364" i="1" s="1"/>
  <c r="BG751" i="1"/>
  <c r="Q751" i="1"/>
  <c r="H463" i="18"/>
  <c r="Q364" i="1" s="1"/>
  <c r="J220" i="2"/>
  <c r="X235" i="1" s="1"/>
  <c r="F220" i="2"/>
  <c r="AB235" i="1" s="1"/>
  <c r="G220" i="2"/>
  <c r="AP235" i="1" s="1"/>
  <c r="R220" i="2"/>
  <c r="CB235" i="1" s="1"/>
  <c r="O220" i="2"/>
  <c r="BR235" i="1" s="1"/>
  <c r="I220" i="2"/>
  <c r="AX235" i="1" s="1"/>
  <c r="E220" i="2"/>
  <c r="L235" i="1" s="1"/>
  <c r="L220" i="2"/>
  <c r="AJ235" i="1" s="1"/>
  <c r="P220" i="2"/>
  <c r="AF235" i="1" s="1"/>
  <c r="Q220" i="2"/>
  <c r="BV235" i="1" s="1"/>
  <c r="N220" i="2"/>
  <c r="BN235" i="1" s="1"/>
  <c r="H220" i="2"/>
  <c r="R235" i="1" s="1"/>
  <c r="K220" i="2"/>
  <c r="BD235" i="1" s="1"/>
  <c r="M220" i="2"/>
  <c r="BJ235" i="1" s="1"/>
  <c r="CB752" i="1"/>
  <c r="R464" i="2"/>
  <c r="CB365" i="1" s="1"/>
  <c r="BR752" i="1"/>
  <c r="O464" i="2"/>
  <c r="BR365" i="1" s="1"/>
  <c r="C221" i="2"/>
  <c r="C344" i="2"/>
  <c r="C466" i="2"/>
  <c r="C102" i="1"/>
  <c r="C236" i="1"/>
  <c r="C645" i="1" s="1"/>
  <c r="C367" i="1"/>
  <c r="D367" i="1" s="1"/>
  <c r="AW109" i="1"/>
  <c r="F464" i="2"/>
  <c r="AB365" i="1" s="1"/>
  <c r="AB752" i="1"/>
  <c r="R112" i="1"/>
  <c r="J708" i="2"/>
  <c r="X631" i="1" s="1"/>
  <c r="N708" i="2"/>
  <c r="O708" i="2"/>
  <c r="BR631" i="1" s="1"/>
  <c r="F708" i="2"/>
  <c r="AB631" i="1" s="1"/>
  <c r="P708" i="2"/>
  <c r="AF631" i="1" s="1"/>
  <c r="G708" i="2"/>
  <c r="AP631" i="1" s="1"/>
  <c r="M708" i="2"/>
  <c r="BJ631" i="1" s="1"/>
  <c r="E708" i="2"/>
  <c r="K708" i="2"/>
  <c r="BD631" i="1" s="1"/>
  <c r="I708" i="2"/>
  <c r="H708" i="2"/>
  <c r="L708" i="2"/>
  <c r="Q708" i="2"/>
  <c r="R708" i="2"/>
  <c r="AW751" i="1"/>
  <c r="I463" i="18"/>
  <c r="AW364" i="1" s="1"/>
  <c r="AO109" i="1"/>
  <c r="J709" i="2"/>
  <c r="X632" i="1" s="1"/>
  <c r="N709" i="2"/>
  <c r="O709" i="2"/>
  <c r="BR632" i="1" s="1"/>
  <c r="G709" i="2"/>
  <c r="AP632" i="1" s="1"/>
  <c r="F709" i="2"/>
  <c r="AB632" i="1" s="1"/>
  <c r="P709" i="2"/>
  <c r="AF632" i="1" s="1"/>
  <c r="M709" i="2"/>
  <c r="BJ632" i="1" s="1"/>
  <c r="K709" i="2"/>
  <c r="BD632" i="1" s="1"/>
  <c r="R709" i="2"/>
  <c r="H709" i="2"/>
  <c r="E709" i="2"/>
  <c r="L709" i="2"/>
  <c r="Q709" i="2"/>
  <c r="I709" i="2"/>
  <c r="O464" i="18"/>
  <c r="BQ365" i="1" s="1"/>
  <c r="BQ752" i="1"/>
  <c r="BG752" i="1"/>
  <c r="M464" i="18"/>
  <c r="BG365" i="1" s="1"/>
  <c r="D514" i="1"/>
  <c r="E514" i="1"/>
  <c r="G630" i="1"/>
  <c r="AM111" i="1"/>
  <c r="AJ526" i="1"/>
  <c r="G525" i="1"/>
  <c r="CA526" i="1"/>
  <c r="CB112" i="1"/>
  <c r="F463" i="18"/>
  <c r="AA364" i="1" s="1"/>
  <c r="AA751" i="1"/>
  <c r="P463" i="18"/>
  <c r="AE364" i="1" s="1"/>
  <c r="AE751" i="1"/>
  <c r="E343" i="18"/>
  <c r="M343" i="18"/>
  <c r="F343" i="18"/>
  <c r="O343" i="18"/>
  <c r="G343" i="18"/>
  <c r="P343" i="18"/>
  <c r="I343" i="18"/>
  <c r="R343" i="18"/>
  <c r="H343" i="18"/>
  <c r="J343" i="18"/>
  <c r="K343" i="18"/>
  <c r="L343" i="18"/>
  <c r="Q343" i="18"/>
  <c r="BV752" i="1"/>
  <c r="Q464" i="2"/>
  <c r="BV365" i="1" s="1"/>
  <c r="G464" i="2"/>
  <c r="AP365" i="1" s="1"/>
  <c r="AP752" i="1"/>
  <c r="H364" i="1"/>
  <c r="AF112" i="1"/>
  <c r="BC109" i="1"/>
  <c r="L752" i="1"/>
  <c r="E464" i="2"/>
  <c r="L365" i="1" s="1"/>
  <c r="H111" i="1"/>
  <c r="BU752" i="1"/>
  <c r="Q464" i="18"/>
  <c r="BU365" i="1" s="1"/>
  <c r="K752" i="1"/>
  <c r="E464" i="18"/>
  <c r="K365" i="1" s="1"/>
  <c r="G365" i="1" s="1"/>
  <c r="G108" i="1"/>
  <c r="BY111" i="1"/>
  <c r="BV525" i="1"/>
  <c r="W526" i="1"/>
  <c r="BV112" i="1"/>
  <c r="K751" i="1"/>
  <c r="E463" i="18"/>
  <c r="K364" i="1" s="1"/>
  <c r="AO751" i="1"/>
  <c r="G463" i="18"/>
  <c r="AO364" i="1" s="1"/>
  <c r="F220" i="18"/>
  <c r="AA235" i="1" s="1"/>
  <c r="O220" i="18"/>
  <c r="BQ235" i="1" s="1"/>
  <c r="P220" i="18"/>
  <c r="AE235" i="1" s="1"/>
  <c r="L220" i="18"/>
  <c r="AI235" i="1" s="1"/>
  <c r="A219" i="13"/>
  <c r="C219" i="13" s="1"/>
  <c r="M220" i="18"/>
  <c r="BG235" i="1" s="1"/>
  <c r="K220" i="18"/>
  <c r="BC235" i="1" s="1"/>
  <c r="R220" i="18"/>
  <c r="CA235" i="1" s="1"/>
  <c r="J220" i="18"/>
  <c r="W235" i="1" s="1"/>
  <c r="G220" i="18"/>
  <c r="AO235" i="1" s="1"/>
  <c r="H220" i="18"/>
  <c r="Q235" i="1" s="1"/>
  <c r="Q220" i="18"/>
  <c r="BU235" i="1" s="1"/>
  <c r="E220" i="18"/>
  <c r="K235" i="1" s="1"/>
  <c r="I220" i="18"/>
  <c r="AW235" i="1" s="1"/>
  <c r="BU109" i="1"/>
  <c r="Q752" i="1"/>
  <c r="H464" i="18"/>
  <c r="Q365" i="1" s="1"/>
  <c r="BN112" i="1"/>
  <c r="F464" i="18"/>
  <c r="AA365" i="1" s="1"/>
  <c r="AA752" i="1"/>
  <c r="BA233" i="1"/>
  <c r="I233" i="1" s="1"/>
  <c r="AX630" i="1"/>
  <c r="R752" i="1"/>
  <c r="H464" i="2"/>
  <c r="R365" i="1" s="1"/>
  <c r="CA109" i="1"/>
  <c r="AF752" i="1"/>
  <c r="P464" i="2"/>
  <c r="AF365" i="1" s="1"/>
  <c r="AX752" i="1"/>
  <c r="I464" i="2"/>
  <c r="AX365" i="1" s="1"/>
  <c r="BY233" i="1"/>
  <c r="BV630" i="1"/>
  <c r="W752" i="1"/>
  <c r="J464" i="18"/>
  <c r="W365" i="1" s="1"/>
  <c r="L464" i="18"/>
  <c r="AI365" i="1" s="1"/>
  <c r="AI752" i="1"/>
  <c r="BA111" i="1"/>
  <c r="AX525" i="1"/>
  <c r="BU526" i="1"/>
  <c r="H524" i="1"/>
  <c r="AX112" i="1"/>
  <c r="AT234" i="1"/>
  <c r="B100" i="18"/>
  <c r="A100" i="18"/>
  <c r="C100" i="18" s="1"/>
  <c r="BU751" i="1"/>
  <c r="Q463" i="18"/>
  <c r="BU364" i="1" s="1"/>
  <c r="G234" i="1"/>
  <c r="CE235" i="1" l="1"/>
  <c r="CB632" i="1"/>
  <c r="BU110" i="1"/>
  <c r="BY112" i="1"/>
  <c r="BV526" i="1"/>
  <c r="H365" i="1"/>
  <c r="A99" i="10"/>
  <c r="C222" i="18"/>
  <c r="C467" i="18"/>
  <c r="C345" i="18"/>
  <c r="A99" i="13"/>
  <c r="C99" i="13" s="1"/>
  <c r="C225" i="12"/>
  <c r="G235" i="1"/>
  <c r="K753" i="1"/>
  <c r="E465" i="18"/>
  <c r="K366" i="1" s="1"/>
  <c r="CE234" i="1"/>
  <c r="CB631" i="1"/>
  <c r="B101" i="18"/>
  <c r="A101" i="18"/>
  <c r="C101" i="18" s="1"/>
  <c r="CA753" i="1"/>
  <c r="R465" i="18"/>
  <c r="CA366" i="1" s="1"/>
  <c r="U235" i="1"/>
  <c r="R632" i="1"/>
  <c r="BY234" i="1"/>
  <c r="BV631" i="1"/>
  <c r="F102" i="1"/>
  <c r="D102" i="1"/>
  <c r="E102" i="1"/>
  <c r="C516" i="1"/>
  <c r="AT235" i="1"/>
  <c r="C588" i="2"/>
  <c r="C710" i="2" s="1"/>
  <c r="W110" i="1"/>
  <c r="J465" i="2"/>
  <c r="X366" i="1" s="1"/>
  <c r="X753" i="1"/>
  <c r="AX753" i="1"/>
  <c r="I465" i="2"/>
  <c r="AX366" i="1" s="1"/>
  <c r="K527" i="1"/>
  <c r="H111" i="2"/>
  <c r="P111" i="2"/>
  <c r="I111" i="2"/>
  <c r="Q111" i="2"/>
  <c r="R111" i="2"/>
  <c r="E111" i="2"/>
  <c r="M111" i="2"/>
  <c r="N111" i="2"/>
  <c r="D112" i="2"/>
  <c r="O111" i="2"/>
  <c r="K111" i="2"/>
  <c r="L111" i="2"/>
  <c r="CB113" i="1"/>
  <c r="O112" i="1"/>
  <c r="L526" i="1"/>
  <c r="AI527" i="1"/>
  <c r="U234" i="1"/>
  <c r="R631" i="1"/>
  <c r="C754" i="1"/>
  <c r="M344" i="2"/>
  <c r="G344" i="2"/>
  <c r="R344" i="2"/>
  <c r="I344" i="2"/>
  <c r="P344" i="2"/>
  <c r="J344" i="2"/>
  <c r="E344" i="2"/>
  <c r="N344" i="2"/>
  <c r="N466" i="2" s="1"/>
  <c r="BN367" i="1" s="1"/>
  <c r="H344" i="2"/>
  <c r="F344" i="2"/>
  <c r="K344" i="2"/>
  <c r="L344" i="2"/>
  <c r="O344" i="2"/>
  <c r="Q344" i="2"/>
  <c r="F709" i="18"/>
  <c r="AA632" i="1" s="1"/>
  <c r="P709" i="18"/>
  <c r="AE632" i="1" s="1"/>
  <c r="G709" i="18"/>
  <c r="AO632" i="1" s="1"/>
  <c r="O709" i="18"/>
  <c r="BQ632" i="1" s="1"/>
  <c r="M709" i="18"/>
  <c r="BG632" i="1" s="1"/>
  <c r="K709" i="18"/>
  <c r="BC632" i="1" s="1"/>
  <c r="I709" i="18"/>
  <c r="AW632" i="1" s="1"/>
  <c r="L709" i="18"/>
  <c r="AI632" i="1" s="1"/>
  <c r="R709" i="18"/>
  <c r="CA632" i="1" s="1"/>
  <c r="J709" i="18"/>
  <c r="W632" i="1" s="1"/>
  <c r="E709" i="18"/>
  <c r="K632" i="1" s="1"/>
  <c r="H709" i="18"/>
  <c r="Q632" i="1" s="1"/>
  <c r="Q709" i="18"/>
  <c r="BU632" i="1" s="1"/>
  <c r="AW110" i="1"/>
  <c r="AJ753" i="1"/>
  <c r="L465" i="2"/>
  <c r="AJ366" i="1" s="1"/>
  <c r="R753" i="1"/>
  <c r="H465" i="2"/>
  <c r="R366" i="1" s="1"/>
  <c r="H112" i="1"/>
  <c r="G344" i="18"/>
  <c r="P344" i="18"/>
  <c r="H344" i="18"/>
  <c r="Q344" i="18"/>
  <c r="I344" i="18"/>
  <c r="R344" i="18"/>
  <c r="K344" i="18"/>
  <c r="F344" i="18"/>
  <c r="J344" i="18"/>
  <c r="L344" i="18"/>
  <c r="M344" i="18"/>
  <c r="O344" i="18"/>
  <c r="E344" i="18"/>
  <c r="BV113" i="1"/>
  <c r="BA112" i="1"/>
  <c r="AX526" i="1"/>
  <c r="AV233" i="1"/>
  <c r="BU753" i="1"/>
  <c r="Q465" i="18"/>
  <c r="BU366" i="1" s="1"/>
  <c r="AO753" i="1"/>
  <c r="G465" i="18"/>
  <c r="AO366" i="1" s="1"/>
  <c r="BA234" i="1"/>
  <c r="AV234" i="1" s="1"/>
  <c r="AX631" i="1"/>
  <c r="J221" i="2"/>
  <c r="X236" i="1" s="1"/>
  <c r="F221" i="2"/>
  <c r="AB236" i="1" s="1"/>
  <c r="G221" i="2"/>
  <c r="AP236" i="1" s="1"/>
  <c r="K221" i="2"/>
  <c r="BD236" i="1" s="1"/>
  <c r="E221" i="2"/>
  <c r="L236" i="1" s="1"/>
  <c r="R221" i="2"/>
  <c r="CB236" i="1" s="1"/>
  <c r="O221" i="2"/>
  <c r="BR236" i="1" s="1"/>
  <c r="L221" i="2"/>
  <c r="AJ236" i="1" s="1"/>
  <c r="H221" i="2"/>
  <c r="R236" i="1" s="1"/>
  <c r="P221" i="2"/>
  <c r="AF236" i="1" s="1"/>
  <c r="M221" i="2"/>
  <c r="BJ236" i="1" s="1"/>
  <c r="Q221" i="2"/>
  <c r="BV236" i="1" s="1"/>
  <c r="N221" i="2"/>
  <c r="BN236" i="1" s="1"/>
  <c r="I221" i="2"/>
  <c r="AX236" i="1" s="1"/>
  <c r="H525" i="1"/>
  <c r="Q110" i="1"/>
  <c r="G465" i="2"/>
  <c r="AP366" i="1" s="1"/>
  <c r="AP753" i="1"/>
  <c r="BV753" i="1"/>
  <c r="Q465" i="2"/>
  <c r="BV366" i="1" s="1"/>
  <c r="Q527" i="1"/>
  <c r="P221" i="18"/>
  <c r="AE236" i="1" s="1"/>
  <c r="F221" i="18"/>
  <c r="AA236" i="1" s="1"/>
  <c r="L221" i="18"/>
  <c r="AI236" i="1" s="1"/>
  <c r="M221" i="18"/>
  <c r="BG236" i="1" s="1"/>
  <c r="O221" i="18"/>
  <c r="BQ236" i="1" s="1"/>
  <c r="A220" i="13"/>
  <c r="C220" i="13" s="1"/>
  <c r="H221" i="18"/>
  <c r="Q236" i="1" s="1"/>
  <c r="R221" i="18"/>
  <c r="CA236" i="1" s="1"/>
  <c r="I221" i="18"/>
  <c r="AW236" i="1" s="1"/>
  <c r="K221" i="18"/>
  <c r="BC236" i="1" s="1"/>
  <c r="J221" i="18"/>
  <c r="W236" i="1" s="1"/>
  <c r="Q221" i="18"/>
  <c r="BU236" i="1" s="1"/>
  <c r="G221" i="18"/>
  <c r="AO236" i="1" s="1"/>
  <c r="E221" i="18"/>
  <c r="K236" i="1" s="1"/>
  <c r="AF113" i="1"/>
  <c r="U112" i="1"/>
  <c r="R526" i="1"/>
  <c r="AW753" i="1"/>
  <c r="I465" i="18"/>
  <c r="AW366" i="1" s="1"/>
  <c r="CB753" i="1"/>
  <c r="R465" i="2"/>
  <c r="CB366" i="1" s="1"/>
  <c r="L465" i="18"/>
  <c r="AI366" i="1" s="1"/>
  <c r="AI753" i="1"/>
  <c r="O465" i="18"/>
  <c r="BQ366" i="1" s="1"/>
  <c r="BQ753" i="1"/>
  <c r="BA235" i="1"/>
  <c r="AV235" i="1" s="1"/>
  <c r="AX632" i="1"/>
  <c r="I111" i="1"/>
  <c r="AO110" i="1"/>
  <c r="BD753" i="1"/>
  <c r="K465" i="2"/>
  <c r="BD366" i="1" s="1"/>
  <c r="F465" i="2"/>
  <c r="AB366" i="1" s="1"/>
  <c r="AB753" i="1"/>
  <c r="CA527" i="1"/>
  <c r="A589" i="18"/>
  <c r="B589" i="18"/>
  <c r="R113" i="1"/>
  <c r="B101" i="2"/>
  <c r="A101" i="2"/>
  <c r="C101" i="2" s="1"/>
  <c r="BH112" i="1"/>
  <c r="BD526" i="1"/>
  <c r="CG365" i="1"/>
  <c r="AF753" i="1"/>
  <c r="P465" i="2"/>
  <c r="AF366" i="1" s="1"/>
  <c r="BC753" i="1"/>
  <c r="K465" i="18"/>
  <c r="BC366" i="1" s="1"/>
  <c r="F465" i="18"/>
  <c r="AA366" i="1" s="1"/>
  <c r="AA753" i="1"/>
  <c r="BY235" i="1"/>
  <c r="BV632" i="1"/>
  <c r="O234" i="1"/>
  <c r="L631" i="1"/>
  <c r="K110" i="1"/>
  <c r="G110" i="1" s="1"/>
  <c r="G108" i="18"/>
  <c r="H108" i="18"/>
  <c r="I108" i="18"/>
  <c r="Q108" i="18"/>
  <c r="J108" i="18"/>
  <c r="R108" i="18"/>
  <c r="E108" i="18"/>
  <c r="D109" i="18"/>
  <c r="K108" i="18"/>
  <c r="BU527" i="1"/>
  <c r="M710" i="18"/>
  <c r="BG633" i="1" s="1"/>
  <c r="F710" i="18"/>
  <c r="AA633" i="1" s="1"/>
  <c r="O710" i="18"/>
  <c r="BQ633" i="1" s="1"/>
  <c r="G710" i="18"/>
  <c r="AO633" i="1" s="1"/>
  <c r="P710" i="18"/>
  <c r="AE633" i="1" s="1"/>
  <c r="I710" i="18"/>
  <c r="AW633" i="1" s="1"/>
  <c r="K710" i="18"/>
  <c r="BC633" i="1" s="1"/>
  <c r="R710" i="18"/>
  <c r="CA633" i="1" s="1"/>
  <c r="H710" i="18"/>
  <c r="Q633" i="1" s="1"/>
  <c r="E710" i="18"/>
  <c r="K633" i="1" s="1"/>
  <c r="Q710" i="18"/>
  <c r="BU633" i="1" s="1"/>
  <c r="L710" i="18"/>
  <c r="AI633" i="1" s="1"/>
  <c r="J710" i="18"/>
  <c r="W633" i="1" s="1"/>
  <c r="AX113" i="1"/>
  <c r="BR113" i="1"/>
  <c r="C222" i="2"/>
  <c r="C345" i="2"/>
  <c r="C467" i="2"/>
  <c r="C103" i="1"/>
  <c r="C237" i="1"/>
  <c r="C646" i="1" s="1"/>
  <c r="C368" i="1"/>
  <c r="D368" i="1" s="1"/>
  <c r="CE112" i="1"/>
  <c r="CB526" i="1"/>
  <c r="AM234" i="1"/>
  <c r="AJ631" i="1"/>
  <c r="P465" i="18"/>
  <c r="AE366" i="1" s="1"/>
  <c r="AE753" i="1"/>
  <c r="G364" i="1"/>
  <c r="CG364" i="1" s="1"/>
  <c r="W753" i="1"/>
  <c r="J465" i="18"/>
  <c r="W366" i="1" s="1"/>
  <c r="M465" i="18"/>
  <c r="BG366" i="1" s="1"/>
  <c r="BG753" i="1"/>
  <c r="AM235" i="1"/>
  <c r="AJ632" i="1"/>
  <c r="BC110" i="1"/>
  <c r="L753" i="1"/>
  <c r="E465" i="2"/>
  <c r="L366" i="1" s="1"/>
  <c r="G526" i="1"/>
  <c r="W527" i="1"/>
  <c r="BN113" i="1"/>
  <c r="AJ113" i="1"/>
  <c r="H599" i="2"/>
  <c r="I599" i="2"/>
  <c r="Q599" i="2"/>
  <c r="D600" i="2"/>
  <c r="K599" i="2"/>
  <c r="L599" i="2"/>
  <c r="E599" i="2"/>
  <c r="R599" i="2"/>
  <c r="L113" i="1"/>
  <c r="Q753" i="1"/>
  <c r="H465" i="18"/>
  <c r="Q366" i="1" s="1"/>
  <c r="O235" i="1"/>
  <c r="L632" i="1"/>
  <c r="H632" i="1" s="1"/>
  <c r="H235" i="1"/>
  <c r="B589" i="2"/>
  <c r="A589" i="2"/>
  <c r="C589" i="2" s="1"/>
  <c r="C711" i="2" s="1"/>
  <c r="CA110" i="1"/>
  <c r="BR753" i="1"/>
  <c r="O465" i="2"/>
  <c r="BR366" i="1" s="1"/>
  <c r="BJ753" i="1"/>
  <c r="M465" i="2"/>
  <c r="BJ366" i="1" s="1"/>
  <c r="G109" i="1"/>
  <c r="J599" i="18"/>
  <c r="L599" i="18"/>
  <c r="E599" i="18"/>
  <c r="D600" i="18"/>
  <c r="R599" i="18"/>
  <c r="Q599" i="18"/>
  <c r="H599" i="18"/>
  <c r="D515" i="1"/>
  <c r="E515" i="1"/>
  <c r="L224" i="12"/>
  <c r="M224" i="12"/>
  <c r="E224" i="12"/>
  <c r="G224" i="12"/>
  <c r="O224" i="12"/>
  <c r="H224" i="12"/>
  <c r="P224" i="12"/>
  <c r="F224" i="12"/>
  <c r="I224" i="12"/>
  <c r="Q224" i="12"/>
  <c r="J224" i="12"/>
  <c r="R224" i="12"/>
  <c r="N224" i="12"/>
  <c r="K224" i="12"/>
  <c r="S224" i="12"/>
  <c r="BJ113" i="1"/>
  <c r="BD113" i="1"/>
  <c r="AM112" i="1"/>
  <c r="AJ527" i="1"/>
  <c r="AF754" i="1" l="1"/>
  <c r="P466" i="2"/>
  <c r="AF367" i="1" s="1"/>
  <c r="K528" i="1"/>
  <c r="AI528" i="1"/>
  <c r="W528" i="1"/>
  <c r="H113" i="1"/>
  <c r="M711" i="2"/>
  <c r="BJ634" i="1" s="1"/>
  <c r="F711" i="2"/>
  <c r="AB634" i="1" s="1"/>
  <c r="O711" i="2"/>
  <c r="BR634" i="1" s="1"/>
  <c r="N711" i="2"/>
  <c r="P711" i="2"/>
  <c r="AF634" i="1" s="1"/>
  <c r="G711" i="2"/>
  <c r="AP634" i="1" s="1"/>
  <c r="J711" i="2"/>
  <c r="X634" i="1" s="1"/>
  <c r="Q711" i="2"/>
  <c r="R711" i="2"/>
  <c r="L711" i="2"/>
  <c r="H711" i="2"/>
  <c r="K711" i="2"/>
  <c r="BD634" i="1" s="1"/>
  <c r="E711" i="2"/>
  <c r="I711" i="2"/>
  <c r="BA113" i="1"/>
  <c r="AX527" i="1"/>
  <c r="E103" i="1"/>
  <c r="F103" i="1"/>
  <c r="D103" i="1"/>
  <c r="C517" i="1"/>
  <c r="B590" i="18"/>
  <c r="A590" i="18"/>
  <c r="C590" i="18" s="1"/>
  <c r="C712" i="18" s="1"/>
  <c r="Q528" i="1"/>
  <c r="B590" i="2"/>
  <c r="A590" i="2"/>
  <c r="U113" i="1"/>
  <c r="R527" i="1"/>
  <c r="BC111" i="1"/>
  <c r="AO111" i="1"/>
  <c r="C589" i="18"/>
  <c r="C711" i="18" s="1"/>
  <c r="M466" i="18"/>
  <c r="BG367" i="1" s="1"/>
  <c r="BG754" i="1"/>
  <c r="Q754" i="1"/>
  <c r="H466" i="18"/>
  <c r="Q367" i="1" s="1"/>
  <c r="BV754" i="1"/>
  <c r="Q466" i="2"/>
  <c r="BV367" i="1" s="1"/>
  <c r="J466" i="2"/>
  <c r="X367" i="1" s="1"/>
  <c r="X754" i="1"/>
  <c r="CB114" i="1"/>
  <c r="D516" i="1"/>
  <c r="E516" i="1"/>
  <c r="CE113" i="1"/>
  <c r="CB527" i="1"/>
  <c r="BR754" i="1"/>
  <c r="O466" i="2"/>
  <c r="BR367" i="1" s="1"/>
  <c r="L225" i="12"/>
  <c r="M225" i="12"/>
  <c r="F225" i="12"/>
  <c r="G225" i="12"/>
  <c r="O225" i="12"/>
  <c r="H225" i="12"/>
  <c r="P225" i="12"/>
  <c r="I225" i="12"/>
  <c r="Q225" i="12"/>
  <c r="J225" i="12"/>
  <c r="R225" i="12"/>
  <c r="K225" i="12"/>
  <c r="S225" i="12"/>
  <c r="E225" i="12"/>
  <c r="N225" i="12"/>
  <c r="O113" i="1"/>
  <c r="L527" i="1"/>
  <c r="K111" i="1"/>
  <c r="C223" i="2"/>
  <c r="C346" i="2"/>
  <c r="C468" i="2"/>
  <c r="C104" i="1"/>
  <c r="C238" i="1"/>
  <c r="C647" i="1" s="1"/>
  <c r="C369" i="1"/>
  <c r="D369" i="1" s="1"/>
  <c r="W754" i="1"/>
  <c r="J466" i="18"/>
  <c r="W367" i="1" s="1"/>
  <c r="AO754" i="1"/>
  <c r="G466" i="18"/>
  <c r="AO367" i="1" s="1"/>
  <c r="AJ754" i="1"/>
  <c r="L466" i="2"/>
  <c r="AJ367" i="1" s="1"/>
  <c r="AX754" i="1"/>
  <c r="I466" i="2"/>
  <c r="AX367" i="1" s="1"/>
  <c r="BD114" i="1"/>
  <c r="AX114" i="1"/>
  <c r="A100" i="10"/>
  <c r="C223" i="18"/>
  <c r="C346" i="18"/>
  <c r="C468" i="18"/>
  <c r="A100" i="13"/>
  <c r="C100" i="13" s="1"/>
  <c r="C226" i="12"/>
  <c r="R600" i="18"/>
  <c r="J600" i="18"/>
  <c r="L600" i="18"/>
  <c r="E600" i="18"/>
  <c r="D601" i="18"/>
  <c r="H600" i="18"/>
  <c r="Q600" i="18"/>
  <c r="I235" i="1"/>
  <c r="AM113" i="1"/>
  <c r="AJ528" i="1"/>
  <c r="CA111" i="1"/>
  <c r="A102" i="2"/>
  <c r="B102" i="2"/>
  <c r="G236" i="1"/>
  <c r="AT236" i="1"/>
  <c r="F466" i="18"/>
  <c r="AA367" i="1" s="1"/>
  <c r="AA754" i="1"/>
  <c r="BD754" i="1"/>
  <c r="K466" i="2"/>
  <c r="BD367" i="1" s="1"/>
  <c r="CB754" i="1"/>
  <c r="R466" i="2"/>
  <c r="CB367" i="1" s="1"/>
  <c r="H526" i="1"/>
  <c r="BR114" i="1"/>
  <c r="AF114" i="1"/>
  <c r="B102" i="18"/>
  <c r="A102" i="18"/>
  <c r="C102" i="18" s="1"/>
  <c r="J345" i="18"/>
  <c r="K345" i="18"/>
  <c r="E345" i="18"/>
  <c r="M345" i="18"/>
  <c r="H345" i="18"/>
  <c r="I345" i="18"/>
  <c r="L345" i="18"/>
  <c r="O345" i="18"/>
  <c r="P345" i="18"/>
  <c r="F345" i="18"/>
  <c r="R345" i="18"/>
  <c r="G345" i="18"/>
  <c r="Q345" i="18"/>
  <c r="C755" i="1"/>
  <c r="F345" i="2"/>
  <c r="I345" i="2"/>
  <c r="H345" i="2"/>
  <c r="L345" i="2"/>
  <c r="K345" i="2"/>
  <c r="O345" i="2"/>
  <c r="M345" i="2"/>
  <c r="G345" i="2"/>
  <c r="E345" i="2"/>
  <c r="N345" i="2"/>
  <c r="N467" i="2" s="1"/>
  <c r="BN368" i="1" s="1"/>
  <c r="R345" i="2"/>
  <c r="P345" i="2"/>
  <c r="J345" i="2"/>
  <c r="Q345" i="2"/>
  <c r="J109" i="18"/>
  <c r="R109" i="18"/>
  <c r="E109" i="18"/>
  <c r="G109" i="18"/>
  <c r="H109" i="18"/>
  <c r="Q109" i="18"/>
  <c r="I109" i="18"/>
  <c r="D110" i="18"/>
  <c r="K109" i="18"/>
  <c r="BV114" i="1"/>
  <c r="CA528" i="1"/>
  <c r="BH113" i="1"/>
  <c r="BD527" i="1"/>
  <c r="G633" i="1"/>
  <c r="W111" i="1"/>
  <c r="H631" i="1"/>
  <c r="H236" i="1"/>
  <c r="BC754" i="1"/>
  <c r="K466" i="18"/>
  <c r="BC367" i="1" s="1"/>
  <c r="F466" i="2"/>
  <c r="AB367" i="1" s="1"/>
  <c r="AB754" i="1"/>
  <c r="G466" i="2"/>
  <c r="AP367" i="1" s="1"/>
  <c r="AP754" i="1"/>
  <c r="I112" i="1"/>
  <c r="N112" i="2"/>
  <c r="D113" i="2"/>
  <c r="O112" i="2"/>
  <c r="H112" i="2"/>
  <c r="P112" i="2"/>
  <c r="K112" i="2"/>
  <c r="L112" i="2"/>
  <c r="M112" i="2"/>
  <c r="Q112" i="2"/>
  <c r="R112" i="2"/>
  <c r="I112" i="2"/>
  <c r="E112" i="2"/>
  <c r="R114" i="1"/>
  <c r="L466" i="18"/>
  <c r="AI367" i="1" s="1"/>
  <c r="AI754" i="1"/>
  <c r="AJ114" i="1"/>
  <c r="H366" i="1"/>
  <c r="G222" i="2"/>
  <c r="AP237" i="1" s="1"/>
  <c r="F222" i="2"/>
  <c r="AB237" i="1" s="1"/>
  <c r="J222" i="2"/>
  <c r="X237" i="1" s="1"/>
  <c r="L222" i="2"/>
  <c r="AJ237" i="1" s="1"/>
  <c r="I222" i="2"/>
  <c r="AX237" i="1" s="1"/>
  <c r="H222" i="2"/>
  <c r="R237" i="1" s="1"/>
  <c r="Q222" i="2"/>
  <c r="BV237" i="1" s="1"/>
  <c r="E222" i="2"/>
  <c r="L237" i="1" s="1"/>
  <c r="O222" i="2"/>
  <c r="BR237" i="1" s="1"/>
  <c r="M222" i="2"/>
  <c r="BJ237" i="1" s="1"/>
  <c r="K222" i="2"/>
  <c r="BD237" i="1" s="1"/>
  <c r="N222" i="2"/>
  <c r="BN237" i="1" s="1"/>
  <c r="R222" i="2"/>
  <c r="CB237" i="1" s="1"/>
  <c r="P222" i="2"/>
  <c r="AF237" i="1" s="1"/>
  <c r="BU111" i="1"/>
  <c r="I234" i="1"/>
  <c r="CA754" i="1"/>
  <c r="R466" i="18"/>
  <c r="CA367" i="1" s="1"/>
  <c r="G632" i="1"/>
  <c r="R754" i="1"/>
  <c r="H466" i="2"/>
  <c r="R367" i="1" s="1"/>
  <c r="BJ754" i="1"/>
  <c r="M466" i="2"/>
  <c r="BJ367" i="1" s="1"/>
  <c r="BN114" i="1"/>
  <c r="G527" i="1"/>
  <c r="M222" i="18"/>
  <c r="BG237" i="1" s="1"/>
  <c r="O222" i="18"/>
  <c r="BQ237" i="1" s="1"/>
  <c r="P222" i="18"/>
  <c r="AE237" i="1" s="1"/>
  <c r="F222" i="18"/>
  <c r="AA237" i="1" s="1"/>
  <c r="L222" i="18"/>
  <c r="AI237" i="1" s="1"/>
  <c r="A221" i="13"/>
  <c r="C221" i="13" s="1"/>
  <c r="R222" i="18"/>
  <c r="CA237" i="1" s="1"/>
  <c r="I222" i="18"/>
  <c r="AW237" i="1" s="1"/>
  <c r="Q222" i="18"/>
  <c r="BU237" i="1" s="1"/>
  <c r="E222" i="18"/>
  <c r="K237" i="1" s="1"/>
  <c r="H222" i="18"/>
  <c r="Q237" i="1" s="1"/>
  <c r="K222" i="18"/>
  <c r="BC237" i="1" s="1"/>
  <c r="J222" i="18"/>
  <c r="W237" i="1" s="1"/>
  <c r="G222" i="18"/>
  <c r="AO237" i="1" s="1"/>
  <c r="BY113" i="1"/>
  <c r="BV527" i="1"/>
  <c r="AW111" i="1"/>
  <c r="K754" i="1"/>
  <c r="E466" i="18"/>
  <c r="K367" i="1" s="1"/>
  <c r="AW754" i="1"/>
  <c r="I466" i="18"/>
  <c r="AW367" i="1" s="1"/>
  <c r="BJ114" i="1"/>
  <c r="F710" i="2"/>
  <c r="AB633" i="1" s="1"/>
  <c r="P710" i="2"/>
  <c r="AF633" i="1" s="1"/>
  <c r="G710" i="2"/>
  <c r="AP633" i="1" s="1"/>
  <c r="J710" i="2"/>
  <c r="X633" i="1" s="1"/>
  <c r="N710" i="2"/>
  <c r="M710" i="2"/>
  <c r="BJ633" i="1" s="1"/>
  <c r="O710" i="2"/>
  <c r="BR633" i="1" s="1"/>
  <c r="H710" i="2"/>
  <c r="R710" i="2"/>
  <c r="Q710" i="2"/>
  <c r="E710" i="2"/>
  <c r="K710" i="2"/>
  <c r="BD633" i="1" s="1"/>
  <c r="I710" i="2"/>
  <c r="L710" i="2"/>
  <c r="G366" i="1"/>
  <c r="BU528" i="1"/>
  <c r="P466" i="18"/>
  <c r="AE367" i="1" s="1"/>
  <c r="AE754" i="1"/>
  <c r="D601" i="2"/>
  <c r="L600" i="2"/>
  <c r="E600" i="2"/>
  <c r="K600" i="2"/>
  <c r="I600" i="2"/>
  <c r="R600" i="2"/>
  <c r="Q600" i="2"/>
  <c r="H600" i="2"/>
  <c r="Q111" i="1"/>
  <c r="O466" i="18"/>
  <c r="BQ367" i="1" s="1"/>
  <c r="BQ754" i="1"/>
  <c r="BU754" i="1"/>
  <c r="Q466" i="18"/>
  <c r="BU367" i="1" s="1"/>
  <c r="L754" i="1"/>
  <c r="E466" i="2"/>
  <c r="L367" i="1" s="1"/>
  <c r="L114" i="1"/>
  <c r="O467" i="18" l="1"/>
  <c r="BQ368" i="1" s="1"/>
  <c r="BQ755" i="1"/>
  <c r="CA529" i="1"/>
  <c r="AF115" i="1"/>
  <c r="L467" i="18"/>
  <c r="AI368" i="1" s="1"/>
  <c r="AI755" i="1"/>
  <c r="H114" i="1"/>
  <c r="CG366" i="1"/>
  <c r="R115" i="1"/>
  <c r="CA112" i="1"/>
  <c r="G467" i="2"/>
  <c r="AP368" i="1" s="1"/>
  <c r="AP755" i="1"/>
  <c r="AW755" i="1"/>
  <c r="I467" i="18"/>
  <c r="AW368" i="1" s="1"/>
  <c r="C102" i="2"/>
  <c r="BU529" i="1"/>
  <c r="G223" i="2"/>
  <c r="AP238" i="1" s="1"/>
  <c r="F223" i="2"/>
  <c r="AB238" i="1" s="1"/>
  <c r="J223" i="2"/>
  <c r="X238" i="1" s="1"/>
  <c r="E223" i="2"/>
  <c r="L238" i="1" s="1"/>
  <c r="Q223" i="2"/>
  <c r="BV238" i="1" s="1"/>
  <c r="R223" i="2"/>
  <c r="CB238" i="1" s="1"/>
  <c r="M223" i="2"/>
  <c r="BJ238" i="1" s="1"/>
  <c r="N223" i="2"/>
  <c r="BN238" i="1" s="1"/>
  <c r="K223" i="2"/>
  <c r="BD238" i="1" s="1"/>
  <c r="O223" i="2"/>
  <c r="BR238" i="1" s="1"/>
  <c r="I223" i="2"/>
  <c r="AX238" i="1" s="1"/>
  <c r="P223" i="2"/>
  <c r="AF238" i="1" s="1"/>
  <c r="H223" i="2"/>
  <c r="R238" i="1" s="1"/>
  <c r="L223" i="2"/>
  <c r="AJ238" i="1" s="1"/>
  <c r="M711" i="18"/>
  <c r="BG634" i="1" s="1"/>
  <c r="F711" i="18"/>
  <c r="AA634" i="1" s="1"/>
  <c r="O711" i="18"/>
  <c r="BQ634" i="1" s="1"/>
  <c r="K711" i="18"/>
  <c r="BC634" i="1" s="1"/>
  <c r="G711" i="18"/>
  <c r="AO634" i="1" s="1"/>
  <c r="P711" i="18"/>
  <c r="AE634" i="1" s="1"/>
  <c r="I711" i="18"/>
  <c r="AW634" i="1" s="1"/>
  <c r="R711" i="18"/>
  <c r="CA634" i="1" s="1"/>
  <c r="L711" i="18"/>
  <c r="AI634" i="1" s="1"/>
  <c r="H711" i="18"/>
  <c r="Q634" i="1" s="1"/>
  <c r="J711" i="18"/>
  <c r="W634" i="1" s="1"/>
  <c r="Q711" i="18"/>
  <c r="BU634" i="1" s="1"/>
  <c r="E711" i="18"/>
  <c r="K634" i="1" s="1"/>
  <c r="D517" i="1"/>
  <c r="E517" i="1"/>
  <c r="O237" i="1"/>
  <c r="L634" i="1"/>
  <c r="O114" i="1"/>
  <c r="L528" i="1"/>
  <c r="AM236" i="1"/>
  <c r="AJ633" i="1"/>
  <c r="AX115" i="1"/>
  <c r="BR115" i="1"/>
  <c r="BC112" i="1"/>
  <c r="W112" i="1"/>
  <c r="BJ755" i="1"/>
  <c r="M467" i="2"/>
  <c r="BJ368" i="1" s="1"/>
  <c r="BU755" i="1"/>
  <c r="Q467" i="18"/>
  <c r="BU368" i="1" s="1"/>
  <c r="Q755" i="1"/>
  <c r="H467" i="18"/>
  <c r="Q368" i="1" s="1"/>
  <c r="Q529" i="1"/>
  <c r="G111" i="1"/>
  <c r="CE114" i="1"/>
  <c r="CB528" i="1"/>
  <c r="AO112" i="1"/>
  <c r="H237" i="1"/>
  <c r="K112" i="1"/>
  <c r="B103" i="18"/>
  <c r="A103" i="18"/>
  <c r="B591" i="18"/>
  <c r="A591" i="18"/>
  <c r="C591" i="18" s="1"/>
  <c r="C713" i="18" s="1"/>
  <c r="AM114" i="1"/>
  <c r="AJ529" i="1"/>
  <c r="BA236" i="1"/>
  <c r="AX633" i="1"/>
  <c r="AT237" i="1"/>
  <c r="CB115" i="1"/>
  <c r="L113" i="2"/>
  <c r="E113" i="2"/>
  <c r="M113" i="2"/>
  <c r="N113" i="2"/>
  <c r="D114" i="2"/>
  <c r="I113" i="2"/>
  <c r="Q113" i="2"/>
  <c r="R113" i="2"/>
  <c r="K113" i="2"/>
  <c r="O113" i="2"/>
  <c r="P113" i="2"/>
  <c r="H113" i="2"/>
  <c r="H110" i="18"/>
  <c r="E110" i="18"/>
  <c r="D111" i="18"/>
  <c r="G110" i="18"/>
  <c r="I110" i="18"/>
  <c r="Q110" i="18"/>
  <c r="J110" i="18"/>
  <c r="R110" i="18"/>
  <c r="K110" i="18"/>
  <c r="BV755" i="1"/>
  <c r="Q467" i="2"/>
  <c r="BV368" i="1" s="1"/>
  <c r="BR755" i="1"/>
  <c r="O467" i="2"/>
  <c r="BR368" i="1" s="1"/>
  <c r="AO755" i="1"/>
  <c r="G467" i="18"/>
  <c r="AO368" i="1" s="1"/>
  <c r="M467" i="18"/>
  <c r="BG368" i="1" s="1"/>
  <c r="BG755" i="1"/>
  <c r="H601" i="18"/>
  <c r="Q601" i="18"/>
  <c r="R601" i="18"/>
  <c r="J601" i="18"/>
  <c r="L601" i="18"/>
  <c r="E601" i="18"/>
  <c r="D602" i="18"/>
  <c r="L346" i="18"/>
  <c r="E346" i="18"/>
  <c r="M346" i="18"/>
  <c r="G346" i="18"/>
  <c r="P346" i="18"/>
  <c r="H346" i="18"/>
  <c r="I346" i="18"/>
  <c r="J346" i="18"/>
  <c r="K346" i="18"/>
  <c r="O346" i="18"/>
  <c r="R346" i="18"/>
  <c r="F346" i="18"/>
  <c r="Q346" i="18"/>
  <c r="C590" i="2"/>
  <c r="C712" i="2" s="1"/>
  <c r="U237" i="1"/>
  <c r="R634" i="1"/>
  <c r="G528" i="1"/>
  <c r="CE236" i="1"/>
  <c r="CB633" i="1"/>
  <c r="F467" i="2"/>
  <c r="AB368" i="1" s="1"/>
  <c r="AB755" i="1"/>
  <c r="A103" i="2"/>
  <c r="B103" i="2"/>
  <c r="L226" i="12"/>
  <c r="E226" i="12"/>
  <c r="N226" i="12"/>
  <c r="F226" i="12"/>
  <c r="G226" i="12"/>
  <c r="O226" i="12"/>
  <c r="H226" i="12"/>
  <c r="P226" i="12"/>
  <c r="I226" i="12"/>
  <c r="Q226" i="12"/>
  <c r="J226" i="12"/>
  <c r="R226" i="12"/>
  <c r="K226" i="12"/>
  <c r="S226" i="12"/>
  <c r="M226" i="12"/>
  <c r="C756" i="1"/>
  <c r="M346" i="2"/>
  <c r="K346" i="2"/>
  <c r="G346" i="2"/>
  <c r="R346" i="2"/>
  <c r="I346" i="2"/>
  <c r="E346" i="2"/>
  <c r="N346" i="2"/>
  <c r="N468" i="2" s="1"/>
  <c r="BN369" i="1" s="1"/>
  <c r="P346" i="2"/>
  <c r="F346" i="2"/>
  <c r="L346" i="2"/>
  <c r="O346" i="2"/>
  <c r="Q346" i="2"/>
  <c r="J346" i="2"/>
  <c r="H346" i="2"/>
  <c r="BV115" i="1"/>
  <c r="BN115" i="1"/>
  <c r="AW112" i="1"/>
  <c r="J467" i="2"/>
  <c r="X368" i="1" s="1"/>
  <c r="X755" i="1"/>
  <c r="BD755" i="1"/>
  <c r="K467" i="2"/>
  <c r="BD368" i="1" s="1"/>
  <c r="CA755" i="1"/>
  <c r="R467" i="18"/>
  <c r="CA368" i="1" s="1"/>
  <c r="K755" i="1"/>
  <c r="E467" i="18"/>
  <c r="K368" i="1" s="1"/>
  <c r="K529" i="1"/>
  <c r="L223" i="18"/>
  <c r="AI238" i="1" s="1"/>
  <c r="M223" i="18"/>
  <c r="BG238" i="1" s="1"/>
  <c r="P223" i="18"/>
  <c r="AE238" i="1" s="1"/>
  <c r="F223" i="18"/>
  <c r="AA238" i="1" s="1"/>
  <c r="O223" i="18"/>
  <c r="BQ238" i="1" s="1"/>
  <c r="A222" i="13"/>
  <c r="C222" i="13" s="1"/>
  <c r="K223" i="18"/>
  <c r="BC238" i="1" s="1"/>
  <c r="I223" i="18"/>
  <c r="AW238" i="1" s="1"/>
  <c r="E223" i="18"/>
  <c r="K238" i="1" s="1"/>
  <c r="R223" i="18"/>
  <c r="CA238" i="1" s="1"/>
  <c r="Q223" i="18"/>
  <c r="BU238" i="1" s="1"/>
  <c r="G223" i="18"/>
  <c r="AO238" i="1" s="1"/>
  <c r="J223" i="18"/>
  <c r="W238" i="1" s="1"/>
  <c r="H223" i="18"/>
  <c r="Q238" i="1" s="1"/>
  <c r="A591" i="2"/>
  <c r="C591" i="2" s="1"/>
  <c r="C713" i="2" s="1"/>
  <c r="B591" i="2"/>
  <c r="AM237" i="1"/>
  <c r="AJ634" i="1"/>
  <c r="BD115" i="1"/>
  <c r="A101" i="10"/>
  <c r="C224" i="18"/>
  <c r="C347" i="18"/>
  <c r="A101" i="13"/>
  <c r="C101" i="13" s="1"/>
  <c r="C469" i="18"/>
  <c r="C227" i="12"/>
  <c r="BA114" i="1"/>
  <c r="AX528" i="1"/>
  <c r="L755" i="1"/>
  <c r="E467" i="2"/>
  <c r="L368" i="1" s="1"/>
  <c r="BA237" i="1"/>
  <c r="AX634" i="1"/>
  <c r="BH114" i="1"/>
  <c r="BD528" i="1"/>
  <c r="G237" i="1"/>
  <c r="L115" i="1"/>
  <c r="H367" i="1"/>
  <c r="L601" i="2"/>
  <c r="E601" i="2"/>
  <c r="R601" i="2"/>
  <c r="K601" i="2"/>
  <c r="Q601" i="2"/>
  <c r="H601" i="2"/>
  <c r="D602" i="2"/>
  <c r="I601" i="2"/>
  <c r="U114" i="1"/>
  <c r="R528" i="1"/>
  <c r="O236" i="1"/>
  <c r="L633" i="1"/>
  <c r="G367" i="1"/>
  <c r="BJ115" i="1"/>
  <c r="BU112" i="1"/>
  <c r="AF755" i="1"/>
  <c r="P467" i="2"/>
  <c r="AF368" i="1" s="1"/>
  <c r="AJ755" i="1"/>
  <c r="L467" i="2"/>
  <c r="AJ368" i="1" s="1"/>
  <c r="F467" i="18"/>
  <c r="AA368" i="1" s="1"/>
  <c r="AA755" i="1"/>
  <c r="BC755" i="1"/>
  <c r="K467" i="18"/>
  <c r="BC368" i="1" s="1"/>
  <c r="AI529" i="1"/>
  <c r="H527" i="1"/>
  <c r="CE237" i="1"/>
  <c r="CB634" i="1"/>
  <c r="AX755" i="1"/>
  <c r="I467" i="2"/>
  <c r="AX368" i="1" s="1"/>
  <c r="G712" i="18"/>
  <c r="AO635" i="1" s="1"/>
  <c r="P712" i="18"/>
  <c r="AE635" i="1" s="1"/>
  <c r="F712" i="18"/>
  <c r="AA635" i="1" s="1"/>
  <c r="O712" i="18"/>
  <c r="BQ635" i="1" s="1"/>
  <c r="M712" i="18"/>
  <c r="BG635" i="1" s="1"/>
  <c r="K712" i="18"/>
  <c r="BC635" i="1" s="1"/>
  <c r="I712" i="18"/>
  <c r="AW635" i="1" s="1"/>
  <c r="E712" i="18"/>
  <c r="K635" i="1" s="1"/>
  <c r="R712" i="18"/>
  <c r="CA635" i="1" s="1"/>
  <c r="H712" i="18"/>
  <c r="Q635" i="1" s="1"/>
  <c r="L712" i="18"/>
  <c r="AI635" i="1" s="1"/>
  <c r="J712" i="18"/>
  <c r="W635" i="1" s="1"/>
  <c r="Q712" i="18"/>
  <c r="BU635" i="1" s="1"/>
  <c r="U236" i="1"/>
  <c r="R633" i="1"/>
  <c r="BY114" i="1"/>
  <c r="BV528" i="1"/>
  <c r="BY236" i="1"/>
  <c r="BV633" i="1"/>
  <c r="AJ115" i="1"/>
  <c r="Q112" i="1"/>
  <c r="CB755" i="1"/>
  <c r="R467" i="2"/>
  <c r="CB368" i="1" s="1"/>
  <c r="R755" i="1"/>
  <c r="H467" i="2"/>
  <c r="R368" i="1" s="1"/>
  <c r="P467" i="18"/>
  <c r="AE368" i="1" s="1"/>
  <c r="AE755" i="1"/>
  <c r="W755" i="1"/>
  <c r="J467" i="18"/>
  <c r="W368" i="1" s="1"/>
  <c r="W529" i="1"/>
  <c r="D104" i="1"/>
  <c r="E104" i="1"/>
  <c r="F104" i="1"/>
  <c r="C518" i="1"/>
  <c r="I113" i="1"/>
  <c r="BY237" i="1"/>
  <c r="BV634" i="1"/>
  <c r="J468" i="2" l="1"/>
  <c r="X369" i="1" s="1"/>
  <c r="X756" i="1"/>
  <c r="AO756" i="1"/>
  <c r="G468" i="18"/>
  <c r="AO369" i="1" s="1"/>
  <c r="CA530" i="1"/>
  <c r="AO113" i="1"/>
  <c r="CB116" i="1"/>
  <c r="BU530" i="1"/>
  <c r="D112" i="18"/>
  <c r="E111" i="18"/>
  <c r="G111" i="18"/>
  <c r="H111" i="18"/>
  <c r="K111" i="18"/>
  <c r="I111" i="18"/>
  <c r="R111" i="18"/>
  <c r="J111" i="18"/>
  <c r="Q111" i="18"/>
  <c r="K713" i="18"/>
  <c r="BC636" i="1" s="1"/>
  <c r="F713" i="18"/>
  <c r="AA636" i="1" s="1"/>
  <c r="G713" i="18"/>
  <c r="AO636" i="1" s="1"/>
  <c r="O713" i="18"/>
  <c r="BQ636" i="1" s="1"/>
  <c r="P713" i="18"/>
  <c r="AE636" i="1" s="1"/>
  <c r="M713" i="18"/>
  <c r="BG636" i="1" s="1"/>
  <c r="I713" i="18"/>
  <c r="AW636" i="1" s="1"/>
  <c r="L713" i="18"/>
  <c r="AI636" i="1" s="1"/>
  <c r="R713" i="18"/>
  <c r="CA636" i="1" s="1"/>
  <c r="J713" i="18"/>
  <c r="W636" i="1" s="1"/>
  <c r="Q713" i="18"/>
  <c r="BU636" i="1" s="1"/>
  <c r="H713" i="18"/>
  <c r="Q636" i="1" s="1"/>
  <c r="E713" i="18"/>
  <c r="K636" i="1" s="1"/>
  <c r="G468" i="2"/>
  <c r="AP369" i="1" s="1"/>
  <c r="AP756" i="1"/>
  <c r="O468" i="18"/>
  <c r="BQ369" i="1" s="1"/>
  <c r="BQ756" i="1"/>
  <c r="K756" i="1"/>
  <c r="E468" i="18"/>
  <c r="K369" i="1" s="1"/>
  <c r="Q530" i="1"/>
  <c r="K113" i="1"/>
  <c r="G113" i="1" s="1"/>
  <c r="AX116" i="1"/>
  <c r="A592" i="18"/>
  <c r="C592" i="18" s="1"/>
  <c r="C714" i="18" s="1"/>
  <c r="B592" i="18"/>
  <c r="I237" i="1"/>
  <c r="C347" i="2"/>
  <c r="C224" i="2"/>
  <c r="C469" i="2"/>
  <c r="C105" i="1"/>
  <c r="C239" i="1"/>
  <c r="C648" i="1" s="1"/>
  <c r="C370" i="1"/>
  <c r="D370" i="1" s="1"/>
  <c r="R602" i="2"/>
  <c r="K602" i="2"/>
  <c r="H602" i="2"/>
  <c r="I602" i="2"/>
  <c r="Q602" i="2"/>
  <c r="E602" i="2"/>
  <c r="D603" i="2"/>
  <c r="L602" i="2"/>
  <c r="H115" i="1"/>
  <c r="AV237" i="1"/>
  <c r="G238" i="1"/>
  <c r="AJ756" i="1"/>
  <c r="L468" i="2"/>
  <c r="AJ369" i="1" s="1"/>
  <c r="BD756" i="1"/>
  <c r="K468" i="2"/>
  <c r="BD369" i="1" s="1"/>
  <c r="BC756" i="1"/>
  <c r="K468" i="18"/>
  <c r="BC369" i="1" s="1"/>
  <c r="L468" i="18"/>
  <c r="AI369" i="1" s="1"/>
  <c r="AI756" i="1"/>
  <c r="BC113" i="1"/>
  <c r="Q113" i="1"/>
  <c r="R114" i="2"/>
  <c r="K114" i="2"/>
  <c r="L114" i="2"/>
  <c r="O114" i="2"/>
  <c r="H114" i="2"/>
  <c r="P114" i="2"/>
  <c r="M114" i="2"/>
  <c r="N114" i="2"/>
  <c r="D115" i="2"/>
  <c r="I114" i="2"/>
  <c r="E114" i="2"/>
  <c r="Q114" i="2"/>
  <c r="C103" i="18"/>
  <c r="AM115" i="1"/>
  <c r="AJ530" i="1"/>
  <c r="L227" i="12"/>
  <c r="M227" i="12"/>
  <c r="E227" i="12"/>
  <c r="N227" i="12"/>
  <c r="G227" i="12"/>
  <c r="O227" i="12"/>
  <c r="H227" i="12"/>
  <c r="P227" i="12"/>
  <c r="I227" i="12"/>
  <c r="Q227" i="12"/>
  <c r="J227" i="12"/>
  <c r="R227" i="12"/>
  <c r="F227" i="12"/>
  <c r="K227" i="12"/>
  <c r="S227" i="12"/>
  <c r="CA756" i="1"/>
  <c r="R468" i="18"/>
  <c r="CA369" i="1" s="1"/>
  <c r="CG367" i="1"/>
  <c r="U115" i="1"/>
  <c r="R529" i="1"/>
  <c r="H368" i="1"/>
  <c r="F347" i="18"/>
  <c r="O347" i="18"/>
  <c r="G347" i="18"/>
  <c r="P347" i="18"/>
  <c r="I347" i="18"/>
  <c r="R347" i="18"/>
  <c r="E347" i="18"/>
  <c r="H347" i="18"/>
  <c r="J347" i="18"/>
  <c r="K347" i="18"/>
  <c r="L347" i="18"/>
  <c r="Q347" i="18"/>
  <c r="M347" i="18"/>
  <c r="A592" i="2"/>
  <c r="B592" i="2"/>
  <c r="G529" i="1"/>
  <c r="F468" i="2"/>
  <c r="AB369" i="1" s="1"/>
  <c r="AB756" i="1"/>
  <c r="BJ756" i="1"/>
  <c r="M468" i="2"/>
  <c r="BJ369" i="1" s="1"/>
  <c r="W756" i="1"/>
  <c r="J468" i="18"/>
  <c r="W369" i="1" s="1"/>
  <c r="H602" i="18"/>
  <c r="Q602" i="18"/>
  <c r="R602" i="18"/>
  <c r="J602" i="18"/>
  <c r="L602" i="18"/>
  <c r="E602" i="18"/>
  <c r="D603" i="18"/>
  <c r="CA113" i="1"/>
  <c r="R116" i="1"/>
  <c r="BN116" i="1"/>
  <c r="A104" i="18"/>
  <c r="B104" i="18"/>
  <c r="H238" i="1"/>
  <c r="O115" i="1"/>
  <c r="L529" i="1"/>
  <c r="F468" i="18"/>
  <c r="AA369" i="1" s="1"/>
  <c r="AA756" i="1"/>
  <c r="CB756" i="1"/>
  <c r="R468" i="2"/>
  <c r="CB369" i="1" s="1"/>
  <c r="BY115" i="1"/>
  <c r="BV529" i="1"/>
  <c r="F224" i="18"/>
  <c r="AA239" i="1" s="1"/>
  <c r="O224" i="18"/>
  <c r="BQ239" i="1" s="1"/>
  <c r="P224" i="18"/>
  <c r="AE239" i="1" s="1"/>
  <c r="L224" i="18"/>
  <c r="AI239" i="1" s="1"/>
  <c r="M224" i="18"/>
  <c r="BG239" i="1" s="1"/>
  <c r="A223" i="13"/>
  <c r="C223" i="13" s="1"/>
  <c r="H224" i="18"/>
  <c r="Q239" i="1" s="1"/>
  <c r="E224" i="18"/>
  <c r="K239" i="1" s="1"/>
  <c r="J224" i="18"/>
  <c r="W239" i="1" s="1"/>
  <c r="Q224" i="18"/>
  <c r="BU239" i="1" s="1"/>
  <c r="K224" i="18"/>
  <c r="BC239" i="1" s="1"/>
  <c r="G224" i="18"/>
  <c r="AO239" i="1" s="1"/>
  <c r="R224" i="18"/>
  <c r="CA239" i="1" s="1"/>
  <c r="I224" i="18"/>
  <c r="AW239" i="1" s="1"/>
  <c r="AF756" i="1"/>
  <c r="P468" i="2"/>
  <c r="AF369" i="1" s="1"/>
  <c r="A104" i="2"/>
  <c r="B104" i="2"/>
  <c r="AW756" i="1"/>
  <c r="I468" i="18"/>
  <c r="AW369" i="1" s="1"/>
  <c r="K530" i="1"/>
  <c r="W113" i="1"/>
  <c r="AF116" i="1"/>
  <c r="BJ116" i="1"/>
  <c r="AV236" i="1"/>
  <c r="G112" i="1"/>
  <c r="G634" i="1"/>
  <c r="AT238" i="1"/>
  <c r="AX756" i="1"/>
  <c r="I468" i="2"/>
  <c r="AX369" i="1" s="1"/>
  <c r="BV756" i="1"/>
  <c r="Q468" i="2"/>
  <c r="BV369" i="1" s="1"/>
  <c r="M468" i="18"/>
  <c r="BG369" i="1" s="1"/>
  <c r="BG756" i="1"/>
  <c r="BV116" i="1"/>
  <c r="H634" i="1"/>
  <c r="BA115" i="1"/>
  <c r="AX529" i="1"/>
  <c r="BR756" i="1"/>
  <c r="O468" i="2"/>
  <c r="BR369" i="1" s="1"/>
  <c r="H633" i="1"/>
  <c r="G713" i="2"/>
  <c r="AP636" i="1" s="1"/>
  <c r="O713" i="2"/>
  <c r="BR636" i="1" s="1"/>
  <c r="M713" i="2"/>
  <c r="BJ636" i="1" s="1"/>
  <c r="N713" i="2"/>
  <c r="P713" i="2"/>
  <c r="AF636" i="1" s="1"/>
  <c r="F713" i="2"/>
  <c r="AB636" i="1" s="1"/>
  <c r="J713" i="2"/>
  <c r="X636" i="1" s="1"/>
  <c r="Q713" i="2"/>
  <c r="K713" i="2"/>
  <c r="BD636" i="1" s="1"/>
  <c r="I713" i="2"/>
  <c r="H713" i="2"/>
  <c r="R713" i="2"/>
  <c r="E713" i="2"/>
  <c r="L713" i="2"/>
  <c r="I236" i="1"/>
  <c r="BH115" i="1"/>
  <c r="BD529" i="1"/>
  <c r="G368" i="1"/>
  <c r="CG368" i="1" s="1"/>
  <c r="C103" i="2"/>
  <c r="G712" i="2"/>
  <c r="AP635" i="1" s="1"/>
  <c r="J712" i="2"/>
  <c r="X635" i="1" s="1"/>
  <c r="M712" i="2"/>
  <c r="BJ635" i="1" s="1"/>
  <c r="P712" i="2"/>
  <c r="AF635" i="1" s="1"/>
  <c r="N712" i="2"/>
  <c r="O712" i="2"/>
  <c r="BR635" i="1" s="1"/>
  <c r="F712" i="2"/>
  <c r="AB635" i="1" s="1"/>
  <c r="E712" i="2"/>
  <c r="L712" i="2"/>
  <c r="H712" i="2"/>
  <c r="I712" i="2"/>
  <c r="K712" i="2"/>
  <c r="BD635" i="1" s="1"/>
  <c r="R712" i="2"/>
  <c r="Q712" i="2"/>
  <c r="Q756" i="1"/>
  <c r="H468" i="18"/>
  <c r="Q369" i="1" s="1"/>
  <c r="AI530" i="1"/>
  <c r="BU113" i="1"/>
  <c r="BR116" i="1"/>
  <c r="L116" i="1"/>
  <c r="H116" i="1" s="1"/>
  <c r="H528" i="1"/>
  <c r="D518" i="1"/>
  <c r="E518" i="1"/>
  <c r="G635" i="1"/>
  <c r="CE115" i="1"/>
  <c r="CB529" i="1"/>
  <c r="R756" i="1"/>
  <c r="H468" i="2"/>
  <c r="R369" i="1" s="1"/>
  <c r="L756" i="1"/>
  <c r="E468" i="2"/>
  <c r="L369" i="1" s="1"/>
  <c r="BU756" i="1"/>
  <c r="Q468" i="18"/>
  <c r="BU369" i="1" s="1"/>
  <c r="P468" i="18"/>
  <c r="AE369" i="1" s="1"/>
  <c r="AE756" i="1"/>
  <c r="W530" i="1"/>
  <c r="AW113" i="1"/>
  <c r="BD116" i="1"/>
  <c r="AJ116" i="1"/>
  <c r="I114" i="1"/>
  <c r="BA238" i="1" l="1"/>
  <c r="AX635" i="1"/>
  <c r="AW757" i="1"/>
  <c r="I469" i="18"/>
  <c r="AW370" i="1" s="1"/>
  <c r="AJ117" i="1"/>
  <c r="J224" i="2"/>
  <c r="X239" i="1" s="1"/>
  <c r="G224" i="2"/>
  <c r="AP239" i="1" s="1"/>
  <c r="F224" i="2"/>
  <c r="AB239" i="1" s="1"/>
  <c r="L224" i="2"/>
  <c r="AJ239" i="1" s="1"/>
  <c r="M224" i="2"/>
  <c r="BJ239" i="1" s="1"/>
  <c r="P224" i="2"/>
  <c r="AF239" i="1" s="1"/>
  <c r="H224" i="2"/>
  <c r="R239" i="1" s="1"/>
  <c r="O224" i="2"/>
  <c r="BR239" i="1" s="1"/>
  <c r="K224" i="2"/>
  <c r="BD239" i="1" s="1"/>
  <c r="Q224" i="2"/>
  <c r="BV239" i="1" s="1"/>
  <c r="I224" i="2"/>
  <c r="AX239" i="1" s="1"/>
  <c r="E224" i="2"/>
  <c r="L239" i="1" s="1"/>
  <c r="R224" i="2"/>
  <c r="CB239" i="1" s="1"/>
  <c r="N224" i="2"/>
  <c r="BN239" i="1" s="1"/>
  <c r="AM239" i="1"/>
  <c r="AJ636" i="1"/>
  <c r="H369" i="1"/>
  <c r="BY238" i="1"/>
  <c r="BV635" i="1"/>
  <c r="BA239" i="1"/>
  <c r="AX636" i="1"/>
  <c r="CE238" i="1"/>
  <c r="CB635" i="1"/>
  <c r="BY239" i="1"/>
  <c r="BV636" i="1"/>
  <c r="C592" i="2"/>
  <c r="C714" i="2" s="1"/>
  <c r="CA757" i="1"/>
  <c r="R469" i="18"/>
  <c r="CA370" i="1" s="1"/>
  <c r="BV117" i="1"/>
  <c r="BR117" i="1"/>
  <c r="BY116" i="1"/>
  <c r="BV530" i="1"/>
  <c r="K114" i="1"/>
  <c r="B105" i="2"/>
  <c r="A105" i="2"/>
  <c r="M469" i="18"/>
  <c r="BG370" i="1" s="1"/>
  <c r="BG757" i="1"/>
  <c r="L117" i="1"/>
  <c r="H529" i="1"/>
  <c r="K531" i="1"/>
  <c r="BU757" i="1"/>
  <c r="Q469" i="18"/>
  <c r="BU370" i="1" s="1"/>
  <c r="P469" i="18"/>
  <c r="AE370" i="1" s="1"/>
  <c r="AE757" i="1"/>
  <c r="AX117" i="1"/>
  <c r="BD117" i="1"/>
  <c r="U116" i="1"/>
  <c r="R530" i="1"/>
  <c r="C757" i="1"/>
  <c r="F347" i="2"/>
  <c r="H347" i="2"/>
  <c r="M347" i="2"/>
  <c r="R347" i="2"/>
  <c r="E347" i="2"/>
  <c r="L347" i="2"/>
  <c r="N347" i="2"/>
  <c r="N469" i="2" s="1"/>
  <c r="BN370" i="1" s="1"/>
  <c r="K347" i="2"/>
  <c r="O347" i="2"/>
  <c r="Q347" i="2"/>
  <c r="P347" i="2"/>
  <c r="J347" i="2"/>
  <c r="G347" i="2"/>
  <c r="I347" i="2"/>
  <c r="W114" i="1"/>
  <c r="AM238" i="1"/>
  <c r="AJ635" i="1"/>
  <c r="O239" i="1"/>
  <c r="L636" i="1"/>
  <c r="G239" i="1"/>
  <c r="I115" i="1"/>
  <c r="AI531" i="1"/>
  <c r="L469" i="18"/>
  <c r="AI370" i="1" s="1"/>
  <c r="AI757" i="1"/>
  <c r="AO757" i="1"/>
  <c r="G469" i="18"/>
  <c r="AO370" i="1" s="1"/>
  <c r="H115" i="2"/>
  <c r="P115" i="2"/>
  <c r="I115" i="2"/>
  <c r="Q115" i="2"/>
  <c r="R115" i="2"/>
  <c r="E115" i="2"/>
  <c r="M115" i="2"/>
  <c r="N115" i="2"/>
  <c r="D116" i="2"/>
  <c r="K115" i="2"/>
  <c r="L115" i="2"/>
  <c r="O115" i="2"/>
  <c r="CB117" i="1"/>
  <c r="BH116" i="1"/>
  <c r="BD530" i="1"/>
  <c r="CA114" i="1"/>
  <c r="C104" i="2"/>
  <c r="O238" i="1"/>
  <c r="L635" i="1"/>
  <c r="C225" i="2"/>
  <c r="C470" i="2"/>
  <c r="C348" i="2"/>
  <c r="C106" i="1"/>
  <c r="C240" i="1"/>
  <c r="C649" i="1" s="1"/>
  <c r="C371" i="1"/>
  <c r="D371" i="1" s="1"/>
  <c r="CE239" i="1"/>
  <c r="CB636" i="1"/>
  <c r="W531" i="1"/>
  <c r="BC757" i="1"/>
  <c r="K469" i="18"/>
  <c r="BC370" i="1" s="1"/>
  <c r="O469" i="18"/>
  <c r="BQ370" i="1" s="1"/>
  <c r="BQ757" i="1"/>
  <c r="BN117" i="1"/>
  <c r="CE116" i="1"/>
  <c r="CB530" i="1"/>
  <c r="A593" i="18"/>
  <c r="B593" i="18"/>
  <c r="G636" i="1"/>
  <c r="AW114" i="1"/>
  <c r="U238" i="1"/>
  <c r="R635" i="1"/>
  <c r="U239" i="1"/>
  <c r="R636" i="1"/>
  <c r="G530" i="1"/>
  <c r="CA531" i="1"/>
  <c r="W757" i="1"/>
  <c r="J469" i="18"/>
  <c r="W370" i="1" s="1"/>
  <c r="F469" i="18"/>
  <c r="AA370" i="1" s="1"/>
  <c r="AA757" i="1"/>
  <c r="BJ117" i="1"/>
  <c r="AM116" i="1"/>
  <c r="AJ531" i="1"/>
  <c r="K714" i="18"/>
  <c r="BC637" i="1" s="1"/>
  <c r="O714" i="18"/>
  <c r="BQ637" i="1" s="1"/>
  <c r="J714" i="18"/>
  <c r="W637" i="1" s="1"/>
  <c r="H714" i="18"/>
  <c r="Q637" i="1" s="1"/>
  <c r="E714" i="18"/>
  <c r="K637" i="1" s="1"/>
  <c r="BC114" i="1"/>
  <c r="BA116" i="1"/>
  <c r="AX530" i="1"/>
  <c r="K112" i="18"/>
  <c r="E112" i="18"/>
  <c r="D113" i="18"/>
  <c r="G112" i="18"/>
  <c r="J112" i="18"/>
  <c r="R112" i="18"/>
  <c r="Q112" i="18"/>
  <c r="H112" i="18"/>
  <c r="I112" i="18"/>
  <c r="B105" i="18"/>
  <c r="A105" i="18"/>
  <c r="BU531" i="1"/>
  <c r="Q757" i="1"/>
  <c r="H469" i="18"/>
  <c r="Q370" i="1" s="1"/>
  <c r="AF117" i="1"/>
  <c r="H603" i="2"/>
  <c r="I603" i="2"/>
  <c r="Q603" i="2"/>
  <c r="D604" i="2"/>
  <c r="R603" i="2"/>
  <c r="K603" i="2"/>
  <c r="L603" i="2"/>
  <c r="E603" i="2"/>
  <c r="G369" i="1"/>
  <c r="Q114" i="1"/>
  <c r="H603" i="18"/>
  <c r="Q603" i="18"/>
  <c r="R603" i="18"/>
  <c r="J603" i="18"/>
  <c r="E603" i="18"/>
  <c r="D604" i="18"/>
  <c r="L603" i="18"/>
  <c r="BU114" i="1"/>
  <c r="C104" i="18"/>
  <c r="Q531" i="1"/>
  <c r="B593" i="2"/>
  <c r="A593" i="2"/>
  <c r="C593" i="2" s="1"/>
  <c r="C715" i="2" s="1"/>
  <c r="K757" i="1"/>
  <c r="E469" i="18"/>
  <c r="K370" i="1" s="1"/>
  <c r="A102" i="10"/>
  <c r="M714" i="18" s="1"/>
  <c r="BG637" i="1" s="1"/>
  <c r="C225" i="18"/>
  <c r="C348" i="18"/>
  <c r="C470" i="18"/>
  <c r="A102" i="13"/>
  <c r="C102" i="13" s="1"/>
  <c r="C228" i="12"/>
  <c r="R117" i="1"/>
  <c r="O116" i="1"/>
  <c r="L530" i="1"/>
  <c r="D105" i="1"/>
  <c r="E105" i="1"/>
  <c r="F105" i="1"/>
  <c r="C519" i="1"/>
  <c r="AO114" i="1"/>
  <c r="D605" i="2" l="1"/>
  <c r="L604" i="2"/>
  <c r="E604" i="2"/>
  <c r="I604" i="2"/>
  <c r="R604" i="2"/>
  <c r="K604" i="2"/>
  <c r="H604" i="2"/>
  <c r="Q604" i="2"/>
  <c r="BR118" i="1"/>
  <c r="AI532" i="1"/>
  <c r="C758" i="1"/>
  <c r="L348" i="2"/>
  <c r="M348" i="2"/>
  <c r="G348" i="2"/>
  <c r="R348" i="2"/>
  <c r="I348" i="2"/>
  <c r="E348" i="2"/>
  <c r="N348" i="2"/>
  <c r="N470" i="2" s="1"/>
  <c r="BN371" i="1" s="1"/>
  <c r="J348" i="2"/>
  <c r="F348" i="2"/>
  <c r="K348" i="2"/>
  <c r="H348" i="2"/>
  <c r="P348" i="2"/>
  <c r="O348" i="2"/>
  <c r="Q348" i="2"/>
  <c r="AJ118" i="1"/>
  <c r="BD757" i="1"/>
  <c r="K469" i="2"/>
  <c r="BD370" i="1" s="1"/>
  <c r="G114" i="1"/>
  <c r="B594" i="2"/>
  <c r="A594" i="2"/>
  <c r="C594" i="2" s="1"/>
  <c r="C716" i="2" s="1"/>
  <c r="E604" i="18"/>
  <c r="D605" i="18"/>
  <c r="H604" i="18"/>
  <c r="Q604" i="18"/>
  <c r="R604" i="18"/>
  <c r="L604" i="18"/>
  <c r="J604" i="18"/>
  <c r="BA117" i="1"/>
  <c r="AX531" i="1"/>
  <c r="AO115" i="1"/>
  <c r="P714" i="18"/>
  <c r="AE637" i="1" s="1"/>
  <c r="BD118" i="1"/>
  <c r="AF118" i="1"/>
  <c r="H117" i="1"/>
  <c r="H530" i="1"/>
  <c r="K532" i="1"/>
  <c r="CG369" i="1"/>
  <c r="U117" i="1"/>
  <c r="R531" i="1"/>
  <c r="C105" i="18"/>
  <c r="J113" i="18"/>
  <c r="R113" i="18"/>
  <c r="K113" i="18"/>
  <c r="D114" i="18"/>
  <c r="E113" i="18"/>
  <c r="I113" i="18"/>
  <c r="Q113" i="18"/>
  <c r="H113" i="18"/>
  <c r="G113" i="18"/>
  <c r="G714" i="18"/>
  <c r="AO637" i="1" s="1"/>
  <c r="F225" i="2"/>
  <c r="AB240" i="1" s="1"/>
  <c r="G225" i="2"/>
  <c r="AP240" i="1" s="1"/>
  <c r="J225" i="2"/>
  <c r="X240" i="1" s="1"/>
  <c r="E225" i="2"/>
  <c r="L240" i="1" s="1"/>
  <c r="O225" i="2"/>
  <c r="BR240" i="1" s="1"/>
  <c r="M225" i="2"/>
  <c r="BJ240" i="1" s="1"/>
  <c r="P225" i="2"/>
  <c r="AF240" i="1" s="1"/>
  <c r="N225" i="2"/>
  <c r="BN240" i="1" s="1"/>
  <c r="H225" i="2"/>
  <c r="R240" i="1" s="1"/>
  <c r="K225" i="2"/>
  <c r="BD240" i="1" s="1"/>
  <c r="Q225" i="2"/>
  <c r="BV240" i="1" s="1"/>
  <c r="L225" i="2"/>
  <c r="AJ240" i="1" s="1"/>
  <c r="I225" i="2"/>
  <c r="AX240" i="1" s="1"/>
  <c r="R225" i="2"/>
  <c r="CB240" i="1" s="1"/>
  <c r="N116" i="2"/>
  <c r="D117" i="2"/>
  <c r="O116" i="2"/>
  <c r="H116" i="2"/>
  <c r="P116" i="2"/>
  <c r="K116" i="2"/>
  <c r="L116" i="2"/>
  <c r="I116" i="2"/>
  <c r="R116" i="2"/>
  <c r="E116" i="2"/>
  <c r="M116" i="2"/>
  <c r="Q116" i="2"/>
  <c r="R118" i="1"/>
  <c r="AX757" i="1"/>
  <c r="I469" i="2"/>
  <c r="AX370" i="1" s="1"/>
  <c r="AJ757" i="1"/>
  <c r="L469" i="2"/>
  <c r="AJ370" i="1" s="1"/>
  <c r="CA115" i="1"/>
  <c r="BR757" i="1"/>
  <c r="O469" i="2"/>
  <c r="BR370" i="1" s="1"/>
  <c r="W115" i="1"/>
  <c r="AX118" i="1"/>
  <c r="I116" i="1"/>
  <c r="H348" i="18"/>
  <c r="Q348" i="18"/>
  <c r="I348" i="18"/>
  <c r="R348" i="18"/>
  <c r="K348" i="18"/>
  <c r="E348" i="18"/>
  <c r="F348" i="18"/>
  <c r="G348" i="18"/>
  <c r="J348" i="18"/>
  <c r="L348" i="18"/>
  <c r="O348" i="18"/>
  <c r="M348" i="18"/>
  <c r="P348" i="18"/>
  <c r="W532" i="1"/>
  <c r="O117" i="1"/>
  <c r="L531" i="1"/>
  <c r="A106" i="18"/>
  <c r="B106" i="18"/>
  <c r="K115" i="1"/>
  <c r="L714" i="18"/>
  <c r="AI637" i="1" s="1"/>
  <c r="F714" i="18"/>
  <c r="AA637" i="1" s="1"/>
  <c r="H635" i="1"/>
  <c r="BN118" i="1"/>
  <c r="H636" i="1"/>
  <c r="G469" i="2"/>
  <c r="AP370" i="1" s="1"/>
  <c r="AP757" i="1"/>
  <c r="L757" i="1"/>
  <c r="E469" i="2"/>
  <c r="L370" i="1" s="1"/>
  <c r="BV118" i="1"/>
  <c r="L228" i="12"/>
  <c r="M228" i="12"/>
  <c r="N228" i="12"/>
  <c r="G228" i="12"/>
  <c r="O228" i="12"/>
  <c r="H228" i="12"/>
  <c r="P228" i="12"/>
  <c r="I228" i="12"/>
  <c r="Q228" i="12"/>
  <c r="J228" i="12"/>
  <c r="R228" i="12"/>
  <c r="K228" i="12"/>
  <c r="S228" i="12"/>
  <c r="E228" i="12"/>
  <c r="F228" i="12"/>
  <c r="A103" i="10"/>
  <c r="F715" i="2" s="1"/>
  <c r="AB638" i="1" s="1"/>
  <c r="C349" i="18"/>
  <c r="C226" i="18"/>
  <c r="C471" i="18"/>
  <c r="A103" i="13"/>
  <c r="C103" i="13" s="1"/>
  <c r="C229" i="12"/>
  <c r="BC115" i="1"/>
  <c r="CB757" i="1"/>
  <c r="R469" i="2"/>
  <c r="CB370" i="1" s="1"/>
  <c r="AV239" i="1"/>
  <c r="H239" i="1"/>
  <c r="F469" i="2"/>
  <c r="AB370" i="1" s="1"/>
  <c r="AB757" i="1"/>
  <c r="A106" i="2"/>
  <c r="B106" i="2"/>
  <c r="N715" i="2"/>
  <c r="R715" i="2"/>
  <c r="I715" i="2"/>
  <c r="AM117" i="1"/>
  <c r="AJ532" i="1"/>
  <c r="BJ118" i="1"/>
  <c r="I239" i="1"/>
  <c r="BH117" i="1"/>
  <c r="BD531" i="1"/>
  <c r="Q115" i="1"/>
  <c r="R714" i="18"/>
  <c r="CA637" i="1" s="1"/>
  <c r="I714" i="18"/>
  <c r="AW637" i="1" s="1"/>
  <c r="A594" i="18"/>
  <c r="B594" i="18"/>
  <c r="C226" i="2"/>
  <c r="C349" i="2"/>
  <c r="C471" i="2"/>
  <c r="C107" i="1"/>
  <c r="C241" i="1"/>
  <c r="C650" i="1" s="1"/>
  <c r="C372" i="1"/>
  <c r="D372" i="1" s="1"/>
  <c r="L118" i="1"/>
  <c r="H118" i="1" s="1"/>
  <c r="AF757" i="1"/>
  <c r="P469" i="2"/>
  <c r="AF370" i="1" s="1"/>
  <c r="BJ757" i="1"/>
  <c r="M469" i="2"/>
  <c r="BJ370" i="1" s="1"/>
  <c r="AT239" i="1"/>
  <c r="D106" i="1"/>
  <c r="E106" i="1"/>
  <c r="F106" i="1"/>
  <c r="C520" i="1"/>
  <c r="BY117" i="1"/>
  <c r="BV531" i="1"/>
  <c r="M225" i="18"/>
  <c r="BG240" i="1" s="1"/>
  <c r="P225" i="18"/>
  <c r="AE240" i="1" s="1"/>
  <c r="F225" i="18"/>
  <c r="AA240" i="1" s="1"/>
  <c r="L225" i="18"/>
  <c r="AI240" i="1" s="1"/>
  <c r="A224" i="13"/>
  <c r="C224" i="13" s="1"/>
  <c r="O225" i="18"/>
  <c r="BQ240" i="1" s="1"/>
  <c r="K225" i="18"/>
  <c r="BC240" i="1" s="1"/>
  <c r="E225" i="18"/>
  <c r="K240" i="1" s="1"/>
  <c r="Q225" i="18"/>
  <c r="BU240" i="1" s="1"/>
  <c r="G225" i="18"/>
  <c r="AO240" i="1" s="1"/>
  <c r="I225" i="18"/>
  <c r="AW240" i="1" s="1"/>
  <c r="J225" i="18"/>
  <c r="W240" i="1" s="1"/>
  <c r="H225" i="18"/>
  <c r="Q240" i="1" s="1"/>
  <c r="R225" i="18"/>
  <c r="CA240" i="1" s="1"/>
  <c r="CA532" i="1"/>
  <c r="AW115" i="1"/>
  <c r="G637" i="1"/>
  <c r="I238" i="1"/>
  <c r="J469" i="2"/>
  <c r="X370" i="1" s="1"/>
  <c r="X757" i="1"/>
  <c r="BU532" i="1"/>
  <c r="E519" i="1"/>
  <c r="D519" i="1"/>
  <c r="G370" i="1"/>
  <c r="Q532" i="1"/>
  <c r="CE117" i="1"/>
  <c r="CB531" i="1"/>
  <c r="BU115" i="1"/>
  <c r="Q714" i="18"/>
  <c r="BU637" i="1" s="1"/>
  <c r="C593" i="18"/>
  <c r="C715" i="18" s="1"/>
  <c r="CB118" i="1"/>
  <c r="BV757" i="1"/>
  <c r="Q469" i="2"/>
  <c r="BV370" i="1" s="1"/>
  <c r="R757" i="1"/>
  <c r="H469" i="2"/>
  <c r="R370" i="1" s="1"/>
  <c r="G531" i="1"/>
  <c r="C105" i="2"/>
  <c r="F714" i="2"/>
  <c r="AB637" i="1" s="1"/>
  <c r="O714" i="2"/>
  <c r="BR637" i="1" s="1"/>
  <c r="J714" i="2"/>
  <c r="X637" i="1" s="1"/>
  <c r="M714" i="2"/>
  <c r="BJ637" i="1" s="1"/>
  <c r="N714" i="2"/>
  <c r="G714" i="2"/>
  <c r="AP637" i="1" s="1"/>
  <c r="P714" i="2"/>
  <c r="AF637" i="1" s="1"/>
  <c r="R714" i="2"/>
  <c r="L714" i="2"/>
  <c r="K714" i="2"/>
  <c r="BD637" i="1" s="1"/>
  <c r="H714" i="2"/>
  <c r="I714" i="2"/>
  <c r="Q714" i="2"/>
  <c r="E714" i="2"/>
  <c r="AV238" i="1"/>
  <c r="BV758" i="1" l="1"/>
  <c r="Q470" i="2"/>
  <c r="BV371" i="1" s="1"/>
  <c r="U240" i="1"/>
  <c r="R637" i="1"/>
  <c r="AM240" i="1"/>
  <c r="AJ637" i="1"/>
  <c r="G240" i="1"/>
  <c r="E715" i="2"/>
  <c r="CE240" i="1"/>
  <c r="CB637" i="1"/>
  <c r="C227" i="2"/>
  <c r="C472" i="2"/>
  <c r="C350" i="2"/>
  <c r="C108" i="1"/>
  <c r="C242" i="1"/>
  <c r="C651" i="1" s="1"/>
  <c r="C373" i="1"/>
  <c r="D373" i="1" s="1"/>
  <c r="D107" i="1"/>
  <c r="E107" i="1"/>
  <c r="F107" i="1"/>
  <c r="C521" i="1"/>
  <c r="Q715" i="2"/>
  <c r="O715" i="2"/>
  <c r="BR638" i="1" s="1"/>
  <c r="AO758" i="1"/>
  <c r="G470" i="18"/>
  <c r="AO371" i="1" s="1"/>
  <c r="AJ119" i="1"/>
  <c r="AT240" i="1"/>
  <c r="BU116" i="1"/>
  <c r="BU533" i="1"/>
  <c r="BD758" i="1"/>
  <c r="K470" i="2"/>
  <c r="BD371" i="1" s="1"/>
  <c r="BJ758" i="1"/>
  <c r="M470" i="2"/>
  <c r="BJ371" i="1" s="1"/>
  <c r="BY118" i="1"/>
  <c r="BV532" i="1"/>
  <c r="K715" i="18"/>
  <c r="BC638" i="1" s="1"/>
  <c r="I715" i="18"/>
  <c r="AW638" i="1" s="1"/>
  <c r="O715" i="18"/>
  <c r="BQ638" i="1" s="1"/>
  <c r="P715" i="18"/>
  <c r="AE638" i="1" s="1"/>
  <c r="G715" i="18"/>
  <c r="AO638" i="1" s="1"/>
  <c r="F715" i="18"/>
  <c r="AA638" i="1" s="1"/>
  <c r="M715" i="18"/>
  <c r="BG638" i="1" s="1"/>
  <c r="J715" i="18"/>
  <c r="W638" i="1" s="1"/>
  <c r="H715" i="18"/>
  <c r="Q638" i="1" s="1"/>
  <c r="R715" i="18"/>
  <c r="CA638" i="1" s="1"/>
  <c r="Q715" i="18"/>
  <c r="BU638" i="1" s="1"/>
  <c r="E715" i="18"/>
  <c r="K638" i="1" s="1"/>
  <c r="L715" i="18"/>
  <c r="AI638" i="1" s="1"/>
  <c r="BA241" i="1"/>
  <c r="AX638" i="1"/>
  <c r="G115" i="1"/>
  <c r="F470" i="18"/>
  <c r="AA371" i="1" s="1"/>
  <c r="AA758" i="1"/>
  <c r="BD119" i="1"/>
  <c r="H240" i="1"/>
  <c r="AW116" i="1"/>
  <c r="Q533" i="1"/>
  <c r="F470" i="2"/>
  <c r="AB371" i="1" s="1"/>
  <c r="AB758" i="1"/>
  <c r="AJ758" i="1"/>
  <c r="L470" i="2"/>
  <c r="AJ371" i="1" s="1"/>
  <c r="U118" i="1"/>
  <c r="R532" i="1"/>
  <c r="O240" i="1"/>
  <c r="L637" i="1"/>
  <c r="D520" i="1"/>
  <c r="E520" i="1"/>
  <c r="C759" i="1"/>
  <c r="F349" i="2"/>
  <c r="O349" i="2"/>
  <c r="G349" i="2"/>
  <c r="H349" i="2"/>
  <c r="Q349" i="2"/>
  <c r="K349" i="2"/>
  <c r="M349" i="2"/>
  <c r="L349" i="2"/>
  <c r="I349" i="2"/>
  <c r="E349" i="2"/>
  <c r="N349" i="2"/>
  <c r="N471" i="2" s="1"/>
  <c r="BN372" i="1" s="1"/>
  <c r="R349" i="2"/>
  <c r="P349" i="2"/>
  <c r="J349" i="2"/>
  <c r="K715" i="2"/>
  <c r="BD638" i="1" s="1"/>
  <c r="J715" i="2"/>
  <c r="X638" i="1" s="1"/>
  <c r="J349" i="18"/>
  <c r="K349" i="18"/>
  <c r="E349" i="18"/>
  <c r="M349" i="18"/>
  <c r="Q349" i="18"/>
  <c r="F349" i="18"/>
  <c r="R349" i="18"/>
  <c r="G349" i="18"/>
  <c r="H349" i="18"/>
  <c r="I349" i="18"/>
  <c r="O349" i="18"/>
  <c r="P349" i="18"/>
  <c r="L349" i="18"/>
  <c r="K758" i="1"/>
  <c r="E470" i="18"/>
  <c r="K371" i="1" s="1"/>
  <c r="AF119" i="1"/>
  <c r="K116" i="1"/>
  <c r="L605" i="18"/>
  <c r="E605" i="18"/>
  <c r="D606" i="18"/>
  <c r="H605" i="18"/>
  <c r="Q605" i="18"/>
  <c r="R605" i="18"/>
  <c r="J605" i="18"/>
  <c r="J470" i="2"/>
  <c r="X371" i="1" s="1"/>
  <c r="X758" i="1"/>
  <c r="BH118" i="1"/>
  <c r="BD532" i="1"/>
  <c r="L226" i="18"/>
  <c r="AI241" i="1" s="1"/>
  <c r="M226" i="18"/>
  <c r="BG241" i="1" s="1"/>
  <c r="P226" i="18"/>
  <c r="AE241" i="1" s="1"/>
  <c r="F226" i="18"/>
  <c r="AA241" i="1" s="1"/>
  <c r="O226" i="18"/>
  <c r="BQ241" i="1" s="1"/>
  <c r="A225" i="13"/>
  <c r="C225" i="13" s="1"/>
  <c r="J226" i="18"/>
  <c r="W241" i="1" s="1"/>
  <c r="E226" i="18"/>
  <c r="K241" i="1" s="1"/>
  <c r="R226" i="18"/>
  <c r="CA241" i="1" s="1"/>
  <c r="H226" i="18"/>
  <c r="Q241" i="1" s="1"/>
  <c r="K226" i="18"/>
  <c r="BC241" i="1" s="1"/>
  <c r="G226" i="18"/>
  <c r="AO241" i="1" s="1"/>
  <c r="Q226" i="18"/>
  <c r="BU241" i="1" s="1"/>
  <c r="I226" i="18"/>
  <c r="AW241" i="1" s="1"/>
  <c r="CE241" i="1"/>
  <c r="CB638" i="1"/>
  <c r="BC758" i="1"/>
  <c r="K470" i="18"/>
  <c r="BC371" i="1" s="1"/>
  <c r="A595" i="18"/>
  <c r="B595" i="18"/>
  <c r="C106" i="2"/>
  <c r="M470" i="18"/>
  <c r="BG371" i="1" s="1"/>
  <c r="BG758" i="1"/>
  <c r="BR119" i="1"/>
  <c r="N716" i="2"/>
  <c r="O716" i="2"/>
  <c r="BR639" i="1" s="1"/>
  <c r="F716" i="2"/>
  <c r="AB639" i="1" s="1"/>
  <c r="I716" i="2"/>
  <c r="H716" i="2"/>
  <c r="R716" i="2"/>
  <c r="C594" i="18"/>
  <c r="C716" i="18" s="1"/>
  <c r="L715" i="2"/>
  <c r="G715" i="2"/>
  <c r="AP638" i="1" s="1"/>
  <c r="C106" i="18"/>
  <c r="O470" i="18"/>
  <c r="BQ371" i="1" s="1"/>
  <c r="BQ758" i="1"/>
  <c r="AW758" i="1"/>
  <c r="I470" i="18"/>
  <c r="AW371" i="1" s="1"/>
  <c r="L119" i="1"/>
  <c r="L117" i="2"/>
  <c r="E117" i="2"/>
  <c r="M117" i="2"/>
  <c r="N117" i="2"/>
  <c r="D118" i="2"/>
  <c r="I117" i="2"/>
  <c r="Q117" i="2"/>
  <c r="R117" i="2"/>
  <c r="H117" i="2"/>
  <c r="P117" i="2"/>
  <c r="K117" i="2"/>
  <c r="O117" i="2"/>
  <c r="CA116" i="1"/>
  <c r="W533" i="1"/>
  <c r="A595" i="2"/>
  <c r="C595" i="2" s="1"/>
  <c r="C717" i="2" s="1"/>
  <c r="B595" i="2"/>
  <c r="BR758" i="1"/>
  <c r="O470" i="2"/>
  <c r="BR371" i="1" s="1"/>
  <c r="AX758" i="1"/>
  <c r="I470" i="2"/>
  <c r="AX371" i="1" s="1"/>
  <c r="O118" i="1"/>
  <c r="L532" i="1"/>
  <c r="H532" i="1" s="1"/>
  <c r="BY240" i="1"/>
  <c r="BV637" i="1"/>
  <c r="G226" i="2"/>
  <c r="AP241" i="1" s="1"/>
  <c r="J226" i="2"/>
  <c r="X241" i="1" s="1"/>
  <c r="F226" i="2"/>
  <c r="AB241" i="1" s="1"/>
  <c r="O226" i="2"/>
  <c r="BR241" i="1" s="1"/>
  <c r="M226" i="2"/>
  <c r="BJ241" i="1" s="1"/>
  <c r="L226" i="2"/>
  <c r="AJ241" i="1" s="1"/>
  <c r="P226" i="2"/>
  <c r="AF241" i="1" s="1"/>
  <c r="Q226" i="2"/>
  <c r="BV241" i="1" s="1"/>
  <c r="E226" i="2"/>
  <c r="L241" i="1" s="1"/>
  <c r="H226" i="2"/>
  <c r="R241" i="1" s="1"/>
  <c r="I226" i="2"/>
  <c r="AX241" i="1" s="1"/>
  <c r="N226" i="2"/>
  <c r="BN241" i="1" s="1"/>
  <c r="R226" i="2"/>
  <c r="CB241" i="1" s="1"/>
  <c r="K226" i="2"/>
  <c r="BD241" i="1" s="1"/>
  <c r="A107" i="2"/>
  <c r="B107" i="2"/>
  <c r="BV119" i="1"/>
  <c r="CE118" i="1"/>
  <c r="CB532" i="1"/>
  <c r="CA758" i="1"/>
  <c r="R470" i="18"/>
  <c r="CA371" i="1" s="1"/>
  <c r="BC116" i="1"/>
  <c r="BA118" i="1"/>
  <c r="AX532" i="1"/>
  <c r="P715" i="2"/>
  <c r="AF638" i="1" s="1"/>
  <c r="L229" i="12"/>
  <c r="E229" i="12"/>
  <c r="F229" i="12"/>
  <c r="G229" i="12"/>
  <c r="O229" i="12"/>
  <c r="H229" i="12"/>
  <c r="P229" i="12"/>
  <c r="I229" i="12"/>
  <c r="Q229" i="12"/>
  <c r="J229" i="12"/>
  <c r="R229" i="12"/>
  <c r="N229" i="12"/>
  <c r="K229" i="12"/>
  <c r="S229" i="12"/>
  <c r="M229" i="12"/>
  <c r="H370" i="1"/>
  <c r="CG370" i="1" s="1"/>
  <c r="H531" i="1"/>
  <c r="L470" i="18"/>
  <c r="AI371" i="1" s="1"/>
  <c r="AI758" i="1"/>
  <c r="BU758" i="1"/>
  <c r="Q470" i="18"/>
  <c r="BU371" i="1" s="1"/>
  <c r="CB119" i="1"/>
  <c r="BN119" i="1"/>
  <c r="AO116" i="1"/>
  <c r="W116" i="1"/>
  <c r="AI533" i="1"/>
  <c r="AF758" i="1"/>
  <c r="P470" i="2"/>
  <c r="AF371" i="1" s="1"/>
  <c r="CB758" i="1"/>
  <c r="R470" i="2"/>
  <c r="CB371" i="1" s="1"/>
  <c r="AM118" i="1"/>
  <c r="AJ533" i="1"/>
  <c r="P470" i="18"/>
  <c r="AE371" i="1" s="1"/>
  <c r="AE758" i="1"/>
  <c r="R119" i="1"/>
  <c r="H114" i="18"/>
  <c r="K114" i="18"/>
  <c r="E114" i="18"/>
  <c r="D115" i="18"/>
  <c r="J114" i="18"/>
  <c r="R114" i="18"/>
  <c r="G114" i="18"/>
  <c r="I114" i="18"/>
  <c r="Q114" i="18"/>
  <c r="K533" i="1"/>
  <c r="BA240" i="1"/>
  <c r="AV240" i="1" s="1"/>
  <c r="AX637" i="1"/>
  <c r="M715" i="2"/>
  <c r="BJ638" i="1" s="1"/>
  <c r="A107" i="18"/>
  <c r="C107" i="18" s="1"/>
  <c r="B107" i="18"/>
  <c r="BJ119" i="1"/>
  <c r="G532" i="1"/>
  <c r="L758" i="1"/>
  <c r="E470" i="2"/>
  <c r="L371" i="1" s="1"/>
  <c r="H715" i="2"/>
  <c r="I117" i="1"/>
  <c r="W758" i="1"/>
  <c r="J470" i="18"/>
  <c r="W371" i="1" s="1"/>
  <c r="Q758" i="1"/>
  <c r="H470" i="18"/>
  <c r="Q371" i="1" s="1"/>
  <c r="AX119" i="1"/>
  <c r="Q116" i="1"/>
  <c r="A104" i="10"/>
  <c r="M716" i="2" s="1"/>
  <c r="BJ639" i="1" s="1"/>
  <c r="C227" i="18"/>
  <c r="C350" i="18"/>
  <c r="C472" i="18"/>
  <c r="A104" i="13"/>
  <c r="C104" i="13" s="1"/>
  <c r="C230" i="12"/>
  <c r="CA533" i="1"/>
  <c r="R758" i="1"/>
  <c r="H470" i="2"/>
  <c r="R371" i="1" s="1"/>
  <c r="G470" i="2"/>
  <c r="AP371" i="1" s="1"/>
  <c r="AP758" i="1"/>
  <c r="L605" i="2"/>
  <c r="E605" i="2"/>
  <c r="R605" i="2"/>
  <c r="K605" i="2"/>
  <c r="Q605" i="2"/>
  <c r="D606" i="2"/>
  <c r="H605" i="2"/>
  <c r="I605" i="2"/>
  <c r="CE119" i="1" l="1"/>
  <c r="CB533" i="1"/>
  <c r="Q117" i="1"/>
  <c r="AM119" i="1"/>
  <c r="AJ534" i="1"/>
  <c r="U241" i="1"/>
  <c r="R638" i="1"/>
  <c r="AO117" i="1"/>
  <c r="F471" i="18"/>
  <c r="AA372" i="1" s="1"/>
  <c r="AA759" i="1"/>
  <c r="I118" i="1"/>
  <c r="BA242" i="1"/>
  <c r="AX639" i="1"/>
  <c r="A596" i="18"/>
  <c r="B596" i="18"/>
  <c r="L471" i="18"/>
  <c r="AI372" i="1" s="1"/>
  <c r="AI759" i="1"/>
  <c r="BV759" i="1"/>
  <c r="Q471" i="2"/>
  <c r="BV372" i="1" s="1"/>
  <c r="D116" i="18"/>
  <c r="I115" i="18"/>
  <c r="Q115" i="18"/>
  <c r="J115" i="18"/>
  <c r="R115" i="18"/>
  <c r="K115" i="18"/>
  <c r="E115" i="18"/>
  <c r="H115" i="18"/>
  <c r="G115" i="18"/>
  <c r="BH119" i="1"/>
  <c r="BD533" i="1"/>
  <c r="BC117" i="1"/>
  <c r="H241" i="1"/>
  <c r="R118" i="2"/>
  <c r="K118" i="2"/>
  <c r="L118" i="2"/>
  <c r="O118" i="2"/>
  <c r="H118" i="2"/>
  <c r="P118" i="2"/>
  <c r="D119" i="2"/>
  <c r="I118" i="2"/>
  <c r="N118" i="2"/>
  <c r="Q118" i="2"/>
  <c r="M118" i="2"/>
  <c r="E118" i="2"/>
  <c r="K716" i="2"/>
  <c r="BD639" i="1" s="1"/>
  <c r="P716" i="2"/>
  <c r="AF639" i="1" s="1"/>
  <c r="G241" i="1"/>
  <c r="Q534" i="1"/>
  <c r="Q759" i="1"/>
  <c r="H471" i="18"/>
  <c r="Q372" i="1" s="1"/>
  <c r="W759" i="1"/>
  <c r="J471" i="18"/>
  <c r="W372" i="1" s="1"/>
  <c r="AX759" i="1"/>
  <c r="I471" i="2"/>
  <c r="AX372" i="1" s="1"/>
  <c r="F471" i="2"/>
  <c r="AB372" i="1" s="1"/>
  <c r="AB759" i="1"/>
  <c r="O241" i="1"/>
  <c r="L638" i="1"/>
  <c r="BR120" i="1"/>
  <c r="BN120" i="1"/>
  <c r="CE242" i="1"/>
  <c r="CB639" i="1"/>
  <c r="L606" i="18"/>
  <c r="E606" i="18"/>
  <c r="D607" i="18"/>
  <c r="J606" i="18"/>
  <c r="H606" i="18"/>
  <c r="Q606" i="18"/>
  <c r="R606" i="18"/>
  <c r="AO759" i="1"/>
  <c r="G471" i="18"/>
  <c r="AO372" i="1" s="1"/>
  <c r="AJ759" i="1"/>
  <c r="L471" i="2"/>
  <c r="AJ372" i="1" s="1"/>
  <c r="O119" i="1"/>
  <c r="L533" i="1"/>
  <c r="L230" i="12"/>
  <c r="E230" i="12"/>
  <c r="N230" i="12"/>
  <c r="G230" i="12"/>
  <c r="O230" i="12"/>
  <c r="H230" i="12"/>
  <c r="P230" i="12"/>
  <c r="I230" i="12"/>
  <c r="Q230" i="12"/>
  <c r="J230" i="12"/>
  <c r="R230" i="12"/>
  <c r="K230" i="12"/>
  <c r="S230" i="12"/>
  <c r="M230" i="12"/>
  <c r="F230" i="12"/>
  <c r="A108" i="18"/>
  <c r="C108" i="18" s="1"/>
  <c r="B108" i="18"/>
  <c r="AW117" i="1"/>
  <c r="C107" i="2"/>
  <c r="A596" i="2"/>
  <c r="C596" i="2" s="1"/>
  <c r="C718" i="2" s="1"/>
  <c r="B596" i="2"/>
  <c r="BD120" i="1"/>
  <c r="BJ120" i="1"/>
  <c r="E716" i="2"/>
  <c r="G716" i="2"/>
  <c r="AP639" i="1" s="1"/>
  <c r="K534" i="1"/>
  <c r="G371" i="1"/>
  <c r="CG371" i="1" s="1"/>
  <c r="CA759" i="1"/>
  <c r="R471" i="18"/>
  <c r="CA372" i="1" s="1"/>
  <c r="BJ759" i="1"/>
  <c r="M471" i="2"/>
  <c r="BJ372" i="1" s="1"/>
  <c r="AV241" i="1"/>
  <c r="D108" i="1"/>
  <c r="E108" i="1"/>
  <c r="F108" i="1"/>
  <c r="C522" i="1"/>
  <c r="A106" i="10"/>
  <c r="C352" i="18"/>
  <c r="C229" i="18"/>
  <c r="C474" i="18"/>
  <c r="A106" i="13"/>
  <c r="C106" i="13" s="1"/>
  <c r="C232" i="12"/>
  <c r="J471" i="2"/>
  <c r="X372" i="1" s="1"/>
  <c r="X759" i="1"/>
  <c r="H371" i="1"/>
  <c r="BU759" i="1"/>
  <c r="Q471" i="18"/>
  <c r="BU372" i="1" s="1"/>
  <c r="CB120" i="1"/>
  <c r="H119" i="1"/>
  <c r="L716" i="2"/>
  <c r="J716" i="2"/>
  <c r="X639" i="1" s="1"/>
  <c r="C595" i="18"/>
  <c r="C717" i="18" s="1"/>
  <c r="W534" i="1"/>
  <c r="P471" i="18"/>
  <c r="AE372" i="1" s="1"/>
  <c r="AE759" i="1"/>
  <c r="M471" i="18"/>
  <c r="BG372" i="1" s="1"/>
  <c r="BG759" i="1"/>
  <c r="CB759" i="1"/>
  <c r="R471" i="2"/>
  <c r="CB372" i="1" s="1"/>
  <c r="R759" i="1"/>
  <c r="H471" i="2"/>
  <c r="R372" i="1" s="1"/>
  <c r="I240" i="1"/>
  <c r="F227" i="2"/>
  <c r="AB242" i="1" s="1"/>
  <c r="J227" i="2"/>
  <c r="X242" i="1" s="1"/>
  <c r="G227" i="2"/>
  <c r="AP242" i="1" s="1"/>
  <c r="L227" i="2"/>
  <c r="AJ242" i="1" s="1"/>
  <c r="H227" i="2"/>
  <c r="R242" i="1" s="1"/>
  <c r="Q227" i="2"/>
  <c r="BV242" i="1" s="1"/>
  <c r="I227" i="2"/>
  <c r="AX242" i="1" s="1"/>
  <c r="E227" i="2"/>
  <c r="L242" i="1" s="1"/>
  <c r="N227" i="2"/>
  <c r="BN242" i="1" s="1"/>
  <c r="M227" i="2"/>
  <c r="BJ242" i="1" s="1"/>
  <c r="K227" i="2"/>
  <c r="BD242" i="1" s="1"/>
  <c r="R227" i="2"/>
  <c r="CB242" i="1" s="1"/>
  <c r="P227" i="2"/>
  <c r="AF242" i="1" s="1"/>
  <c r="O227" i="2"/>
  <c r="BR242" i="1" s="1"/>
  <c r="B108" i="2"/>
  <c r="A108" i="2"/>
  <c r="C108" i="2" s="1"/>
  <c r="L120" i="1"/>
  <c r="BY241" i="1"/>
  <c r="BV638" i="1"/>
  <c r="R120" i="1"/>
  <c r="G116" i="1"/>
  <c r="H637" i="1"/>
  <c r="E521" i="1"/>
  <c r="D521" i="1"/>
  <c r="U119" i="1"/>
  <c r="R533" i="1"/>
  <c r="L350" i="18"/>
  <c r="E350" i="18"/>
  <c r="M350" i="18"/>
  <c r="G350" i="18"/>
  <c r="P350" i="18"/>
  <c r="Q350" i="18"/>
  <c r="R350" i="18"/>
  <c r="F350" i="18"/>
  <c r="H350" i="18"/>
  <c r="I350" i="18"/>
  <c r="K350" i="18"/>
  <c r="J350" i="18"/>
  <c r="O350" i="18"/>
  <c r="AT241" i="1"/>
  <c r="BV120" i="1"/>
  <c r="AM241" i="1"/>
  <c r="AJ638" i="1"/>
  <c r="Q716" i="2"/>
  <c r="CA534" i="1"/>
  <c r="O471" i="18"/>
  <c r="BQ372" i="1" s="1"/>
  <c r="BQ759" i="1"/>
  <c r="K759" i="1"/>
  <c r="E471" i="18"/>
  <c r="K372" i="1" s="1"/>
  <c r="G471" i="2"/>
  <c r="AP372" i="1" s="1"/>
  <c r="AP759" i="1"/>
  <c r="BU117" i="1"/>
  <c r="AF120" i="1"/>
  <c r="U242" i="1"/>
  <c r="R639" i="1"/>
  <c r="C228" i="2"/>
  <c r="C351" i="2"/>
  <c r="C473" i="2"/>
  <c r="C109" i="1"/>
  <c r="C243" i="1"/>
  <c r="C652" i="1" s="1"/>
  <c r="C374" i="1"/>
  <c r="D374" i="1" s="1"/>
  <c r="AI534" i="1"/>
  <c r="BD759" i="1"/>
  <c r="K471" i="2"/>
  <c r="BD372" i="1" s="1"/>
  <c r="C760" i="1"/>
  <c r="M350" i="2"/>
  <c r="P350" i="2"/>
  <c r="H350" i="2"/>
  <c r="K350" i="2"/>
  <c r="G350" i="2"/>
  <c r="I350" i="2"/>
  <c r="E350" i="2"/>
  <c r="N350" i="2"/>
  <c r="N472" i="2" s="1"/>
  <c r="BN373" i="1" s="1"/>
  <c r="R350" i="2"/>
  <c r="L350" i="2"/>
  <c r="F350" i="2"/>
  <c r="J350" i="2"/>
  <c r="O350" i="2"/>
  <c r="Q350" i="2"/>
  <c r="BA119" i="1"/>
  <c r="AX533" i="1"/>
  <c r="CA117" i="1"/>
  <c r="AJ120" i="1"/>
  <c r="A105" i="10"/>
  <c r="O717" i="2" s="1"/>
  <c r="BR640" i="1" s="1"/>
  <c r="C228" i="18"/>
  <c r="C351" i="18"/>
  <c r="C473" i="18"/>
  <c r="A105" i="13"/>
  <c r="C105" i="13" s="1"/>
  <c r="C231" i="12"/>
  <c r="AF759" i="1"/>
  <c r="P471" i="2"/>
  <c r="AF372" i="1" s="1"/>
  <c r="G638" i="1"/>
  <c r="W117" i="1"/>
  <c r="R606" i="2"/>
  <c r="K606" i="2"/>
  <c r="H606" i="2"/>
  <c r="I606" i="2"/>
  <c r="Q606" i="2"/>
  <c r="D607" i="2"/>
  <c r="L606" i="2"/>
  <c r="E606" i="2"/>
  <c r="L227" i="18"/>
  <c r="AI242" i="1" s="1"/>
  <c r="M227" i="18"/>
  <c r="BG242" i="1" s="1"/>
  <c r="O227" i="18"/>
  <c r="BQ242" i="1" s="1"/>
  <c r="F227" i="18"/>
  <c r="AA242" i="1" s="1"/>
  <c r="P227" i="18"/>
  <c r="AE242" i="1" s="1"/>
  <c r="A226" i="13"/>
  <c r="C226" i="13" s="1"/>
  <c r="I227" i="18"/>
  <c r="AW242" i="1" s="1"/>
  <c r="G227" i="18"/>
  <c r="AO242" i="1" s="1"/>
  <c r="J227" i="18"/>
  <c r="W242" i="1" s="1"/>
  <c r="Q227" i="18"/>
  <c r="BU242" i="1" s="1"/>
  <c r="K227" i="18"/>
  <c r="BC242" i="1" s="1"/>
  <c r="H227" i="18"/>
  <c r="Q242" i="1" s="1"/>
  <c r="R227" i="18"/>
  <c r="CA242" i="1" s="1"/>
  <c r="E227" i="18"/>
  <c r="K242" i="1" s="1"/>
  <c r="BY119" i="1"/>
  <c r="BV533" i="1"/>
  <c r="G533" i="1"/>
  <c r="K117" i="1"/>
  <c r="G117" i="1" s="1"/>
  <c r="AX120" i="1"/>
  <c r="G716" i="18"/>
  <c r="AO639" i="1" s="1"/>
  <c r="P716" i="18"/>
  <c r="AE639" i="1" s="1"/>
  <c r="I716" i="18"/>
  <c r="AW639" i="1" s="1"/>
  <c r="K716" i="18"/>
  <c r="BC639" i="1" s="1"/>
  <c r="F716" i="18"/>
  <c r="AA639" i="1" s="1"/>
  <c r="O716" i="18"/>
  <c r="BQ639" i="1" s="1"/>
  <c r="M716" i="18"/>
  <c r="BG639" i="1" s="1"/>
  <c r="L716" i="18"/>
  <c r="AI639" i="1" s="1"/>
  <c r="E716" i="18"/>
  <c r="K639" i="1" s="1"/>
  <c r="Q716" i="18"/>
  <c r="BU639" i="1" s="1"/>
  <c r="H716" i="18"/>
  <c r="Q639" i="1" s="1"/>
  <c r="R716" i="18"/>
  <c r="CA639" i="1" s="1"/>
  <c r="J716" i="18"/>
  <c r="W639" i="1" s="1"/>
  <c r="BU534" i="1"/>
  <c r="AW759" i="1"/>
  <c r="I471" i="18"/>
  <c r="AW372" i="1" s="1"/>
  <c r="BC759" i="1"/>
  <c r="K471" i="18"/>
  <c r="BC372" i="1" s="1"/>
  <c r="L759" i="1"/>
  <c r="E471" i="2"/>
  <c r="L372" i="1" s="1"/>
  <c r="H372" i="1" s="1"/>
  <c r="BR759" i="1"/>
  <c r="O471" i="2"/>
  <c r="BR372" i="1" s="1"/>
  <c r="AM120" i="1" l="1"/>
  <c r="AJ535" i="1"/>
  <c r="F351" i="18"/>
  <c r="O351" i="18"/>
  <c r="G351" i="18"/>
  <c r="P351" i="18"/>
  <c r="I351" i="18"/>
  <c r="R351" i="18"/>
  <c r="M351" i="18"/>
  <c r="Q351" i="18"/>
  <c r="E351" i="18"/>
  <c r="H351" i="18"/>
  <c r="K351" i="18"/>
  <c r="J351" i="18"/>
  <c r="L351" i="18"/>
  <c r="AJ760" i="1"/>
  <c r="L472" i="2"/>
  <c r="AJ373" i="1" s="1"/>
  <c r="AF760" i="1"/>
  <c r="P472" i="2"/>
  <c r="AF373" i="1" s="1"/>
  <c r="Q760" i="1"/>
  <c r="H472" i="18"/>
  <c r="Q373" i="1" s="1"/>
  <c r="L472" i="18"/>
  <c r="AI373" i="1" s="1"/>
  <c r="AI760" i="1"/>
  <c r="C230" i="2"/>
  <c r="C353" i="2"/>
  <c r="C475" i="2"/>
  <c r="C111" i="1"/>
  <c r="C245" i="1"/>
  <c r="C654" i="1" s="1"/>
  <c r="C376" i="1"/>
  <c r="D376" i="1" s="1"/>
  <c r="H242" i="1"/>
  <c r="A107" i="10"/>
  <c r="C230" i="18"/>
  <c r="C353" i="18"/>
  <c r="C475" i="18"/>
  <c r="A107" i="13"/>
  <c r="C107" i="13" s="1"/>
  <c r="C233" i="12"/>
  <c r="H533" i="1"/>
  <c r="BU535" i="1"/>
  <c r="BN121" i="1"/>
  <c r="CB121" i="1"/>
  <c r="AO118" i="1"/>
  <c r="H116" i="18"/>
  <c r="I116" i="18"/>
  <c r="Q116" i="18"/>
  <c r="J116" i="18"/>
  <c r="R116" i="18"/>
  <c r="K116" i="18"/>
  <c r="G116" i="18"/>
  <c r="D117" i="18"/>
  <c r="E116" i="18"/>
  <c r="K717" i="2"/>
  <c r="BD640" i="1" s="1"/>
  <c r="P717" i="2"/>
  <c r="AF640" i="1" s="1"/>
  <c r="G242" i="1"/>
  <c r="H607" i="2"/>
  <c r="I607" i="2"/>
  <c r="Q607" i="2"/>
  <c r="E607" i="2"/>
  <c r="R607" i="2"/>
  <c r="L607" i="2"/>
  <c r="D608" i="2"/>
  <c r="K607" i="2"/>
  <c r="P228" i="18"/>
  <c r="AE243" i="1" s="1"/>
  <c r="M228" i="18"/>
  <c r="BG243" i="1" s="1"/>
  <c r="L228" i="18"/>
  <c r="AI243" i="1" s="1"/>
  <c r="A227" i="13"/>
  <c r="C227" i="13" s="1"/>
  <c r="F228" i="18"/>
  <c r="AA243" i="1" s="1"/>
  <c r="O228" i="18"/>
  <c r="BQ243" i="1" s="1"/>
  <c r="R228" i="18"/>
  <c r="CA243" i="1" s="1"/>
  <c r="I228" i="18"/>
  <c r="AW243" i="1" s="1"/>
  <c r="Q228" i="18"/>
  <c r="BU243" i="1" s="1"/>
  <c r="G228" i="18"/>
  <c r="AO243" i="1" s="1"/>
  <c r="H228" i="18"/>
  <c r="Q243" i="1" s="1"/>
  <c r="J228" i="18"/>
  <c r="W243" i="1" s="1"/>
  <c r="K228" i="18"/>
  <c r="BC243" i="1" s="1"/>
  <c r="E228" i="18"/>
  <c r="K243" i="1" s="1"/>
  <c r="CB760" i="1"/>
  <c r="R472" i="2"/>
  <c r="CB373" i="1" s="1"/>
  <c r="BJ760" i="1"/>
  <c r="M472" i="2"/>
  <c r="BJ373" i="1" s="1"/>
  <c r="F109" i="1"/>
  <c r="D109" i="1"/>
  <c r="E109" i="1"/>
  <c r="C523" i="1"/>
  <c r="F472" i="18"/>
  <c r="AA373" i="1" s="1"/>
  <c r="AA760" i="1"/>
  <c r="A109" i="2"/>
  <c r="B109" i="2"/>
  <c r="AT242" i="1"/>
  <c r="B597" i="2"/>
  <c r="A597" i="2"/>
  <c r="C597" i="2" s="1"/>
  <c r="C719" i="2" s="1"/>
  <c r="I119" i="1"/>
  <c r="Q535" i="1"/>
  <c r="AX121" i="1"/>
  <c r="Q118" i="1"/>
  <c r="R717" i="2"/>
  <c r="G717" i="2"/>
  <c r="AP640" i="1" s="1"/>
  <c r="BY120" i="1"/>
  <c r="BV534" i="1"/>
  <c r="CA760" i="1"/>
  <c r="R472" i="18"/>
  <c r="CA373" i="1" s="1"/>
  <c r="P229" i="18"/>
  <c r="AE244" i="1" s="1"/>
  <c r="F229" i="18"/>
  <c r="AA244" i="1" s="1"/>
  <c r="O229" i="18"/>
  <c r="BQ244" i="1" s="1"/>
  <c r="A228" i="13"/>
  <c r="C228" i="13" s="1"/>
  <c r="M229" i="18"/>
  <c r="BG244" i="1" s="1"/>
  <c r="L229" i="18"/>
  <c r="AI244" i="1" s="1"/>
  <c r="Q229" i="18"/>
  <c r="BU244" i="1" s="1"/>
  <c r="J229" i="18"/>
  <c r="W244" i="1" s="1"/>
  <c r="E229" i="18"/>
  <c r="K244" i="1" s="1"/>
  <c r="I229" i="18"/>
  <c r="AW244" i="1" s="1"/>
  <c r="H229" i="18"/>
  <c r="Q244" i="1" s="1"/>
  <c r="G229" i="18"/>
  <c r="AO244" i="1" s="1"/>
  <c r="K229" i="18"/>
  <c r="BC244" i="1" s="1"/>
  <c r="R229" i="18"/>
  <c r="CA244" i="1" s="1"/>
  <c r="O242" i="1"/>
  <c r="L639" i="1"/>
  <c r="M718" i="2"/>
  <c r="BJ641" i="1" s="1"/>
  <c r="N718" i="2"/>
  <c r="F718" i="2"/>
  <c r="AB641" i="1" s="1"/>
  <c r="O718" i="2"/>
  <c r="BR641" i="1" s="1"/>
  <c r="G718" i="2"/>
  <c r="AP641" i="1" s="1"/>
  <c r="P718" i="2"/>
  <c r="AF641" i="1" s="1"/>
  <c r="J718" i="2"/>
  <c r="X641" i="1" s="1"/>
  <c r="Q718" i="2"/>
  <c r="K718" i="2"/>
  <c r="BD641" i="1" s="1"/>
  <c r="R718" i="2"/>
  <c r="L718" i="2"/>
  <c r="I718" i="2"/>
  <c r="H718" i="2"/>
  <c r="E718" i="2"/>
  <c r="W535" i="1"/>
  <c r="H119" i="2"/>
  <c r="P119" i="2"/>
  <c r="I119" i="2"/>
  <c r="Q119" i="2"/>
  <c r="R119" i="2"/>
  <c r="E119" i="2"/>
  <c r="M119" i="2"/>
  <c r="N119" i="2"/>
  <c r="D120" i="2"/>
  <c r="L119" i="2"/>
  <c r="O119" i="2"/>
  <c r="K119" i="2"/>
  <c r="K118" i="1"/>
  <c r="H717" i="2"/>
  <c r="BA120" i="1"/>
  <c r="AX534" i="1"/>
  <c r="L760" i="1"/>
  <c r="E472" i="2"/>
  <c r="L373" i="1" s="1"/>
  <c r="C761" i="1"/>
  <c r="F351" i="2"/>
  <c r="J351" i="2"/>
  <c r="H351" i="2"/>
  <c r="K351" i="2"/>
  <c r="Q351" i="2"/>
  <c r="G351" i="2"/>
  <c r="M351" i="2"/>
  <c r="E351" i="2"/>
  <c r="N351" i="2"/>
  <c r="N473" i="2" s="1"/>
  <c r="BN374" i="1" s="1"/>
  <c r="R351" i="2"/>
  <c r="I351" i="2"/>
  <c r="L351" i="2"/>
  <c r="P351" i="2"/>
  <c r="O351" i="2"/>
  <c r="BU760" i="1"/>
  <c r="Q472" i="18"/>
  <c r="BU373" i="1" s="1"/>
  <c r="F717" i="18"/>
  <c r="AA640" i="1" s="1"/>
  <c r="G717" i="18"/>
  <c r="AO640" i="1" s="1"/>
  <c r="O717" i="18"/>
  <c r="BQ640" i="1" s="1"/>
  <c r="P717" i="18"/>
  <c r="AE640" i="1" s="1"/>
  <c r="I717" i="18"/>
  <c r="AW640" i="1" s="1"/>
  <c r="M717" i="18"/>
  <c r="BG640" i="1" s="1"/>
  <c r="K717" i="18"/>
  <c r="BC640" i="1" s="1"/>
  <c r="J717" i="18"/>
  <c r="W640" i="1" s="1"/>
  <c r="E717" i="18"/>
  <c r="K640" i="1" s="1"/>
  <c r="Q717" i="18"/>
  <c r="BU640" i="1" s="1"/>
  <c r="L717" i="18"/>
  <c r="AI640" i="1" s="1"/>
  <c r="R717" i="18"/>
  <c r="CA640" i="1" s="1"/>
  <c r="H717" i="18"/>
  <c r="Q640" i="1" s="1"/>
  <c r="H352" i="18"/>
  <c r="Q352" i="18"/>
  <c r="I352" i="18"/>
  <c r="R352" i="18"/>
  <c r="K352" i="18"/>
  <c r="M352" i="18"/>
  <c r="O352" i="18"/>
  <c r="P352" i="18"/>
  <c r="E352" i="18"/>
  <c r="F352" i="18"/>
  <c r="J352" i="18"/>
  <c r="G352" i="18"/>
  <c r="L352" i="18"/>
  <c r="C229" i="2"/>
  <c r="C352" i="2"/>
  <c r="C474" i="2"/>
  <c r="C110" i="1"/>
  <c r="C244" i="1"/>
  <c r="C653" i="1" s="1"/>
  <c r="C375" i="1"/>
  <c r="D375" i="1" s="1"/>
  <c r="J607" i="18"/>
  <c r="L607" i="18"/>
  <c r="E607" i="18"/>
  <c r="D608" i="18"/>
  <c r="R607" i="18"/>
  <c r="H607" i="18"/>
  <c r="Q607" i="18"/>
  <c r="AF121" i="1"/>
  <c r="BC118" i="1"/>
  <c r="N717" i="2"/>
  <c r="U120" i="1"/>
  <c r="R534" i="1"/>
  <c r="BV760" i="1"/>
  <c r="Q472" i="2"/>
  <c r="BV373" i="1" s="1"/>
  <c r="AX760" i="1"/>
  <c r="I472" i="2"/>
  <c r="AX373" i="1" s="1"/>
  <c r="J228" i="2"/>
  <c r="X243" i="1" s="1"/>
  <c r="F228" i="2"/>
  <c r="AB243" i="1" s="1"/>
  <c r="G228" i="2"/>
  <c r="AP243" i="1" s="1"/>
  <c r="M228" i="2"/>
  <c r="BJ243" i="1" s="1"/>
  <c r="H228" i="2"/>
  <c r="R243" i="1" s="1"/>
  <c r="N228" i="2"/>
  <c r="BN243" i="1" s="1"/>
  <c r="P228" i="2"/>
  <c r="AF243" i="1" s="1"/>
  <c r="O228" i="2"/>
  <c r="BR243" i="1" s="1"/>
  <c r="K228" i="2"/>
  <c r="BD243" i="1" s="1"/>
  <c r="Q228" i="2"/>
  <c r="BV243" i="1" s="1"/>
  <c r="L228" i="2"/>
  <c r="AJ243" i="1" s="1"/>
  <c r="R228" i="2"/>
  <c r="CB243" i="1" s="1"/>
  <c r="I228" i="2"/>
  <c r="AX243" i="1" s="1"/>
  <c r="E228" i="2"/>
  <c r="L243" i="1" s="1"/>
  <c r="O472" i="18"/>
  <c r="BQ373" i="1" s="1"/>
  <c r="BQ760" i="1"/>
  <c r="P472" i="18"/>
  <c r="AE373" i="1" s="1"/>
  <c r="AE760" i="1"/>
  <c r="K535" i="1"/>
  <c r="R121" i="1"/>
  <c r="CA118" i="1"/>
  <c r="E717" i="2"/>
  <c r="M717" i="2"/>
  <c r="BJ640" i="1" s="1"/>
  <c r="BR760" i="1"/>
  <c r="O472" i="2"/>
  <c r="BR373" i="1" s="1"/>
  <c r="BY242" i="1"/>
  <c r="AV242" i="1" s="1"/>
  <c r="BV639" i="1"/>
  <c r="AO760" i="1"/>
  <c r="G472" i="18"/>
  <c r="AO373" i="1" s="1"/>
  <c r="H120" i="1"/>
  <c r="D522" i="1"/>
  <c r="E522" i="1"/>
  <c r="L121" i="1"/>
  <c r="H121" i="1" s="1"/>
  <c r="W118" i="1"/>
  <c r="B597" i="18"/>
  <c r="A597" i="18"/>
  <c r="C597" i="18" s="1"/>
  <c r="C719" i="18" s="1"/>
  <c r="G639" i="1"/>
  <c r="J472" i="2"/>
  <c r="X373" i="1" s="1"/>
  <c r="X760" i="1"/>
  <c r="M472" i="18"/>
  <c r="BG373" i="1" s="1"/>
  <c r="BG760" i="1"/>
  <c r="H638" i="1"/>
  <c r="BJ121" i="1"/>
  <c r="AJ121" i="1"/>
  <c r="BU118" i="1"/>
  <c r="C596" i="18"/>
  <c r="C718" i="18" s="1"/>
  <c r="I717" i="2"/>
  <c r="F717" i="2"/>
  <c r="AB640" i="1" s="1"/>
  <c r="BH120" i="1"/>
  <c r="BD534" i="1"/>
  <c r="L231" i="12"/>
  <c r="M231" i="12"/>
  <c r="N231" i="12"/>
  <c r="E231" i="12"/>
  <c r="G231" i="12"/>
  <c r="O231" i="12"/>
  <c r="H231" i="12"/>
  <c r="P231" i="12"/>
  <c r="F231" i="12"/>
  <c r="I231" i="12"/>
  <c r="Q231" i="12"/>
  <c r="J231" i="12"/>
  <c r="R231" i="12"/>
  <c r="K231" i="12"/>
  <c r="S231" i="12"/>
  <c r="G472" i="2"/>
  <c r="AP373" i="1" s="1"/>
  <c r="AP760" i="1"/>
  <c r="W760" i="1"/>
  <c r="J472" i="18"/>
  <c r="W373" i="1" s="1"/>
  <c r="AM242" i="1"/>
  <c r="AJ639" i="1"/>
  <c r="AI535" i="1"/>
  <c r="BR121" i="1"/>
  <c r="L717" i="2"/>
  <c r="J717" i="2"/>
  <c r="X640" i="1" s="1"/>
  <c r="CE120" i="1"/>
  <c r="CB534" i="1"/>
  <c r="BD760" i="1"/>
  <c r="K472" i="2"/>
  <c r="BD373" i="1" s="1"/>
  <c r="BC760" i="1"/>
  <c r="K472" i="18"/>
  <c r="BC373" i="1" s="1"/>
  <c r="O120" i="1"/>
  <c r="L534" i="1"/>
  <c r="H534" i="1" s="1"/>
  <c r="F472" i="2"/>
  <c r="AB373" i="1" s="1"/>
  <c r="AB760" i="1"/>
  <c r="R760" i="1"/>
  <c r="H472" i="2"/>
  <c r="R373" i="1" s="1"/>
  <c r="G372" i="1"/>
  <c r="CG372" i="1" s="1"/>
  <c r="AW760" i="1"/>
  <c r="I472" i="18"/>
  <c r="AW373" i="1" s="1"/>
  <c r="K760" i="1"/>
  <c r="E472" i="18"/>
  <c r="K373" i="1" s="1"/>
  <c r="L232" i="12"/>
  <c r="M232" i="12"/>
  <c r="F232" i="12"/>
  <c r="G232" i="12"/>
  <c r="O232" i="12"/>
  <c r="H232" i="12"/>
  <c r="P232" i="12"/>
  <c r="I232" i="12"/>
  <c r="Q232" i="12"/>
  <c r="J232" i="12"/>
  <c r="R232" i="12"/>
  <c r="K232" i="12"/>
  <c r="S232" i="12"/>
  <c r="E232" i="12"/>
  <c r="N232" i="12"/>
  <c r="G534" i="1"/>
  <c r="B109" i="18"/>
  <c r="A109" i="18"/>
  <c r="CA535" i="1"/>
  <c r="I241" i="1"/>
  <c r="BV121" i="1"/>
  <c r="BD121" i="1"/>
  <c r="AW118" i="1"/>
  <c r="Q717" i="2"/>
  <c r="BY243" i="1" l="1"/>
  <c r="BV640" i="1"/>
  <c r="A110" i="18"/>
  <c r="B110" i="18"/>
  <c r="F474" i="18"/>
  <c r="AA375" i="1" s="1"/>
  <c r="AA762" i="1"/>
  <c r="BU536" i="1"/>
  <c r="BU762" i="1"/>
  <c r="Q474" i="18"/>
  <c r="BU375" i="1" s="1"/>
  <c r="BJ761" i="1"/>
  <c r="M473" i="2"/>
  <c r="BJ374" i="1" s="1"/>
  <c r="H373" i="1"/>
  <c r="CB122" i="1"/>
  <c r="U244" i="1"/>
  <c r="R641" i="1"/>
  <c r="B110" i="2"/>
  <c r="A110" i="2"/>
  <c r="C110" i="2" s="1"/>
  <c r="BA121" i="1"/>
  <c r="AX535" i="1"/>
  <c r="AO119" i="1"/>
  <c r="L473" i="18"/>
  <c r="AI374" i="1" s="1"/>
  <c r="AI761" i="1"/>
  <c r="AW761" i="1"/>
  <c r="I473" i="18"/>
  <c r="AW374" i="1" s="1"/>
  <c r="G373" i="1"/>
  <c r="Q536" i="1"/>
  <c r="F110" i="1"/>
  <c r="D110" i="1"/>
  <c r="E110" i="1"/>
  <c r="C524" i="1"/>
  <c r="K762" i="1"/>
  <c r="E474" i="18"/>
  <c r="K375" i="1" s="1"/>
  <c r="Q762" i="1"/>
  <c r="H474" i="18"/>
  <c r="Q375" i="1" s="1"/>
  <c r="BR761" i="1"/>
  <c r="O473" i="2"/>
  <c r="BR374" i="1" s="1"/>
  <c r="G473" i="2"/>
  <c r="AP374" i="1" s="1"/>
  <c r="AP761" i="1"/>
  <c r="BD122" i="1"/>
  <c r="BV122" i="1"/>
  <c r="BA244" i="1"/>
  <c r="AX641" i="1"/>
  <c r="C109" i="2"/>
  <c r="U121" i="1"/>
  <c r="R535" i="1"/>
  <c r="BC119" i="1"/>
  <c r="W761" i="1"/>
  <c r="J473" i="18"/>
  <c r="W374" i="1" s="1"/>
  <c r="P473" i="18"/>
  <c r="AE374" i="1" s="1"/>
  <c r="AE761" i="1"/>
  <c r="BV761" i="1"/>
  <c r="Q473" i="2"/>
  <c r="BV374" i="1" s="1"/>
  <c r="AX122" i="1"/>
  <c r="CA119" i="1"/>
  <c r="BC761" i="1"/>
  <c r="K473" i="18"/>
  <c r="BC374" i="1" s="1"/>
  <c r="R608" i="18"/>
  <c r="J608" i="18"/>
  <c r="L608" i="18"/>
  <c r="E608" i="18"/>
  <c r="D609" i="18"/>
  <c r="H608" i="18"/>
  <c r="Q608" i="18"/>
  <c r="C762" i="1"/>
  <c r="M352" i="2"/>
  <c r="K352" i="2"/>
  <c r="G352" i="2"/>
  <c r="I352" i="2"/>
  <c r="E352" i="2"/>
  <c r="L352" i="2"/>
  <c r="N352" i="2"/>
  <c r="N474" i="2" s="1"/>
  <c r="BN375" i="1" s="1"/>
  <c r="R352" i="2"/>
  <c r="F352" i="2"/>
  <c r="J352" i="2"/>
  <c r="H352" i="2"/>
  <c r="O352" i="2"/>
  <c r="Q352" i="2"/>
  <c r="P352" i="2"/>
  <c r="AJ761" i="1"/>
  <c r="L473" i="2"/>
  <c r="AJ374" i="1" s="1"/>
  <c r="AJ122" i="1"/>
  <c r="G243" i="1"/>
  <c r="BU119" i="1"/>
  <c r="AM243" i="1"/>
  <c r="AJ640" i="1"/>
  <c r="M718" i="18"/>
  <c r="BG641" i="1" s="1"/>
  <c r="F718" i="18"/>
  <c r="AA641" i="1" s="1"/>
  <c r="O718" i="18"/>
  <c r="BQ641" i="1" s="1"/>
  <c r="I718" i="18"/>
  <c r="AW641" i="1" s="1"/>
  <c r="G718" i="18"/>
  <c r="AO641" i="1" s="1"/>
  <c r="P718" i="18"/>
  <c r="AE641" i="1" s="1"/>
  <c r="K718" i="18"/>
  <c r="BC641" i="1" s="1"/>
  <c r="J718" i="18"/>
  <c r="W641" i="1" s="1"/>
  <c r="E718" i="18"/>
  <c r="K641" i="1" s="1"/>
  <c r="L718" i="18"/>
  <c r="AI641" i="1" s="1"/>
  <c r="H718" i="18"/>
  <c r="Q641" i="1" s="1"/>
  <c r="R718" i="18"/>
  <c r="CA641" i="1" s="1"/>
  <c r="Q718" i="18"/>
  <c r="BU641" i="1" s="1"/>
  <c r="M719" i="18"/>
  <c r="BG642" i="1" s="1"/>
  <c r="F719" i="18"/>
  <c r="AA642" i="1" s="1"/>
  <c r="O719" i="18"/>
  <c r="BQ642" i="1" s="1"/>
  <c r="K719" i="18"/>
  <c r="BC642" i="1" s="1"/>
  <c r="I719" i="18"/>
  <c r="AW642" i="1" s="1"/>
  <c r="G719" i="18"/>
  <c r="AO642" i="1" s="1"/>
  <c r="P719" i="18"/>
  <c r="AE642" i="1" s="1"/>
  <c r="E719" i="18"/>
  <c r="K642" i="1" s="1"/>
  <c r="G642" i="1" s="1"/>
  <c r="Q719" i="18"/>
  <c r="BU642" i="1" s="1"/>
  <c r="L719" i="18"/>
  <c r="AI642" i="1" s="1"/>
  <c r="J719" i="18"/>
  <c r="W642" i="1" s="1"/>
  <c r="H719" i="18"/>
  <c r="Q642" i="1" s="1"/>
  <c r="R719" i="18"/>
  <c r="CA642" i="1" s="1"/>
  <c r="AT243" i="1"/>
  <c r="AI536" i="1"/>
  <c r="L474" i="18"/>
  <c r="AI375" i="1" s="1"/>
  <c r="AI762" i="1"/>
  <c r="BC762" i="1"/>
  <c r="K474" i="18"/>
  <c r="BC375" i="1" s="1"/>
  <c r="CB761" i="1"/>
  <c r="R473" i="2"/>
  <c r="CB374" i="1" s="1"/>
  <c r="J473" i="2"/>
  <c r="X374" i="1" s="1"/>
  <c r="X761" i="1"/>
  <c r="U243" i="1"/>
  <c r="R640" i="1"/>
  <c r="BN122" i="1"/>
  <c r="BY244" i="1"/>
  <c r="BV641" i="1"/>
  <c r="H639" i="1"/>
  <c r="N719" i="2"/>
  <c r="F719" i="2"/>
  <c r="AB642" i="1" s="1"/>
  <c r="O719" i="2"/>
  <c r="BR642" i="1" s="1"/>
  <c r="G719" i="2"/>
  <c r="AP642" i="1" s="1"/>
  <c r="P719" i="2"/>
  <c r="AF642" i="1" s="1"/>
  <c r="M719" i="2"/>
  <c r="BJ642" i="1" s="1"/>
  <c r="J719" i="2"/>
  <c r="X642" i="1" s="1"/>
  <c r="E719" i="2"/>
  <c r="H719" i="2"/>
  <c r="R719" i="2"/>
  <c r="L719" i="2"/>
  <c r="K719" i="2"/>
  <c r="BD642" i="1" s="1"/>
  <c r="Q719" i="2"/>
  <c r="I719" i="2"/>
  <c r="CE121" i="1"/>
  <c r="CB535" i="1"/>
  <c r="AW119" i="1"/>
  <c r="BU761" i="1"/>
  <c r="Q473" i="18"/>
  <c r="BU374" i="1" s="1"/>
  <c r="CA536" i="1"/>
  <c r="AF761" i="1"/>
  <c r="P473" i="2"/>
  <c r="AF374" i="1" s="1"/>
  <c r="AF122" i="1"/>
  <c r="Q761" i="1"/>
  <c r="H473" i="18"/>
  <c r="Q374" i="1" s="1"/>
  <c r="M474" i="18"/>
  <c r="BG375" i="1" s="1"/>
  <c r="BG762" i="1"/>
  <c r="AX761" i="1"/>
  <c r="I473" i="2"/>
  <c r="AX374" i="1" s="1"/>
  <c r="N120" i="2"/>
  <c r="D121" i="2"/>
  <c r="O120" i="2"/>
  <c r="H120" i="2"/>
  <c r="P120" i="2"/>
  <c r="K120" i="2"/>
  <c r="L120" i="2"/>
  <c r="R120" i="2"/>
  <c r="E120" i="2"/>
  <c r="M120" i="2"/>
  <c r="I120" i="2"/>
  <c r="Q120" i="2"/>
  <c r="G244" i="1"/>
  <c r="D523" i="1"/>
  <c r="E523" i="1"/>
  <c r="F473" i="18"/>
  <c r="AA374" i="1" s="1"/>
  <c r="AA761" i="1"/>
  <c r="B598" i="18"/>
  <c r="A598" i="18"/>
  <c r="C598" i="18" s="1"/>
  <c r="C720" i="18" s="1"/>
  <c r="W536" i="1"/>
  <c r="AO762" i="1"/>
  <c r="G474" i="18"/>
  <c r="AO375" i="1" s="1"/>
  <c r="CA762" i="1"/>
  <c r="R474" i="18"/>
  <c r="CA375" i="1" s="1"/>
  <c r="G640" i="1"/>
  <c r="F473" i="2"/>
  <c r="AB374" i="1" s="1"/>
  <c r="AB761" i="1"/>
  <c r="G118" i="1"/>
  <c r="BJ122" i="1"/>
  <c r="I242" i="1"/>
  <c r="B598" i="2"/>
  <c r="A598" i="2"/>
  <c r="C598" i="2" s="1"/>
  <c r="C720" i="2" s="1"/>
  <c r="O121" i="1"/>
  <c r="L535" i="1"/>
  <c r="K119" i="1"/>
  <c r="Q119" i="1"/>
  <c r="J353" i="18"/>
  <c r="K353" i="18"/>
  <c r="E353" i="18"/>
  <c r="M353" i="18"/>
  <c r="L353" i="18"/>
  <c r="O353" i="18"/>
  <c r="P353" i="18"/>
  <c r="Q353" i="18"/>
  <c r="F353" i="18"/>
  <c r="R353" i="18"/>
  <c r="H353" i="18"/>
  <c r="I353" i="18"/>
  <c r="G353" i="18"/>
  <c r="C763" i="1"/>
  <c r="F353" i="2"/>
  <c r="J353" i="2"/>
  <c r="Q353" i="2"/>
  <c r="H353" i="2"/>
  <c r="L353" i="2"/>
  <c r="O353" i="2"/>
  <c r="I353" i="2"/>
  <c r="M353" i="2"/>
  <c r="E353" i="2"/>
  <c r="K353" i="2"/>
  <c r="N353" i="2"/>
  <c r="N475" i="2" s="1"/>
  <c r="BN376" i="1" s="1"/>
  <c r="G353" i="2"/>
  <c r="P353" i="2"/>
  <c r="R353" i="2"/>
  <c r="M473" i="18"/>
  <c r="BG374" i="1" s="1"/>
  <c r="BG761" i="1"/>
  <c r="P474" i="18"/>
  <c r="AE375" i="1" s="1"/>
  <c r="AE762" i="1"/>
  <c r="BR122" i="1"/>
  <c r="AM244" i="1"/>
  <c r="AJ641" i="1"/>
  <c r="BH121" i="1"/>
  <c r="BD535" i="1"/>
  <c r="AO761" i="1"/>
  <c r="G473" i="18"/>
  <c r="AO374" i="1" s="1"/>
  <c r="I120" i="1"/>
  <c r="O474" i="18"/>
  <c r="BQ375" i="1" s="1"/>
  <c r="BQ762" i="1"/>
  <c r="BD761" i="1"/>
  <c r="K473" i="2"/>
  <c r="BD374" i="1" s="1"/>
  <c r="CE244" i="1"/>
  <c r="CB641" i="1"/>
  <c r="CE243" i="1"/>
  <c r="CB640" i="1"/>
  <c r="D609" i="2"/>
  <c r="E608" i="2"/>
  <c r="H608" i="2"/>
  <c r="I608" i="2"/>
  <c r="Q608" i="2"/>
  <c r="L608" i="2"/>
  <c r="K608" i="2"/>
  <c r="R608" i="2"/>
  <c r="W119" i="1"/>
  <c r="L233" i="12"/>
  <c r="E233" i="12"/>
  <c r="N233" i="12"/>
  <c r="G233" i="12"/>
  <c r="O233" i="12"/>
  <c r="H233" i="12"/>
  <c r="P233" i="12"/>
  <c r="I233" i="12"/>
  <c r="Q233" i="12"/>
  <c r="J233" i="12"/>
  <c r="R233" i="12"/>
  <c r="F233" i="12"/>
  <c r="K233" i="12"/>
  <c r="S233" i="12"/>
  <c r="M233" i="12"/>
  <c r="O473" i="18"/>
  <c r="BQ374" i="1" s="1"/>
  <c r="BQ761" i="1"/>
  <c r="BA243" i="1"/>
  <c r="AV243" i="1" s="1"/>
  <c r="AX640" i="1"/>
  <c r="H243" i="1"/>
  <c r="K536" i="1"/>
  <c r="J229" i="2"/>
  <c r="X244" i="1" s="1"/>
  <c r="F229" i="2"/>
  <c r="AB244" i="1" s="1"/>
  <c r="G229" i="2"/>
  <c r="AP244" i="1" s="1"/>
  <c r="R229" i="2"/>
  <c r="CB244" i="1" s="1"/>
  <c r="L229" i="2"/>
  <c r="AJ244" i="1" s="1"/>
  <c r="K229" i="2"/>
  <c r="BD244" i="1" s="1"/>
  <c r="O229" i="2"/>
  <c r="BR244" i="1" s="1"/>
  <c r="M229" i="2"/>
  <c r="BJ244" i="1" s="1"/>
  <c r="E229" i="2"/>
  <c r="L244" i="1" s="1"/>
  <c r="P229" i="2"/>
  <c r="AF244" i="1" s="1"/>
  <c r="N229" i="2"/>
  <c r="BN244" i="1" s="1"/>
  <c r="Q229" i="2"/>
  <c r="BV244" i="1" s="1"/>
  <c r="H229" i="2"/>
  <c r="R244" i="1" s="1"/>
  <c r="I229" i="2"/>
  <c r="AX244" i="1" s="1"/>
  <c r="R761" i="1"/>
  <c r="H473" i="2"/>
  <c r="R374" i="1" s="1"/>
  <c r="R122" i="1"/>
  <c r="AM121" i="1"/>
  <c r="AJ536" i="1"/>
  <c r="E111" i="1"/>
  <c r="F111" i="1"/>
  <c r="D111" i="1"/>
  <c r="C525" i="1"/>
  <c r="K761" i="1"/>
  <c r="E473" i="18"/>
  <c r="K374" i="1" s="1"/>
  <c r="G535" i="1"/>
  <c r="C109" i="18"/>
  <c r="O243" i="1"/>
  <c r="I243" i="1" s="1"/>
  <c r="L640" i="1"/>
  <c r="W762" i="1"/>
  <c r="J474" i="18"/>
  <c r="W375" i="1" s="1"/>
  <c r="AW762" i="1"/>
  <c r="I474" i="18"/>
  <c r="AW375" i="1" s="1"/>
  <c r="L761" i="1"/>
  <c r="E473" i="2"/>
  <c r="L374" i="1" s="1"/>
  <c r="L122" i="1"/>
  <c r="O244" i="1"/>
  <c r="L641" i="1"/>
  <c r="BY121" i="1"/>
  <c r="BV535" i="1"/>
  <c r="J117" i="18"/>
  <c r="R117" i="18"/>
  <c r="G117" i="18"/>
  <c r="H117" i="18"/>
  <c r="Q117" i="18"/>
  <c r="I117" i="18"/>
  <c r="K117" i="18"/>
  <c r="D118" i="18"/>
  <c r="E117" i="18"/>
  <c r="M230" i="18"/>
  <c r="BG245" i="1" s="1"/>
  <c r="O230" i="18"/>
  <c r="BQ245" i="1" s="1"/>
  <c r="F230" i="18"/>
  <c r="AA245" i="1" s="1"/>
  <c r="P230" i="18"/>
  <c r="AE245" i="1" s="1"/>
  <c r="L230" i="18"/>
  <c r="AI245" i="1" s="1"/>
  <c r="A229" i="13"/>
  <c r="C229" i="13" s="1"/>
  <c r="H230" i="18"/>
  <c r="Q245" i="1" s="1"/>
  <c r="J230" i="18"/>
  <c r="W245" i="1" s="1"/>
  <c r="G230" i="18"/>
  <c r="AO245" i="1" s="1"/>
  <c r="E230" i="18"/>
  <c r="K245" i="1" s="1"/>
  <c r="R230" i="18"/>
  <c r="CA245" i="1" s="1"/>
  <c r="Q230" i="18"/>
  <c r="BU245" i="1" s="1"/>
  <c r="K230" i="18"/>
  <c r="BC245" i="1" s="1"/>
  <c r="I230" i="18"/>
  <c r="AW245" i="1" s="1"/>
  <c r="G230" i="2"/>
  <c r="AP245" i="1" s="1"/>
  <c r="F230" i="2"/>
  <c r="AB245" i="1" s="1"/>
  <c r="J230" i="2"/>
  <c r="X245" i="1" s="1"/>
  <c r="Q230" i="2"/>
  <c r="BV245" i="1" s="1"/>
  <c r="O230" i="2"/>
  <c r="BR245" i="1" s="1"/>
  <c r="I230" i="2"/>
  <c r="AX245" i="1" s="1"/>
  <c r="AT245" i="1" s="1"/>
  <c r="H230" i="2"/>
  <c r="R245" i="1" s="1"/>
  <c r="E230" i="2"/>
  <c r="L245" i="1" s="1"/>
  <c r="H245" i="1" s="1"/>
  <c r="N230" i="2"/>
  <c r="BN245" i="1" s="1"/>
  <c r="L230" i="2"/>
  <c r="AJ245" i="1" s="1"/>
  <c r="M230" i="2"/>
  <c r="BJ245" i="1" s="1"/>
  <c r="R230" i="2"/>
  <c r="CB245" i="1" s="1"/>
  <c r="K230" i="2"/>
  <c r="BD245" i="1" s="1"/>
  <c r="P230" i="2"/>
  <c r="AF245" i="1" s="1"/>
  <c r="CA761" i="1"/>
  <c r="R473" i="18"/>
  <c r="CA374" i="1" s="1"/>
  <c r="O245" i="1" l="1"/>
  <c r="L642" i="1"/>
  <c r="AF762" i="1"/>
  <c r="P474" i="2"/>
  <c r="AF375" i="1" s="1"/>
  <c r="AJ762" i="1"/>
  <c r="L474" i="2"/>
  <c r="AJ375" i="1" s="1"/>
  <c r="Q537" i="1"/>
  <c r="AW120" i="1"/>
  <c r="G374" i="1"/>
  <c r="BY122" i="1"/>
  <c r="BV536" i="1"/>
  <c r="BD763" i="1"/>
  <c r="K475" i="2"/>
  <c r="BD376" i="1" s="1"/>
  <c r="J475" i="2"/>
  <c r="X376" i="1" s="1"/>
  <c r="X763" i="1"/>
  <c r="BU763" i="1"/>
  <c r="Q475" i="18"/>
  <c r="BU376" i="1" s="1"/>
  <c r="BV123" i="1"/>
  <c r="R123" i="1"/>
  <c r="BV762" i="1"/>
  <c r="Q474" i="2"/>
  <c r="BV375" i="1" s="1"/>
  <c r="L762" i="1"/>
  <c r="E474" i="2"/>
  <c r="L375" i="1" s="1"/>
  <c r="H375" i="1" s="1"/>
  <c r="H609" i="18"/>
  <c r="Q609" i="18"/>
  <c r="R609" i="18"/>
  <c r="J609" i="18"/>
  <c r="L609" i="18"/>
  <c r="E609" i="18"/>
  <c r="D610" i="18"/>
  <c r="G375" i="1"/>
  <c r="CG373" i="1"/>
  <c r="BC120" i="1"/>
  <c r="BV763" i="1"/>
  <c r="Q475" i="2"/>
  <c r="BV376" i="1" s="1"/>
  <c r="AF123" i="1"/>
  <c r="H641" i="1"/>
  <c r="BA122" i="1"/>
  <c r="AX536" i="1"/>
  <c r="M720" i="2"/>
  <c r="BJ643" i="1" s="1"/>
  <c r="F720" i="2"/>
  <c r="AB643" i="1" s="1"/>
  <c r="Q720" i="2"/>
  <c r="I720" i="2"/>
  <c r="AX123" i="1"/>
  <c r="BA245" i="1"/>
  <c r="AV245" i="1" s="1"/>
  <c r="AX642" i="1"/>
  <c r="AX762" i="1"/>
  <c r="I474" i="2"/>
  <c r="AX375" i="1" s="1"/>
  <c r="C231" i="2"/>
  <c r="C354" i="2"/>
  <c r="C476" i="2"/>
  <c r="C112" i="1"/>
  <c r="C246" i="1"/>
  <c r="C655" i="1" s="1"/>
  <c r="C377" i="1"/>
  <c r="D377" i="1" s="1"/>
  <c r="O475" i="18"/>
  <c r="BQ376" i="1" s="1"/>
  <c r="BQ763" i="1"/>
  <c r="BJ123" i="1"/>
  <c r="BY245" i="1"/>
  <c r="BV642" i="1"/>
  <c r="R762" i="1"/>
  <c r="H474" i="2"/>
  <c r="R375" i="1" s="1"/>
  <c r="G474" i="2"/>
  <c r="AP375" i="1" s="1"/>
  <c r="AP762" i="1"/>
  <c r="AI537" i="1"/>
  <c r="D524" i="1"/>
  <c r="E524" i="1"/>
  <c r="G245" i="1"/>
  <c r="AO120" i="1"/>
  <c r="H122" i="1"/>
  <c r="H244" i="1"/>
  <c r="O122" i="1"/>
  <c r="I122" i="1" s="1"/>
  <c r="L536" i="1"/>
  <c r="H536" i="1" s="1"/>
  <c r="AX763" i="1"/>
  <c r="I475" i="2"/>
  <c r="AX376" i="1" s="1"/>
  <c r="AO763" i="1"/>
  <c r="G475" i="18"/>
  <c r="AO376" i="1" s="1"/>
  <c r="L475" i="18"/>
  <c r="AI376" i="1" s="1"/>
  <c r="AI763" i="1"/>
  <c r="G119" i="1"/>
  <c r="L123" i="1"/>
  <c r="BN123" i="1"/>
  <c r="G641" i="1"/>
  <c r="J474" i="2"/>
  <c r="X375" i="1" s="1"/>
  <c r="X762" i="1"/>
  <c r="BD762" i="1"/>
  <c r="K474" i="2"/>
  <c r="BD375" i="1" s="1"/>
  <c r="W537" i="1"/>
  <c r="AV244" i="1"/>
  <c r="C232" i="2"/>
  <c r="C355" i="2"/>
  <c r="C477" i="2"/>
  <c r="C113" i="1"/>
  <c r="C247" i="1"/>
  <c r="C656" i="1" s="1"/>
  <c r="C378" i="1"/>
  <c r="D378" i="1" s="1"/>
  <c r="A111" i="18"/>
  <c r="C111" i="18" s="1"/>
  <c r="B111" i="18"/>
  <c r="W763" i="1"/>
  <c r="J475" i="18"/>
  <c r="W376" i="1" s="1"/>
  <c r="L763" i="1"/>
  <c r="E475" i="2"/>
  <c r="L376" i="1" s="1"/>
  <c r="BR123" i="1"/>
  <c r="BR762" i="1"/>
  <c r="O474" i="2"/>
  <c r="BR375" i="1" s="1"/>
  <c r="I244" i="1"/>
  <c r="D525" i="1"/>
  <c r="E525" i="1"/>
  <c r="CA120" i="1"/>
  <c r="H640" i="1"/>
  <c r="G536" i="1"/>
  <c r="L609" i="2"/>
  <c r="E609" i="2"/>
  <c r="H609" i="2"/>
  <c r="Q609" i="2"/>
  <c r="I609" i="2"/>
  <c r="R609" i="2"/>
  <c r="D610" i="2"/>
  <c r="K609" i="2"/>
  <c r="CB763" i="1"/>
  <c r="R475" i="2"/>
  <c r="CB376" i="1" s="1"/>
  <c r="BR763" i="1"/>
  <c r="O475" i="2"/>
  <c r="BR376" i="1" s="1"/>
  <c r="AW763" i="1"/>
  <c r="I475" i="18"/>
  <c r="AW376" i="1" s="1"/>
  <c r="M475" i="18"/>
  <c r="BG376" i="1" s="1"/>
  <c r="BG763" i="1"/>
  <c r="CB123" i="1"/>
  <c r="AM245" i="1"/>
  <c r="AJ642" i="1"/>
  <c r="F474" i="2"/>
  <c r="AB375" i="1" s="1"/>
  <c r="AB762" i="1"/>
  <c r="BJ762" i="1"/>
  <c r="M474" i="2"/>
  <c r="BJ375" i="1" s="1"/>
  <c r="CA537" i="1"/>
  <c r="A111" i="2"/>
  <c r="C111" i="2" s="1"/>
  <c r="B111" i="2"/>
  <c r="C110" i="18"/>
  <c r="I121" i="1"/>
  <c r="F475" i="2"/>
  <c r="AB376" i="1" s="1"/>
  <c r="AB763" i="1"/>
  <c r="W120" i="1"/>
  <c r="CE122" i="1"/>
  <c r="CB536" i="1"/>
  <c r="AF763" i="1"/>
  <c r="P475" i="2"/>
  <c r="AF376" i="1" s="1"/>
  <c r="AJ763" i="1"/>
  <c r="L475" i="2"/>
  <c r="AJ376" i="1" s="1"/>
  <c r="Q763" i="1"/>
  <c r="H475" i="18"/>
  <c r="Q376" i="1" s="1"/>
  <c r="K763" i="1"/>
  <c r="E475" i="18"/>
  <c r="K376" i="1" s="1"/>
  <c r="AJ123" i="1"/>
  <c r="CE245" i="1"/>
  <c r="CB642" i="1"/>
  <c r="CB762" i="1"/>
  <c r="R474" i="2"/>
  <c r="CB375" i="1" s="1"/>
  <c r="AM122" i="1"/>
  <c r="AJ537" i="1"/>
  <c r="F475" i="18"/>
  <c r="AA376" i="1" s="1"/>
  <c r="AA763" i="1"/>
  <c r="BU120" i="1"/>
  <c r="P475" i="18"/>
  <c r="AE376" i="1" s="1"/>
  <c r="AE763" i="1"/>
  <c r="G720" i="18"/>
  <c r="AO643" i="1" s="1"/>
  <c r="P720" i="18"/>
  <c r="AE643" i="1" s="1"/>
  <c r="E720" i="18"/>
  <c r="K643" i="1" s="1"/>
  <c r="L720" i="18"/>
  <c r="AI643" i="1" s="1"/>
  <c r="H720" i="18"/>
  <c r="Q643" i="1" s="1"/>
  <c r="K537" i="1"/>
  <c r="Q120" i="1"/>
  <c r="U122" i="1"/>
  <c r="R536" i="1"/>
  <c r="BJ763" i="1"/>
  <c r="M475" i="2"/>
  <c r="BJ376" i="1" s="1"/>
  <c r="A599" i="2"/>
  <c r="B599" i="2"/>
  <c r="B599" i="18"/>
  <c r="A599" i="18"/>
  <c r="L121" i="2"/>
  <c r="E121" i="2"/>
  <c r="M121" i="2"/>
  <c r="N121" i="2"/>
  <c r="D122" i="2"/>
  <c r="I121" i="2"/>
  <c r="Q121" i="2"/>
  <c r="R121" i="2"/>
  <c r="P121" i="2"/>
  <c r="K121" i="2"/>
  <c r="O121" i="2"/>
  <c r="H121" i="2"/>
  <c r="K120" i="1"/>
  <c r="G120" i="1" s="1"/>
  <c r="H118" i="18"/>
  <c r="G118" i="18"/>
  <c r="I118" i="18"/>
  <c r="Q118" i="18"/>
  <c r="J118" i="18"/>
  <c r="R118" i="18"/>
  <c r="K118" i="18"/>
  <c r="D119" i="18"/>
  <c r="E118" i="18"/>
  <c r="H374" i="1"/>
  <c r="A108" i="10"/>
  <c r="G720" i="2" s="1"/>
  <c r="AP643" i="1" s="1"/>
  <c r="C231" i="18"/>
  <c r="C354" i="18"/>
  <c r="C476" i="18"/>
  <c r="A108" i="13"/>
  <c r="C108" i="13" s="1"/>
  <c r="C234" i="12"/>
  <c r="AT244" i="1"/>
  <c r="BH122" i="1"/>
  <c r="BD536" i="1"/>
  <c r="G475" i="2"/>
  <c r="AP376" i="1" s="1"/>
  <c r="AP763" i="1"/>
  <c r="R763" i="1"/>
  <c r="H475" i="2"/>
  <c r="R376" i="1" s="1"/>
  <c r="CA763" i="1"/>
  <c r="R475" i="18"/>
  <c r="CA376" i="1" s="1"/>
  <c r="BC763" i="1"/>
  <c r="K475" i="18"/>
  <c r="BC376" i="1" s="1"/>
  <c r="H535" i="1"/>
  <c r="BD123" i="1"/>
  <c r="U245" i="1"/>
  <c r="R642" i="1"/>
  <c r="BU537" i="1"/>
  <c r="BA246" i="1" l="1"/>
  <c r="AX643" i="1"/>
  <c r="CG375" i="1"/>
  <c r="AX124" i="1"/>
  <c r="AM123" i="1"/>
  <c r="AJ538" i="1"/>
  <c r="C765" i="1"/>
  <c r="F355" i="2"/>
  <c r="I355" i="2"/>
  <c r="H355" i="2"/>
  <c r="J355" i="2"/>
  <c r="O355" i="2"/>
  <c r="K355" i="2"/>
  <c r="M355" i="2"/>
  <c r="G355" i="2"/>
  <c r="L355" i="2"/>
  <c r="E355" i="2"/>
  <c r="P355" i="2"/>
  <c r="N355" i="2"/>
  <c r="N477" i="2" s="1"/>
  <c r="BN378" i="1" s="1"/>
  <c r="R355" i="2"/>
  <c r="Q355" i="2"/>
  <c r="CA121" i="1"/>
  <c r="P231" i="18"/>
  <c r="AE246" i="1" s="1"/>
  <c r="F231" i="18"/>
  <c r="AA246" i="1" s="1"/>
  <c r="O231" i="18"/>
  <c r="BQ246" i="1" s="1"/>
  <c r="A230" i="13"/>
  <c r="C230" i="13" s="1"/>
  <c r="M231" i="18"/>
  <c r="BG246" i="1" s="1"/>
  <c r="L231" i="18"/>
  <c r="AI246" i="1" s="1"/>
  <c r="E231" i="18"/>
  <c r="K246" i="1" s="1"/>
  <c r="H231" i="18"/>
  <c r="Q246" i="1" s="1"/>
  <c r="K231" i="18"/>
  <c r="BC246" i="1" s="1"/>
  <c r="R231" i="18"/>
  <c r="CA246" i="1" s="1"/>
  <c r="G231" i="18"/>
  <c r="AO246" i="1" s="1"/>
  <c r="J231" i="18"/>
  <c r="W246" i="1" s="1"/>
  <c r="I231" i="18"/>
  <c r="AW246" i="1" s="1"/>
  <c r="Q231" i="18"/>
  <c r="BU246" i="1" s="1"/>
  <c r="AO121" i="1"/>
  <c r="AF124" i="1"/>
  <c r="J720" i="18"/>
  <c r="W643" i="1" s="1"/>
  <c r="K121" i="1"/>
  <c r="Q121" i="1"/>
  <c r="CB124" i="1"/>
  <c r="C599" i="18"/>
  <c r="C721" i="18" s="1"/>
  <c r="R720" i="18"/>
  <c r="CA643" i="1" s="1"/>
  <c r="F720" i="18"/>
  <c r="AA643" i="1" s="1"/>
  <c r="U123" i="1"/>
  <c r="R537" i="1"/>
  <c r="H376" i="1"/>
  <c r="D113" i="1"/>
  <c r="C527" i="1"/>
  <c r="K720" i="2"/>
  <c r="BD643" i="1" s="1"/>
  <c r="O720" i="2"/>
  <c r="BR643" i="1" s="1"/>
  <c r="Q538" i="1"/>
  <c r="L234" i="12"/>
  <c r="M234" i="12"/>
  <c r="F234" i="12"/>
  <c r="E234" i="12"/>
  <c r="N234" i="12"/>
  <c r="G234" i="12"/>
  <c r="O234" i="12"/>
  <c r="H234" i="12"/>
  <c r="P234" i="12"/>
  <c r="I234" i="12"/>
  <c r="Q234" i="12"/>
  <c r="J234" i="12"/>
  <c r="R234" i="12"/>
  <c r="K234" i="12"/>
  <c r="S234" i="12"/>
  <c r="D120" i="18"/>
  <c r="G119" i="18"/>
  <c r="H119" i="18"/>
  <c r="I119" i="18"/>
  <c r="Q119" i="18"/>
  <c r="J119" i="18"/>
  <c r="R119" i="18"/>
  <c r="E119" i="18"/>
  <c r="K119" i="18"/>
  <c r="A600" i="18"/>
  <c r="B600" i="18"/>
  <c r="O123" i="1"/>
  <c r="L537" i="1"/>
  <c r="R122" i="2"/>
  <c r="K122" i="2"/>
  <c r="L122" i="2"/>
  <c r="O122" i="2"/>
  <c r="H122" i="2"/>
  <c r="P122" i="2"/>
  <c r="N122" i="2"/>
  <c r="Q122" i="2"/>
  <c r="E122" i="2"/>
  <c r="I122" i="2"/>
  <c r="M122" i="2"/>
  <c r="C599" i="2"/>
  <c r="C721" i="2" s="1"/>
  <c r="BH123" i="1"/>
  <c r="BD537" i="1"/>
  <c r="G232" i="2"/>
  <c r="AP247" i="1" s="1"/>
  <c r="D112" i="1"/>
  <c r="E112" i="1"/>
  <c r="F112" i="1"/>
  <c r="C526" i="1"/>
  <c r="R720" i="2"/>
  <c r="J720" i="2"/>
  <c r="X643" i="1" s="1"/>
  <c r="K538" i="1"/>
  <c r="L354" i="18"/>
  <c r="E354" i="18"/>
  <c r="M354" i="18"/>
  <c r="G354" i="18"/>
  <c r="P354" i="18"/>
  <c r="J354" i="18"/>
  <c r="K354" i="18"/>
  <c r="O354" i="18"/>
  <c r="Q354" i="18"/>
  <c r="R354" i="18"/>
  <c r="H354" i="18"/>
  <c r="F354" i="18"/>
  <c r="I354" i="18"/>
  <c r="W121" i="1"/>
  <c r="R124" i="1"/>
  <c r="BN124" i="1"/>
  <c r="G537" i="1"/>
  <c r="I720" i="18"/>
  <c r="AW643" i="1" s="1"/>
  <c r="G643" i="1" s="1"/>
  <c r="G376" i="1"/>
  <c r="R610" i="2"/>
  <c r="K610" i="2"/>
  <c r="H610" i="2"/>
  <c r="Q610" i="2"/>
  <c r="I610" i="2"/>
  <c r="E610" i="2"/>
  <c r="D611" i="2"/>
  <c r="L610" i="2"/>
  <c r="B112" i="18"/>
  <c r="A112" i="18"/>
  <c r="C112" i="18" s="1"/>
  <c r="E720" i="2"/>
  <c r="AI538" i="1"/>
  <c r="CG374" i="1"/>
  <c r="BC121" i="1"/>
  <c r="BY246" i="1"/>
  <c r="BV643" i="1"/>
  <c r="BR124" i="1"/>
  <c r="BJ124" i="1"/>
  <c r="K720" i="18"/>
  <c r="BC643" i="1" s="1"/>
  <c r="A109" i="10"/>
  <c r="M232" i="2" s="1"/>
  <c r="BJ247" i="1" s="1"/>
  <c r="C232" i="18"/>
  <c r="C355" i="18"/>
  <c r="C477" i="18"/>
  <c r="A109" i="13"/>
  <c r="C109" i="13" s="1"/>
  <c r="C235" i="12"/>
  <c r="CE123" i="1"/>
  <c r="CB537" i="1"/>
  <c r="A110" i="10"/>
  <c r="C233" i="18"/>
  <c r="C478" i="18"/>
  <c r="C356" i="18"/>
  <c r="A110" i="13"/>
  <c r="C110" i="13" s="1"/>
  <c r="C236" i="12"/>
  <c r="C764" i="1"/>
  <c r="M354" i="2"/>
  <c r="J354" i="2"/>
  <c r="G354" i="2"/>
  <c r="I354" i="2"/>
  <c r="R354" i="2"/>
  <c r="E354" i="2"/>
  <c r="N354" i="2"/>
  <c r="N476" i="2" s="1"/>
  <c r="BN377" i="1" s="1"/>
  <c r="P354" i="2"/>
  <c r="H354" i="2"/>
  <c r="K354" i="2"/>
  <c r="F354" i="2"/>
  <c r="L354" i="2"/>
  <c r="O354" i="2"/>
  <c r="Q354" i="2"/>
  <c r="P720" i="2"/>
  <c r="AF643" i="1" s="1"/>
  <c r="W538" i="1"/>
  <c r="H610" i="18"/>
  <c r="Q610" i="18"/>
  <c r="R610" i="18"/>
  <c r="J610" i="18"/>
  <c r="E610" i="18"/>
  <c r="D611" i="18"/>
  <c r="L610" i="18"/>
  <c r="BU121" i="1"/>
  <c r="AW121" i="1"/>
  <c r="BD124" i="1"/>
  <c r="L124" i="1"/>
  <c r="Q720" i="18"/>
  <c r="BU643" i="1" s="1"/>
  <c r="M720" i="18"/>
  <c r="BG643" i="1" s="1"/>
  <c r="A112" i="2"/>
  <c r="B112" i="2"/>
  <c r="BA123" i="1"/>
  <c r="AX537" i="1"/>
  <c r="G231" i="2"/>
  <c r="AP246" i="1" s="1"/>
  <c r="J231" i="2"/>
  <c r="X246" i="1" s="1"/>
  <c r="F231" i="2"/>
  <c r="AB246" i="1" s="1"/>
  <c r="O231" i="2"/>
  <c r="BR246" i="1" s="1"/>
  <c r="H231" i="2"/>
  <c r="R246" i="1" s="1"/>
  <c r="L231" i="2"/>
  <c r="AJ246" i="1" s="1"/>
  <c r="R231" i="2"/>
  <c r="CB246" i="1" s="1"/>
  <c r="K231" i="2"/>
  <c r="BD246" i="1" s="1"/>
  <c r="M231" i="2"/>
  <c r="BJ246" i="1" s="1"/>
  <c r="P231" i="2"/>
  <c r="AF246" i="1" s="1"/>
  <c r="E231" i="2"/>
  <c r="L246" i="1" s="1"/>
  <c r="I231" i="2"/>
  <c r="AX246" i="1" s="1"/>
  <c r="Q231" i="2"/>
  <c r="BV246" i="1" s="1"/>
  <c r="N231" i="2"/>
  <c r="BN246" i="1" s="1"/>
  <c r="H720" i="2"/>
  <c r="N720" i="2"/>
  <c r="CA538" i="1"/>
  <c r="H642" i="1"/>
  <c r="BV124" i="1"/>
  <c r="A600" i="2"/>
  <c r="C600" i="2" s="1"/>
  <c r="C722" i="2" s="1"/>
  <c r="B600" i="2"/>
  <c r="AJ124" i="1"/>
  <c r="O720" i="18"/>
  <c r="BQ643" i="1" s="1"/>
  <c r="C233" i="2"/>
  <c r="C356" i="2"/>
  <c r="C478" i="2"/>
  <c r="C114" i="1"/>
  <c r="C248" i="1"/>
  <c r="C379" i="1"/>
  <c r="D379" i="1" s="1"/>
  <c r="BY123" i="1"/>
  <c r="BV537" i="1"/>
  <c r="H123" i="1"/>
  <c r="L720" i="2"/>
  <c r="BU538" i="1"/>
  <c r="I245" i="1"/>
  <c r="F722" i="2" l="1"/>
  <c r="AB645" i="1" s="1"/>
  <c r="N722" i="2"/>
  <c r="O722" i="2"/>
  <c r="BR645" i="1" s="1"/>
  <c r="G722" i="2"/>
  <c r="AP645" i="1" s="1"/>
  <c r="P722" i="2"/>
  <c r="AF645" i="1" s="1"/>
  <c r="J722" i="2"/>
  <c r="X645" i="1" s="1"/>
  <c r="M722" i="2"/>
  <c r="BJ645" i="1" s="1"/>
  <c r="Q722" i="2"/>
  <c r="R722" i="2"/>
  <c r="K722" i="2"/>
  <c r="BD645" i="1" s="1"/>
  <c r="H722" i="2"/>
  <c r="E722" i="2"/>
  <c r="L722" i="2"/>
  <c r="I722" i="2"/>
  <c r="BD764" i="1"/>
  <c r="K476" i="2"/>
  <c r="BD377" i="1" s="1"/>
  <c r="AW764" i="1"/>
  <c r="I476" i="18"/>
  <c r="AW377" i="1" s="1"/>
  <c r="CE246" i="1"/>
  <c r="CB643" i="1"/>
  <c r="AJ125" i="1"/>
  <c r="E120" i="18"/>
  <c r="D121" i="18"/>
  <c r="G120" i="18"/>
  <c r="H120" i="18"/>
  <c r="I120" i="18"/>
  <c r="Q120" i="18"/>
  <c r="R120" i="18"/>
  <c r="J120" i="18"/>
  <c r="K120" i="18"/>
  <c r="BV765" i="1"/>
  <c r="Q477" i="2"/>
  <c r="BV378" i="1" s="1"/>
  <c r="F476" i="18"/>
  <c r="AA377" i="1" s="1"/>
  <c r="AA764" i="1"/>
  <c r="R232" i="2"/>
  <c r="CB247" i="1" s="1"/>
  <c r="BR765" i="1"/>
  <c r="O477" i="2"/>
  <c r="BR378" i="1" s="1"/>
  <c r="AI539" i="1"/>
  <c r="BH124" i="1"/>
  <c r="BD538" i="1"/>
  <c r="M476" i="18"/>
  <c r="BG377" i="1" s="1"/>
  <c r="BG764" i="1"/>
  <c r="K232" i="2"/>
  <c r="BD247" i="1" s="1"/>
  <c r="F232" i="2"/>
  <c r="AB247" i="1" s="1"/>
  <c r="L125" i="1"/>
  <c r="CB125" i="1"/>
  <c r="CA122" i="1"/>
  <c r="J477" i="2"/>
  <c r="X378" i="1" s="1"/>
  <c r="X765" i="1"/>
  <c r="BC122" i="1"/>
  <c r="BD765" i="1"/>
  <c r="K477" i="2"/>
  <c r="BD378" i="1" s="1"/>
  <c r="BJ764" i="1"/>
  <c r="M476" i="2"/>
  <c r="BJ377" i="1" s="1"/>
  <c r="U124" i="1"/>
  <c r="R538" i="1"/>
  <c r="BD125" i="1"/>
  <c r="K122" i="1"/>
  <c r="CA764" i="1"/>
  <c r="R476" i="18"/>
  <c r="CA377" i="1" s="1"/>
  <c r="K764" i="1"/>
  <c r="E476" i="18"/>
  <c r="K377" i="1" s="1"/>
  <c r="L232" i="2"/>
  <c r="AJ247" i="1" s="1"/>
  <c r="BV125" i="1"/>
  <c r="H537" i="1"/>
  <c r="W122" i="1"/>
  <c r="AF765" i="1"/>
  <c r="P477" i="2"/>
  <c r="AF378" i="1" s="1"/>
  <c r="R765" i="1"/>
  <c r="H477" i="2"/>
  <c r="R378" i="1" s="1"/>
  <c r="H246" i="1"/>
  <c r="K539" i="1"/>
  <c r="BV764" i="1"/>
  <c r="Q476" i="2"/>
  <c r="BV377" i="1" s="1"/>
  <c r="L764" i="1"/>
  <c r="E476" i="2"/>
  <c r="L377" i="1" s="1"/>
  <c r="L235" i="12"/>
  <c r="M235" i="12"/>
  <c r="G235" i="12"/>
  <c r="O235" i="12"/>
  <c r="H235" i="12"/>
  <c r="P235" i="12"/>
  <c r="I235" i="12"/>
  <c r="Q235" i="12"/>
  <c r="J235" i="12"/>
  <c r="R235" i="12"/>
  <c r="N235" i="12"/>
  <c r="K235" i="12"/>
  <c r="S235" i="12"/>
  <c r="E235" i="12"/>
  <c r="F235" i="12"/>
  <c r="AM124" i="1"/>
  <c r="AJ539" i="1"/>
  <c r="CG376" i="1"/>
  <c r="BU764" i="1"/>
  <c r="Q476" i="18"/>
  <c r="BU377" i="1" s="1"/>
  <c r="L476" i="18"/>
  <c r="AI377" i="1" s="1"/>
  <c r="AI764" i="1"/>
  <c r="O232" i="2"/>
  <c r="BR247" i="1" s="1"/>
  <c r="BN125" i="1"/>
  <c r="I123" i="1"/>
  <c r="BU122" i="1"/>
  <c r="E527" i="1"/>
  <c r="D527" i="1"/>
  <c r="L765" i="1"/>
  <c r="E477" i="2"/>
  <c r="L378" i="1" s="1"/>
  <c r="H378" i="1" s="1"/>
  <c r="AX765" i="1"/>
  <c r="I477" i="2"/>
  <c r="AX378" i="1" s="1"/>
  <c r="U246" i="1"/>
  <c r="R643" i="1"/>
  <c r="Q764" i="1"/>
  <c r="H476" i="18"/>
  <c r="Q377" i="1" s="1"/>
  <c r="H611" i="18"/>
  <c r="Q611" i="18"/>
  <c r="R611" i="18"/>
  <c r="J611" i="18"/>
  <c r="E611" i="18"/>
  <c r="L611" i="18"/>
  <c r="W539" i="1"/>
  <c r="BR764" i="1"/>
  <c r="O476" i="2"/>
  <c r="BR377" i="1" s="1"/>
  <c r="CB764" i="1"/>
  <c r="R476" i="2"/>
  <c r="CB377" i="1" s="1"/>
  <c r="H356" i="18"/>
  <c r="Q356" i="18"/>
  <c r="I356" i="18"/>
  <c r="R356" i="18"/>
  <c r="K356" i="18"/>
  <c r="G356" i="18"/>
  <c r="J356" i="18"/>
  <c r="L356" i="18"/>
  <c r="M356" i="18"/>
  <c r="O356" i="18"/>
  <c r="E356" i="18"/>
  <c r="F356" i="18"/>
  <c r="P356" i="18"/>
  <c r="H611" i="2"/>
  <c r="I611" i="2"/>
  <c r="Q611" i="2"/>
  <c r="R611" i="2"/>
  <c r="K611" i="2"/>
  <c r="E611" i="2"/>
  <c r="L611" i="2"/>
  <c r="O476" i="18"/>
  <c r="BQ377" i="1" s="1"/>
  <c r="BQ764" i="1"/>
  <c r="G538" i="1"/>
  <c r="P232" i="2"/>
  <c r="AF247" i="1" s="1"/>
  <c r="Q232" i="2"/>
  <c r="BV247" i="1" s="1"/>
  <c r="AF125" i="1"/>
  <c r="AW122" i="1"/>
  <c r="F113" i="1"/>
  <c r="G121" i="1"/>
  <c r="AJ765" i="1"/>
  <c r="L477" i="2"/>
  <c r="AJ378" i="1" s="1"/>
  <c r="F477" i="2"/>
  <c r="AB378" i="1" s="1"/>
  <c r="AB765" i="1"/>
  <c r="BJ125" i="1"/>
  <c r="H124" i="1"/>
  <c r="AJ764" i="1"/>
  <c r="L476" i="2"/>
  <c r="AJ377" i="1" s="1"/>
  <c r="N232" i="2"/>
  <c r="BN247" i="1" s="1"/>
  <c r="R125" i="1"/>
  <c r="A601" i="18"/>
  <c r="B601" i="18"/>
  <c r="Q122" i="1"/>
  <c r="E113" i="1"/>
  <c r="K721" i="18"/>
  <c r="BC644" i="1" s="1"/>
  <c r="O721" i="18"/>
  <c r="BQ644" i="1" s="1"/>
  <c r="P721" i="18"/>
  <c r="AE644" i="1" s="1"/>
  <c r="G721" i="18"/>
  <c r="AO644" i="1" s="1"/>
  <c r="F721" i="18"/>
  <c r="AA644" i="1" s="1"/>
  <c r="M721" i="18"/>
  <c r="BG644" i="1" s="1"/>
  <c r="I721" i="18"/>
  <c r="AW644" i="1" s="1"/>
  <c r="H721" i="18"/>
  <c r="Q644" i="1" s="1"/>
  <c r="R721" i="18"/>
  <c r="CA644" i="1" s="1"/>
  <c r="E721" i="18"/>
  <c r="K644" i="1" s="1"/>
  <c r="G644" i="1" s="1"/>
  <c r="J721" i="18"/>
  <c r="W644" i="1" s="1"/>
  <c r="Q721" i="18"/>
  <c r="BU644" i="1" s="1"/>
  <c r="L721" i="18"/>
  <c r="AI644" i="1" s="1"/>
  <c r="G246" i="1"/>
  <c r="G477" i="2"/>
  <c r="AP378" i="1" s="1"/>
  <c r="AP765" i="1"/>
  <c r="AM246" i="1"/>
  <c r="AJ643" i="1"/>
  <c r="Q539" i="1"/>
  <c r="J476" i="2"/>
  <c r="X377" i="1" s="1"/>
  <c r="X764" i="1"/>
  <c r="F232" i="18"/>
  <c r="AA247" i="1" s="1"/>
  <c r="O232" i="18"/>
  <c r="BQ247" i="1" s="1"/>
  <c r="P232" i="18"/>
  <c r="AE247" i="1" s="1"/>
  <c r="L232" i="18"/>
  <c r="AI247" i="1" s="1"/>
  <c r="M232" i="18"/>
  <c r="BG247" i="1" s="1"/>
  <c r="A231" i="13"/>
  <c r="C231" i="13" s="1"/>
  <c r="H232" i="18"/>
  <c r="Q247" i="1" s="1"/>
  <c r="J232" i="18"/>
  <c r="W247" i="1" s="1"/>
  <c r="E232" i="18"/>
  <c r="K247" i="1" s="1"/>
  <c r="R232" i="18"/>
  <c r="CA247" i="1" s="1"/>
  <c r="Q232" i="18"/>
  <c r="BU247" i="1" s="1"/>
  <c r="I232" i="18"/>
  <c r="AW247" i="1" s="1"/>
  <c r="G232" i="18"/>
  <c r="AO247" i="1" s="1"/>
  <c r="K232" i="18"/>
  <c r="BC247" i="1" s="1"/>
  <c r="BY124" i="1"/>
  <c r="BV538" i="1"/>
  <c r="P476" i="18"/>
  <c r="AE377" i="1" s="1"/>
  <c r="AE764" i="1"/>
  <c r="I232" i="2"/>
  <c r="AX247" i="1" s="1"/>
  <c r="AT247" i="1" s="1"/>
  <c r="C766" i="1"/>
  <c r="M356" i="2"/>
  <c r="K356" i="2"/>
  <c r="R356" i="2"/>
  <c r="G356" i="2"/>
  <c r="I356" i="2"/>
  <c r="E356" i="2"/>
  <c r="L356" i="2"/>
  <c r="N356" i="2"/>
  <c r="N478" i="2" s="1"/>
  <c r="BN379" i="1" s="1"/>
  <c r="F356" i="2"/>
  <c r="H356" i="2"/>
  <c r="J356" i="2"/>
  <c r="P356" i="2"/>
  <c r="O356" i="2"/>
  <c r="Q356" i="2"/>
  <c r="R764" i="1"/>
  <c r="H476" i="2"/>
  <c r="R377" i="1" s="1"/>
  <c r="O246" i="1"/>
  <c r="I246" i="1" s="1"/>
  <c r="L643" i="1"/>
  <c r="AO764" i="1"/>
  <c r="G476" i="18"/>
  <c r="AO377" i="1" s="1"/>
  <c r="D526" i="1"/>
  <c r="E526" i="1"/>
  <c r="J232" i="2"/>
  <c r="X247" i="1" s="1"/>
  <c r="AX125" i="1"/>
  <c r="CB765" i="1"/>
  <c r="R477" i="2"/>
  <c r="CB378" i="1" s="1"/>
  <c r="F233" i="2"/>
  <c r="AB248" i="1" s="1"/>
  <c r="G233" i="2"/>
  <c r="AP248" i="1" s="1"/>
  <c r="J233" i="2"/>
  <c r="X248" i="1" s="1"/>
  <c r="O233" i="2"/>
  <c r="BR248" i="1" s="1"/>
  <c r="N233" i="2"/>
  <c r="BN248" i="1" s="1"/>
  <c r="E233" i="2"/>
  <c r="L248" i="1" s="1"/>
  <c r="H233" i="2"/>
  <c r="R248" i="1" s="1"/>
  <c r="I233" i="2"/>
  <c r="AX248" i="1" s="1"/>
  <c r="K233" i="2"/>
  <c r="BD248" i="1" s="1"/>
  <c r="P233" i="2"/>
  <c r="AF248" i="1" s="1"/>
  <c r="L233" i="2"/>
  <c r="AJ248" i="1" s="1"/>
  <c r="M233" i="2"/>
  <c r="BJ248" i="1" s="1"/>
  <c r="Q233" i="2"/>
  <c r="BV248" i="1" s="1"/>
  <c r="R233" i="2"/>
  <c r="CB248" i="1" s="1"/>
  <c r="A113" i="2"/>
  <c r="B113" i="2"/>
  <c r="AF764" i="1"/>
  <c r="P476" i="2"/>
  <c r="AF377" i="1" s="1"/>
  <c r="A111" i="10"/>
  <c r="C234" i="18"/>
  <c r="C479" i="18"/>
  <c r="C357" i="18"/>
  <c r="A111" i="13"/>
  <c r="C111" i="13" s="1"/>
  <c r="C237" i="12"/>
  <c r="AT246" i="1"/>
  <c r="C112" i="2"/>
  <c r="L236" i="12"/>
  <c r="N236" i="12"/>
  <c r="E236" i="12"/>
  <c r="F236" i="12"/>
  <c r="G236" i="12"/>
  <c r="O236" i="12"/>
  <c r="H236" i="12"/>
  <c r="P236" i="12"/>
  <c r="I236" i="12"/>
  <c r="Q236" i="12"/>
  <c r="J236" i="12"/>
  <c r="R236" i="12"/>
  <c r="K236" i="12"/>
  <c r="S236" i="12"/>
  <c r="M236" i="12"/>
  <c r="B113" i="18"/>
  <c r="A113" i="18"/>
  <c r="C113" i="18" s="1"/>
  <c r="CE124" i="1"/>
  <c r="CB538" i="1"/>
  <c r="CA539" i="1"/>
  <c r="AX764" i="1"/>
  <c r="I476" i="2"/>
  <c r="AX377" i="1" s="1"/>
  <c r="O124" i="1"/>
  <c r="L538" i="1"/>
  <c r="H538" i="1" s="1"/>
  <c r="BC764" i="1"/>
  <c r="K476" i="18"/>
  <c r="BC377" i="1" s="1"/>
  <c r="H232" i="2"/>
  <c r="R247" i="1" s="1"/>
  <c r="D114" i="1"/>
  <c r="E114" i="1"/>
  <c r="F114" i="1"/>
  <c r="C528" i="1"/>
  <c r="B601" i="2"/>
  <c r="A601" i="2"/>
  <c r="BU539" i="1"/>
  <c r="F476" i="2"/>
  <c r="AB377" i="1" s="1"/>
  <c r="AB764" i="1"/>
  <c r="G476" i="2"/>
  <c r="AP377" i="1" s="1"/>
  <c r="AP764" i="1"/>
  <c r="M233" i="18"/>
  <c r="BG248" i="1" s="1"/>
  <c r="O233" i="18"/>
  <c r="BQ248" i="1" s="1"/>
  <c r="F233" i="18"/>
  <c r="AA248" i="1" s="1"/>
  <c r="L233" i="18"/>
  <c r="AI248" i="1" s="1"/>
  <c r="P233" i="18"/>
  <c r="AE248" i="1" s="1"/>
  <c r="A232" i="13"/>
  <c r="C232" i="13" s="1"/>
  <c r="G233" i="18"/>
  <c r="AO248" i="1" s="1"/>
  <c r="I233" i="18"/>
  <c r="AW248" i="1" s="1"/>
  <c r="K233" i="18"/>
  <c r="BC248" i="1" s="1"/>
  <c r="E233" i="18"/>
  <c r="K248" i="1" s="1"/>
  <c r="J233" i="18"/>
  <c r="W248" i="1" s="1"/>
  <c r="H233" i="18"/>
  <c r="Q248" i="1" s="1"/>
  <c r="R233" i="18"/>
  <c r="CA248" i="1" s="1"/>
  <c r="Q233" i="18"/>
  <c r="BU248" i="1" s="1"/>
  <c r="F355" i="18"/>
  <c r="O355" i="18"/>
  <c r="G355" i="18"/>
  <c r="P355" i="18"/>
  <c r="I355" i="18"/>
  <c r="R355" i="18"/>
  <c r="J355" i="18"/>
  <c r="K355" i="18"/>
  <c r="L355" i="18"/>
  <c r="M355" i="18"/>
  <c r="Q355" i="18"/>
  <c r="E355" i="18"/>
  <c r="H355" i="18"/>
  <c r="BA124" i="1"/>
  <c r="AX538" i="1"/>
  <c r="W764" i="1"/>
  <c r="J476" i="18"/>
  <c r="W377" i="1" s="1"/>
  <c r="E232" i="2"/>
  <c r="L247" i="1" s="1"/>
  <c r="H247" i="1" s="1"/>
  <c r="M721" i="2"/>
  <c r="BJ644" i="1" s="1"/>
  <c r="N721" i="2"/>
  <c r="F721" i="2"/>
  <c r="AB644" i="1" s="1"/>
  <c r="O721" i="2"/>
  <c r="BR644" i="1" s="1"/>
  <c r="G721" i="2"/>
  <c r="AP644" i="1" s="1"/>
  <c r="P721" i="2"/>
  <c r="AF644" i="1" s="1"/>
  <c r="J721" i="2"/>
  <c r="X644" i="1" s="1"/>
  <c r="I721" i="2"/>
  <c r="K721" i="2"/>
  <c r="BD644" i="1" s="1"/>
  <c r="Q721" i="2"/>
  <c r="E721" i="2"/>
  <c r="L721" i="2"/>
  <c r="R721" i="2"/>
  <c r="H721" i="2"/>
  <c r="BR125" i="1"/>
  <c r="C600" i="18"/>
  <c r="C722" i="18" s="1"/>
  <c r="AO122" i="1"/>
  <c r="BJ765" i="1"/>
  <c r="M477" i="2"/>
  <c r="BJ378" i="1" s="1"/>
  <c r="AV246" i="1"/>
  <c r="F478" i="2" l="1"/>
  <c r="AB379" i="1" s="1"/>
  <c r="AB766" i="1"/>
  <c r="BJ766" i="1"/>
  <c r="M478" i="2"/>
  <c r="BJ379" i="1" s="1"/>
  <c r="A602" i="18"/>
  <c r="B602" i="18"/>
  <c r="CE125" i="1"/>
  <c r="CB539" i="1"/>
  <c r="M478" i="18"/>
  <c r="BG379" i="1" s="1"/>
  <c r="BG766" i="1"/>
  <c r="Q766" i="1"/>
  <c r="H478" i="18"/>
  <c r="Q379" i="1" s="1"/>
  <c r="BC123" i="1"/>
  <c r="K123" i="1"/>
  <c r="BY248" i="1"/>
  <c r="BV645" i="1"/>
  <c r="M477" i="18"/>
  <c r="BG378" i="1" s="1"/>
  <c r="BG765" i="1"/>
  <c r="O477" i="18"/>
  <c r="BQ378" i="1" s="1"/>
  <c r="BQ765" i="1"/>
  <c r="D528" i="1"/>
  <c r="E528" i="1"/>
  <c r="I124" i="1"/>
  <c r="P234" i="18"/>
  <c r="AE249" i="1" s="1"/>
  <c r="F234" i="18"/>
  <c r="AA249" i="1" s="1"/>
  <c r="L234" i="18"/>
  <c r="AI249" i="1" s="1"/>
  <c r="O234" i="18"/>
  <c r="BQ249" i="1" s="1"/>
  <c r="M234" i="18"/>
  <c r="BG249" i="1" s="1"/>
  <c r="A233" i="13"/>
  <c r="C233" i="13" s="1"/>
  <c r="Q234" i="18"/>
  <c r="BU249" i="1" s="1"/>
  <c r="R234" i="18"/>
  <c r="CA249" i="1" s="1"/>
  <c r="J234" i="18"/>
  <c r="W249" i="1" s="1"/>
  <c r="I234" i="18"/>
  <c r="AW249" i="1" s="1"/>
  <c r="E234" i="18"/>
  <c r="K249" i="1" s="1"/>
  <c r="K234" i="18"/>
  <c r="BC249" i="1" s="1"/>
  <c r="H234" i="18"/>
  <c r="Q249" i="1" s="1"/>
  <c r="G234" i="18"/>
  <c r="AO249" i="1" s="1"/>
  <c r="C601" i="18"/>
  <c r="C723" i="18" s="1"/>
  <c r="BY125" i="1"/>
  <c r="BV539" i="1"/>
  <c r="L478" i="18"/>
  <c r="AI379" i="1" s="1"/>
  <c r="AI766" i="1"/>
  <c r="G377" i="1"/>
  <c r="W123" i="1"/>
  <c r="AO765" i="1"/>
  <c r="G477" i="18"/>
  <c r="AO378" i="1" s="1"/>
  <c r="U247" i="1"/>
  <c r="R644" i="1"/>
  <c r="F477" i="18"/>
  <c r="AA378" i="1" s="1"/>
  <c r="AA765" i="1"/>
  <c r="A112" i="10"/>
  <c r="C235" i="18"/>
  <c r="C358" i="18"/>
  <c r="C480" i="18"/>
  <c r="A112" i="13"/>
  <c r="C112" i="13" s="1"/>
  <c r="C238" i="12"/>
  <c r="AJ766" i="1"/>
  <c r="L478" i="2"/>
  <c r="AJ379" i="1" s="1"/>
  <c r="CA123" i="1"/>
  <c r="BV766" i="1"/>
  <c r="Q478" i="2"/>
  <c r="BV379" i="1" s="1"/>
  <c r="AM247" i="1"/>
  <c r="AJ644" i="1"/>
  <c r="BR766" i="1"/>
  <c r="O478" i="2"/>
  <c r="BR379" i="1" s="1"/>
  <c r="O248" i="1"/>
  <c r="L645" i="1"/>
  <c r="CA765" i="1"/>
  <c r="R477" i="18"/>
  <c r="CA378" i="1" s="1"/>
  <c r="L237" i="12"/>
  <c r="E237" i="12"/>
  <c r="M237" i="12"/>
  <c r="F237" i="12"/>
  <c r="G237" i="12"/>
  <c r="O237" i="12"/>
  <c r="H237" i="12"/>
  <c r="P237" i="12"/>
  <c r="N237" i="12"/>
  <c r="I237" i="12"/>
  <c r="Q237" i="12"/>
  <c r="J237" i="12"/>
  <c r="R237" i="12"/>
  <c r="K237" i="12"/>
  <c r="S237" i="12"/>
  <c r="B114" i="2"/>
  <c r="A114" i="2"/>
  <c r="C114" i="2" s="1"/>
  <c r="AT248" i="1"/>
  <c r="AF766" i="1"/>
  <c r="P478" i="2"/>
  <c r="AF379" i="1" s="1"/>
  <c r="G478" i="2"/>
  <c r="AP379" i="1" s="1"/>
  <c r="AP766" i="1"/>
  <c r="G247" i="1"/>
  <c r="F478" i="18"/>
  <c r="AA379" i="1" s="1"/>
  <c r="AA766" i="1"/>
  <c r="CA766" i="1"/>
  <c r="R478" i="18"/>
  <c r="CA379" i="1" s="1"/>
  <c r="G122" i="1"/>
  <c r="H125" i="1"/>
  <c r="Q123" i="1"/>
  <c r="U248" i="1"/>
  <c r="R645" i="1"/>
  <c r="BA247" i="1"/>
  <c r="AX644" i="1"/>
  <c r="B602" i="2"/>
  <c r="A602" i="2"/>
  <c r="C602" i="2" s="1"/>
  <c r="C724" i="2" s="1"/>
  <c r="L477" i="18"/>
  <c r="AI378" i="1" s="1"/>
  <c r="AI765" i="1"/>
  <c r="W766" i="1"/>
  <c r="J478" i="18"/>
  <c r="W379" i="1" s="1"/>
  <c r="BA248" i="1"/>
  <c r="AV248" i="1" s="1"/>
  <c r="AX645" i="1"/>
  <c r="BC765" i="1"/>
  <c r="K477" i="18"/>
  <c r="BC378" i="1" s="1"/>
  <c r="B114" i="18"/>
  <c r="A114" i="18"/>
  <c r="C114" i="18" s="1"/>
  <c r="U125" i="1"/>
  <c r="R539" i="1"/>
  <c r="AM248" i="1"/>
  <c r="AJ645" i="1"/>
  <c r="P478" i="18"/>
  <c r="AE379" i="1" s="1"/>
  <c r="AE766" i="1"/>
  <c r="O247" i="1"/>
  <c r="L644" i="1"/>
  <c r="BY247" i="1"/>
  <c r="BV644" i="1"/>
  <c r="C113" i="2"/>
  <c r="J478" i="2"/>
  <c r="X379" i="1" s="1"/>
  <c r="X766" i="1"/>
  <c r="CB766" i="1"/>
  <c r="R478" i="2"/>
  <c r="CB379" i="1" s="1"/>
  <c r="O125" i="1"/>
  <c r="L539" i="1"/>
  <c r="H539" i="1" s="1"/>
  <c r="K766" i="1"/>
  <c r="E478" i="18"/>
  <c r="K379" i="1" s="1"/>
  <c r="G379" i="1" s="1"/>
  <c r="AW766" i="1"/>
  <c r="I478" i="18"/>
  <c r="AW379" i="1" s="1"/>
  <c r="H377" i="1"/>
  <c r="AO123" i="1"/>
  <c r="BU765" i="1"/>
  <c r="Q477" i="18"/>
  <c r="BU378" i="1" s="1"/>
  <c r="BA125" i="1"/>
  <c r="AX539" i="1"/>
  <c r="G539" i="1"/>
  <c r="CE247" i="1"/>
  <c r="CB644" i="1"/>
  <c r="C234" i="2"/>
  <c r="C357" i="2"/>
  <c r="C479" i="2"/>
  <c r="C115" i="1"/>
  <c r="C249" i="1"/>
  <c r="C380" i="1"/>
  <c r="D380" i="1" s="1"/>
  <c r="L766" i="1"/>
  <c r="E478" i="2"/>
  <c r="L379" i="1" s="1"/>
  <c r="AO766" i="1"/>
  <c r="G478" i="18"/>
  <c r="AO379" i="1" s="1"/>
  <c r="BU123" i="1"/>
  <c r="W765" i="1"/>
  <c r="J477" i="18"/>
  <c r="W378" i="1" s="1"/>
  <c r="AX766" i="1"/>
  <c r="I478" i="2"/>
  <c r="AX379" i="1" s="1"/>
  <c r="BC766" i="1"/>
  <c r="K478" i="18"/>
  <c r="BC379" i="1" s="1"/>
  <c r="AW123" i="1"/>
  <c r="K722" i="18"/>
  <c r="BC645" i="1" s="1"/>
  <c r="M722" i="18"/>
  <c r="BG645" i="1" s="1"/>
  <c r="I722" i="18"/>
  <c r="AW645" i="1" s="1"/>
  <c r="G722" i="18"/>
  <c r="AO645" i="1" s="1"/>
  <c r="O722" i="18"/>
  <c r="BQ645" i="1" s="1"/>
  <c r="F722" i="18"/>
  <c r="AA645" i="1" s="1"/>
  <c r="P722" i="18"/>
  <c r="AE645" i="1" s="1"/>
  <c r="L722" i="18"/>
  <c r="AI645" i="1" s="1"/>
  <c r="Q722" i="18"/>
  <c r="BU645" i="1" s="1"/>
  <c r="R722" i="18"/>
  <c r="CA645" i="1" s="1"/>
  <c r="E722" i="18"/>
  <c r="K645" i="1" s="1"/>
  <c r="J722" i="18"/>
  <c r="W645" i="1" s="1"/>
  <c r="H722" i="18"/>
  <c r="Q645" i="1" s="1"/>
  <c r="Q765" i="1"/>
  <c r="H477" i="18"/>
  <c r="Q378" i="1" s="1"/>
  <c r="AW765" i="1"/>
  <c r="I477" i="18"/>
  <c r="AW378" i="1" s="1"/>
  <c r="K765" i="1"/>
  <c r="E477" i="18"/>
  <c r="K378" i="1" s="1"/>
  <c r="P477" i="18"/>
  <c r="AE378" i="1" s="1"/>
  <c r="AE765" i="1"/>
  <c r="G248" i="1"/>
  <c r="C601" i="2"/>
  <c r="C723" i="2" s="1"/>
  <c r="J357" i="18"/>
  <c r="K357" i="18"/>
  <c r="E357" i="18"/>
  <c r="M357" i="18"/>
  <c r="G357" i="18"/>
  <c r="H357" i="18"/>
  <c r="I357" i="18"/>
  <c r="L357" i="18"/>
  <c r="O357" i="18"/>
  <c r="Q357" i="18"/>
  <c r="F357" i="18"/>
  <c r="P357" i="18"/>
  <c r="R357" i="18"/>
  <c r="H248" i="1"/>
  <c r="H643" i="1"/>
  <c r="R766" i="1"/>
  <c r="H478" i="2"/>
  <c r="R379" i="1" s="1"/>
  <c r="BD766" i="1"/>
  <c r="K478" i="2"/>
  <c r="BD379" i="1" s="1"/>
  <c r="BH125" i="1"/>
  <c r="BD539" i="1"/>
  <c r="O478" i="18"/>
  <c r="BQ379" i="1" s="1"/>
  <c r="BQ766" i="1"/>
  <c r="BU766" i="1"/>
  <c r="Q478" i="18"/>
  <c r="BU379" i="1" s="1"/>
  <c r="J121" i="18"/>
  <c r="R121" i="18"/>
  <c r="D122" i="18"/>
  <c r="E121" i="18"/>
  <c r="G121" i="18"/>
  <c r="H121" i="18"/>
  <c r="Q121" i="18"/>
  <c r="I121" i="18"/>
  <c r="K121" i="18"/>
  <c r="CE248" i="1"/>
  <c r="CB645" i="1"/>
  <c r="G234" i="2" l="1"/>
  <c r="AP249" i="1" s="1"/>
  <c r="F234" i="2"/>
  <c r="AB249" i="1" s="1"/>
  <c r="J234" i="2"/>
  <c r="X249" i="1" s="1"/>
  <c r="Q234" i="2"/>
  <c r="BV249" i="1" s="1"/>
  <c r="E234" i="2"/>
  <c r="L249" i="1" s="1"/>
  <c r="K234" i="2"/>
  <c r="BD249" i="1" s="1"/>
  <c r="H234" i="2"/>
  <c r="R249" i="1" s="1"/>
  <c r="L234" i="2"/>
  <c r="AJ249" i="1" s="1"/>
  <c r="P234" i="2"/>
  <c r="AF249" i="1" s="1"/>
  <c r="I234" i="2"/>
  <c r="AX249" i="1" s="1"/>
  <c r="N234" i="2"/>
  <c r="BN249" i="1" s="1"/>
  <c r="M234" i="2"/>
  <c r="BJ249" i="1" s="1"/>
  <c r="R234" i="2"/>
  <c r="CB249" i="1" s="1"/>
  <c r="O234" i="2"/>
  <c r="BR249" i="1" s="1"/>
  <c r="P724" i="2"/>
  <c r="AF647" i="1" s="1"/>
  <c r="M724" i="2"/>
  <c r="BJ647" i="1" s="1"/>
  <c r="N724" i="2"/>
  <c r="F724" i="2"/>
  <c r="AB647" i="1" s="1"/>
  <c r="O724" i="2"/>
  <c r="BR647" i="1" s="1"/>
  <c r="G724" i="2"/>
  <c r="AP647" i="1" s="1"/>
  <c r="J724" i="2"/>
  <c r="X647" i="1" s="1"/>
  <c r="E724" i="2"/>
  <c r="Q724" i="2"/>
  <c r="H724" i="2"/>
  <c r="K724" i="2"/>
  <c r="BD647" i="1" s="1"/>
  <c r="L724" i="2"/>
  <c r="R724" i="2"/>
  <c r="I724" i="2"/>
  <c r="G249" i="1"/>
  <c r="BU124" i="1"/>
  <c r="BU767" i="1"/>
  <c r="Q479" i="18"/>
  <c r="BU380" i="1" s="1"/>
  <c r="BC767" i="1"/>
  <c r="K479" i="18"/>
  <c r="BC380" i="1" s="1"/>
  <c r="H379" i="1"/>
  <c r="CG379" i="1" s="1"/>
  <c r="C235" i="2"/>
  <c r="C358" i="2"/>
  <c r="C480" i="2"/>
  <c r="C116" i="1"/>
  <c r="C250" i="1"/>
  <c r="C381" i="1"/>
  <c r="D381" i="1" s="1"/>
  <c r="A603" i="2"/>
  <c r="B603" i="2"/>
  <c r="H645" i="1"/>
  <c r="L358" i="18"/>
  <c r="E358" i="18"/>
  <c r="M358" i="18"/>
  <c r="G358" i="18"/>
  <c r="P358" i="18"/>
  <c r="F358" i="18"/>
  <c r="H358" i="18"/>
  <c r="I358" i="18"/>
  <c r="J358" i="18"/>
  <c r="K358" i="18"/>
  <c r="Q358" i="18"/>
  <c r="O358" i="18"/>
  <c r="R358" i="18"/>
  <c r="W767" i="1"/>
  <c r="J479" i="18"/>
  <c r="W380" i="1" s="1"/>
  <c r="L479" i="18"/>
  <c r="AI380" i="1" s="1"/>
  <c r="AI767" i="1"/>
  <c r="I125" i="1"/>
  <c r="AV247" i="1"/>
  <c r="F479" i="18"/>
  <c r="AA380" i="1" s="1"/>
  <c r="AA767" i="1"/>
  <c r="Q124" i="1"/>
  <c r="A603" i="18"/>
  <c r="B603" i="18"/>
  <c r="AW767" i="1"/>
  <c r="I479" i="18"/>
  <c r="AW380" i="1" s="1"/>
  <c r="Q767" i="1"/>
  <c r="H479" i="18"/>
  <c r="Q380" i="1" s="1"/>
  <c r="D115" i="1"/>
  <c r="E115" i="1"/>
  <c r="F115" i="1"/>
  <c r="C529" i="1"/>
  <c r="I247" i="1"/>
  <c r="CG377" i="1"/>
  <c r="K767" i="1"/>
  <c r="E479" i="18"/>
  <c r="K380" i="1" s="1"/>
  <c r="O479" i="18"/>
  <c r="BQ380" i="1" s="1"/>
  <c r="BQ767" i="1"/>
  <c r="G723" i="2"/>
  <c r="AP646" i="1" s="1"/>
  <c r="J723" i="2"/>
  <c r="X646" i="1" s="1"/>
  <c r="M723" i="2"/>
  <c r="BJ646" i="1" s="1"/>
  <c r="F723" i="2"/>
  <c r="AB646" i="1" s="1"/>
  <c r="P723" i="2"/>
  <c r="AF646" i="1" s="1"/>
  <c r="N723" i="2"/>
  <c r="O723" i="2"/>
  <c r="BR646" i="1" s="1"/>
  <c r="L723" i="2"/>
  <c r="Q723" i="2"/>
  <c r="I723" i="2"/>
  <c r="E723" i="2"/>
  <c r="R723" i="2"/>
  <c r="H723" i="2"/>
  <c r="K723" i="2"/>
  <c r="BD646" i="1" s="1"/>
  <c r="C602" i="18"/>
  <c r="C724" i="18" s="1"/>
  <c r="H644" i="1"/>
  <c r="G123" i="1"/>
  <c r="CA124" i="1"/>
  <c r="A113" i="10"/>
  <c r="C236" i="18"/>
  <c r="C359" i="18"/>
  <c r="C481" i="18"/>
  <c r="A113" i="13"/>
  <c r="C113" i="13" s="1"/>
  <c r="C239" i="12"/>
  <c r="C236" i="2"/>
  <c r="C359" i="2"/>
  <c r="C481" i="2"/>
  <c r="C117" i="1"/>
  <c r="C251" i="1"/>
  <c r="C382" i="1"/>
  <c r="D382" i="1" s="1"/>
  <c r="L238" i="12"/>
  <c r="O238" i="12"/>
  <c r="G238" i="12"/>
  <c r="H238" i="12"/>
  <c r="P238" i="12"/>
  <c r="I238" i="12"/>
  <c r="Q238" i="12"/>
  <c r="J238" i="12"/>
  <c r="R238" i="12"/>
  <c r="M238" i="12"/>
  <c r="N238" i="12"/>
  <c r="K238" i="12"/>
  <c r="S238" i="12"/>
  <c r="E238" i="12"/>
  <c r="F238" i="12"/>
  <c r="AW124" i="1"/>
  <c r="I248" i="1"/>
  <c r="L235" i="18"/>
  <c r="AI250" i="1" s="1"/>
  <c r="M235" i="18"/>
  <c r="BG250" i="1" s="1"/>
  <c r="O235" i="18"/>
  <c r="BQ250" i="1" s="1"/>
  <c r="P235" i="18"/>
  <c r="AE250" i="1" s="1"/>
  <c r="F235" i="18"/>
  <c r="AA250" i="1" s="1"/>
  <c r="A234" i="13"/>
  <c r="C234" i="13" s="1"/>
  <c r="G235" i="18"/>
  <c r="AO250" i="1" s="1"/>
  <c r="E235" i="18"/>
  <c r="K250" i="1" s="1"/>
  <c r="Q235" i="18"/>
  <c r="BU250" i="1" s="1"/>
  <c r="H235" i="18"/>
  <c r="Q250" i="1" s="1"/>
  <c r="I235" i="18"/>
  <c r="AW250" i="1" s="1"/>
  <c r="R235" i="18"/>
  <c r="CA250" i="1" s="1"/>
  <c r="K235" i="18"/>
  <c r="BC250" i="1" s="1"/>
  <c r="J235" i="18"/>
  <c r="W250" i="1" s="1"/>
  <c r="AO124" i="1"/>
  <c r="K124" i="1"/>
  <c r="K723" i="18"/>
  <c r="BC646" i="1" s="1"/>
  <c r="O723" i="18"/>
  <c r="BQ646" i="1" s="1"/>
  <c r="M723" i="18"/>
  <c r="BG646" i="1" s="1"/>
  <c r="F723" i="18"/>
  <c r="AA646" i="1" s="1"/>
  <c r="P723" i="18"/>
  <c r="AE646" i="1" s="1"/>
  <c r="G723" i="18"/>
  <c r="AO646" i="1" s="1"/>
  <c r="I723" i="18"/>
  <c r="AW646" i="1" s="1"/>
  <c r="E723" i="18"/>
  <c r="K646" i="1" s="1"/>
  <c r="H723" i="18"/>
  <c r="Q646" i="1" s="1"/>
  <c r="R723" i="18"/>
  <c r="CA646" i="1" s="1"/>
  <c r="Q723" i="18"/>
  <c r="BU646" i="1" s="1"/>
  <c r="L723" i="18"/>
  <c r="AI646" i="1" s="1"/>
  <c r="J723" i="18"/>
  <c r="W646" i="1" s="1"/>
  <c r="H122" i="18"/>
  <c r="E122" i="18"/>
  <c r="G122" i="18"/>
  <c r="I122" i="18"/>
  <c r="Q122" i="18"/>
  <c r="R122" i="18"/>
  <c r="J122" i="18"/>
  <c r="K122" i="18"/>
  <c r="CA767" i="1"/>
  <c r="R479" i="18"/>
  <c r="CA380" i="1" s="1"/>
  <c r="AO767" i="1"/>
  <c r="G479" i="18"/>
  <c r="AO380" i="1" s="1"/>
  <c r="BC124" i="1"/>
  <c r="W124" i="1"/>
  <c r="P479" i="18"/>
  <c r="AE380" i="1" s="1"/>
  <c r="AE767" i="1"/>
  <c r="M479" i="18"/>
  <c r="BG380" i="1" s="1"/>
  <c r="BG767" i="1"/>
  <c r="G378" i="1"/>
  <c r="CG378" i="1" s="1"/>
  <c r="G645" i="1"/>
  <c r="C767" i="1"/>
  <c r="H357" i="2"/>
  <c r="F357" i="2"/>
  <c r="J357" i="2"/>
  <c r="I357" i="2"/>
  <c r="L357" i="2"/>
  <c r="G357" i="2"/>
  <c r="M357" i="2"/>
  <c r="E357" i="2"/>
  <c r="K357" i="2"/>
  <c r="O357" i="2"/>
  <c r="Q357" i="2"/>
  <c r="P357" i="2"/>
  <c r="N357" i="2"/>
  <c r="N479" i="2" s="1"/>
  <c r="BN380" i="1" s="1"/>
  <c r="R357" i="2"/>
  <c r="A115" i="18"/>
  <c r="B115" i="18"/>
  <c r="A115" i="2"/>
  <c r="C115" i="2" s="1"/>
  <c r="B115" i="2"/>
  <c r="J479" i="2" l="1"/>
  <c r="X380" i="1" s="1"/>
  <c r="X767" i="1"/>
  <c r="C237" i="2"/>
  <c r="C360" i="2"/>
  <c r="C482" i="2"/>
  <c r="C118" i="1"/>
  <c r="C252" i="1"/>
  <c r="C383" i="1"/>
  <c r="D383" i="1" s="1"/>
  <c r="D117" i="1"/>
  <c r="E117" i="1"/>
  <c r="F117" i="1"/>
  <c r="C531" i="1"/>
  <c r="A604" i="2"/>
  <c r="B604" i="2"/>
  <c r="L767" i="1"/>
  <c r="E479" i="2"/>
  <c r="L380" i="1" s="1"/>
  <c r="C603" i="2"/>
  <c r="C725" i="2" s="1"/>
  <c r="BJ767" i="1"/>
  <c r="M479" i="2"/>
  <c r="BJ380" i="1" s="1"/>
  <c r="BC125" i="1"/>
  <c r="AJ767" i="1"/>
  <c r="L479" i="2"/>
  <c r="AJ380" i="1" s="1"/>
  <c r="CA125" i="1"/>
  <c r="AF767" i="1"/>
  <c r="P479" i="2"/>
  <c r="AF380" i="1" s="1"/>
  <c r="AX767" i="1"/>
  <c r="I479" i="2"/>
  <c r="AX380" i="1" s="1"/>
  <c r="BU125" i="1"/>
  <c r="BY249" i="1"/>
  <c r="BV646" i="1"/>
  <c r="C603" i="18"/>
  <c r="C725" i="18" s="1"/>
  <c r="BC768" i="1"/>
  <c r="K480" i="18"/>
  <c r="BC381" i="1" s="1"/>
  <c r="K768" i="1"/>
  <c r="E480" i="18"/>
  <c r="K381" i="1" s="1"/>
  <c r="U250" i="1"/>
  <c r="R647" i="1"/>
  <c r="W768" i="1"/>
  <c r="J480" i="18"/>
  <c r="W381" i="1" s="1"/>
  <c r="L480" i="18"/>
  <c r="AI381" i="1" s="1"/>
  <c r="AI768" i="1"/>
  <c r="C768" i="1"/>
  <c r="M358" i="2"/>
  <c r="G358" i="2"/>
  <c r="I358" i="2"/>
  <c r="P358" i="2"/>
  <c r="E358" i="2"/>
  <c r="L358" i="2"/>
  <c r="K358" i="2"/>
  <c r="N358" i="2"/>
  <c r="N480" i="2" s="1"/>
  <c r="BN381" i="1" s="1"/>
  <c r="F358" i="2"/>
  <c r="J358" i="2"/>
  <c r="O358" i="2"/>
  <c r="Q358" i="2"/>
  <c r="R358" i="2"/>
  <c r="H358" i="2"/>
  <c r="BY250" i="1"/>
  <c r="BV647" i="1"/>
  <c r="B116" i="2"/>
  <c r="A116" i="2"/>
  <c r="BR767" i="1"/>
  <c r="O479" i="2"/>
  <c r="BR380" i="1" s="1"/>
  <c r="F479" i="2"/>
  <c r="AB380" i="1" s="1"/>
  <c r="AB767" i="1"/>
  <c r="AO125" i="1"/>
  <c r="G646" i="1"/>
  <c r="G124" i="1"/>
  <c r="F359" i="18"/>
  <c r="G359" i="18"/>
  <c r="P359" i="18"/>
  <c r="I359" i="18"/>
  <c r="R359" i="18"/>
  <c r="Q359" i="18"/>
  <c r="E359" i="18"/>
  <c r="H359" i="18"/>
  <c r="J359" i="18"/>
  <c r="K359" i="18"/>
  <c r="M359" i="18"/>
  <c r="L359" i="18"/>
  <c r="O359" i="18"/>
  <c r="G724" i="18"/>
  <c r="AO647" i="1" s="1"/>
  <c r="P724" i="18"/>
  <c r="AE647" i="1" s="1"/>
  <c r="I724" i="18"/>
  <c r="AW647" i="1" s="1"/>
  <c r="K724" i="18"/>
  <c r="BC647" i="1" s="1"/>
  <c r="F724" i="18"/>
  <c r="AA647" i="1" s="1"/>
  <c r="O724" i="18"/>
  <c r="BQ647" i="1" s="1"/>
  <c r="M724" i="18"/>
  <c r="BG647" i="1" s="1"/>
  <c r="E724" i="18"/>
  <c r="K647" i="1" s="1"/>
  <c r="G647" i="1" s="1"/>
  <c r="R724" i="18"/>
  <c r="CA647" i="1" s="1"/>
  <c r="H724" i="18"/>
  <c r="Q647" i="1" s="1"/>
  <c r="J724" i="18"/>
  <c r="W647" i="1" s="1"/>
  <c r="Q724" i="18"/>
  <c r="BU647" i="1" s="1"/>
  <c r="L724" i="18"/>
  <c r="AI647" i="1" s="1"/>
  <c r="AW768" i="1"/>
  <c r="I480" i="18"/>
  <c r="AW381" i="1" s="1"/>
  <c r="G235" i="2"/>
  <c r="AP250" i="1" s="1"/>
  <c r="J235" i="2"/>
  <c r="X250" i="1" s="1"/>
  <c r="F235" i="2"/>
  <c r="AB250" i="1" s="1"/>
  <c r="L235" i="2"/>
  <c r="AJ250" i="1" s="1"/>
  <c r="R235" i="2"/>
  <c r="CB250" i="1" s="1"/>
  <c r="M235" i="2"/>
  <c r="BJ250" i="1" s="1"/>
  <c r="O235" i="2"/>
  <c r="BR250" i="1" s="1"/>
  <c r="P235" i="2"/>
  <c r="AF250" i="1" s="1"/>
  <c r="Q235" i="2"/>
  <c r="BV250" i="1" s="1"/>
  <c r="H235" i="2"/>
  <c r="R250" i="1" s="1"/>
  <c r="K235" i="2"/>
  <c r="BD250" i="1" s="1"/>
  <c r="E235" i="2"/>
  <c r="L250" i="1" s="1"/>
  <c r="N235" i="2"/>
  <c r="BN250" i="1" s="1"/>
  <c r="I235" i="2"/>
  <c r="AX250" i="1" s="1"/>
  <c r="O250" i="1"/>
  <c r="L647" i="1"/>
  <c r="BD767" i="1"/>
  <c r="K479" i="2"/>
  <c r="BD380" i="1" s="1"/>
  <c r="G380" i="1"/>
  <c r="C769" i="1"/>
  <c r="L359" i="2"/>
  <c r="O359" i="2"/>
  <c r="H359" i="2"/>
  <c r="F359" i="2"/>
  <c r="J359" i="2"/>
  <c r="K359" i="2"/>
  <c r="Q359" i="2"/>
  <c r="M359" i="2"/>
  <c r="E359" i="2"/>
  <c r="G359" i="2"/>
  <c r="P359" i="2"/>
  <c r="N359" i="2"/>
  <c r="N481" i="2" s="1"/>
  <c r="BN382" i="1" s="1"/>
  <c r="R359" i="2"/>
  <c r="I359" i="2"/>
  <c r="CE249" i="1"/>
  <c r="CB646" i="1"/>
  <c r="CA768" i="1"/>
  <c r="R480" i="18"/>
  <c r="CA381" i="1" s="1"/>
  <c r="P480" i="18"/>
  <c r="AE381" i="1" s="1"/>
  <c r="AE768" i="1"/>
  <c r="CE250" i="1"/>
  <c r="CB647" i="1"/>
  <c r="BV767" i="1"/>
  <c r="Q479" i="2"/>
  <c r="BV380" i="1" s="1"/>
  <c r="AW125" i="1"/>
  <c r="AM249" i="1"/>
  <c r="AJ646" i="1"/>
  <c r="R767" i="1"/>
  <c r="H479" i="2"/>
  <c r="R380" i="1" s="1"/>
  <c r="K125" i="1"/>
  <c r="F236" i="18"/>
  <c r="AA251" i="1" s="1"/>
  <c r="O236" i="18"/>
  <c r="BQ251" i="1" s="1"/>
  <c r="P236" i="18"/>
  <c r="AE251" i="1" s="1"/>
  <c r="M236" i="18"/>
  <c r="BG251" i="1" s="1"/>
  <c r="L236" i="18"/>
  <c r="AI251" i="1" s="1"/>
  <c r="A235" i="13"/>
  <c r="C235" i="13" s="1"/>
  <c r="R236" i="18"/>
  <c r="CA251" i="1" s="1"/>
  <c r="I236" i="18"/>
  <c r="AW251" i="1" s="1"/>
  <c r="G236" i="18"/>
  <c r="AO251" i="1" s="1"/>
  <c r="K236" i="18"/>
  <c r="BC251" i="1" s="1"/>
  <c r="Q236" i="18"/>
  <c r="BU251" i="1" s="1"/>
  <c r="E236" i="18"/>
  <c r="K251" i="1" s="1"/>
  <c r="H236" i="18"/>
  <c r="Q251" i="1" s="1"/>
  <c r="J236" i="18"/>
  <c r="W251" i="1" s="1"/>
  <c r="Q768" i="1"/>
  <c r="H480" i="18"/>
  <c r="Q381" i="1" s="1"/>
  <c r="H249" i="1"/>
  <c r="A116" i="18"/>
  <c r="B116" i="18"/>
  <c r="Q125" i="1"/>
  <c r="F480" i="18"/>
  <c r="AA381" i="1" s="1"/>
  <c r="AA768" i="1"/>
  <c r="C115" i="18"/>
  <c r="CB767" i="1"/>
  <c r="R479" i="2"/>
  <c r="CB380" i="1" s="1"/>
  <c r="G479" i="2"/>
  <c r="AP380" i="1" s="1"/>
  <c r="AP767" i="1"/>
  <c r="W125" i="1"/>
  <c r="G250" i="1"/>
  <c r="J236" i="2"/>
  <c r="X251" i="1" s="1"/>
  <c r="F236" i="2"/>
  <c r="AB251" i="1" s="1"/>
  <c r="G236" i="2"/>
  <c r="AP251" i="1" s="1"/>
  <c r="K236" i="2"/>
  <c r="BD251" i="1" s="1"/>
  <c r="R236" i="2"/>
  <c r="CB251" i="1" s="1"/>
  <c r="N236" i="2"/>
  <c r="BN251" i="1" s="1"/>
  <c r="M236" i="2"/>
  <c r="BJ251" i="1" s="1"/>
  <c r="P236" i="2"/>
  <c r="AF251" i="1" s="1"/>
  <c r="Q236" i="2"/>
  <c r="BV251" i="1" s="1"/>
  <c r="E236" i="2"/>
  <c r="L251" i="1" s="1"/>
  <c r="H251" i="1" s="1"/>
  <c r="L236" i="2"/>
  <c r="AJ251" i="1" s="1"/>
  <c r="I236" i="2"/>
  <c r="AX251" i="1" s="1"/>
  <c r="O236" i="2"/>
  <c r="BR251" i="1" s="1"/>
  <c r="H236" i="2"/>
  <c r="R251" i="1" s="1"/>
  <c r="O249" i="1"/>
  <c r="L646" i="1"/>
  <c r="O480" i="18"/>
  <c r="BQ381" i="1" s="1"/>
  <c r="BQ768" i="1"/>
  <c r="AO768" i="1"/>
  <c r="G480" i="18"/>
  <c r="AO381" i="1" s="1"/>
  <c r="AM250" i="1"/>
  <c r="AJ647" i="1"/>
  <c r="AT249" i="1"/>
  <c r="U249" i="1"/>
  <c r="R646" i="1"/>
  <c r="BA250" i="1"/>
  <c r="AV250" i="1" s="1"/>
  <c r="AX647" i="1"/>
  <c r="L239" i="12"/>
  <c r="E239" i="12"/>
  <c r="N239" i="12"/>
  <c r="M239" i="12"/>
  <c r="F239" i="12"/>
  <c r="O239" i="12"/>
  <c r="H239" i="12"/>
  <c r="P239" i="12"/>
  <c r="I239" i="12"/>
  <c r="Q239" i="12"/>
  <c r="J239" i="12"/>
  <c r="R239" i="12"/>
  <c r="G239" i="12"/>
  <c r="K239" i="12"/>
  <c r="S239" i="12"/>
  <c r="BA249" i="1"/>
  <c r="AV249" i="1" s="1"/>
  <c r="AX646" i="1"/>
  <c r="E529" i="1"/>
  <c r="D529" i="1"/>
  <c r="A604" i="18"/>
  <c r="B604" i="18"/>
  <c r="BU768" i="1"/>
  <c r="Q480" i="18"/>
  <c r="BU381" i="1" s="1"/>
  <c r="M480" i="18"/>
  <c r="BG381" i="1" s="1"/>
  <c r="BG768" i="1"/>
  <c r="D116" i="1"/>
  <c r="E116" i="1"/>
  <c r="F116" i="1"/>
  <c r="C530" i="1"/>
  <c r="C116" i="18" l="1"/>
  <c r="H647" i="1"/>
  <c r="BD768" i="1"/>
  <c r="K480" i="2"/>
  <c r="BD381" i="1" s="1"/>
  <c r="D530" i="1"/>
  <c r="E530" i="1"/>
  <c r="R768" i="1"/>
  <c r="H480" i="2"/>
  <c r="R381" i="1" s="1"/>
  <c r="B605" i="2"/>
  <c r="A605" i="2"/>
  <c r="C605" i="2" s="1"/>
  <c r="C727" i="2" s="1"/>
  <c r="I249" i="1"/>
  <c r="G125" i="1"/>
  <c r="G481" i="2"/>
  <c r="AP382" i="1" s="1"/>
  <c r="AP769" i="1"/>
  <c r="BR769" i="1"/>
  <c r="O481" i="2"/>
  <c r="BR382" i="1" s="1"/>
  <c r="AT250" i="1"/>
  <c r="BC769" i="1"/>
  <c r="K481" i="18"/>
  <c r="BC382" i="1" s="1"/>
  <c r="AO769" i="1"/>
  <c r="G481" i="18"/>
  <c r="AO382" i="1" s="1"/>
  <c r="CB768" i="1"/>
  <c r="R480" i="2"/>
  <c r="CB381" i="1" s="1"/>
  <c r="L768" i="1"/>
  <c r="E480" i="2"/>
  <c r="L381" i="1" s="1"/>
  <c r="F725" i="18"/>
  <c r="AA648" i="1" s="1"/>
  <c r="P725" i="18"/>
  <c r="AE648" i="1" s="1"/>
  <c r="G725" i="18"/>
  <c r="AO648" i="1" s="1"/>
  <c r="O725" i="18"/>
  <c r="BQ648" i="1" s="1"/>
  <c r="K725" i="18"/>
  <c r="BC648" i="1" s="1"/>
  <c r="M725" i="18"/>
  <c r="BG648" i="1" s="1"/>
  <c r="I725" i="18"/>
  <c r="AW648" i="1" s="1"/>
  <c r="Q725" i="18"/>
  <c r="BU648" i="1" s="1"/>
  <c r="E725" i="18"/>
  <c r="K648" i="1" s="1"/>
  <c r="L725" i="18"/>
  <c r="AI648" i="1" s="1"/>
  <c r="J725" i="18"/>
  <c r="W648" i="1" s="1"/>
  <c r="H725" i="18"/>
  <c r="Q648" i="1" s="1"/>
  <c r="R725" i="18"/>
  <c r="CA648" i="1" s="1"/>
  <c r="C604" i="2"/>
  <c r="C726" i="2" s="1"/>
  <c r="B117" i="18"/>
  <c r="A117" i="18"/>
  <c r="C117" i="18" s="1"/>
  <c r="CB769" i="1"/>
  <c r="R481" i="2"/>
  <c r="CB382" i="1" s="1"/>
  <c r="H646" i="1"/>
  <c r="AF769" i="1"/>
  <c r="P481" i="2"/>
  <c r="AF382" i="1" s="1"/>
  <c r="I250" i="1"/>
  <c r="P481" i="18"/>
  <c r="AE382" i="1" s="1"/>
  <c r="AE769" i="1"/>
  <c r="AJ768" i="1"/>
  <c r="L480" i="2"/>
  <c r="AJ381" i="1" s="1"/>
  <c r="D118" i="1"/>
  <c r="E118" i="1"/>
  <c r="C532" i="1"/>
  <c r="C604" i="18"/>
  <c r="C726" i="18" s="1"/>
  <c r="L769" i="1"/>
  <c r="E481" i="2"/>
  <c r="L382" i="1" s="1"/>
  <c r="AJ769" i="1"/>
  <c r="L481" i="2"/>
  <c r="AJ382" i="1" s="1"/>
  <c r="W769" i="1"/>
  <c r="J481" i="18"/>
  <c r="W382" i="1" s="1"/>
  <c r="F481" i="18"/>
  <c r="AA382" i="1" s="1"/>
  <c r="AA769" i="1"/>
  <c r="BV768" i="1"/>
  <c r="Q480" i="2"/>
  <c r="BV381" i="1" s="1"/>
  <c r="AF768" i="1"/>
  <c r="P480" i="2"/>
  <c r="AF381" i="1" s="1"/>
  <c r="D531" i="1"/>
  <c r="E531" i="1"/>
  <c r="C770" i="1"/>
  <c r="M360" i="2"/>
  <c r="L360" i="2"/>
  <c r="K360" i="2"/>
  <c r="N360" i="2"/>
  <c r="N482" i="2" s="1"/>
  <c r="BN383" i="1" s="1"/>
  <c r="H360" i="2"/>
  <c r="F360" i="2"/>
  <c r="G360" i="2"/>
  <c r="I360" i="2"/>
  <c r="E360" i="2"/>
  <c r="P360" i="2"/>
  <c r="R360" i="2"/>
  <c r="J360" i="2"/>
  <c r="O360" i="2"/>
  <c r="Q360" i="2"/>
  <c r="O481" i="18"/>
  <c r="BQ382" i="1" s="1"/>
  <c r="BQ769" i="1"/>
  <c r="BJ769" i="1"/>
  <c r="M481" i="2"/>
  <c r="BJ382" i="1" s="1"/>
  <c r="H250" i="1"/>
  <c r="Q769" i="1"/>
  <c r="H481" i="18"/>
  <c r="Q382" i="1" s="1"/>
  <c r="BR768" i="1"/>
  <c r="O480" i="2"/>
  <c r="BR381" i="1" s="1"/>
  <c r="AX768" i="1"/>
  <c r="I480" i="2"/>
  <c r="AX381" i="1" s="1"/>
  <c r="L237" i="2"/>
  <c r="AJ252" i="1" s="1"/>
  <c r="I237" i="2"/>
  <c r="AX252" i="1" s="1"/>
  <c r="M237" i="2"/>
  <c r="BJ252" i="1" s="1"/>
  <c r="P237" i="2"/>
  <c r="AF252" i="1" s="1"/>
  <c r="H237" i="2"/>
  <c r="R252" i="1" s="1"/>
  <c r="R237" i="2"/>
  <c r="CB252" i="1" s="1"/>
  <c r="H380" i="1"/>
  <c r="L481" i="18"/>
  <c r="AI382" i="1" s="1"/>
  <c r="AI769" i="1"/>
  <c r="A605" i="18"/>
  <c r="C605" i="18" s="1"/>
  <c r="C727" i="18" s="1"/>
  <c r="B605" i="18"/>
  <c r="A114" i="10"/>
  <c r="J237" i="2" s="1"/>
  <c r="X252" i="1" s="1"/>
  <c r="C360" i="18"/>
  <c r="C237" i="18"/>
  <c r="A114" i="13"/>
  <c r="C114" i="13" s="1"/>
  <c r="C482" i="18"/>
  <c r="C240" i="12"/>
  <c r="R769" i="1"/>
  <c r="H481" i="2"/>
  <c r="R382" i="1" s="1"/>
  <c r="AT251" i="1"/>
  <c r="BV769" i="1"/>
  <c r="Q481" i="2"/>
  <c r="BV382" i="1" s="1"/>
  <c r="CG380" i="1"/>
  <c r="K769" i="1"/>
  <c r="E481" i="18"/>
  <c r="K382" i="1" s="1"/>
  <c r="C116" i="2"/>
  <c r="J480" i="2"/>
  <c r="X381" i="1" s="1"/>
  <c r="X768" i="1"/>
  <c r="G480" i="2"/>
  <c r="AP381" i="1" s="1"/>
  <c r="AP768" i="1"/>
  <c r="J481" i="2"/>
  <c r="X382" i="1" s="1"/>
  <c r="X769" i="1"/>
  <c r="CA769" i="1"/>
  <c r="R481" i="18"/>
  <c r="CA382" i="1" s="1"/>
  <c r="F481" i="2"/>
  <c r="AB382" i="1" s="1"/>
  <c r="AB769" i="1"/>
  <c r="AW769" i="1"/>
  <c r="I481" i="18"/>
  <c r="AW382" i="1" s="1"/>
  <c r="M481" i="18"/>
  <c r="BG382" i="1" s="1"/>
  <c r="BG769" i="1"/>
  <c r="G251" i="1"/>
  <c r="AX769" i="1"/>
  <c r="I481" i="2"/>
  <c r="AX382" i="1" s="1"/>
  <c r="BD769" i="1"/>
  <c r="K481" i="2"/>
  <c r="BD382" i="1" s="1"/>
  <c r="BU769" i="1"/>
  <c r="Q481" i="18"/>
  <c r="BU382" i="1" s="1"/>
  <c r="A117" i="2"/>
  <c r="B117" i="2"/>
  <c r="F480" i="2"/>
  <c r="AB381" i="1" s="1"/>
  <c r="AB768" i="1"/>
  <c r="BJ768" i="1"/>
  <c r="M480" i="2"/>
  <c r="BJ381" i="1" s="1"/>
  <c r="G381" i="1"/>
  <c r="F725" i="2"/>
  <c r="AB648" i="1" s="1"/>
  <c r="O725" i="2"/>
  <c r="BR648" i="1" s="1"/>
  <c r="G725" i="2"/>
  <c r="AP648" i="1" s="1"/>
  <c r="P725" i="2"/>
  <c r="AF648" i="1" s="1"/>
  <c r="J725" i="2"/>
  <c r="X648" i="1" s="1"/>
  <c r="M725" i="2"/>
  <c r="BJ648" i="1" s="1"/>
  <c r="N725" i="2"/>
  <c r="I725" i="2"/>
  <c r="Q725" i="2"/>
  <c r="K725" i="2"/>
  <c r="BD648" i="1" s="1"/>
  <c r="L725" i="2"/>
  <c r="H725" i="2"/>
  <c r="E725" i="2"/>
  <c r="R725" i="2"/>
  <c r="AX770" i="1" l="1"/>
  <c r="I482" i="2"/>
  <c r="AX383" i="1" s="1"/>
  <c r="J726" i="2"/>
  <c r="X649" i="1" s="1"/>
  <c r="M726" i="2"/>
  <c r="BJ649" i="1" s="1"/>
  <c r="N726" i="2"/>
  <c r="G726" i="2"/>
  <c r="AP649" i="1" s="1"/>
  <c r="P726" i="2"/>
  <c r="AF649" i="1" s="1"/>
  <c r="F726" i="2"/>
  <c r="AB649" i="1" s="1"/>
  <c r="O726" i="2"/>
  <c r="BR649" i="1" s="1"/>
  <c r="I726" i="2"/>
  <c r="E726" i="2"/>
  <c r="R726" i="2"/>
  <c r="Q726" i="2"/>
  <c r="K726" i="2"/>
  <c r="BD649" i="1" s="1"/>
  <c r="L726" i="2"/>
  <c r="H726" i="2"/>
  <c r="BA251" i="1"/>
  <c r="AX648" i="1"/>
  <c r="G482" i="2"/>
  <c r="AP383" i="1" s="1"/>
  <c r="AP770" i="1"/>
  <c r="I360" i="18"/>
  <c r="R360" i="18"/>
  <c r="K360" i="18"/>
  <c r="M360" i="18"/>
  <c r="O360" i="18"/>
  <c r="E360" i="18"/>
  <c r="P360" i="18"/>
  <c r="F360" i="18"/>
  <c r="Q360" i="18"/>
  <c r="G360" i="18"/>
  <c r="J360" i="18"/>
  <c r="L360" i="18"/>
  <c r="H360" i="18"/>
  <c r="BV770" i="1"/>
  <c r="Q482" i="2"/>
  <c r="BV383" i="1" s="1"/>
  <c r="CE251" i="1"/>
  <c r="CB648" i="1"/>
  <c r="R770" i="1"/>
  <c r="H482" i="2"/>
  <c r="R383" i="1" s="1"/>
  <c r="C238" i="2"/>
  <c r="C361" i="2"/>
  <c r="C483" i="2"/>
  <c r="C119" i="1"/>
  <c r="C253" i="1"/>
  <c r="C384" i="1"/>
  <c r="D384" i="1" s="1"/>
  <c r="F727" i="18"/>
  <c r="AA650" i="1" s="1"/>
  <c r="K727" i="18"/>
  <c r="BC650" i="1" s="1"/>
  <c r="P727" i="18"/>
  <c r="AE650" i="1" s="1"/>
  <c r="L727" i="18"/>
  <c r="AI650" i="1" s="1"/>
  <c r="J727" i="18"/>
  <c r="W650" i="1" s="1"/>
  <c r="Q727" i="18"/>
  <c r="BU650" i="1" s="1"/>
  <c r="BD770" i="1"/>
  <c r="K482" i="2"/>
  <c r="BD383" i="1" s="1"/>
  <c r="AM251" i="1"/>
  <c r="AJ648" i="1"/>
  <c r="C117" i="2"/>
  <c r="K237" i="2"/>
  <c r="BD252" i="1" s="1"/>
  <c r="AT252" i="1" s="1"/>
  <c r="L770" i="1"/>
  <c r="E482" i="2"/>
  <c r="L383" i="1" s="1"/>
  <c r="BJ770" i="1"/>
  <c r="M482" i="2"/>
  <c r="BJ383" i="1" s="1"/>
  <c r="M726" i="18"/>
  <c r="BG649" i="1" s="1"/>
  <c r="F726" i="18"/>
  <c r="AA649" i="1" s="1"/>
  <c r="O726" i="18"/>
  <c r="BQ649" i="1" s="1"/>
  <c r="I726" i="18"/>
  <c r="AW649" i="1" s="1"/>
  <c r="G726" i="18"/>
  <c r="AO649" i="1" s="1"/>
  <c r="K726" i="18"/>
  <c r="BC649" i="1" s="1"/>
  <c r="P726" i="18"/>
  <c r="AE649" i="1" s="1"/>
  <c r="H726" i="18"/>
  <c r="Q649" i="1" s="1"/>
  <c r="J726" i="18"/>
  <c r="W649" i="1" s="1"/>
  <c r="R726" i="18"/>
  <c r="CA649" i="1" s="1"/>
  <c r="Q726" i="18"/>
  <c r="BU649" i="1" s="1"/>
  <c r="L726" i="18"/>
  <c r="AI649" i="1" s="1"/>
  <c r="E726" i="18"/>
  <c r="K649" i="1" s="1"/>
  <c r="A118" i="18"/>
  <c r="C118" i="18" s="1"/>
  <c r="B118" i="18"/>
  <c r="BY251" i="1"/>
  <c r="BV648" i="1"/>
  <c r="D532" i="1"/>
  <c r="E532" i="1"/>
  <c r="F118" i="1"/>
  <c r="B606" i="18"/>
  <c r="A606" i="18"/>
  <c r="E237" i="2"/>
  <c r="L252" i="1" s="1"/>
  <c r="G237" i="2"/>
  <c r="AP252" i="1" s="1"/>
  <c r="J482" i="2"/>
  <c r="X383" i="1" s="1"/>
  <c r="X770" i="1"/>
  <c r="BR770" i="1"/>
  <c r="O482" i="2"/>
  <c r="BR383" i="1" s="1"/>
  <c r="Q237" i="2"/>
  <c r="BV252" i="1" s="1"/>
  <c r="H382" i="1"/>
  <c r="G648" i="1"/>
  <c r="M727" i="2"/>
  <c r="BJ650" i="1" s="1"/>
  <c r="N727" i="2"/>
  <c r="F727" i="2"/>
  <c r="AB650" i="1" s="1"/>
  <c r="O727" i="2"/>
  <c r="BR650" i="1" s="1"/>
  <c r="P727" i="2"/>
  <c r="AF650" i="1" s="1"/>
  <c r="K727" i="2"/>
  <c r="BD650" i="1" s="1"/>
  <c r="H727" i="2"/>
  <c r="I727" i="2"/>
  <c r="E727" i="2"/>
  <c r="Q727" i="2"/>
  <c r="P237" i="18"/>
  <c r="AE252" i="1" s="1"/>
  <c r="F237" i="18"/>
  <c r="AA252" i="1" s="1"/>
  <c r="L237" i="18"/>
  <c r="AI252" i="1" s="1"/>
  <c r="M237" i="18"/>
  <c r="BG252" i="1" s="1"/>
  <c r="O237" i="18"/>
  <c r="BQ252" i="1" s="1"/>
  <c r="A236" i="13"/>
  <c r="C236" i="13" s="1"/>
  <c r="R237" i="18"/>
  <c r="CA252" i="1" s="1"/>
  <c r="H237" i="18"/>
  <c r="Q252" i="1" s="1"/>
  <c r="I237" i="18"/>
  <c r="AW252" i="1" s="1"/>
  <c r="K237" i="18"/>
  <c r="BC252" i="1" s="1"/>
  <c r="G237" i="18"/>
  <c r="AO252" i="1" s="1"/>
  <c r="J237" i="18"/>
  <c r="W252" i="1" s="1"/>
  <c r="E237" i="18"/>
  <c r="K252" i="1" s="1"/>
  <c r="G252" i="1" s="1"/>
  <c r="Q237" i="18"/>
  <c r="BU252" i="1" s="1"/>
  <c r="F482" i="2"/>
  <c r="AB383" i="1" s="1"/>
  <c r="AB770" i="1"/>
  <c r="O237" i="2"/>
  <c r="BR252" i="1" s="1"/>
  <c r="O251" i="1"/>
  <c r="I251" i="1" s="1"/>
  <c r="L648" i="1"/>
  <c r="U251" i="1"/>
  <c r="R648" i="1"/>
  <c r="F237" i="2"/>
  <c r="AB252" i="1" s="1"/>
  <c r="CB770" i="1"/>
  <c r="R482" i="2"/>
  <c r="CB383" i="1" s="1"/>
  <c r="B118" i="2"/>
  <c r="A118" i="2"/>
  <c r="C118" i="2" s="1"/>
  <c r="G382" i="1"/>
  <c r="CG382" i="1" s="1"/>
  <c r="L240" i="12"/>
  <c r="M240" i="12"/>
  <c r="G240" i="12"/>
  <c r="F240" i="12"/>
  <c r="O240" i="12"/>
  <c r="H240" i="12"/>
  <c r="P240" i="12"/>
  <c r="I240" i="12"/>
  <c r="Q240" i="12"/>
  <c r="J240" i="12"/>
  <c r="R240" i="12"/>
  <c r="K240" i="12"/>
  <c r="S240" i="12"/>
  <c r="E240" i="12"/>
  <c r="N240" i="12"/>
  <c r="N237" i="2"/>
  <c r="BN252" i="1" s="1"/>
  <c r="AF770" i="1"/>
  <c r="P482" i="2"/>
  <c r="AF383" i="1" s="1"/>
  <c r="AJ770" i="1"/>
  <c r="L482" i="2"/>
  <c r="AJ383" i="1" s="1"/>
  <c r="A116" i="10"/>
  <c r="C239" i="18"/>
  <c r="C484" i="18"/>
  <c r="C362" i="18"/>
  <c r="A116" i="13"/>
  <c r="C116" i="13" s="1"/>
  <c r="C242" i="12"/>
  <c r="H381" i="1"/>
  <c r="CG381" i="1" s="1"/>
  <c r="B606" i="2"/>
  <c r="A606" i="2"/>
  <c r="A115" i="10"/>
  <c r="O727" i="18" s="1"/>
  <c r="BQ650" i="1" s="1"/>
  <c r="C238" i="18"/>
  <c r="C483" i="18"/>
  <c r="C361" i="18"/>
  <c r="A115" i="13"/>
  <c r="C115" i="13" s="1"/>
  <c r="C241" i="12"/>
  <c r="BC770" i="1" l="1"/>
  <c r="K482" i="18"/>
  <c r="BC383" i="1" s="1"/>
  <c r="K361" i="18"/>
  <c r="E361" i="18"/>
  <c r="M361" i="18"/>
  <c r="I361" i="18"/>
  <c r="J361" i="18"/>
  <c r="L361" i="18"/>
  <c r="O361" i="18"/>
  <c r="P361" i="18"/>
  <c r="G361" i="18"/>
  <c r="R361" i="18"/>
  <c r="Q361" i="18"/>
  <c r="F361" i="18"/>
  <c r="H361" i="18"/>
  <c r="BA253" i="1"/>
  <c r="AX650" i="1"/>
  <c r="R727" i="18"/>
  <c r="CA650" i="1" s="1"/>
  <c r="M727" i="18"/>
  <c r="BG650" i="1" s="1"/>
  <c r="AO770" i="1"/>
  <c r="G482" i="18"/>
  <c r="AO383" i="1" s="1"/>
  <c r="CA770" i="1"/>
  <c r="R482" i="18"/>
  <c r="CA383" i="1" s="1"/>
  <c r="AM252" i="1"/>
  <c r="AJ649" i="1"/>
  <c r="L242" i="12"/>
  <c r="M242" i="12"/>
  <c r="F242" i="12"/>
  <c r="O242" i="12"/>
  <c r="G242" i="12"/>
  <c r="N242" i="12"/>
  <c r="H242" i="12"/>
  <c r="P242" i="12"/>
  <c r="I242" i="12"/>
  <c r="Q242" i="12"/>
  <c r="J242" i="12"/>
  <c r="R242" i="12"/>
  <c r="E242" i="12"/>
  <c r="K242" i="12"/>
  <c r="S242" i="12"/>
  <c r="H648" i="1"/>
  <c r="U253" i="1"/>
  <c r="R650" i="1"/>
  <c r="BU770" i="1"/>
  <c r="Q482" i="18"/>
  <c r="BU383" i="1" s="1"/>
  <c r="AW770" i="1"/>
  <c r="I482" i="18"/>
  <c r="AW383" i="1" s="1"/>
  <c r="O253" i="1"/>
  <c r="L650" i="1"/>
  <c r="W770" i="1"/>
  <c r="J482" i="18"/>
  <c r="W383" i="1" s="1"/>
  <c r="O238" i="18"/>
  <c r="BQ253" i="1" s="1"/>
  <c r="P238" i="18"/>
  <c r="AE253" i="1" s="1"/>
  <c r="F238" i="18"/>
  <c r="AA253" i="1" s="1"/>
  <c r="L238" i="18"/>
  <c r="AI253" i="1" s="1"/>
  <c r="A237" i="13"/>
  <c r="C237" i="13" s="1"/>
  <c r="M238" i="18"/>
  <c r="BG253" i="1" s="1"/>
  <c r="H238" i="18"/>
  <c r="Q253" i="1" s="1"/>
  <c r="K238" i="18"/>
  <c r="BC253" i="1" s="1"/>
  <c r="I238" i="18"/>
  <c r="AW253" i="1" s="1"/>
  <c r="E238" i="18"/>
  <c r="K253" i="1" s="1"/>
  <c r="J238" i="18"/>
  <c r="W253" i="1" s="1"/>
  <c r="R238" i="18"/>
  <c r="CA253" i="1" s="1"/>
  <c r="Q238" i="18"/>
  <c r="BU253" i="1" s="1"/>
  <c r="G238" i="18"/>
  <c r="AO253" i="1" s="1"/>
  <c r="C240" i="2"/>
  <c r="C363" i="2"/>
  <c r="C485" i="2"/>
  <c r="C121" i="1"/>
  <c r="C255" i="1"/>
  <c r="C386" i="1"/>
  <c r="D386" i="1" s="1"/>
  <c r="F482" i="18"/>
  <c r="AA383" i="1" s="1"/>
  <c r="AA770" i="1"/>
  <c r="BY252" i="1"/>
  <c r="BV649" i="1"/>
  <c r="L239" i="18"/>
  <c r="AI254" i="1" s="1"/>
  <c r="P239" i="18"/>
  <c r="AE254" i="1" s="1"/>
  <c r="F239" i="18"/>
  <c r="AA254" i="1" s="1"/>
  <c r="O239" i="18"/>
  <c r="BQ254" i="1" s="1"/>
  <c r="A238" i="13"/>
  <c r="C238" i="13" s="1"/>
  <c r="M239" i="18"/>
  <c r="BG254" i="1" s="1"/>
  <c r="I239" i="18"/>
  <c r="AW254" i="1" s="1"/>
  <c r="K239" i="18"/>
  <c r="BC254" i="1" s="1"/>
  <c r="G239" i="18"/>
  <c r="AO254" i="1" s="1"/>
  <c r="R239" i="18"/>
  <c r="CA254" i="1" s="1"/>
  <c r="Q239" i="18"/>
  <c r="BU254" i="1" s="1"/>
  <c r="J239" i="18"/>
  <c r="W254" i="1" s="1"/>
  <c r="H239" i="18"/>
  <c r="Q254" i="1" s="1"/>
  <c r="E239" i="18"/>
  <c r="K254" i="1" s="1"/>
  <c r="A119" i="2"/>
  <c r="B119" i="2"/>
  <c r="R727" i="2"/>
  <c r="H252" i="1"/>
  <c r="A119" i="18"/>
  <c r="B119" i="18"/>
  <c r="I727" i="18"/>
  <c r="AW650" i="1" s="1"/>
  <c r="E119" i="1"/>
  <c r="F119" i="1"/>
  <c r="D119" i="1"/>
  <c r="C533" i="1"/>
  <c r="P482" i="18"/>
  <c r="AE383" i="1" s="1"/>
  <c r="AE770" i="1"/>
  <c r="CE252" i="1"/>
  <c r="CB649" i="1"/>
  <c r="C239" i="2"/>
  <c r="C362" i="2"/>
  <c r="C484" i="2"/>
  <c r="C254" i="1"/>
  <c r="C120" i="1"/>
  <c r="C385" i="1"/>
  <c r="D385" i="1" s="1"/>
  <c r="U252" i="1"/>
  <c r="R649" i="1"/>
  <c r="E362" i="18"/>
  <c r="M362" i="18"/>
  <c r="G362" i="18"/>
  <c r="P362" i="18"/>
  <c r="F362" i="18"/>
  <c r="R362" i="18"/>
  <c r="H362" i="18"/>
  <c r="I362" i="18"/>
  <c r="J362" i="18"/>
  <c r="K362" i="18"/>
  <c r="O362" i="18"/>
  <c r="L362" i="18"/>
  <c r="Q362" i="18"/>
  <c r="C606" i="2"/>
  <c r="C728" i="2" s="1"/>
  <c r="J727" i="2"/>
  <c r="X650" i="1" s="1"/>
  <c r="C606" i="18"/>
  <c r="C728" i="18" s="1"/>
  <c r="A117" i="10"/>
  <c r="C363" i="18"/>
  <c r="C240" i="18"/>
  <c r="C485" i="18"/>
  <c r="A117" i="13"/>
  <c r="C117" i="13" s="1"/>
  <c r="C243" i="12"/>
  <c r="H383" i="1"/>
  <c r="E727" i="18"/>
  <c r="K650" i="1" s="1"/>
  <c r="G727" i="18"/>
  <c r="AO650" i="1" s="1"/>
  <c r="K770" i="1"/>
  <c r="E482" i="18"/>
  <c r="K383" i="1" s="1"/>
  <c r="O252" i="1"/>
  <c r="L649" i="1"/>
  <c r="H649" i="1" s="1"/>
  <c r="B607" i="18"/>
  <c r="A607" i="18"/>
  <c r="C607" i="18" s="1"/>
  <c r="C729" i="18" s="1"/>
  <c r="A607" i="2"/>
  <c r="B607" i="2"/>
  <c r="BY253" i="1"/>
  <c r="BV650" i="1"/>
  <c r="G649" i="1"/>
  <c r="C771" i="1"/>
  <c r="Q361" i="2"/>
  <c r="G361" i="2"/>
  <c r="H361" i="2"/>
  <c r="F361" i="2"/>
  <c r="J361" i="2"/>
  <c r="L361" i="2"/>
  <c r="O361" i="2"/>
  <c r="M361" i="2"/>
  <c r="I361" i="2"/>
  <c r="E361" i="2"/>
  <c r="K361" i="2"/>
  <c r="P361" i="2"/>
  <c r="N361" i="2"/>
  <c r="N483" i="2" s="1"/>
  <c r="BN384" i="1" s="1"/>
  <c r="R361" i="2"/>
  <c r="Q770" i="1"/>
  <c r="H482" i="18"/>
  <c r="Q383" i="1" s="1"/>
  <c r="O482" i="18"/>
  <c r="BQ383" i="1" s="1"/>
  <c r="BQ770" i="1"/>
  <c r="BA252" i="1"/>
  <c r="AX649" i="1"/>
  <c r="L241" i="12"/>
  <c r="M241" i="12"/>
  <c r="F241" i="12"/>
  <c r="H241" i="12"/>
  <c r="P241" i="12"/>
  <c r="I241" i="12"/>
  <c r="Q241" i="12"/>
  <c r="J241" i="12"/>
  <c r="R241" i="12"/>
  <c r="N241" i="12"/>
  <c r="O241" i="12"/>
  <c r="K241" i="12"/>
  <c r="S241" i="12"/>
  <c r="E241" i="12"/>
  <c r="G241" i="12"/>
  <c r="L727" i="2"/>
  <c r="G727" i="2"/>
  <c r="AP650" i="1" s="1"/>
  <c r="H727" i="18"/>
  <c r="Q650" i="1" s="1"/>
  <c r="G238" i="2"/>
  <c r="AP253" i="1" s="1"/>
  <c r="J238" i="2"/>
  <c r="X253" i="1" s="1"/>
  <c r="F238" i="2"/>
  <c r="AB253" i="1" s="1"/>
  <c r="L238" i="2"/>
  <c r="AJ253" i="1" s="1"/>
  <c r="E238" i="2"/>
  <c r="L253" i="1" s="1"/>
  <c r="R238" i="2"/>
  <c r="CB253" i="1" s="1"/>
  <c r="H238" i="2"/>
  <c r="R253" i="1" s="1"/>
  <c r="N238" i="2"/>
  <c r="BN253" i="1" s="1"/>
  <c r="I238" i="2"/>
  <c r="AX253" i="1" s="1"/>
  <c r="K238" i="2"/>
  <c r="BD253" i="1" s="1"/>
  <c r="M238" i="2"/>
  <c r="BJ253" i="1" s="1"/>
  <c r="P238" i="2"/>
  <c r="AF253" i="1" s="1"/>
  <c r="O238" i="2"/>
  <c r="BR253" i="1" s="1"/>
  <c r="Q238" i="2"/>
  <c r="BV253" i="1" s="1"/>
  <c r="L482" i="18"/>
  <c r="AI383" i="1" s="1"/>
  <c r="AI770" i="1"/>
  <c r="M482" i="18"/>
  <c r="BG383" i="1" s="1"/>
  <c r="BG770" i="1"/>
  <c r="AV251" i="1"/>
  <c r="L771" i="1" l="1"/>
  <c r="E483" i="2"/>
  <c r="L384" i="1" s="1"/>
  <c r="K729" i="18"/>
  <c r="BC652" i="1" s="1"/>
  <c r="F729" i="18"/>
  <c r="AA652" i="1" s="1"/>
  <c r="O729" i="18"/>
  <c r="BQ652" i="1" s="1"/>
  <c r="P729" i="18"/>
  <c r="AE652" i="1" s="1"/>
  <c r="M729" i="18"/>
  <c r="BG652" i="1" s="1"/>
  <c r="G729" i="18"/>
  <c r="AO652" i="1" s="1"/>
  <c r="I729" i="18"/>
  <c r="AW652" i="1" s="1"/>
  <c r="E729" i="18"/>
  <c r="K652" i="1" s="1"/>
  <c r="Q729" i="18"/>
  <c r="BU652" i="1" s="1"/>
  <c r="L729" i="18"/>
  <c r="AI652" i="1" s="1"/>
  <c r="R729" i="18"/>
  <c r="CA652" i="1" s="1"/>
  <c r="J729" i="18"/>
  <c r="W652" i="1" s="1"/>
  <c r="H729" i="18"/>
  <c r="Q652" i="1" s="1"/>
  <c r="Q771" i="1"/>
  <c r="H483" i="18"/>
  <c r="Q384" i="1" s="1"/>
  <c r="BV771" i="1"/>
  <c r="Q483" i="2"/>
  <c r="BV384" i="1" s="1"/>
  <c r="L243" i="12"/>
  <c r="F243" i="12"/>
  <c r="G243" i="12"/>
  <c r="O243" i="12"/>
  <c r="H243" i="12"/>
  <c r="P243" i="12"/>
  <c r="I243" i="12"/>
  <c r="Q243" i="12"/>
  <c r="J243" i="12"/>
  <c r="R243" i="12"/>
  <c r="M243" i="12"/>
  <c r="N243" i="12"/>
  <c r="K243" i="12"/>
  <c r="S243" i="12"/>
  <c r="E243" i="12"/>
  <c r="C119" i="18"/>
  <c r="F483" i="18"/>
  <c r="AA384" i="1" s="1"/>
  <c r="AA771" i="1"/>
  <c r="BJ771" i="1"/>
  <c r="M483" i="2"/>
  <c r="BJ384" i="1" s="1"/>
  <c r="AJ771" i="1"/>
  <c r="L483" i="2"/>
  <c r="AJ384" i="1" s="1"/>
  <c r="O484" i="18"/>
  <c r="BQ385" i="1" s="1"/>
  <c r="BQ772" i="1"/>
  <c r="AF771" i="1"/>
  <c r="P483" i="2"/>
  <c r="AF384" i="1" s="1"/>
  <c r="F483" i="2"/>
  <c r="AB384" i="1" s="1"/>
  <c r="AB771" i="1"/>
  <c r="A608" i="2"/>
  <c r="B608" i="2"/>
  <c r="W772" i="1"/>
  <c r="J484" i="18"/>
  <c r="W385" i="1" s="1"/>
  <c r="H253" i="1"/>
  <c r="AV252" i="1"/>
  <c r="BD771" i="1"/>
  <c r="K483" i="2"/>
  <c r="BD384" i="1" s="1"/>
  <c r="R771" i="1"/>
  <c r="H483" i="2"/>
  <c r="R384" i="1" s="1"/>
  <c r="C607" i="2"/>
  <c r="C729" i="2" s="1"/>
  <c r="G650" i="1"/>
  <c r="G728" i="18"/>
  <c r="AO651" i="1" s="1"/>
  <c r="P728" i="18"/>
  <c r="AE651" i="1" s="1"/>
  <c r="F728" i="18"/>
  <c r="AA651" i="1" s="1"/>
  <c r="O728" i="18"/>
  <c r="BQ651" i="1" s="1"/>
  <c r="M728" i="18"/>
  <c r="BG651" i="1" s="1"/>
  <c r="K728" i="18"/>
  <c r="BC651" i="1" s="1"/>
  <c r="I728" i="18"/>
  <c r="AW651" i="1" s="1"/>
  <c r="E728" i="18"/>
  <c r="K651" i="1" s="1"/>
  <c r="J728" i="18"/>
  <c r="W651" i="1" s="1"/>
  <c r="R728" i="18"/>
  <c r="CA651" i="1" s="1"/>
  <c r="L728" i="18"/>
  <c r="AI651" i="1" s="1"/>
  <c r="H728" i="18"/>
  <c r="Q651" i="1" s="1"/>
  <c r="Q728" i="18"/>
  <c r="BU651" i="1" s="1"/>
  <c r="AW772" i="1"/>
  <c r="I484" i="18"/>
  <c r="AW385" i="1" s="1"/>
  <c r="I253" i="1"/>
  <c r="L483" i="18"/>
  <c r="AI384" i="1" s="1"/>
  <c r="AI771" i="1"/>
  <c r="G483" i="2"/>
  <c r="AP384" i="1" s="1"/>
  <c r="AP771" i="1"/>
  <c r="B120" i="18"/>
  <c r="A120" i="18"/>
  <c r="W771" i="1"/>
  <c r="J483" i="18"/>
  <c r="W384" i="1" s="1"/>
  <c r="CA772" i="1"/>
  <c r="R484" i="18"/>
  <c r="CA385" i="1" s="1"/>
  <c r="BU772" i="1"/>
  <c r="Q484" i="18"/>
  <c r="BU385" i="1" s="1"/>
  <c r="F484" i="18"/>
  <c r="AA385" i="1" s="1"/>
  <c r="AA772" i="1"/>
  <c r="D120" i="1"/>
  <c r="E120" i="1"/>
  <c r="F120" i="1"/>
  <c r="C534" i="1"/>
  <c r="D121" i="1"/>
  <c r="E121" i="1"/>
  <c r="F121" i="1"/>
  <c r="C535" i="1"/>
  <c r="G253" i="1"/>
  <c r="BU771" i="1"/>
  <c r="Q483" i="18"/>
  <c r="BU384" i="1" s="1"/>
  <c r="M483" i="18"/>
  <c r="BG384" i="1" s="1"/>
  <c r="BG771" i="1"/>
  <c r="AT253" i="1"/>
  <c r="BR771" i="1"/>
  <c r="O483" i="2"/>
  <c r="BR384" i="1" s="1"/>
  <c r="I252" i="1"/>
  <c r="L484" i="18"/>
  <c r="AI385" i="1" s="1"/>
  <c r="AI772" i="1"/>
  <c r="P484" i="18"/>
  <c r="AE385" i="1" s="1"/>
  <c r="AE772" i="1"/>
  <c r="D533" i="1"/>
  <c r="E533" i="1"/>
  <c r="CE253" i="1"/>
  <c r="AV253" i="1" s="1"/>
  <c r="CB650" i="1"/>
  <c r="CA771" i="1"/>
  <c r="R483" i="18"/>
  <c r="CA384" i="1" s="1"/>
  <c r="K771" i="1"/>
  <c r="E483" i="18"/>
  <c r="K384" i="1" s="1"/>
  <c r="G384" i="1" s="1"/>
  <c r="A608" i="18"/>
  <c r="B608" i="18"/>
  <c r="G383" i="1"/>
  <c r="CG383" i="1" s="1"/>
  <c r="F240" i="18"/>
  <c r="AA255" i="1" s="1"/>
  <c r="O240" i="18"/>
  <c r="BQ255" i="1" s="1"/>
  <c r="P240" i="18"/>
  <c r="AE255" i="1" s="1"/>
  <c r="L240" i="18"/>
  <c r="AI255" i="1" s="1"/>
  <c r="M240" i="18"/>
  <c r="BG255" i="1" s="1"/>
  <c r="A239" i="13"/>
  <c r="C239" i="13" s="1"/>
  <c r="R240" i="18"/>
  <c r="CA255" i="1" s="1"/>
  <c r="E240" i="18"/>
  <c r="K255" i="1" s="1"/>
  <c r="J240" i="18"/>
  <c r="W255" i="1" s="1"/>
  <c r="Q240" i="18"/>
  <c r="BU255" i="1" s="1"/>
  <c r="G240" i="18"/>
  <c r="AO255" i="1" s="1"/>
  <c r="I240" i="18"/>
  <c r="AW255" i="1" s="1"/>
  <c r="K240" i="18"/>
  <c r="BC255" i="1" s="1"/>
  <c r="H240" i="18"/>
  <c r="Q255" i="1" s="1"/>
  <c r="AO771" i="1"/>
  <c r="G483" i="18"/>
  <c r="AO384" i="1" s="1"/>
  <c r="BC771" i="1"/>
  <c r="K483" i="18"/>
  <c r="BC384" i="1" s="1"/>
  <c r="AX771" i="1"/>
  <c r="I483" i="2"/>
  <c r="AX384" i="1" s="1"/>
  <c r="AW771" i="1"/>
  <c r="I483" i="18"/>
  <c r="AW384" i="1" s="1"/>
  <c r="CB771" i="1"/>
  <c r="R483" i="2"/>
  <c r="CB384" i="1" s="1"/>
  <c r="J483" i="2"/>
  <c r="X384" i="1" s="1"/>
  <c r="X771" i="1"/>
  <c r="G363" i="18"/>
  <c r="P363" i="18"/>
  <c r="I363" i="18"/>
  <c r="R363" i="18"/>
  <c r="M363" i="18"/>
  <c r="O363" i="18"/>
  <c r="E363" i="18"/>
  <c r="Q363" i="18"/>
  <c r="F363" i="18"/>
  <c r="H363" i="18"/>
  <c r="K363" i="18"/>
  <c r="L363" i="18"/>
  <c r="J363" i="18"/>
  <c r="BC772" i="1"/>
  <c r="K484" i="18"/>
  <c r="BC385" i="1" s="1"/>
  <c r="BG772" i="1"/>
  <c r="M484" i="18"/>
  <c r="BG385" i="1" s="1"/>
  <c r="C772" i="1"/>
  <c r="M362" i="2"/>
  <c r="R362" i="2"/>
  <c r="L362" i="2"/>
  <c r="G362" i="2"/>
  <c r="I362" i="2"/>
  <c r="E362" i="2"/>
  <c r="K362" i="2"/>
  <c r="P362" i="2"/>
  <c r="H362" i="2"/>
  <c r="O362" i="2"/>
  <c r="Q362" i="2"/>
  <c r="N362" i="2"/>
  <c r="N484" i="2" s="1"/>
  <c r="BN385" i="1" s="1"/>
  <c r="F362" i="2"/>
  <c r="J362" i="2"/>
  <c r="C119" i="2"/>
  <c r="F240" i="2"/>
  <c r="AB255" i="1" s="1"/>
  <c r="G240" i="2"/>
  <c r="AP255" i="1" s="1"/>
  <c r="J240" i="2"/>
  <c r="X255" i="1" s="1"/>
  <c r="N240" i="2"/>
  <c r="BN255" i="1" s="1"/>
  <c r="P240" i="2"/>
  <c r="AF255" i="1" s="1"/>
  <c r="M240" i="2"/>
  <c r="BJ255" i="1" s="1"/>
  <c r="E240" i="2"/>
  <c r="L255" i="1" s="1"/>
  <c r="L240" i="2"/>
  <c r="AJ255" i="1" s="1"/>
  <c r="H240" i="2"/>
  <c r="R255" i="1" s="1"/>
  <c r="R240" i="2"/>
  <c r="CB255" i="1" s="1"/>
  <c r="Q240" i="2"/>
  <c r="BV255" i="1" s="1"/>
  <c r="I240" i="2"/>
  <c r="AX255" i="1" s="1"/>
  <c r="O240" i="2"/>
  <c r="BR255" i="1" s="1"/>
  <c r="K240" i="2"/>
  <c r="BD255" i="1" s="1"/>
  <c r="P483" i="18"/>
  <c r="AE384" i="1" s="1"/>
  <c r="AE771" i="1"/>
  <c r="Q772" i="1"/>
  <c r="H484" i="18"/>
  <c r="Q385" i="1" s="1"/>
  <c r="G728" i="2"/>
  <c r="AP651" i="1" s="1"/>
  <c r="P728" i="2"/>
  <c r="AF651" i="1" s="1"/>
  <c r="J728" i="2"/>
  <c r="X651" i="1" s="1"/>
  <c r="N728" i="2"/>
  <c r="F728" i="2"/>
  <c r="AB651" i="1" s="1"/>
  <c r="M728" i="2"/>
  <c r="BJ651" i="1" s="1"/>
  <c r="O728" i="2"/>
  <c r="BR651" i="1" s="1"/>
  <c r="L728" i="2"/>
  <c r="I728" i="2"/>
  <c r="E728" i="2"/>
  <c r="R728" i="2"/>
  <c r="K728" i="2"/>
  <c r="BD651" i="1" s="1"/>
  <c r="Q728" i="2"/>
  <c r="H728" i="2"/>
  <c r="AO772" i="1"/>
  <c r="G484" i="18"/>
  <c r="AO385" i="1" s="1"/>
  <c r="B120" i="2"/>
  <c r="A120" i="2"/>
  <c r="C120" i="2" s="1"/>
  <c r="C773" i="1"/>
  <c r="P363" i="2"/>
  <c r="F363" i="2"/>
  <c r="J363" i="2"/>
  <c r="H363" i="2"/>
  <c r="M363" i="2"/>
  <c r="E363" i="2"/>
  <c r="I363" i="2"/>
  <c r="K363" i="2"/>
  <c r="L363" i="2"/>
  <c r="N363" i="2"/>
  <c r="N485" i="2" s="1"/>
  <c r="BN386" i="1" s="1"/>
  <c r="R363" i="2"/>
  <c r="O363" i="2"/>
  <c r="Q363" i="2"/>
  <c r="G363" i="2"/>
  <c r="AM253" i="1"/>
  <c r="AJ650" i="1"/>
  <c r="H650" i="1" s="1"/>
  <c r="K772" i="1"/>
  <c r="E484" i="18"/>
  <c r="K385" i="1" s="1"/>
  <c r="G239" i="2"/>
  <c r="AP254" i="1" s="1"/>
  <c r="F239" i="2"/>
  <c r="AB254" i="1" s="1"/>
  <c r="J239" i="2"/>
  <c r="X254" i="1" s="1"/>
  <c r="E239" i="2"/>
  <c r="L254" i="1" s="1"/>
  <c r="O239" i="2"/>
  <c r="BR254" i="1" s="1"/>
  <c r="M239" i="2"/>
  <c r="BJ254" i="1" s="1"/>
  <c r="L239" i="2"/>
  <c r="AJ254" i="1" s="1"/>
  <c r="N239" i="2"/>
  <c r="BN254" i="1" s="1"/>
  <c r="H239" i="2"/>
  <c r="R254" i="1" s="1"/>
  <c r="Q239" i="2"/>
  <c r="BV254" i="1" s="1"/>
  <c r="R239" i="2"/>
  <c r="CB254" i="1" s="1"/>
  <c r="P239" i="2"/>
  <c r="AF254" i="1" s="1"/>
  <c r="I239" i="2"/>
  <c r="AX254" i="1" s="1"/>
  <c r="K239" i="2"/>
  <c r="BD254" i="1" s="1"/>
  <c r="G254" i="1"/>
  <c r="O483" i="18"/>
  <c r="BQ384" i="1" s="1"/>
  <c r="BQ771" i="1"/>
  <c r="BV773" i="1" l="1"/>
  <c r="Q485" i="2"/>
  <c r="BV386" i="1" s="1"/>
  <c r="AW773" i="1"/>
  <c r="I485" i="18"/>
  <c r="AW386" i="1" s="1"/>
  <c r="BR773" i="1"/>
  <c r="O485" i="2"/>
  <c r="BR386" i="1" s="1"/>
  <c r="AF772" i="1"/>
  <c r="P484" i="2"/>
  <c r="AF385" i="1" s="1"/>
  <c r="P485" i="18"/>
  <c r="AE386" i="1" s="1"/>
  <c r="AE773" i="1"/>
  <c r="AJ773" i="1"/>
  <c r="L485" i="2"/>
  <c r="AJ386" i="1" s="1"/>
  <c r="AX772" i="1"/>
  <c r="I484" i="2"/>
  <c r="AX385" i="1" s="1"/>
  <c r="G651" i="1"/>
  <c r="AX773" i="1"/>
  <c r="I485" i="2"/>
  <c r="AX386" i="1" s="1"/>
  <c r="O254" i="1"/>
  <c r="L651" i="1"/>
  <c r="AT255" i="1"/>
  <c r="BV772" i="1"/>
  <c r="Q484" i="2"/>
  <c r="BV385" i="1" s="1"/>
  <c r="AJ772" i="1"/>
  <c r="L484" i="2"/>
  <c r="AJ385" i="1" s="1"/>
  <c r="M485" i="18"/>
  <c r="BG386" i="1" s="1"/>
  <c r="BG773" i="1"/>
  <c r="A609" i="18"/>
  <c r="C609" i="18" s="1"/>
  <c r="C731" i="18" s="1"/>
  <c r="B609" i="18"/>
  <c r="H254" i="1"/>
  <c r="G485" i="2"/>
  <c r="AP386" i="1" s="1"/>
  <c r="AP773" i="1"/>
  <c r="L773" i="1"/>
  <c r="E485" i="2"/>
  <c r="L386" i="1" s="1"/>
  <c r="A121" i="2"/>
  <c r="B121" i="2"/>
  <c r="BA254" i="1"/>
  <c r="AX651" i="1"/>
  <c r="BR772" i="1"/>
  <c r="O484" i="2"/>
  <c r="BR385" i="1" s="1"/>
  <c r="CB772" i="1"/>
  <c r="R484" i="2"/>
  <c r="CB385" i="1" s="1"/>
  <c r="L485" i="18"/>
  <c r="AI386" i="1" s="1"/>
  <c r="AI773" i="1"/>
  <c r="CA773" i="1"/>
  <c r="R485" i="18"/>
  <c r="CA386" i="1" s="1"/>
  <c r="C608" i="18"/>
  <c r="C730" i="18" s="1"/>
  <c r="C608" i="2"/>
  <c r="C730" i="2" s="1"/>
  <c r="AM254" i="1"/>
  <c r="AJ651" i="1"/>
  <c r="Q773" i="1"/>
  <c r="H485" i="18"/>
  <c r="Q386" i="1" s="1"/>
  <c r="CB773" i="1"/>
  <c r="R485" i="2"/>
  <c r="CB386" i="1" s="1"/>
  <c r="J485" i="2"/>
  <c r="X386" i="1" s="1"/>
  <c r="X773" i="1"/>
  <c r="U254" i="1"/>
  <c r="R651" i="1"/>
  <c r="C241" i="2"/>
  <c r="C364" i="2"/>
  <c r="C486" i="2"/>
  <c r="C122" i="1"/>
  <c r="C256" i="1"/>
  <c r="C387" i="1"/>
  <c r="D387" i="1" s="1"/>
  <c r="BD772" i="1"/>
  <c r="K484" i="2"/>
  <c r="BD385" i="1" s="1"/>
  <c r="F485" i="18"/>
  <c r="AA386" i="1" s="1"/>
  <c r="AA773" i="1"/>
  <c r="AO773" i="1"/>
  <c r="G485" i="18"/>
  <c r="AO386" i="1" s="1"/>
  <c r="G385" i="1"/>
  <c r="F485" i="2"/>
  <c r="AB386" i="1" s="1"/>
  <c r="AB773" i="1"/>
  <c r="BY254" i="1"/>
  <c r="BV651" i="1"/>
  <c r="H255" i="1"/>
  <c r="J484" i="2"/>
  <c r="X385" i="1" s="1"/>
  <c r="X772" i="1"/>
  <c r="L772" i="1"/>
  <c r="E484" i="2"/>
  <c r="L385" i="1" s="1"/>
  <c r="H385" i="1" s="1"/>
  <c r="BU773" i="1"/>
  <c r="Q485" i="18"/>
  <c r="BU386" i="1" s="1"/>
  <c r="BJ773" i="1"/>
  <c r="M485" i="2"/>
  <c r="BJ386" i="1" s="1"/>
  <c r="BJ772" i="1"/>
  <c r="M484" i="2"/>
  <c r="BJ385" i="1" s="1"/>
  <c r="BC773" i="1"/>
  <c r="K485" i="18"/>
  <c r="BC386" i="1" s="1"/>
  <c r="AF773" i="1"/>
  <c r="P485" i="2"/>
  <c r="AF386" i="1" s="1"/>
  <c r="F484" i="2"/>
  <c r="AB385" i="1" s="1"/>
  <c r="AB772" i="1"/>
  <c r="BD773" i="1"/>
  <c r="K485" i="2"/>
  <c r="BD386" i="1" s="1"/>
  <c r="CE254" i="1"/>
  <c r="CB651" i="1"/>
  <c r="G484" i="2"/>
  <c r="AP385" i="1" s="1"/>
  <c r="AP772" i="1"/>
  <c r="O485" i="18"/>
  <c r="BQ386" i="1" s="1"/>
  <c r="BQ773" i="1"/>
  <c r="G255" i="1"/>
  <c r="E535" i="1"/>
  <c r="D535" i="1"/>
  <c r="C120" i="18"/>
  <c r="J729" i="2"/>
  <c r="X652" i="1" s="1"/>
  <c r="N729" i="2"/>
  <c r="F729" i="2"/>
  <c r="AB652" i="1" s="1"/>
  <c r="O729" i="2"/>
  <c r="BR652" i="1" s="1"/>
  <c r="P729" i="2"/>
  <c r="AF652" i="1" s="1"/>
  <c r="G729" i="2"/>
  <c r="AP652" i="1" s="1"/>
  <c r="M729" i="2"/>
  <c r="BJ652" i="1" s="1"/>
  <c r="K729" i="2"/>
  <c r="BD652" i="1" s="1"/>
  <c r="I729" i="2"/>
  <c r="H729" i="2"/>
  <c r="R729" i="2"/>
  <c r="E729" i="2"/>
  <c r="L729" i="2"/>
  <c r="Q729" i="2"/>
  <c r="G652" i="1"/>
  <c r="H384" i="1"/>
  <c r="CG384" i="1" s="1"/>
  <c r="R772" i="1"/>
  <c r="H484" i="2"/>
  <c r="R385" i="1" s="1"/>
  <c r="R773" i="1"/>
  <c r="H485" i="2"/>
  <c r="R386" i="1" s="1"/>
  <c r="D534" i="1"/>
  <c r="E534" i="1"/>
  <c r="K773" i="1"/>
  <c r="E485" i="18"/>
  <c r="K386" i="1" s="1"/>
  <c r="A118" i="10"/>
  <c r="C241" i="18"/>
  <c r="C364" i="18"/>
  <c r="C486" i="18"/>
  <c r="A118" i="13"/>
  <c r="C118" i="13" s="1"/>
  <c r="C244" i="12"/>
  <c r="AT254" i="1"/>
  <c r="C242" i="2"/>
  <c r="C365" i="2"/>
  <c r="C487" i="2"/>
  <c r="C123" i="1"/>
  <c r="C257" i="1"/>
  <c r="C388" i="1"/>
  <c r="D388" i="1" s="1"/>
  <c r="W773" i="1"/>
  <c r="J485" i="18"/>
  <c r="W386" i="1" s="1"/>
  <c r="B121" i="18"/>
  <c r="A121" i="18"/>
  <c r="C121" i="18" s="1"/>
  <c r="B609" i="2"/>
  <c r="A609" i="2"/>
  <c r="C609" i="2" s="1"/>
  <c r="C731" i="2" s="1"/>
  <c r="A119" i="10" l="1"/>
  <c r="C242" i="18"/>
  <c r="C487" i="18"/>
  <c r="C365" i="18"/>
  <c r="A119" i="13"/>
  <c r="C119" i="13" s="1"/>
  <c r="C245" i="12"/>
  <c r="L244" i="12"/>
  <c r="M244" i="12"/>
  <c r="E244" i="12"/>
  <c r="H244" i="12"/>
  <c r="P244" i="12"/>
  <c r="N244" i="12"/>
  <c r="I244" i="12"/>
  <c r="Q244" i="12"/>
  <c r="J244" i="12"/>
  <c r="R244" i="12"/>
  <c r="O244" i="12"/>
  <c r="K244" i="12"/>
  <c r="S244" i="12"/>
  <c r="F244" i="12"/>
  <c r="G244" i="12"/>
  <c r="BY255" i="1"/>
  <c r="BV652" i="1"/>
  <c r="O731" i="2"/>
  <c r="BR654" i="1" s="1"/>
  <c r="J731" i="2"/>
  <c r="X654" i="1" s="1"/>
  <c r="P731" i="2"/>
  <c r="AF654" i="1" s="1"/>
  <c r="F731" i="2"/>
  <c r="AB654" i="1" s="1"/>
  <c r="M731" i="2"/>
  <c r="BJ654" i="1" s="1"/>
  <c r="G731" i="2"/>
  <c r="AP654" i="1" s="1"/>
  <c r="N731" i="2"/>
  <c r="R731" i="2"/>
  <c r="L731" i="2"/>
  <c r="I731" i="2"/>
  <c r="E731" i="2"/>
  <c r="K731" i="2"/>
  <c r="BD654" i="1" s="1"/>
  <c r="Q731" i="2"/>
  <c r="H731" i="2"/>
  <c r="I364" i="18"/>
  <c r="R364" i="18"/>
  <c r="K364" i="18"/>
  <c r="J364" i="18"/>
  <c r="L364" i="18"/>
  <c r="M364" i="18"/>
  <c r="O364" i="18"/>
  <c r="E364" i="18"/>
  <c r="P364" i="18"/>
  <c r="G364" i="18"/>
  <c r="Q364" i="18"/>
  <c r="F364" i="18"/>
  <c r="H364" i="18"/>
  <c r="A120" i="10"/>
  <c r="C243" i="18"/>
  <c r="C366" i="18"/>
  <c r="C488" i="18"/>
  <c r="A120" i="13"/>
  <c r="C120" i="13" s="1"/>
  <c r="C246" i="12"/>
  <c r="C775" i="1"/>
  <c r="P365" i="2"/>
  <c r="F365" i="2"/>
  <c r="J365" i="2"/>
  <c r="H365" i="2"/>
  <c r="I365" i="2"/>
  <c r="Q365" i="2"/>
  <c r="M365" i="2"/>
  <c r="L365" i="2"/>
  <c r="G365" i="2"/>
  <c r="E365" i="2"/>
  <c r="O365" i="2"/>
  <c r="N365" i="2"/>
  <c r="N487" i="2" s="1"/>
  <c r="BN388" i="1" s="1"/>
  <c r="R365" i="2"/>
  <c r="K365" i="2"/>
  <c r="U255" i="1"/>
  <c r="R652" i="1"/>
  <c r="B122" i="18"/>
  <c r="A122" i="18"/>
  <c r="C122" i="18" s="1"/>
  <c r="F242" i="2"/>
  <c r="AB257" i="1" s="1"/>
  <c r="G242" i="2"/>
  <c r="AP257" i="1" s="1"/>
  <c r="J242" i="2"/>
  <c r="X257" i="1" s="1"/>
  <c r="H242" i="2"/>
  <c r="R257" i="1" s="1"/>
  <c r="O242" i="2"/>
  <c r="BR257" i="1" s="1"/>
  <c r="R242" i="2"/>
  <c r="CB257" i="1" s="1"/>
  <c r="M242" i="2"/>
  <c r="BJ257" i="1" s="1"/>
  <c r="N242" i="2"/>
  <c r="BN257" i="1" s="1"/>
  <c r="I242" i="2"/>
  <c r="AX257" i="1" s="1"/>
  <c r="Q242" i="2"/>
  <c r="BV257" i="1" s="1"/>
  <c r="L242" i="2"/>
  <c r="AJ257" i="1" s="1"/>
  <c r="K242" i="2"/>
  <c r="BD257" i="1" s="1"/>
  <c r="P242" i="2"/>
  <c r="AF257" i="1" s="1"/>
  <c r="E242" i="2"/>
  <c r="L257" i="1" s="1"/>
  <c r="G386" i="1"/>
  <c r="BA255" i="1"/>
  <c r="AX652" i="1"/>
  <c r="F730" i="2"/>
  <c r="AB653" i="1" s="1"/>
  <c r="N730" i="2"/>
  <c r="M730" i="2"/>
  <c r="BJ653" i="1" s="1"/>
  <c r="O730" i="2"/>
  <c r="BR653" i="1" s="1"/>
  <c r="G730" i="2"/>
  <c r="AP653" i="1" s="1"/>
  <c r="P730" i="2"/>
  <c r="AF653" i="1" s="1"/>
  <c r="J730" i="2"/>
  <c r="X653" i="1" s="1"/>
  <c r="I730" i="2"/>
  <c r="R730" i="2"/>
  <c r="L730" i="2"/>
  <c r="Q730" i="2"/>
  <c r="E730" i="2"/>
  <c r="H730" i="2"/>
  <c r="K730" i="2"/>
  <c r="BD653" i="1" s="1"/>
  <c r="CG385" i="1"/>
  <c r="D122" i="1"/>
  <c r="E122" i="1"/>
  <c r="F122" i="1"/>
  <c r="C536" i="1"/>
  <c r="AM255" i="1"/>
  <c r="AJ652" i="1"/>
  <c r="AV254" i="1"/>
  <c r="A610" i="18"/>
  <c r="C610" i="18" s="1"/>
  <c r="C732" i="18" s="1"/>
  <c r="B610" i="18"/>
  <c r="O255" i="1"/>
  <c r="L652" i="1"/>
  <c r="C774" i="1"/>
  <c r="M364" i="2"/>
  <c r="J364" i="2"/>
  <c r="L364" i="2"/>
  <c r="G364" i="2"/>
  <c r="I364" i="2"/>
  <c r="E364" i="2"/>
  <c r="N364" i="2"/>
  <c r="N486" i="2" s="1"/>
  <c r="BN387" i="1" s="1"/>
  <c r="P364" i="2"/>
  <c r="F364" i="2"/>
  <c r="H364" i="2"/>
  <c r="K364" i="2"/>
  <c r="O364" i="2"/>
  <c r="Q364" i="2"/>
  <c r="R364" i="2"/>
  <c r="B122" i="2"/>
  <c r="A122" i="2"/>
  <c r="C122" i="2" s="1"/>
  <c r="K731" i="18"/>
  <c r="BC654" i="1" s="1"/>
  <c r="P731" i="18"/>
  <c r="AE654" i="1" s="1"/>
  <c r="I731" i="18"/>
  <c r="AW654" i="1" s="1"/>
  <c r="G731" i="18"/>
  <c r="AO654" i="1" s="1"/>
  <c r="F731" i="18"/>
  <c r="AA654" i="1" s="1"/>
  <c r="O731" i="18"/>
  <c r="BQ654" i="1" s="1"/>
  <c r="M731" i="18"/>
  <c r="BG654" i="1" s="1"/>
  <c r="Q731" i="18"/>
  <c r="BU654" i="1" s="1"/>
  <c r="E731" i="18"/>
  <c r="K654" i="1" s="1"/>
  <c r="R731" i="18"/>
  <c r="CA654" i="1" s="1"/>
  <c r="H731" i="18"/>
  <c r="Q654" i="1" s="1"/>
  <c r="L731" i="18"/>
  <c r="AI654" i="1" s="1"/>
  <c r="J731" i="18"/>
  <c r="W654" i="1" s="1"/>
  <c r="H651" i="1"/>
  <c r="K730" i="18"/>
  <c r="BC653" i="1" s="1"/>
  <c r="M730" i="18"/>
  <c r="BG653" i="1" s="1"/>
  <c r="I730" i="18"/>
  <c r="AW653" i="1" s="1"/>
  <c r="P730" i="18"/>
  <c r="AE653" i="1" s="1"/>
  <c r="O730" i="18"/>
  <c r="BQ653" i="1" s="1"/>
  <c r="F730" i="18"/>
  <c r="AA653" i="1" s="1"/>
  <c r="G730" i="18"/>
  <c r="AO653" i="1" s="1"/>
  <c r="R730" i="18"/>
  <c r="CA653" i="1" s="1"/>
  <c r="J730" i="18"/>
  <c r="W653" i="1" s="1"/>
  <c r="Q730" i="18"/>
  <c r="BU653" i="1" s="1"/>
  <c r="L730" i="18"/>
  <c r="AI653" i="1" s="1"/>
  <c r="E730" i="18"/>
  <c r="K653" i="1" s="1"/>
  <c r="H730" i="18"/>
  <c r="Q653" i="1" s="1"/>
  <c r="D123" i="1"/>
  <c r="E123" i="1"/>
  <c r="F123" i="1"/>
  <c r="C537" i="1"/>
  <c r="B610" i="2"/>
  <c r="A610" i="2"/>
  <c r="M241" i="18"/>
  <c r="BG256" i="1" s="1"/>
  <c r="O241" i="18"/>
  <c r="BQ256" i="1" s="1"/>
  <c r="P241" i="18"/>
  <c r="AE256" i="1" s="1"/>
  <c r="L241" i="18"/>
  <c r="AI256" i="1" s="1"/>
  <c r="F241" i="18"/>
  <c r="AA256" i="1" s="1"/>
  <c r="A240" i="13"/>
  <c r="C240" i="13" s="1"/>
  <c r="E241" i="18"/>
  <c r="K256" i="1" s="1"/>
  <c r="G256" i="1" s="1"/>
  <c r="H241" i="18"/>
  <c r="Q256" i="1" s="1"/>
  <c r="G241" i="18"/>
  <c r="AO256" i="1" s="1"/>
  <c r="I241" i="18"/>
  <c r="AW256" i="1" s="1"/>
  <c r="J241" i="18"/>
  <c r="W256" i="1" s="1"/>
  <c r="K241" i="18"/>
  <c r="BC256" i="1" s="1"/>
  <c r="R241" i="18"/>
  <c r="CA256" i="1" s="1"/>
  <c r="Q241" i="18"/>
  <c r="BU256" i="1" s="1"/>
  <c r="CE255" i="1"/>
  <c r="CB652" i="1"/>
  <c r="G241" i="2"/>
  <c r="AP256" i="1" s="1"/>
  <c r="J241" i="2"/>
  <c r="X256" i="1" s="1"/>
  <c r="F241" i="2"/>
  <c r="AB256" i="1" s="1"/>
  <c r="Q241" i="2"/>
  <c r="BV256" i="1" s="1"/>
  <c r="M241" i="2"/>
  <c r="BJ256" i="1" s="1"/>
  <c r="E241" i="2"/>
  <c r="L256" i="1" s="1"/>
  <c r="R241" i="2"/>
  <c r="CB256" i="1" s="1"/>
  <c r="O241" i="2"/>
  <c r="BR256" i="1" s="1"/>
  <c r="I241" i="2"/>
  <c r="AX256" i="1" s="1"/>
  <c r="L241" i="2"/>
  <c r="AJ256" i="1" s="1"/>
  <c r="N241" i="2"/>
  <c r="BN256" i="1" s="1"/>
  <c r="P241" i="2"/>
  <c r="AF256" i="1" s="1"/>
  <c r="H241" i="2"/>
  <c r="R256" i="1" s="1"/>
  <c r="K241" i="2"/>
  <c r="BD256" i="1" s="1"/>
  <c r="C121" i="2"/>
  <c r="I254" i="1"/>
  <c r="H386" i="1"/>
  <c r="BY256" i="1" l="1"/>
  <c r="BV653" i="1"/>
  <c r="CE257" i="1"/>
  <c r="CB654" i="1"/>
  <c r="H256" i="1"/>
  <c r="H652" i="1"/>
  <c r="CB775" i="1"/>
  <c r="R487" i="2"/>
  <c r="CB388" i="1" s="1"/>
  <c r="BR774" i="1"/>
  <c r="O486" i="2"/>
  <c r="BR387" i="1" s="1"/>
  <c r="G486" i="2"/>
  <c r="AP387" i="1" s="1"/>
  <c r="AP774" i="1"/>
  <c r="F487" i="2"/>
  <c r="AB388" i="1" s="1"/>
  <c r="AB775" i="1"/>
  <c r="M486" i="18"/>
  <c r="BG387" i="1" s="1"/>
  <c r="BG774" i="1"/>
  <c r="AT256" i="1"/>
  <c r="G653" i="1"/>
  <c r="C610" i="2"/>
  <c r="C732" i="2" s="1"/>
  <c r="G654" i="1"/>
  <c r="F486" i="2"/>
  <c r="AB387" i="1" s="1"/>
  <c r="AB774" i="1"/>
  <c r="BJ774" i="1"/>
  <c r="M486" i="2"/>
  <c r="BJ387" i="1" s="1"/>
  <c r="O256" i="1"/>
  <c r="L653" i="1"/>
  <c r="BJ775" i="1"/>
  <c r="M487" i="2"/>
  <c r="BJ388" i="1" s="1"/>
  <c r="L246" i="12"/>
  <c r="E246" i="12"/>
  <c r="N246" i="12"/>
  <c r="O246" i="12"/>
  <c r="H246" i="12"/>
  <c r="P246" i="12"/>
  <c r="G246" i="12"/>
  <c r="I246" i="12"/>
  <c r="Q246" i="12"/>
  <c r="J246" i="12"/>
  <c r="R246" i="12"/>
  <c r="M246" i="12"/>
  <c r="F246" i="12"/>
  <c r="K246" i="12"/>
  <c r="S246" i="12"/>
  <c r="BU774" i="1"/>
  <c r="Q486" i="18"/>
  <c r="BU387" i="1" s="1"/>
  <c r="BC774" i="1"/>
  <c r="K486" i="18"/>
  <c r="BC387" i="1" s="1"/>
  <c r="AM257" i="1"/>
  <c r="AJ654" i="1"/>
  <c r="C243" i="2"/>
  <c r="C366" i="2"/>
  <c r="C488" i="2"/>
  <c r="C124" i="1"/>
  <c r="C258" i="1"/>
  <c r="C389" i="1"/>
  <c r="D389" i="1" s="1"/>
  <c r="AF774" i="1"/>
  <c r="P486" i="2"/>
  <c r="AF387" i="1" s="1"/>
  <c r="BV775" i="1"/>
  <c r="Q487" i="2"/>
  <c r="BV388" i="1" s="1"/>
  <c r="AO774" i="1"/>
  <c r="G486" i="18"/>
  <c r="AO387" i="1" s="1"/>
  <c r="CA774" i="1"/>
  <c r="R486" i="18"/>
  <c r="CA387" i="1" s="1"/>
  <c r="E537" i="1"/>
  <c r="D537" i="1"/>
  <c r="AX775" i="1"/>
  <c r="I487" i="2"/>
  <c r="AX388" i="1" s="1"/>
  <c r="L245" i="12"/>
  <c r="F245" i="12"/>
  <c r="O245" i="12"/>
  <c r="G245" i="12"/>
  <c r="N245" i="12"/>
  <c r="H245" i="12"/>
  <c r="P245" i="12"/>
  <c r="I245" i="12"/>
  <c r="Q245" i="12"/>
  <c r="J245" i="12"/>
  <c r="R245" i="12"/>
  <c r="E245" i="12"/>
  <c r="K245" i="12"/>
  <c r="S245" i="12"/>
  <c r="M245" i="12"/>
  <c r="CB774" i="1"/>
  <c r="R486" i="2"/>
  <c r="CB387" i="1" s="1"/>
  <c r="L774" i="1"/>
  <c r="E486" i="2"/>
  <c r="L387" i="1" s="1"/>
  <c r="I255" i="1"/>
  <c r="CE256" i="1"/>
  <c r="CB653" i="1"/>
  <c r="R775" i="1"/>
  <c r="H487" i="2"/>
  <c r="R388" i="1" s="1"/>
  <c r="E366" i="18"/>
  <c r="M366" i="18"/>
  <c r="G366" i="18"/>
  <c r="P366" i="18"/>
  <c r="Q366" i="18"/>
  <c r="F366" i="18"/>
  <c r="R366" i="18"/>
  <c r="H366" i="18"/>
  <c r="I366" i="18"/>
  <c r="K366" i="18"/>
  <c r="O366" i="18"/>
  <c r="J366" i="18"/>
  <c r="L366" i="18"/>
  <c r="K774" i="1"/>
  <c r="E486" i="18"/>
  <c r="K387" i="1" s="1"/>
  <c r="U257" i="1"/>
  <c r="R654" i="1"/>
  <c r="BV774" i="1"/>
  <c r="Q486" i="2"/>
  <c r="BV387" i="1" s="1"/>
  <c r="AX774" i="1"/>
  <c r="I486" i="2"/>
  <c r="AX387" i="1" s="1"/>
  <c r="A611" i="18"/>
  <c r="B611" i="18"/>
  <c r="BA256" i="1"/>
  <c r="AX653" i="1"/>
  <c r="AT257" i="1"/>
  <c r="BR775" i="1"/>
  <c r="O487" i="2"/>
  <c r="BR388" i="1" s="1"/>
  <c r="J487" i="2"/>
  <c r="X388" i="1" s="1"/>
  <c r="X775" i="1"/>
  <c r="L243" i="18"/>
  <c r="AI258" i="1" s="1"/>
  <c r="O243" i="18"/>
  <c r="BQ258" i="1" s="1"/>
  <c r="P243" i="18"/>
  <c r="AE258" i="1" s="1"/>
  <c r="A242" i="13"/>
  <c r="C242" i="13" s="1"/>
  <c r="F243" i="18"/>
  <c r="AA258" i="1" s="1"/>
  <c r="M243" i="18"/>
  <c r="BG258" i="1" s="1"/>
  <c r="R243" i="18"/>
  <c r="CA258" i="1" s="1"/>
  <c r="J243" i="18"/>
  <c r="W258" i="1" s="1"/>
  <c r="Q243" i="18"/>
  <c r="BU258" i="1" s="1"/>
  <c r="K243" i="18"/>
  <c r="BC258" i="1" s="1"/>
  <c r="G243" i="18"/>
  <c r="AO258" i="1" s="1"/>
  <c r="E243" i="18"/>
  <c r="K258" i="1" s="1"/>
  <c r="H243" i="18"/>
  <c r="Q258" i="1" s="1"/>
  <c r="I243" i="18"/>
  <c r="AW258" i="1" s="1"/>
  <c r="O486" i="18"/>
  <c r="BQ387" i="1" s="1"/>
  <c r="BQ774" i="1"/>
  <c r="BY257" i="1"/>
  <c r="BV654" i="1"/>
  <c r="K365" i="18"/>
  <c r="E365" i="18"/>
  <c r="M365" i="18"/>
  <c r="H365" i="18"/>
  <c r="I365" i="18"/>
  <c r="J365" i="18"/>
  <c r="L365" i="18"/>
  <c r="P365" i="18"/>
  <c r="F365" i="18"/>
  <c r="G365" i="18"/>
  <c r="O365" i="18"/>
  <c r="R365" i="18"/>
  <c r="Q365" i="18"/>
  <c r="A611" i="2"/>
  <c r="B611" i="2"/>
  <c r="C244" i="2"/>
  <c r="C367" i="2"/>
  <c r="C489" i="2"/>
  <c r="C125" i="1"/>
  <c r="C259" i="1"/>
  <c r="C390" i="1"/>
  <c r="D390" i="1" s="1"/>
  <c r="D536" i="1"/>
  <c r="E536" i="1"/>
  <c r="BD775" i="1"/>
  <c r="K487" i="2"/>
  <c r="BD388" i="1" s="1"/>
  <c r="P486" i="18"/>
  <c r="AE387" i="1" s="1"/>
  <c r="AE774" i="1"/>
  <c r="G732" i="18"/>
  <c r="AO655" i="1" s="1"/>
  <c r="P732" i="18"/>
  <c r="AE655" i="1" s="1"/>
  <c r="I732" i="18"/>
  <c r="AW655" i="1" s="1"/>
  <c r="K732" i="18"/>
  <c r="BC655" i="1" s="1"/>
  <c r="F732" i="18"/>
  <c r="AA655" i="1" s="1"/>
  <c r="O732" i="18"/>
  <c r="BQ655" i="1" s="1"/>
  <c r="M732" i="18"/>
  <c r="BG655" i="1" s="1"/>
  <c r="R732" i="18"/>
  <c r="CA655" i="1" s="1"/>
  <c r="Q732" i="18"/>
  <c r="BU655" i="1" s="1"/>
  <c r="J732" i="18"/>
  <c r="W655" i="1" s="1"/>
  <c r="E732" i="18"/>
  <c r="K655" i="1" s="1"/>
  <c r="H732" i="18"/>
  <c r="Q655" i="1" s="1"/>
  <c r="L732" i="18"/>
  <c r="AI655" i="1" s="1"/>
  <c r="AV255" i="1"/>
  <c r="L775" i="1"/>
  <c r="E487" i="2"/>
  <c r="L388" i="1" s="1"/>
  <c r="BD774" i="1"/>
  <c r="K486" i="2"/>
  <c r="BD387" i="1" s="1"/>
  <c r="AJ774" i="1"/>
  <c r="L486" i="2"/>
  <c r="AJ387" i="1" s="1"/>
  <c r="CG386" i="1"/>
  <c r="G487" i="2"/>
  <c r="AP388" i="1" s="1"/>
  <c r="AP775" i="1"/>
  <c r="AF775" i="1"/>
  <c r="P487" i="2"/>
  <c r="AF388" i="1" s="1"/>
  <c r="Q774" i="1"/>
  <c r="H486" i="18"/>
  <c r="Q387" i="1" s="1"/>
  <c r="L486" i="18"/>
  <c r="AI387" i="1" s="1"/>
  <c r="AI774" i="1"/>
  <c r="O257" i="1"/>
  <c r="L654" i="1"/>
  <c r="H654" i="1" s="1"/>
  <c r="L242" i="18"/>
  <c r="AI257" i="1" s="1"/>
  <c r="M242" i="18"/>
  <c r="BG257" i="1" s="1"/>
  <c r="P242" i="18"/>
  <c r="AE257" i="1" s="1"/>
  <c r="F242" i="18"/>
  <c r="AA257" i="1" s="1"/>
  <c r="O242" i="18"/>
  <c r="BQ257" i="1" s="1"/>
  <c r="A241" i="13"/>
  <c r="C241" i="13" s="1"/>
  <c r="G242" i="18"/>
  <c r="AO257" i="1" s="1"/>
  <c r="I242" i="18"/>
  <c r="AW257" i="1" s="1"/>
  <c r="R242" i="18"/>
  <c r="CA257" i="1" s="1"/>
  <c r="E242" i="18"/>
  <c r="K257" i="1" s="1"/>
  <c r="J242" i="18"/>
  <c r="W257" i="1" s="1"/>
  <c r="Q242" i="18"/>
  <c r="BU257" i="1" s="1"/>
  <c r="K242" i="18"/>
  <c r="BC257" i="1" s="1"/>
  <c r="H242" i="18"/>
  <c r="Q257" i="1" s="1"/>
  <c r="AM256" i="1"/>
  <c r="AJ653" i="1"/>
  <c r="AW774" i="1"/>
  <c r="I486" i="18"/>
  <c r="AW387" i="1" s="1"/>
  <c r="A121" i="10"/>
  <c r="C244" i="18"/>
  <c r="C367" i="18"/>
  <c r="C489" i="18"/>
  <c r="A121" i="13"/>
  <c r="C121" i="13" s="1"/>
  <c r="C247" i="12"/>
  <c r="R774" i="1"/>
  <c r="H486" i="2"/>
  <c r="R387" i="1" s="1"/>
  <c r="J486" i="2"/>
  <c r="X387" i="1" s="1"/>
  <c r="X774" i="1"/>
  <c r="U256" i="1"/>
  <c r="R653" i="1"/>
  <c r="H257" i="1"/>
  <c r="AJ775" i="1"/>
  <c r="L487" i="2"/>
  <c r="AJ388" i="1" s="1"/>
  <c r="F486" i="18"/>
  <c r="AA387" i="1" s="1"/>
  <c r="AA774" i="1"/>
  <c r="W774" i="1"/>
  <c r="J486" i="18"/>
  <c r="W387" i="1" s="1"/>
  <c r="BA257" i="1"/>
  <c r="AV257" i="1" s="1"/>
  <c r="AX654" i="1"/>
  <c r="BU775" i="1" l="1"/>
  <c r="Q487" i="18"/>
  <c r="BU388" i="1" s="1"/>
  <c r="G257" i="1"/>
  <c r="W776" i="1"/>
  <c r="J488" i="18"/>
  <c r="W389" i="1" s="1"/>
  <c r="D125" i="1"/>
  <c r="F125" i="1"/>
  <c r="E125" i="1"/>
  <c r="C539" i="1"/>
  <c r="AO776" i="1"/>
  <c r="G488" i="18"/>
  <c r="AO389" i="1" s="1"/>
  <c r="H387" i="1"/>
  <c r="L247" i="12"/>
  <c r="E247" i="12"/>
  <c r="N247" i="12"/>
  <c r="M247" i="12"/>
  <c r="O247" i="12"/>
  <c r="H247" i="12"/>
  <c r="P247" i="12"/>
  <c r="I247" i="12"/>
  <c r="Q247" i="12"/>
  <c r="J247" i="12"/>
  <c r="R247" i="12"/>
  <c r="K247" i="12"/>
  <c r="S247" i="12"/>
  <c r="F247" i="12"/>
  <c r="G247" i="12"/>
  <c r="K775" i="1"/>
  <c r="E487" i="18"/>
  <c r="K388" i="1" s="1"/>
  <c r="G258" i="1"/>
  <c r="BC776" i="1"/>
  <c r="K488" i="18"/>
  <c r="BC389" i="1" s="1"/>
  <c r="M488" i="18"/>
  <c r="BG389" i="1" s="1"/>
  <c r="BG776" i="1"/>
  <c r="D124" i="1"/>
  <c r="E124" i="1"/>
  <c r="F124" i="1"/>
  <c r="C538" i="1"/>
  <c r="I257" i="1"/>
  <c r="C777" i="1"/>
  <c r="P367" i="2"/>
  <c r="O367" i="2"/>
  <c r="F367" i="2"/>
  <c r="J367" i="2"/>
  <c r="H367" i="2"/>
  <c r="G367" i="2"/>
  <c r="Q367" i="2"/>
  <c r="M367" i="2"/>
  <c r="K367" i="2"/>
  <c r="I367" i="2"/>
  <c r="E367" i="2"/>
  <c r="L367" i="2"/>
  <c r="N367" i="2"/>
  <c r="N489" i="2" s="1"/>
  <c r="BN390" i="1" s="1"/>
  <c r="R367" i="2"/>
  <c r="F487" i="18"/>
  <c r="AA388" i="1" s="1"/>
  <c r="AA775" i="1"/>
  <c r="BC775" i="1"/>
  <c r="K487" i="18"/>
  <c r="BC388" i="1" s="1"/>
  <c r="AW776" i="1"/>
  <c r="I488" i="18"/>
  <c r="AW389" i="1" s="1"/>
  <c r="K776" i="1"/>
  <c r="E488" i="18"/>
  <c r="K389" i="1" s="1"/>
  <c r="AI400" i="1"/>
  <c r="AE398" i="1"/>
  <c r="BC394" i="1"/>
  <c r="L398" i="1"/>
  <c r="G399" i="1"/>
  <c r="AE395" i="1"/>
  <c r="H397" i="1"/>
  <c r="L411" i="1" s="1"/>
  <c r="BJ401" i="1"/>
  <c r="X400" i="1"/>
  <c r="CA396" i="1"/>
  <c r="L397" i="1"/>
  <c r="BD401" i="1"/>
  <c r="AI396" i="1"/>
  <c r="W397" i="1"/>
  <c r="AW397" i="1"/>
  <c r="W398" i="1"/>
  <c r="AE400" i="1"/>
  <c r="AF397" i="1"/>
  <c r="G394" i="1"/>
  <c r="CA400" i="1"/>
  <c r="K398" i="1"/>
  <c r="CB394" i="1"/>
  <c r="AP395" i="1"/>
  <c r="CB399" i="1"/>
  <c r="X394" i="1"/>
  <c r="BC400" i="1"/>
  <c r="CA397" i="1"/>
  <c r="BQ400" i="1"/>
  <c r="BG398" i="1"/>
  <c r="AW399" i="1"/>
  <c r="G396" i="1"/>
  <c r="AP399" i="1"/>
  <c r="W400" i="1"/>
  <c r="BV397" i="1"/>
  <c r="K400" i="1"/>
  <c r="BD399" i="1"/>
  <c r="CB400" i="1"/>
  <c r="BC397" i="1"/>
  <c r="BJ396" i="1"/>
  <c r="AW395" i="1"/>
  <c r="BC401" i="1"/>
  <c r="AX400" i="1"/>
  <c r="BU396" i="1"/>
  <c r="R401" i="1"/>
  <c r="BU398" i="1"/>
  <c r="CA398" i="1"/>
  <c r="H394" i="1"/>
  <c r="L408" i="1" s="1"/>
  <c r="AP401" i="1"/>
  <c r="BD395" i="1"/>
  <c r="AW394" i="1"/>
  <c r="CA399" i="1"/>
  <c r="AP394" i="1"/>
  <c r="BD398" i="1"/>
  <c r="CB397" i="1"/>
  <c r="AB395" i="1"/>
  <c r="BJ399" i="1"/>
  <c r="AO401" i="1"/>
  <c r="BC398" i="1"/>
  <c r="X399" i="1"/>
  <c r="G398" i="1"/>
  <c r="H401" i="1"/>
  <c r="L415" i="1" s="1"/>
  <c r="L399" i="1"/>
  <c r="AJ401" i="1"/>
  <c r="BJ397" i="1"/>
  <c r="BN399" i="1"/>
  <c r="X401" i="1"/>
  <c r="BQ395" i="1"/>
  <c r="AI397" i="1"/>
  <c r="AW400" i="1"/>
  <c r="BV399" i="1"/>
  <c r="AJ396" i="1"/>
  <c r="BU394" i="1"/>
  <c r="BN400" i="1"/>
  <c r="AO398" i="1"/>
  <c r="AA399" i="1"/>
  <c r="G401" i="1"/>
  <c r="BC396" i="1"/>
  <c r="AA400" i="1"/>
  <c r="BR401" i="1"/>
  <c r="BJ395" i="1"/>
  <c r="BG400" i="1"/>
  <c r="AI395" i="1"/>
  <c r="AO395" i="1"/>
  <c r="AA397" i="1"/>
  <c r="W395" i="1"/>
  <c r="Q397" i="1"/>
  <c r="BD396" i="1"/>
  <c r="AO400" i="1"/>
  <c r="AJ400" i="1"/>
  <c r="CA394" i="1"/>
  <c r="AB396" i="1"/>
  <c r="AP398" i="1"/>
  <c r="AP397" i="1"/>
  <c r="AA396" i="1"/>
  <c r="BR399" i="1"/>
  <c r="BV394" i="1"/>
  <c r="AJ394" i="1"/>
  <c r="BD397" i="1"/>
  <c r="AE394" i="1"/>
  <c r="H396" i="1"/>
  <c r="L410" i="1" s="1"/>
  <c r="BG399" i="1"/>
  <c r="AJ398" i="1"/>
  <c r="W394" i="1"/>
  <c r="K399" i="1"/>
  <c r="BJ398" i="1"/>
  <c r="X398" i="1"/>
  <c r="R400" i="1"/>
  <c r="BU399" i="1"/>
  <c r="AB398" i="1"/>
  <c r="AA401" i="1"/>
  <c r="G395" i="1"/>
  <c r="BU395" i="1"/>
  <c r="H398" i="1"/>
  <c r="L412" i="1" s="1"/>
  <c r="W396" i="1"/>
  <c r="X397" i="1"/>
  <c r="AX396" i="1"/>
  <c r="L401" i="1"/>
  <c r="BU400" i="1"/>
  <c r="BJ394" i="1"/>
  <c r="AI401" i="1"/>
  <c r="AF395" i="1"/>
  <c r="AJ397" i="1"/>
  <c r="BG397" i="1"/>
  <c r="W401" i="1"/>
  <c r="AX398" i="1"/>
  <c r="K396" i="1"/>
  <c r="BV395" i="1"/>
  <c r="BR400" i="1"/>
  <c r="BG396" i="1"/>
  <c r="AX401" i="1"/>
  <c r="AX397" i="1"/>
  <c r="BD394" i="1"/>
  <c r="BR394" i="1"/>
  <c r="BC395" i="1"/>
  <c r="AX395" i="1"/>
  <c r="K401" i="1"/>
  <c r="AF401" i="1"/>
  <c r="AA398" i="1"/>
  <c r="Q401" i="1"/>
  <c r="BV401" i="1"/>
  <c r="CB395" i="1"/>
  <c r="AF394" i="1"/>
  <c r="AE401" i="1"/>
  <c r="Q400" i="1"/>
  <c r="R399" i="1"/>
  <c r="BQ401" i="1"/>
  <c r="Q396" i="1"/>
  <c r="BR398" i="1"/>
  <c r="BQ394" i="1"/>
  <c r="R395" i="1"/>
  <c r="BQ398" i="1"/>
  <c r="L396" i="1"/>
  <c r="AA394" i="1"/>
  <c r="AF400" i="1"/>
  <c r="AB394" i="1"/>
  <c r="AE399" i="1"/>
  <c r="G400" i="1"/>
  <c r="AI394" i="1"/>
  <c r="Q394" i="1"/>
  <c r="BR397" i="1"/>
  <c r="BQ399" i="1"/>
  <c r="AP396" i="1"/>
  <c r="AW396" i="1"/>
  <c r="BN394" i="1"/>
  <c r="AO399" i="1"/>
  <c r="BU397" i="1"/>
  <c r="AO396" i="1"/>
  <c r="BV398" i="1"/>
  <c r="BG394" i="1"/>
  <c r="BV396" i="1"/>
  <c r="AE396" i="1"/>
  <c r="R394" i="1"/>
  <c r="X395" i="1"/>
  <c r="H400" i="1"/>
  <c r="L414" i="1" s="1"/>
  <c r="Q399" i="1"/>
  <c r="BJ400" i="1"/>
  <c r="BN398" i="1"/>
  <c r="AJ399" i="1"/>
  <c r="AX399" i="1"/>
  <c r="AO394" i="1"/>
  <c r="Q398" i="1"/>
  <c r="Q395" i="1"/>
  <c r="CB396" i="1"/>
  <c r="AI399" i="1"/>
  <c r="BQ396" i="1"/>
  <c r="H395" i="1"/>
  <c r="L409" i="1" s="1"/>
  <c r="G397" i="1"/>
  <c r="BQ397" i="1"/>
  <c r="BN397" i="1"/>
  <c r="AF396" i="1"/>
  <c r="BV400" i="1"/>
  <c r="AF399" i="1"/>
  <c r="AB399" i="1"/>
  <c r="R396" i="1"/>
  <c r="BD400" i="1"/>
  <c r="W399" i="1"/>
  <c r="AO397" i="1"/>
  <c r="K397" i="1"/>
  <c r="R398" i="1"/>
  <c r="AP400" i="1"/>
  <c r="BN395" i="1"/>
  <c r="H399" i="1"/>
  <c r="L413" i="1" s="1"/>
  <c r="AE397" i="1"/>
  <c r="R397" i="1"/>
  <c r="L394" i="1"/>
  <c r="CA395" i="1"/>
  <c r="BN396" i="1"/>
  <c r="AA395" i="1"/>
  <c r="K394" i="1"/>
  <c r="AB401" i="1"/>
  <c r="AW398" i="1"/>
  <c r="AF398" i="1"/>
  <c r="L400" i="1"/>
  <c r="AB397" i="1"/>
  <c r="BR396" i="1"/>
  <c r="BU401" i="1"/>
  <c r="AI398" i="1"/>
  <c r="BN401" i="1"/>
  <c r="AW401" i="1"/>
  <c r="BG401" i="1"/>
  <c r="AJ395" i="1"/>
  <c r="BC399" i="1"/>
  <c r="BR395" i="1"/>
  <c r="CB398" i="1"/>
  <c r="BG395" i="1"/>
  <c r="AX394" i="1"/>
  <c r="AB400" i="1"/>
  <c r="K395" i="1"/>
  <c r="L395" i="1"/>
  <c r="CB401" i="1"/>
  <c r="X396" i="1"/>
  <c r="CA401" i="1"/>
  <c r="G393" i="1"/>
  <c r="L488" i="18"/>
  <c r="AI389" i="1" s="1"/>
  <c r="AI776" i="1"/>
  <c r="CA775" i="1"/>
  <c r="R487" i="18"/>
  <c r="CA388" i="1" s="1"/>
  <c r="O487" i="18"/>
  <c r="BQ388" i="1" s="1"/>
  <c r="BQ775" i="1"/>
  <c r="F244" i="2"/>
  <c r="AB259" i="1" s="1"/>
  <c r="J244" i="2"/>
  <c r="X259" i="1" s="1"/>
  <c r="G244" i="2"/>
  <c r="AP259" i="1" s="1"/>
  <c r="E244" i="2"/>
  <c r="L259" i="1" s="1"/>
  <c r="Q244" i="2"/>
  <c r="BV259" i="1" s="1"/>
  <c r="P244" i="2"/>
  <c r="AF259" i="1" s="1"/>
  <c r="R244" i="2"/>
  <c r="CB259" i="1" s="1"/>
  <c r="H244" i="2"/>
  <c r="R259" i="1" s="1"/>
  <c r="M244" i="2"/>
  <c r="BJ259" i="1" s="1"/>
  <c r="K244" i="2"/>
  <c r="BD259" i="1" s="1"/>
  <c r="N244" i="2"/>
  <c r="BN259" i="1" s="1"/>
  <c r="L244" i="2"/>
  <c r="AJ259" i="1" s="1"/>
  <c r="I244" i="2"/>
  <c r="AX259" i="1" s="1"/>
  <c r="O244" i="2"/>
  <c r="BR259" i="1" s="1"/>
  <c r="P487" i="18"/>
  <c r="AE388" i="1" s="1"/>
  <c r="AE775" i="1"/>
  <c r="AV256" i="1"/>
  <c r="Q776" i="1"/>
  <c r="H488" i="18"/>
  <c r="Q389" i="1" s="1"/>
  <c r="C776" i="1"/>
  <c r="Q366" i="2"/>
  <c r="M366" i="2"/>
  <c r="G366" i="2"/>
  <c r="R366" i="2"/>
  <c r="I366" i="2"/>
  <c r="E366" i="2"/>
  <c r="K366" i="2"/>
  <c r="F366" i="2"/>
  <c r="P366" i="2"/>
  <c r="J366" i="2"/>
  <c r="L366" i="2"/>
  <c r="H366" i="2"/>
  <c r="N366" i="2"/>
  <c r="N488" i="2" s="1"/>
  <c r="BN389" i="1" s="1"/>
  <c r="BN402" i="1" s="1"/>
  <c r="O366" i="2"/>
  <c r="P732" i="2"/>
  <c r="AF655" i="1" s="1"/>
  <c r="M732" i="2"/>
  <c r="BJ655" i="1" s="1"/>
  <c r="N732" i="2"/>
  <c r="F732" i="2"/>
  <c r="AB655" i="1" s="1"/>
  <c r="O732" i="2"/>
  <c r="BR655" i="1" s="1"/>
  <c r="G732" i="2"/>
  <c r="AP655" i="1" s="1"/>
  <c r="J732" i="2"/>
  <c r="X655" i="1" s="1"/>
  <c r="Q732" i="2"/>
  <c r="I732" i="2"/>
  <c r="E732" i="2"/>
  <c r="K732" i="2"/>
  <c r="BD655" i="1" s="1"/>
  <c r="L732" i="2"/>
  <c r="H732" i="2"/>
  <c r="R732" i="2"/>
  <c r="AW775" i="1"/>
  <c r="I487" i="18"/>
  <c r="AW388" i="1" s="1"/>
  <c r="Q775" i="1"/>
  <c r="H487" i="18"/>
  <c r="Q388" i="1" s="1"/>
  <c r="L487" i="18"/>
  <c r="AI388" i="1" s="1"/>
  <c r="AI775" i="1"/>
  <c r="G387" i="1"/>
  <c r="CG387" i="1" s="1"/>
  <c r="CA776" i="1"/>
  <c r="R488" i="18"/>
  <c r="CA389" i="1" s="1"/>
  <c r="G243" i="2"/>
  <c r="AP258" i="1" s="1"/>
  <c r="J243" i="2"/>
  <c r="X258" i="1" s="1"/>
  <c r="F243" i="2"/>
  <c r="AB258" i="1" s="1"/>
  <c r="L243" i="2"/>
  <c r="AJ258" i="1" s="1"/>
  <c r="K243" i="2"/>
  <c r="BD258" i="1" s="1"/>
  <c r="Q243" i="2"/>
  <c r="BV258" i="1" s="1"/>
  <c r="R243" i="2"/>
  <c r="CB258" i="1" s="1"/>
  <c r="N243" i="2"/>
  <c r="BN258" i="1" s="1"/>
  <c r="O243" i="2"/>
  <c r="BR258" i="1" s="1"/>
  <c r="E243" i="2"/>
  <c r="L258" i="1" s="1"/>
  <c r="M243" i="2"/>
  <c r="BJ258" i="1" s="1"/>
  <c r="I243" i="2"/>
  <c r="AX258" i="1" s="1"/>
  <c r="H243" i="2"/>
  <c r="R258" i="1" s="1"/>
  <c r="P243" i="2"/>
  <c r="AF258" i="1" s="1"/>
  <c r="H653" i="1"/>
  <c r="BU776" i="1"/>
  <c r="Q488" i="18"/>
  <c r="BU389" i="1" s="1"/>
  <c r="P488" i="18"/>
  <c r="AE389" i="1" s="1"/>
  <c r="AE776" i="1"/>
  <c r="H388" i="1"/>
  <c r="M487" i="18"/>
  <c r="BG388" i="1" s="1"/>
  <c r="BG775" i="1"/>
  <c r="O488" i="18"/>
  <c r="BQ389" i="1" s="1"/>
  <c r="BQ776" i="1"/>
  <c r="AO775" i="1"/>
  <c r="G487" i="18"/>
  <c r="AO388" i="1" s="1"/>
  <c r="G367" i="18"/>
  <c r="P367" i="18"/>
  <c r="I367" i="18"/>
  <c r="R367" i="18"/>
  <c r="L367" i="18"/>
  <c r="M367" i="18"/>
  <c r="O367" i="18"/>
  <c r="E367" i="18"/>
  <c r="Q367" i="18"/>
  <c r="H367" i="18"/>
  <c r="F367" i="18"/>
  <c r="J367" i="18"/>
  <c r="K367" i="18"/>
  <c r="P244" i="18"/>
  <c r="AE259" i="1" s="1"/>
  <c r="L244" i="18"/>
  <c r="AI259" i="1" s="1"/>
  <c r="M244" i="18"/>
  <c r="BG259" i="1" s="1"/>
  <c r="O244" i="18"/>
  <c r="BQ259" i="1" s="1"/>
  <c r="F244" i="18"/>
  <c r="AA259" i="1" s="1"/>
  <c r="A243" i="13"/>
  <c r="C243" i="13" s="1"/>
  <c r="R244" i="18"/>
  <c r="CA259" i="1" s="1"/>
  <c r="Q244" i="18"/>
  <c r="BU259" i="1" s="1"/>
  <c r="H244" i="18"/>
  <c r="Q259" i="1" s="1"/>
  <c r="G244" i="18"/>
  <c r="AO259" i="1" s="1"/>
  <c r="E244" i="18"/>
  <c r="K259" i="1" s="1"/>
  <c r="J244" i="18"/>
  <c r="W259" i="1" s="1"/>
  <c r="I244" i="18"/>
  <c r="AW259" i="1" s="1"/>
  <c r="K244" i="18"/>
  <c r="BC259" i="1" s="1"/>
  <c r="G655" i="1"/>
  <c r="C611" i="2"/>
  <c r="C733" i="2" s="1"/>
  <c r="W775" i="1"/>
  <c r="J487" i="18"/>
  <c r="W388" i="1" s="1"/>
  <c r="C611" i="18"/>
  <c r="C733" i="18" s="1"/>
  <c r="F488" i="18"/>
  <c r="AA389" i="1" s="1"/>
  <c r="AA776" i="1"/>
  <c r="I256" i="1"/>
  <c r="AI402" i="1" l="1"/>
  <c r="Q402" i="1"/>
  <c r="AT258" i="1"/>
  <c r="BV777" i="1"/>
  <c r="Q489" i="2"/>
  <c r="BV390" i="1" s="1"/>
  <c r="BV393" i="1" s="1"/>
  <c r="AT399" i="1"/>
  <c r="K777" i="1"/>
  <c r="E489" i="18"/>
  <c r="K390" i="1" s="1"/>
  <c r="BA258" i="1"/>
  <c r="AX655" i="1"/>
  <c r="R777" i="1"/>
  <c r="H489" i="2"/>
  <c r="R390" i="1" s="1"/>
  <c r="R393" i="1" s="1"/>
  <c r="G388" i="1"/>
  <c r="CG388" i="1" s="1"/>
  <c r="BJ776" i="1"/>
  <c r="M488" i="2"/>
  <c r="BJ389" i="1" s="1"/>
  <c r="Q777" i="1"/>
  <c r="H489" i="18"/>
  <c r="Q390" i="1" s="1"/>
  <c r="Q393" i="1" s="1"/>
  <c r="Q404" i="1" s="1"/>
  <c r="AT259" i="1"/>
  <c r="AO777" i="1"/>
  <c r="G489" i="18"/>
  <c r="AO390" i="1" s="1"/>
  <c r="G389" i="1"/>
  <c r="G489" i="2"/>
  <c r="AP390" i="1" s="1"/>
  <c r="AP393" i="1" s="1"/>
  <c r="AP777" i="1"/>
  <c r="AI263" i="1"/>
  <c r="BJ270" i="1"/>
  <c r="G268" i="1"/>
  <c r="BN269" i="1"/>
  <c r="G270" i="1"/>
  <c r="W271" i="1"/>
  <c r="H264" i="1"/>
  <c r="H263" i="1"/>
  <c r="Q262" i="1"/>
  <c r="AB266" i="1"/>
  <c r="AB265" i="1"/>
  <c r="CB268" i="1"/>
  <c r="X267" i="1"/>
  <c r="BR266" i="1"/>
  <c r="BQ266" i="1"/>
  <c r="AF267" i="1"/>
  <c r="K262" i="1"/>
  <c r="K273" i="1" s="1"/>
  <c r="CA268" i="1"/>
  <c r="K269" i="1"/>
  <c r="BG266" i="1"/>
  <c r="AE267" i="1"/>
  <c r="AE269" i="1"/>
  <c r="AI271" i="1"/>
  <c r="BC263" i="1"/>
  <c r="Q263" i="1"/>
  <c r="BJ264" i="1"/>
  <c r="BC264" i="1"/>
  <c r="W265" i="1"/>
  <c r="BJ262" i="1"/>
  <c r="BQ270" i="1"/>
  <c r="L262" i="1"/>
  <c r="AP270" i="1"/>
  <c r="BQ265" i="1"/>
  <c r="BC269" i="1"/>
  <c r="AI269" i="1"/>
  <c r="BF267" i="1"/>
  <c r="BN267" i="1"/>
  <c r="K271" i="1"/>
  <c r="AW267" i="1"/>
  <c r="BC270" i="1"/>
  <c r="AE265" i="1"/>
  <c r="BF265" i="1"/>
  <c r="H267" i="1"/>
  <c r="W269" i="1"/>
  <c r="G267" i="1"/>
  <c r="AW271" i="1"/>
  <c r="AE271" i="1"/>
  <c r="AE264" i="1"/>
  <c r="BG271" i="1"/>
  <c r="K264" i="1"/>
  <c r="BU264" i="1"/>
  <c r="BJ266" i="1"/>
  <c r="AA267" i="1"/>
  <c r="BD265" i="1"/>
  <c r="BF268" i="1"/>
  <c r="AI266" i="1"/>
  <c r="BV269" i="1"/>
  <c r="AP268" i="1"/>
  <c r="R264" i="1"/>
  <c r="AO271" i="1"/>
  <c r="AW269" i="1"/>
  <c r="L271" i="1"/>
  <c r="AJ263" i="1"/>
  <c r="BC267" i="1"/>
  <c r="AA264" i="1"/>
  <c r="BQ262" i="1"/>
  <c r="BR271" i="1"/>
  <c r="AA265" i="1"/>
  <c r="AJ269" i="1"/>
  <c r="CA270" i="1"/>
  <c r="CA271" i="1"/>
  <c r="BR270" i="1"/>
  <c r="G264" i="1"/>
  <c r="BJ271" i="1"/>
  <c r="G269" i="1"/>
  <c r="BN262" i="1"/>
  <c r="K265" i="1"/>
  <c r="CB270" i="1"/>
  <c r="H271" i="1"/>
  <c r="AF262" i="1"/>
  <c r="BQ268" i="1"/>
  <c r="CB265" i="1"/>
  <c r="AW263" i="1"/>
  <c r="AE263" i="1"/>
  <c r="BD271" i="1"/>
  <c r="BF270" i="1"/>
  <c r="BC268" i="1"/>
  <c r="BN264" i="1"/>
  <c r="L268" i="1"/>
  <c r="BG270" i="1"/>
  <c r="AP271" i="1"/>
  <c r="BG263" i="1"/>
  <c r="G262" i="1"/>
  <c r="Q264" i="1"/>
  <c r="BJ265" i="1"/>
  <c r="AW262" i="1"/>
  <c r="L264" i="1"/>
  <c r="W270" i="1"/>
  <c r="CB267" i="1"/>
  <c r="AA268" i="1"/>
  <c r="K270" i="1"/>
  <c r="BU263" i="1"/>
  <c r="X270" i="1"/>
  <c r="L265" i="1"/>
  <c r="BD269" i="1"/>
  <c r="BU269" i="1"/>
  <c r="AF268" i="1"/>
  <c r="CB263" i="1"/>
  <c r="BU268" i="1"/>
  <c r="H262" i="1"/>
  <c r="BF262" i="1"/>
  <c r="K263" i="1"/>
  <c r="AO270" i="1"/>
  <c r="CA262" i="1"/>
  <c r="R270" i="1"/>
  <c r="BQ263" i="1"/>
  <c r="BF264" i="1"/>
  <c r="X263" i="1"/>
  <c r="X269" i="1"/>
  <c r="AB268" i="1"/>
  <c r="AI267" i="1"/>
  <c r="W264" i="1"/>
  <c r="H270" i="1"/>
  <c r="AX270" i="1"/>
  <c r="Q267" i="1"/>
  <c r="AW265" i="1"/>
  <c r="Q266" i="1"/>
  <c r="X268" i="1"/>
  <c r="BU271" i="1"/>
  <c r="BF271" i="1"/>
  <c r="BG264" i="1"/>
  <c r="AX268" i="1"/>
  <c r="AE262" i="1"/>
  <c r="X265" i="1"/>
  <c r="BF269" i="1"/>
  <c r="AX264" i="1"/>
  <c r="W263" i="1"/>
  <c r="AP262" i="1"/>
  <c r="BD268" i="1"/>
  <c r="AO267" i="1"/>
  <c r="AO268" i="1"/>
  <c r="G263" i="1"/>
  <c r="BG269" i="1"/>
  <c r="AJ265" i="1"/>
  <c r="BD270" i="1"/>
  <c r="BJ263" i="1"/>
  <c r="AE266" i="1"/>
  <c r="AE268" i="1"/>
  <c r="CA265" i="1"/>
  <c r="AI270" i="1"/>
  <c r="AF266" i="1"/>
  <c r="L269" i="1"/>
  <c r="CB264" i="1"/>
  <c r="AX262" i="1"/>
  <c r="X262" i="1"/>
  <c r="BN265" i="1"/>
  <c r="BV265" i="1"/>
  <c r="AO269" i="1"/>
  <c r="AI264" i="1"/>
  <c r="BQ269" i="1"/>
  <c r="BQ264" i="1"/>
  <c r="CB262" i="1"/>
  <c r="K266" i="1"/>
  <c r="AF270" i="1"/>
  <c r="AA266" i="1"/>
  <c r="BQ271" i="1"/>
  <c r="AB270" i="1"/>
  <c r="BR264" i="1"/>
  <c r="BF266" i="1"/>
  <c r="W266" i="1"/>
  <c r="BN270" i="1"/>
  <c r="Q270" i="1"/>
  <c r="AX266" i="1"/>
  <c r="BN263" i="1"/>
  <c r="AB262" i="1"/>
  <c r="W262" i="1"/>
  <c r="AB271" i="1"/>
  <c r="BR267" i="1"/>
  <c r="AF269" i="1"/>
  <c r="BU267" i="1"/>
  <c r="AP267" i="1"/>
  <c r="CA266" i="1"/>
  <c r="AI265" i="1"/>
  <c r="BR263" i="1"/>
  <c r="AE270" i="1"/>
  <c r="BC265" i="1"/>
  <c r="X266" i="1"/>
  <c r="BD263" i="1"/>
  <c r="BG265" i="1"/>
  <c r="R262" i="1"/>
  <c r="BR265" i="1"/>
  <c r="BV267" i="1"/>
  <c r="AJ267" i="1"/>
  <c r="L270" i="1"/>
  <c r="BU270" i="1"/>
  <c r="AP265" i="1"/>
  <c r="G271" i="1"/>
  <c r="X271" i="1"/>
  <c r="AA269" i="1"/>
  <c r="AF265" i="1"/>
  <c r="AW266" i="1"/>
  <c r="BV263" i="1"/>
  <c r="BG262" i="1"/>
  <c r="BQ267" i="1"/>
  <c r="AI268" i="1"/>
  <c r="BD266" i="1"/>
  <c r="BC271" i="1"/>
  <c r="CA267" i="1"/>
  <c r="AJ271" i="1"/>
  <c r="AW268" i="1"/>
  <c r="BR262" i="1"/>
  <c r="BN266" i="1"/>
  <c r="W267" i="1"/>
  <c r="R266" i="1"/>
  <c r="K268" i="1"/>
  <c r="K267" i="1"/>
  <c r="CA269" i="1"/>
  <c r="AO263" i="1"/>
  <c r="R268" i="1"/>
  <c r="AW264" i="1"/>
  <c r="AO262" i="1"/>
  <c r="AP264" i="1"/>
  <c r="BF263" i="1"/>
  <c r="CB271" i="1"/>
  <c r="BJ269" i="1"/>
  <c r="BD262" i="1"/>
  <c r="H265" i="1"/>
  <c r="Q269" i="1"/>
  <c r="BV271" i="1"/>
  <c r="BU266" i="1"/>
  <c r="L263" i="1"/>
  <c r="H266" i="1"/>
  <c r="BN271" i="1"/>
  <c r="CA263" i="1"/>
  <c r="L267" i="1"/>
  <c r="BU262" i="1"/>
  <c r="R269" i="1"/>
  <c r="AJ262" i="1"/>
  <c r="AF263" i="1"/>
  <c r="BV266" i="1"/>
  <c r="Q265" i="1"/>
  <c r="R263" i="1"/>
  <c r="BC266" i="1"/>
  <c r="BV262" i="1"/>
  <c r="AA262" i="1"/>
  <c r="BD264" i="1"/>
  <c r="Q268" i="1"/>
  <c r="AI262" i="1"/>
  <c r="G265" i="1"/>
  <c r="CB269" i="1"/>
  <c r="BN268" i="1"/>
  <c r="AJ266" i="1"/>
  <c r="AX263" i="1"/>
  <c r="AJ264" i="1"/>
  <c r="Q271" i="1"/>
  <c r="BV270" i="1"/>
  <c r="R265" i="1"/>
  <c r="AO266" i="1"/>
  <c r="AF264" i="1"/>
  <c r="BG267" i="1"/>
  <c r="H269" i="1"/>
  <c r="AX271" i="1"/>
  <c r="BR269" i="1"/>
  <c r="BV264" i="1"/>
  <c r="R271" i="1"/>
  <c r="AX265" i="1"/>
  <c r="AO264" i="1"/>
  <c r="AO265" i="1"/>
  <c r="X264" i="1"/>
  <c r="AB267" i="1"/>
  <c r="AP263" i="1"/>
  <c r="BD267" i="1"/>
  <c r="BC262" i="1"/>
  <c r="BC273" i="1" s="1"/>
  <c r="BJ268" i="1"/>
  <c r="AF271" i="1"/>
  <c r="AJ268" i="1"/>
  <c r="AB263" i="1"/>
  <c r="BU265" i="1"/>
  <c r="CB266" i="1"/>
  <c r="L266" i="1"/>
  <c r="BR268" i="1"/>
  <c r="AP269" i="1"/>
  <c r="R267" i="1"/>
  <c r="BG268" i="1"/>
  <c r="H268" i="1"/>
  <c r="AX269" i="1"/>
  <c r="AX267" i="1"/>
  <c r="AW270" i="1"/>
  <c r="W268" i="1"/>
  <c r="AB264" i="1"/>
  <c r="BJ267" i="1"/>
  <c r="AP266" i="1"/>
  <c r="AA270" i="1"/>
  <c r="CA264" i="1"/>
  <c r="BV268" i="1"/>
  <c r="AJ270" i="1"/>
  <c r="AB269" i="1"/>
  <c r="AA271" i="1"/>
  <c r="AA263" i="1"/>
  <c r="G266" i="1"/>
  <c r="O489" i="18"/>
  <c r="BQ390" i="1" s="1"/>
  <c r="BQ393" i="1" s="1"/>
  <c r="BQ777" i="1"/>
  <c r="BY258" i="1"/>
  <c r="BV655" i="1"/>
  <c r="BR776" i="1"/>
  <c r="O488" i="2"/>
  <c r="BR389" i="1" s="1"/>
  <c r="L776" i="1"/>
  <c r="E488" i="2"/>
  <c r="L389" i="1" s="1"/>
  <c r="AT394" i="1"/>
  <c r="AT398" i="1"/>
  <c r="K402" i="1"/>
  <c r="AJ777" i="1"/>
  <c r="L489" i="2"/>
  <c r="AJ390" i="1" s="1"/>
  <c r="AJ393" i="1" s="1"/>
  <c r="J489" i="2"/>
  <c r="X390" i="1" s="1"/>
  <c r="X393" i="1" s="1"/>
  <c r="X777" i="1"/>
  <c r="AW777" i="1"/>
  <c r="I489" i="18"/>
  <c r="AW390" i="1" s="1"/>
  <c r="BJ777" i="1"/>
  <c r="M489" i="2"/>
  <c r="BJ390" i="1" s="1"/>
  <c r="BJ393" i="1" s="1"/>
  <c r="BJ404" i="1" s="1"/>
  <c r="P489" i="18"/>
  <c r="AE390" i="1" s="1"/>
  <c r="AE393" i="1" s="1"/>
  <c r="AE777" i="1"/>
  <c r="AF776" i="1"/>
  <c r="P488" i="2"/>
  <c r="AF389" i="1" s="1"/>
  <c r="BN404" i="1"/>
  <c r="F488" i="2"/>
  <c r="AB389" i="1" s="1"/>
  <c r="AB776" i="1"/>
  <c r="H259" i="1"/>
  <c r="CB777" i="1"/>
  <c r="R489" i="2"/>
  <c r="CB390" i="1" s="1"/>
  <c r="CB393" i="1" s="1"/>
  <c r="D538" i="1"/>
  <c r="E538" i="1"/>
  <c r="G259" i="1"/>
  <c r="BD776" i="1"/>
  <c r="K488" i="2"/>
  <c r="BD389" i="1" s="1"/>
  <c r="M489" i="18"/>
  <c r="BG390" i="1" s="1"/>
  <c r="BG393" i="1" s="1"/>
  <c r="BG777" i="1"/>
  <c r="L777" i="1"/>
  <c r="E489" i="2"/>
  <c r="L390" i="1" s="1"/>
  <c r="F489" i="2"/>
  <c r="AB390" i="1" s="1"/>
  <c r="AB393" i="1" s="1"/>
  <c r="AB777" i="1"/>
  <c r="BV776" i="1"/>
  <c r="Q488" i="2"/>
  <c r="BV389" i="1" s="1"/>
  <c r="BV402" i="1" s="1"/>
  <c r="H258" i="1"/>
  <c r="BC777" i="1"/>
  <c r="K489" i="18"/>
  <c r="BC390" i="1" s="1"/>
  <c r="BC393" i="1" s="1"/>
  <c r="CE258" i="1"/>
  <c r="CB655" i="1"/>
  <c r="CB776" i="1"/>
  <c r="R488" i="2"/>
  <c r="CB389" i="1" s="1"/>
  <c r="AT397" i="1"/>
  <c r="AX777" i="1"/>
  <c r="I489" i="2"/>
  <c r="AX390" i="1" s="1"/>
  <c r="AX393" i="1" s="1"/>
  <c r="BR777" i="1"/>
  <c r="O489" i="2"/>
  <c r="BR390" i="1" s="1"/>
  <c r="BR393" i="1" s="1"/>
  <c r="F489" i="18"/>
  <c r="AA390" i="1" s="1"/>
  <c r="AA393" i="1" s="1"/>
  <c r="AA777" i="1"/>
  <c r="AM258" i="1"/>
  <c r="AJ655" i="1"/>
  <c r="J488" i="2"/>
  <c r="X389" i="1" s="1"/>
  <c r="X402" i="1" s="1"/>
  <c r="X776" i="1"/>
  <c r="AT400" i="1"/>
  <c r="BU777" i="1"/>
  <c r="Q489" i="18"/>
  <c r="BU390" i="1" s="1"/>
  <c r="O258" i="1"/>
  <c r="L655" i="1"/>
  <c r="AT395" i="1"/>
  <c r="F733" i="18"/>
  <c r="AA656" i="1" s="1"/>
  <c r="G733" i="18"/>
  <c r="AO656" i="1" s="1"/>
  <c r="O733" i="18"/>
  <c r="BQ656" i="1" s="1"/>
  <c r="P733" i="18"/>
  <c r="AE656" i="1" s="1"/>
  <c r="K733" i="18"/>
  <c r="BC656" i="1" s="1"/>
  <c r="I733" i="18"/>
  <c r="AW656" i="1" s="1"/>
  <c r="M733" i="18"/>
  <c r="BG656" i="1" s="1"/>
  <c r="L733" i="18"/>
  <c r="AI656" i="1" s="1"/>
  <c r="J733" i="18"/>
  <c r="W656" i="1" s="1"/>
  <c r="H733" i="18"/>
  <c r="Q656" i="1" s="1"/>
  <c r="Q733" i="18"/>
  <c r="BU656" i="1" s="1"/>
  <c r="R733" i="18"/>
  <c r="CA656" i="1" s="1"/>
  <c r="E733" i="18"/>
  <c r="K656" i="1" s="1"/>
  <c r="AX776" i="1"/>
  <c r="I488" i="2"/>
  <c r="AX389" i="1" s="1"/>
  <c r="AX402" i="1" s="1"/>
  <c r="N733" i="2"/>
  <c r="F733" i="2"/>
  <c r="AB656" i="1" s="1"/>
  <c r="O733" i="2"/>
  <c r="BR656" i="1" s="1"/>
  <c r="G733" i="2"/>
  <c r="AP656" i="1" s="1"/>
  <c r="P733" i="2"/>
  <c r="AF656" i="1" s="1"/>
  <c r="J733" i="2"/>
  <c r="X656" i="1" s="1"/>
  <c r="M733" i="2"/>
  <c r="BJ656" i="1" s="1"/>
  <c r="L733" i="2"/>
  <c r="I733" i="2"/>
  <c r="K733" i="2"/>
  <c r="BD656" i="1" s="1"/>
  <c r="E733" i="2"/>
  <c r="Q733" i="2"/>
  <c r="H733" i="2"/>
  <c r="R733" i="2"/>
  <c r="L489" i="18"/>
  <c r="AI390" i="1" s="1"/>
  <c r="AI393" i="1" s="1"/>
  <c r="AI777" i="1"/>
  <c r="R776" i="1"/>
  <c r="H488" i="2"/>
  <c r="R389" i="1" s="1"/>
  <c r="R402" i="1" s="1"/>
  <c r="W777" i="1"/>
  <c r="J489" i="18"/>
  <c r="W390" i="1" s="1"/>
  <c r="CA777" i="1"/>
  <c r="R489" i="18"/>
  <c r="CA390" i="1" s="1"/>
  <c r="CA393" i="1" s="1"/>
  <c r="U258" i="1"/>
  <c r="R655" i="1"/>
  <c r="AJ776" i="1"/>
  <c r="L488" i="2"/>
  <c r="AJ389" i="1" s="1"/>
  <c r="AJ402" i="1" s="1"/>
  <c r="G488" i="2"/>
  <c r="AP389" i="1" s="1"/>
  <c r="AP402" i="1" s="1"/>
  <c r="AP776" i="1"/>
  <c r="AT401" i="1"/>
  <c r="AT396" i="1"/>
  <c r="BD777" i="1"/>
  <c r="K489" i="2"/>
  <c r="BD390" i="1" s="1"/>
  <c r="BD393" i="1" s="1"/>
  <c r="AF777" i="1"/>
  <c r="P489" i="2"/>
  <c r="AF390" i="1" s="1"/>
  <c r="AF393" i="1" s="1"/>
  <c r="E539" i="1"/>
  <c r="D539" i="1"/>
  <c r="Q273" i="1" l="1"/>
  <c r="G390" i="1"/>
  <c r="K393" i="1"/>
  <c r="K404" i="1" s="1"/>
  <c r="BA259" i="1"/>
  <c r="AX656" i="1"/>
  <c r="W273" i="1"/>
  <c r="AT264" i="1"/>
  <c r="U259" i="1"/>
  <c r="R656" i="1"/>
  <c r="BR550" i="1"/>
  <c r="BT270" i="1" s="1"/>
  <c r="L548" i="1"/>
  <c r="N268" i="1" s="1"/>
  <c r="AX548" i="1"/>
  <c r="BV548" i="1"/>
  <c r="BX268" i="1" s="1"/>
  <c r="K549" i="1"/>
  <c r="AO545" i="1"/>
  <c r="AE543" i="1"/>
  <c r="CB546" i="1"/>
  <c r="CD266" i="1" s="1"/>
  <c r="BU542" i="1"/>
  <c r="H544" i="1"/>
  <c r="I264" i="1" s="1"/>
  <c r="G551" i="1"/>
  <c r="AJ544" i="1"/>
  <c r="AL264" i="1" s="1"/>
  <c r="AP544" i="1"/>
  <c r="AR264" i="1" s="1"/>
  <c r="Q546" i="1"/>
  <c r="G549" i="1"/>
  <c r="AW550" i="1"/>
  <c r="BC542" i="1"/>
  <c r="AF544" i="1"/>
  <c r="AH264" i="1" s="1"/>
  <c r="BU550" i="1"/>
  <c r="CA548" i="1"/>
  <c r="AO544" i="1"/>
  <c r="BV549" i="1"/>
  <c r="BX269" i="1" s="1"/>
  <c r="AA547" i="1"/>
  <c r="CA544" i="1"/>
  <c r="AE545" i="1"/>
  <c r="AF548" i="1"/>
  <c r="AH268" i="1" s="1"/>
  <c r="BC546" i="1"/>
  <c r="BU545" i="1"/>
  <c r="BG550" i="1"/>
  <c r="R542" i="1"/>
  <c r="T262" i="1" s="1"/>
  <c r="H546" i="1"/>
  <c r="I266" i="1" s="1"/>
  <c r="K545" i="1"/>
  <c r="CA546" i="1"/>
  <c r="BD543" i="1"/>
  <c r="Q547" i="1"/>
  <c r="AF551" i="1"/>
  <c r="AH271" i="1" s="1"/>
  <c r="BU548" i="1"/>
  <c r="BQ542" i="1"/>
  <c r="X544" i="1"/>
  <c r="Z264" i="1" s="1"/>
  <c r="AB546" i="1"/>
  <c r="AD266" i="1" s="1"/>
  <c r="BQ546" i="1"/>
  <c r="L551" i="1"/>
  <c r="N271" i="1" s="1"/>
  <c r="AF542" i="1"/>
  <c r="AH262" i="1" s="1"/>
  <c r="Q549" i="1"/>
  <c r="AP550" i="1"/>
  <c r="AR270" i="1" s="1"/>
  <c r="AI545" i="1"/>
  <c r="BC544" i="1"/>
  <c r="BJ543" i="1"/>
  <c r="BC548" i="1"/>
  <c r="BR549" i="1"/>
  <c r="BT269" i="1" s="1"/>
  <c r="AP547" i="1"/>
  <c r="AR267" i="1" s="1"/>
  <c r="CA543" i="1"/>
  <c r="W547" i="1"/>
  <c r="H548" i="1"/>
  <c r="I268" i="1" s="1"/>
  <c r="X546" i="1"/>
  <c r="Z266" i="1" s="1"/>
  <c r="BJ549" i="1"/>
  <c r="AB542" i="1"/>
  <c r="AD262" i="1" s="1"/>
  <c r="R544" i="1"/>
  <c r="T264" i="1" s="1"/>
  <c r="AA545" i="1"/>
  <c r="AP548" i="1"/>
  <c r="AR268" i="1" s="1"/>
  <c r="CB547" i="1"/>
  <c r="CD267" i="1" s="1"/>
  <c r="Q543" i="1"/>
  <c r="AJ546" i="1"/>
  <c r="AL266" i="1" s="1"/>
  <c r="AF550" i="1"/>
  <c r="AH270" i="1" s="1"/>
  <c r="L550" i="1"/>
  <c r="N270" i="1" s="1"/>
  <c r="L546" i="1"/>
  <c r="N266" i="1" s="1"/>
  <c r="AA543" i="1"/>
  <c r="BR545" i="1"/>
  <c r="BT265" i="1" s="1"/>
  <c r="AE547" i="1"/>
  <c r="X547" i="1"/>
  <c r="Z267" i="1" s="1"/>
  <c r="BG546" i="1"/>
  <c r="BV545" i="1"/>
  <c r="BX265" i="1" s="1"/>
  <c r="AI551" i="1"/>
  <c r="H542" i="1"/>
  <c r="I262" i="1" s="1"/>
  <c r="AB545" i="1"/>
  <c r="AD265" i="1" s="1"/>
  <c r="BU546" i="1"/>
  <c r="BG542" i="1"/>
  <c r="BQ547" i="1"/>
  <c r="X542" i="1"/>
  <c r="Z262" i="1" s="1"/>
  <c r="BR547" i="1"/>
  <c r="BT267" i="1" s="1"/>
  <c r="AB544" i="1"/>
  <c r="AD264" i="1" s="1"/>
  <c r="AW544" i="1"/>
  <c r="BC550" i="1"/>
  <c r="BQ550" i="1"/>
  <c r="AO543" i="1"/>
  <c r="Q544" i="1"/>
  <c r="AX551" i="1"/>
  <c r="BC543" i="1"/>
  <c r="AI549" i="1"/>
  <c r="AA549" i="1"/>
  <c r="BG548" i="1"/>
  <c r="W545" i="1"/>
  <c r="K547" i="1"/>
  <c r="W543" i="1"/>
  <c r="L544" i="1"/>
  <c r="N264" i="1" s="1"/>
  <c r="AP546" i="1"/>
  <c r="AR266" i="1" s="1"/>
  <c r="AF546" i="1"/>
  <c r="AH266" i="1" s="1"/>
  <c r="BV551" i="1"/>
  <c r="BX271" i="1" s="1"/>
  <c r="BD545" i="1"/>
  <c r="G550" i="1"/>
  <c r="R549" i="1"/>
  <c r="T269" i="1" s="1"/>
  <c r="AO547" i="1"/>
  <c r="BG549" i="1"/>
  <c r="AI547" i="1"/>
  <c r="BQ544" i="1"/>
  <c r="BD546" i="1"/>
  <c r="AB550" i="1"/>
  <c r="AD270" i="1" s="1"/>
  <c r="AO549" i="1"/>
  <c r="AA550" i="1"/>
  <c r="H545" i="1"/>
  <c r="I265" i="1" s="1"/>
  <c r="AI543" i="1"/>
  <c r="BJ544" i="1"/>
  <c r="G542" i="1"/>
  <c r="AP542" i="1"/>
  <c r="AR262" i="1" s="1"/>
  <c r="AJ542" i="1"/>
  <c r="AL262" i="1" s="1"/>
  <c r="BG544" i="1"/>
  <c r="BQ548" i="1"/>
  <c r="R548" i="1"/>
  <c r="T268" i="1" s="1"/>
  <c r="X548" i="1"/>
  <c r="Z268" i="1" s="1"/>
  <c r="X550" i="1"/>
  <c r="Z270" i="1" s="1"/>
  <c r="Q545" i="1"/>
  <c r="BD549" i="1"/>
  <c r="K548" i="1"/>
  <c r="BD547" i="1"/>
  <c r="AE548" i="1"/>
  <c r="K543" i="1"/>
  <c r="BR543" i="1"/>
  <c r="BT263" i="1" s="1"/>
  <c r="W544" i="1"/>
  <c r="BR551" i="1"/>
  <c r="BT271" i="1" s="1"/>
  <c r="K551" i="1"/>
  <c r="R546" i="1"/>
  <c r="T266" i="1" s="1"/>
  <c r="AX549" i="1"/>
  <c r="AW542" i="1"/>
  <c r="AB548" i="1"/>
  <c r="AD268" i="1" s="1"/>
  <c r="G545" i="1"/>
  <c r="W549" i="1"/>
  <c r="CB545" i="1"/>
  <c r="CD265" i="1" s="1"/>
  <c r="BJ547" i="1"/>
  <c r="R550" i="1"/>
  <c r="T270" i="1" s="1"/>
  <c r="AJ548" i="1"/>
  <c r="AL268" i="1" s="1"/>
  <c r="L542" i="1"/>
  <c r="N262" i="1" s="1"/>
  <c r="BR542" i="1"/>
  <c r="BT262" i="1" s="1"/>
  <c r="BD551" i="1"/>
  <c r="AW545" i="1"/>
  <c r="G543" i="1"/>
  <c r="AX547" i="1"/>
  <c r="AX543" i="1"/>
  <c r="L543" i="1"/>
  <c r="N263" i="1" s="1"/>
  <c r="BV543" i="1"/>
  <c r="BX263" i="1" s="1"/>
  <c r="BQ549" i="1"/>
  <c r="W551" i="1"/>
  <c r="AW549" i="1"/>
  <c r="AJ545" i="1"/>
  <c r="AL265" i="1" s="1"/>
  <c r="H549" i="1"/>
  <c r="I269" i="1" s="1"/>
  <c r="BG543" i="1"/>
  <c r="AI550" i="1"/>
  <c r="BQ545" i="1"/>
  <c r="AA542" i="1"/>
  <c r="AB547" i="1"/>
  <c r="AD267" i="1" s="1"/>
  <c r="G548" i="1"/>
  <c r="AE549" i="1"/>
  <c r="R545" i="1"/>
  <c r="T265" i="1" s="1"/>
  <c r="AP549" i="1"/>
  <c r="AR269" i="1" s="1"/>
  <c r="AF547" i="1"/>
  <c r="AH267" i="1" s="1"/>
  <c r="AJ550" i="1"/>
  <c r="AL270" i="1" s="1"/>
  <c r="BG547" i="1"/>
  <c r="K544" i="1"/>
  <c r="BV550" i="1"/>
  <c r="BX270" i="1" s="1"/>
  <c r="BG551" i="1"/>
  <c r="CB551" i="1"/>
  <c r="CD271" i="1" s="1"/>
  <c r="BD550" i="1"/>
  <c r="AW551" i="1"/>
  <c r="AX545" i="1"/>
  <c r="AF545" i="1"/>
  <c r="AH265" i="1" s="1"/>
  <c r="AE544" i="1"/>
  <c r="Q548" i="1"/>
  <c r="Q550" i="1"/>
  <c r="BC547" i="1"/>
  <c r="BR546" i="1"/>
  <c r="BT266" i="1" s="1"/>
  <c r="H550" i="1"/>
  <c r="I270" i="1" s="1"/>
  <c r="AI544" i="1"/>
  <c r="G546" i="1"/>
  <c r="AA551" i="1"/>
  <c r="BD542" i="1"/>
  <c r="CB543" i="1"/>
  <c r="CD263" i="1" s="1"/>
  <c r="L547" i="1"/>
  <c r="N267" i="1" s="1"/>
  <c r="W542" i="1"/>
  <c r="BU547" i="1"/>
  <c r="W548" i="1"/>
  <c r="BV547" i="1"/>
  <c r="BX267" i="1" s="1"/>
  <c r="BQ543" i="1"/>
  <c r="AX544" i="1"/>
  <c r="X551" i="1"/>
  <c r="Z271" i="1" s="1"/>
  <c r="AP551" i="1"/>
  <c r="AR271" i="1" s="1"/>
  <c r="K546" i="1"/>
  <c r="AB549" i="1"/>
  <c r="AD269" i="1" s="1"/>
  <c r="X543" i="1"/>
  <c r="Z263" i="1" s="1"/>
  <c r="AJ549" i="1"/>
  <c r="AL269" i="1" s="1"/>
  <c r="CB544" i="1"/>
  <c r="CD264" i="1" s="1"/>
  <c r="CA542" i="1"/>
  <c r="AO548" i="1"/>
  <c r="AP545" i="1"/>
  <c r="AR265" i="1" s="1"/>
  <c r="H543" i="1"/>
  <c r="I263" i="1" s="1"/>
  <c r="BJ546" i="1"/>
  <c r="AF543" i="1"/>
  <c r="AH263" i="1" s="1"/>
  <c r="CB549" i="1"/>
  <c r="CD269" i="1" s="1"/>
  <c r="AE550" i="1"/>
  <c r="AA544" i="1"/>
  <c r="BV546" i="1"/>
  <c r="BX266" i="1" s="1"/>
  <c r="G544" i="1"/>
  <c r="CB542" i="1"/>
  <c r="CD262" i="1" s="1"/>
  <c r="BJ542" i="1"/>
  <c r="AI542" i="1"/>
  <c r="BQ551" i="1"/>
  <c r="BV544" i="1"/>
  <c r="BX264" i="1" s="1"/>
  <c r="G547" i="1"/>
  <c r="CA549" i="1"/>
  <c r="BJ545" i="1"/>
  <c r="R543" i="1"/>
  <c r="T263" i="1" s="1"/>
  <c r="AW543" i="1"/>
  <c r="BJ548" i="1"/>
  <c r="AI548" i="1"/>
  <c r="AW548" i="1"/>
  <c r="K542" i="1"/>
  <c r="BC545" i="1"/>
  <c r="AO550" i="1"/>
  <c r="BR548" i="1"/>
  <c r="BT268" i="1" s="1"/>
  <c r="BJ550" i="1"/>
  <c r="CA551" i="1"/>
  <c r="AO542" i="1"/>
  <c r="X549" i="1"/>
  <c r="Z269" i="1" s="1"/>
  <c r="BV542" i="1"/>
  <c r="BX262" i="1" s="1"/>
  <c r="AB543" i="1"/>
  <c r="AD263" i="1" s="1"/>
  <c r="BG545" i="1"/>
  <c r="CA545" i="1"/>
  <c r="AF549" i="1"/>
  <c r="AH269" i="1" s="1"/>
  <c r="AW547" i="1"/>
  <c r="AA548" i="1"/>
  <c r="AI546" i="1"/>
  <c r="R551" i="1"/>
  <c r="T271" i="1" s="1"/>
  <c r="AW546" i="1"/>
  <c r="BU549" i="1"/>
  <c r="BR544" i="1"/>
  <c r="BT264" i="1" s="1"/>
  <c r="BU544" i="1"/>
  <c r="CA550" i="1"/>
  <c r="X545" i="1"/>
  <c r="Z265" i="1" s="1"/>
  <c r="AP543" i="1"/>
  <c r="AR263" i="1" s="1"/>
  <c r="W550" i="1"/>
  <c r="AB551" i="1"/>
  <c r="AD271" i="1" s="1"/>
  <c r="AO546" i="1"/>
  <c r="L549" i="1"/>
  <c r="N269" i="1" s="1"/>
  <c r="Q542" i="1"/>
  <c r="BC551" i="1"/>
  <c r="BD548" i="1"/>
  <c r="AJ551" i="1"/>
  <c r="AL271" i="1" s="1"/>
  <c r="Q551" i="1"/>
  <c r="W546" i="1"/>
  <c r="H551" i="1"/>
  <c r="I271" i="1" s="1"/>
  <c r="AJ547" i="1"/>
  <c r="AL267" i="1" s="1"/>
  <c r="BC549" i="1"/>
  <c r="AX542" i="1"/>
  <c r="AE551" i="1"/>
  <c r="R547" i="1"/>
  <c r="T267" i="1" s="1"/>
  <c r="CB550" i="1"/>
  <c r="CD270" i="1" s="1"/>
  <c r="AE546" i="1"/>
  <c r="BJ551" i="1"/>
  <c r="BU551" i="1"/>
  <c r="H547" i="1"/>
  <c r="I267" i="1" s="1"/>
  <c r="BU543" i="1"/>
  <c r="AX546" i="1"/>
  <c r="CB548" i="1"/>
  <c r="CD268" i="1" s="1"/>
  <c r="AO551" i="1"/>
  <c r="AA546" i="1"/>
  <c r="AX550" i="1"/>
  <c r="AE542" i="1"/>
  <c r="AJ543" i="1"/>
  <c r="AL263" i="1" s="1"/>
  <c r="L545" i="1"/>
  <c r="N265" i="1" s="1"/>
  <c r="K550" i="1"/>
  <c r="BD544" i="1"/>
  <c r="CA547" i="1"/>
  <c r="BY259" i="1"/>
  <c r="BV656" i="1"/>
  <c r="O259" i="1"/>
  <c r="L656" i="1"/>
  <c r="H656" i="1" s="1"/>
  <c r="AT393" i="1"/>
  <c r="AT404" i="1" s="1"/>
  <c r="AX404" i="1"/>
  <c r="AJ404" i="1"/>
  <c r="BR402" i="1"/>
  <c r="BR404" i="1" s="1"/>
  <c r="AT265" i="1"/>
  <c r="BD273" i="1"/>
  <c r="CB273" i="1"/>
  <c r="AT262" i="1"/>
  <c r="AX273" i="1"/>
  <c r="AP273" i="1"/>
  <c r="CA273" i="1"/>
  <c r="BQ273" i="1"/>
  <c r="AV258" i="1"/>
  <c r="AA402" i="1"/>
  <c r="AA404" i="1" s="1"/>
  <c r="AM259" i="1"/>
  <c r="AJ656" i="1"/>
  <c r="AB273" i="1"/>
  <c r="BF272" i="1"/>
  <c r="BF273" i="1"/>
  <c r="L273" i="1"/>
  <c r="AP404" i="1"/>
  <c r="CA402" i="1"/>
  <c r="CA404" i="1" s="1"/>
  <c r="BJ402" i="1"/>
  <c r="H655" i="1"/>
  <c r="BD402" i="1"/>
  <c r="BD404" i="1" s="1"/>
  <c r="AT267" i="1"/>
  <c r="I258" i="1"/>
  <c r="CB402" i="1"/>
  <c r="CB404" i="1" s="1"/>
  <c r="AB402" i="1"/>
  <c r="AB404" i="1" s="1"/>
  <c r="AW393" i="1"/>
  <c r="AW402" i="1"/>
  <c r="AT269" i="1"/>
  <c r="AT271" i="1"/>
  <c r="AJ273" i="1"/>
  <c r="R273" i="1"/>
  <c r="H273" i="1"/>
  <c r="BV404" i="1"/>
  <c r="BG402" i="1"/>
  <c r="AW273" i="1"/>
  <c r="AT263" i="1"/>
  <c r="AO273" i="1"/>
  <c r="AT266" i="1"/>
  <c r="BJ273" i="1"/>
  <c r="AO393" i="1"/>
  <c r="AO402" i="1"/>
  <c r="R404" i="1"/>
  <c r="BQ402" i="1"/>
  <c r="BQ404" i="1" s="1"/>
  <c r="AF273" i="1"/>
  <c r="G656" i="1"/>
  <c r="BU393" i="1"/>
  <c r="BU402" i="1"/>
  <c r="BV273" i="1"/>
  <c r="BU273" i="1"/>
  <c r="AT268" i="1"/>
  <c r="AT270" i="1"/>
  <c r="BN273" i="1"/>
  <c r="AE402" i="1"/>
  <c r="CE259" i="1"/>
  <c r="CB656" i="1"/>
  <c r="AF402" i="1"/>
  <c r="AF404" i="1" s="1"/>
  <c r="H389" i="1"/>
  <c r="H402" i="1" s="1"/>
  <c r="L416" i="1" s="1"/>
  <c r="L402" i="1"/>
  <c r="W393" i="1"/>
  <c r="W402" i="1"/>
  <c r="H390" i="1"/>
  <c r="H393" i="1" s="1"/>
  <c r="L393" i="1"/>
  <c r="X404" i="1"/>
  <c r="BR273" i="1"/>
  <c r="X273" i="1"/>
  <c r="BC402" i="1"/>
  <c r="BC404" i="1" s="1"/>
  <c r="W404" i="1" l="1"/>
  <c r="BU404" i="1"/>
  <c r="I259" i="1"/>
  <c r="CD273" i="1"/>
  <c r="AZ263" i="1"/>
  <c r="AT543" i="1"/>
  <c r="AV263" i="1" s="1"/>
  <c r="AL273" i="1"/>
  <c r="AH273" i="1"/>
  <c r="AZ268" i="1"/>
  <c r="AT548" i="1"/>
  <c r="AV268" i="1" s="1"/>
  <c r="AZ270" i="1"/>
  <c r="AT550" i="1"/>
  <c r="AV270" i="1" s="1"/>
  <c r="AD273" i="1"/>
  <c r="AV259" i="1"/>
  <c r="BX273" i="1"/>
  <c r="AZ264" i="1"/>
  <c r="AT544" i="1"/>
  <c r="AV264" i="1" s="1"/>
  <c r="AR273" i="1"/>
  <c r="AT402" i="1"/>
  <c r="AZ271" i="1"/>
  <c r="AT551" i="1"/>
  <c r="AV271" i="1" s="1"/>
  <c r="Z273" i="1"/>
  <c r="CG390" i="1"/>
  <c r="G402" i="1"/>
  <c r="G404" i="1" s="1"/>
  <c r="AZ269" i="1"/>
  <c r="AT549" i="1"/>
  <c r="AV269" i="1" s="1"/>
  <c r="I273" i="1"/>
  <c r="AZ266" i="1"/>
  <c r="AT546" i="1"/>
  <c r="AV266" i="1" s="1"/>
  <c r="BT273" i="1"/>
  <c r="T273" i="1"/>
  <c r="AZ267" i="1"/>
  <c r="AT547" i="1"/>
  <c r="AV267" i="1" s="1"/>
  <c r="L404" i="1"/>
  <c r="AW404" i="1"/>
  <c r="AT273" i="1"/>
  <c r="H404" i="1"/>
  <c r="L407" i="1"/>
  <c r="L418" i="1" s="1"/>
  <c r="AO404" i="1"/>
  <c r="CG389" i="1"/>
  <c r="AZ262" i="1"/>
  <c r="AZ273" i="1" s="1"/>
  <c r="AT542" i="1"/>
  <c r="AZ265" i="1"/>
  <c r="AT545" i="1"/>
  <c r="AV265" i="1" s="1"/>
  <c r="N273" i="1"/>
  <c r="AV262" i="1" l="1"/>
  <c r="AV273" i="1" s="1"/>
  <c r="AT552" i="1"/>
</calcChain>
</file>

<file path=xl/comments1.xml><?xml version="1.0" encoding="utf-8"?>
<comments xmlns="http://schemas.openxmlformats.org/spreadsheetml/2006/main">
  <authors>
    <author>Thomas Lowell</author>
  </authors>
  <commentList>
    <comment ref="AM547" authorId="0" shapeId="0">
      <text>
        <r>
          <rPr>
            <b/>
            <sz val="8"/>
            <color indexed="81"/>
            <rFont val="Tahoma"/>
          </rPr>
          <t>Thomas Lowell: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<sst xmlns="http://schemas.openxmlformats.org/spreadsheetml/2006/main" count="1584" uniqueCount="169">
  <si>
    <t>Region</t>
  </si>
  <si>
    <t>Peak</t>
  </si>
  <si>
    <t>Total</t>
  </si>
  <si>
    <t>CINERGY</t>
  </si>
  <si>
    <t>ECAR</t>
  </si>
  <si>
    <t>ERCOT</t>
  </si>
  <si>
    <t>INTO COMED</t>
  </si>
  <si>
    <t>INTO TVA</t>
  </si>
  <si>
    <t>MAPP</t>
  </si>
  <si>
    <t>NEPOOL</t>
  </si>
  <si>
    <t>NY EAST</t>
  </si>
  <si>
    <t>PJM</t>
  </si>
  <si>
    <t>SERC</t>
  </si>
  <si>
    <t>SPP</t>
  </si>
  <si>
    <t>WESTERN HUB</t>
  </si>
  <si>
    <t xml:space="preserve">Grand Total: </t>
  </si>
  <si>
    <t>Desk</t>
  </si>
  <si>
    <t>PWR-GAS-LT-MGMT</t>
  </si>
  <si>
    <t>PWR-MW-GAS-MTM</t>
  </si>
  <si>
    <t>PWR-NE-GAS-MTM</t>
  </si>
  <si>
    <t>PWR-NG-ERCT-OPT</t>
  </si>
  <si>
    <t>PWR-NG-LT-SPP</t>
  </si>
  <si>
    <t>PWR-NG-TEXAS</t>
  </si>
  <si>
    <t>Peak Delta</t>
  </si>
  <si>
    <t>SOUTHERN MAPP</t>
  </si>
  <si>
    <t>Off-Peak</t>
  </si>
  <si>
    <t>INTO AEP</t>
  </si>
  <si>
    <t>DATE</t>
  </si>
  <si>
    <t>total hours</t>
  </si>
  <si>
    <t>Off peak hrs</t>
  </si>
  <si>
    <t>Peak hrs</t>
  </si>
  <si>
    <t>W. PJM</t>
  </si>
  <si>
    <t>NY Z-J</t>
  </si>
  <si>
    <t>Cinergy</t>
  </si>
  <si>
    <t>ComEd</t>
  </si>
  <si>
    <t>Entergy</t>
  </si>
  <si>
    <t>TVA</t>
  </si>
  <si>
    <t>FL-GA</t>
  </si>
  <si>
    <t>FRCC</t>
  </si>
  <si>
    <t>S. MAPP</t>
  </si>
  <si>
    <t>MWHrs (PEAK)</t>
  </si>
  <si>
    <t>MWs (PEAK)</t>
  </si>
  <si>
    <t>PRICES (PEAK)</t>
  </si>
  <si>
    <t>HEAT RATES (PEAK)</t>
  </si>
  <si>
    <t>EQUIVALENT GAS CONTRACT (PEAK)</t>
  </si>
  <si>
    <t>MWs (offpeak)</t>
  </si>
  <si>
    <t>MWHrs (offpeak)</t>
  </si>
  <si>
    <t>Pk Delta</t>
  </si>
  <si>
    <t>yesterday</t>
  </si>
  <si>
    <t>today</t>
  </si>
  <si>
    <t>EQUIVALENT GAS CONTRACTS</t>
  </si>
  <si>
    <t>MW (OFFPEAK)</t>
  </si>
  <si>
    <t>Curve Shift</t>
  </si>
  <si>
    <t>MW</t>
  </si>
  <si>
    <t>Date</t>
  </si>
  <si>
    <t>Mid</t>
  </si>
  <si>
    <t>BAL-01</t>
  </si>
  <si>
    <t>CAL-02</t>
  </si>
  <si>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</si>
  <si>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</si>
  <si>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</si>
  <si>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</si>
  <si>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</si>
  <si>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</si>
  <si>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</si>
  <si>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</si>
  <si>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YEAR</t>
  </si>
  <si>
    <t>PEAK HOURS</t>
  </si>
  <si>
    <t>OFF PEAK MWHrs</t>
  </si>
  <si>
    <t>CALENDAR (PEAK)</t>
  </si>
  <si>
    <t>CALENDAR (OFF PEAK)</t>
  </si>
  <si>
    <t>CALENDAR (EQUIVALENT GAS CONTRACT, PEAK)</t>
  </si>
  <si>
    <t>GAS CONTRACTS</t>
  </si>
  <si>
    <t>TOTAL</t>
  </si>
  <si>
    <t>show?</t>
  </si>
  <si>
    <t>HEAT RATES</t>
  </si>
  <si>
    <t>OPEN</t>
  </si>
  <si>
    <t>total</t>
  </si>
  <si>
    <t>SOCO</t>
  </si>
  <si>
    <t>ENTERGY</t>
  </si>
  <si>
    <t>F-G</t>
  </si>
  <si>
    <t>H-J</t>
  </si>
  <si>
    <t>K</t>
  </si>
  <si>
    <t>M</t>
  </si>
  <si>
    <t>N-Q</t>
  </si>
  <si>
    <t>U</t>
  </si>
  <si>
    <t>V-Z</t>
  </si>
  <si>
    <t>Q</t>
  </si>
  <si>
    <t>X</t>
  </si>
  <si>
    <t>Z</t>
  </si>
  <si>
    <t>N</t>
  </si>
  <si>
    <t>V</t>
  </si>
  <si>
    <t>PWR-NG-ERCT-AST</t>
  </si>
  <si>
    <t>PWR-PJM-GAS-MTM</t>
  </si>
  <si>
    <t>Total Non-ERCOT</t>
  </si>
  <si>
    <t>next week</t>
  </si>
  <si>
    <t>2 weeks</t>
  </si>
  <si>
    <t>3 weeks</t>
  </si>
  <si>
    <t>4 weeks</t>
  </si>
  <si>
    <t>BALMO</t>
  </si>
  <si>
    <t>weekday</t>
  </si>
  <si>
    <t>peak hours</t>
  </si>
  <si>
    <t>BAL WEEK</t>
  </si>
  <si>
    <t>NEXT WEEK</t>
  </si>
  <si>
    <t>TWO WEEKS</t>
  </si>
  <si>
    <t>THREE WEEKS</t>
  </si>
  <si>
    <t>FOUR WEEKS</t>
  </si>
  <si>
    <t>row number</t>
  </si>
  <si>
    <t>CALENDAR</t>
  </si>
  <si>
    <t>peak</t>
  </si>
  <si>
    <t>offpeak</t>
  </si>
  <si>
    <t>OPPD NPPD</t>
  </si>
  <si>
    <t>Manitoba</t>
  </si>
  <si>
    <t>NSP</t>
  </si>
  <si>
    <t>CHECKS</t>
  </si>
  <si>
    <t>CASH</t>
  </si>
  <si>
    <t>peak notional</t>
  </si>
  <si>
    <t>offpeak notional</t>
  </si>
  <si>
    <t>delta</t>
  </si>
  <si>
    <t>end of july</t>
  </si>
  <si>
    <t>FRI</t>
  </si>
  <si>
    <t>NY WEST</t>
  </si>
  <si>
    <t>directory</t>
  </si>
  <si>
    <t>WED</t>
  </si>
  <si>
    <t>NY Zone G</t>
  </si>
  <si>
    <t>NY Zone A</t>
  </si>
  <si>
    <t>Off Peak</t>
  </si>
  <si>
    <t>V 01</t>
  </si>
  <si>
    <t>X 01</t>
  </si>
  <si>
    <t>Z 01</t>
  </si>
  <si>
    <t>K 03</t>
  </si>
  <si>
    <t>M 03</t>
  </si>
  <si>
    <t>N-Q 03</t>
  </si>
  <si>
    <t>U 03</t>
  </si>
  <si>
    <t>V-Z 03</t>
  </si>
  <si>
    <t>F-G 02</t>
  </si>
  <si>
    <t>H-J 02</t>
  </si>
  <si>
    <t>K 02</t>
  </si>
  <si>
    <t>M 02</t>
  </si>
  <si>
    <t>N-Q 02</t>
  </si>
  <si>
    <t>U 02</t>
  </si>
  <si>
    <t>V-Z 02</t>
  </si>
  <si>
    <t>F-G 03</t>
  </si>
  <si>
    <t>H-J 03</t>
  </si>
  <si>
    <t>Off Peak Hours</t>
  </si>
  <si>
    <t>F-G 04</t>
  </si>
  <si>
    <t>H-J 04</t>
  </si>
  <si>
    <t>K 04</t>
  </si>
  <si>
    <t>M 04</t>
  </si>
  <si>
    <t>N-Q 04</t>
  </si>
  <si>
    <t>U 04</t>
  </si>
  <si>
    <t>V-Z 04</t>
  </si>
  <si>
    <t>F-G 05</t>
  </si>
  <si>
    <t>H-J 05</t>
  </si>
  <si>
    <t>K 05</t>
  </si>
  <si>
    <t>M 05</t>
  </si>
  <si>
    <t>N-Q 05</t>
  </si>
  <si>
    <t>U 05</t>
  </si>
  <si>
    <t>V-Z 05</t>
  </si>
  <si>
    <t>NY East</t>
  </si>
  <si>
    <t>PWR-COAL-MW</t>
  </si>
  <si>
    <t>AMEREN</t>
  </si>
  <si>
    <t>THUR</t>
  </si>
  <si>
    <t>PWR-COAL-MGMT</t>
  </si>
  <si>
    <t>TUES</t>
  </si>
  <si>
    <t>MON</t>
  </si>
  <si>
    <t>Offpeak</t>
  </si>
  <si>
    <t>AEP</t>
  </si>
  <si>
    <t>m:\power2\analyst\ggiron\fletch\dec01\1204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</si>
</sst>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$&quot;#,##0.00_);[Red]\(&quot;$&quot;#,##0.00\)"/>
    <numFmt numFmtId="43" formatCode="_(* #,##0.00_);_(* \(#,##0.00\);_(* &quot;-&quot;??_);_(@_)"/>
    <numFmt numFmtId="171" formatCode="_(* #,##0_);_(* \(#,##0\);_(* &quot;-&quot;??_);_(@_)"/>
    <numFmt numFmtId="173" formatCode="0.000"/>
    <numFmt numFmtId="175" formatCode="0_);[Red]\(0\)"/>
    <numFmt numFmtId="178" formatCode="0.00_);\(0.00\)"/>
    <numFmt numFmtId="180" formatCode="0_);\(0\)"/>
    <numFmt numFmtId="181" formatCode="mm/dd/yy"/>
    <numFmt numFmtId="183" formatCode="0.00_);[Red]\(0.00\)"/>
    <numFmt numFmtId="186" formatCode="0.00000_);[Red]\(0.00000\)"/>
    <numFmt numFmtId="187" formatCode="m/d"/>
    <numFmt numFmtId="191" formatCode="m/d/yy"/>
  </numFmts>
  <fonts count="19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8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2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2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4" fontId="5" fillId="0" borderId="0" xfId="0" applyNumberFormat="1" applyFont="1"/>
    <xf numFmtId="38" fontId="5" fillId="0" borderId="0" xfId="0" applyNumberFormat="1" applyFont="1"/>
    <xf numFmtId="0" fontId="2" fillId="3" borderId="0" xfId="0" applyFont="1" applyFill="1"/>
    <xf numFmtId="0" fontId="4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38" fontId="5" fillId="0" borderId="0" xfId="0" applyNumberFormat="1" applyFont="1" applyAlignment="1">
      <alignment horizontal="right"/>
    </xf>
    <xf numFmtId="38" fontId="5" fillId="0" borderId="0" xfId="1" applyNumberFormat="1" applyFont="1" applyAlignment="1">
      <alignment horizontal="right"/>
    </xf>
    <xf numFmtId="0" fontId="2" fillId="3" borderId="0" xfId="0" applyFont="1" applyFill="1" applyAlignment="1">
      <alignment horizontal="right"/>
    </xf>
    <xf numFmtId="2" fontId="0" fillId="0" borderId="0" xfId="0" applyNumberFormat="1" applyAlignment="1">
      <alignment horizontal="right"/>
    </xf>
    <xf numFmtId="171" fontId="0" fillId="0" borderId="0" xfId="1" applyNumberFormat="1" applyFont="1" applyAlignment="1">
      <alignment horizontal="right"/>
    </xf>
    <xf numFmtId="171" fontId="1" fillId="0" borderId="0" xfId="1" applyNumberFormat="1" applyAlignment="1">
      <alignment horizontal="right"/>
    </xf>
    <xf numFmtId="0" fontId="5" fillId="0" borderId="0" xfId="0" applyNumberFormat="1" applyFont="1" applyAlignment="1">
      <alignment horizontal="right"/>
    </xf>
    <xf numFmtId="173" fontId="0" fillId="0" borderId="0" xfId="0" applyNumberFormat="1"/>
    <xf numFmtId="0" fontId="0" fillId="0" borderId="0" xfId="1" applyNumberFormat="1" applyFont="1" applyAlignment="1">
      <alignment horizontal="right"/>
    </xf>
    <xf numFmtId="0" fontId="1" fillId="0" borderId="0" xfId="1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3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0" fillId="3" borderId="0" xfId="0" applyFill="1"/>
    <xf numFmtId="175" fontId="0" fillId="0" borderId="2" xfId="0" applyNumberFormat="1" applyBorder="1" applyAlignment="1">
      <alignment horizontal="center"/>
    </xf>
    <xf numFmtId="175" fontId="0" fillId="3" borderId="2" xfId="0" applyNumberFormat="1" applyFill="1" applyBorder="1" applyAlignment="1">
      <alignment horizontal="center"/>
    </xf>
    <xf numFmtId="175" fontId="0" fillId="0" borderId="3" xfId="0" applyNumberFormat="1" applyBorder="1" applyAlignment="1">
      <alignment horizontal="center"/>
    </xf>
    <xf numFmtId="175" fontId="3" fillId="2" borderId="2" xfId="0" applyNumberFormat="1" applyFont="1" applyFill="1" applyBorder="1" applyAlignment="1">
      <alignment horizontal="center"/>
    </xf>
    <xf numFmtId="175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38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9" fillId="0" borderId="1" xfId="0" applyFont="1" applyBorder="1" applyAlignment="1">
      <alignment vertical="center" wrapText="1"/>
    </xf>
    <xf numFmtId="17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8" fillId="0" borderId="4" xfId="0" applyNumberFormat="1" applyFont="1" applyBorder="1" applyAlignment="1">
      <alignment horizontal="center" vertical="center" wrapText="1"/>
    </xf>
    <xf numFmtId="175" fontId="11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38" fontId="0" fillId="3" borderId="0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75" fontId="0" fillId="0" borderId="0" xfId="0" applyNumberFormat="1" applyBorder="1" applyAlignment="1">
      <alignment horizontal="center"/>
    </xf>
    <xf numFmtId="175" fontId="0" fillId="3" borderId="0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75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75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38" fontId="0" fillId="3" borderId="8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40" fontId="0" fillId="0" borderId="0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14" fontId="8" fillId="0" borderId="11" xfId="0" applyNumberFormat="1" applyFont="1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 wrapText="1"/>
    </xf>
    <xf numFmtId="14" fontId="0" fillId="0" borderId="7" xfId="0" applyNumberFormat="1" applyBorder="1" applyAlignment="1">
      <alignment horizontal="left"/>
    </xf>
    <xf numFmtId="14" fontId="0" fillId="0" borderId="7" xfId="0" applyNumberFormat="1" applyFill="1" applyBorder="1" applyAlignment="1">
      <alignment horizontal="left"/>
    </xf>
    <xf numFmtId="14" fontId="0" fillId="3" borderId="7" xfId="0" applyNumberFormat="1" applyFill="1" applyBorder="1" applyAlignment="1">
      <alignment horizontal="left"/>
    </xf>
    <xf numFmtId="14" fontId="0" fillId="3" borderId="12" xfId="0" applyNumberForma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3" xfId="0" applyFill="1" applyBorder="1" applyAlignment="1">
      <alignment horizontal="center"/>
    </xf>
    <xf numFmtId="175" fontId="0" fillId="0" borderId="14" xfId="0" applyNumberFormat="1" applyFill="1" applyBorder="1" applyAlignment="1">
      <alignment horizontal="center"/>
    </xf>
    <xf numFmtId="0" fontId="3" fillId="0" borderId="0" xfId="0" applyFont="1" applyFill="1"/>
    <xf numFmtId="14" fontId="3" fillId="0" borderId="7" xfId="0" applyNumberFormat="1" applyFont="1" applyFill="1" applyBorder="1" applyAlignment="1">
      <alignment horizontal="left"/>
    </xf>
    <xf numFmtId="175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3" borderId="1" xfId="0" applyFill="1" applyBorder="1"/>
    <xf numFmtId="14" fontId="0" fillId="3" borderId="15" xfId="0" applyNumberFormat="1" applyFill="1" applyBorder="1" applyAlignment="1">
      <alignment horizontal="left"/>
    </xf>
    <xf numFmtId="175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8" fontId="0" fillId="3" borderId="1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0" fontId="0" fillId="4" borderId="13" xfId="0" applyNumberFormat="1" applyFill="1" applyBorder="1" applyAlignment="1">
      <alignment horizontal="center"/>
    </xf>
    <xf numFmtId="180" fontId="13" fillId="5" borderId="13" xfId="0" applyNumberFormat="1" applyFont="1" applyFill="1" applyBorder="1" applyAlignment="1">
      <alignment horizontal="center"/>
    </xf>
    <xf numFmtId="180" fontId="0" fillId="6" borderId="13" xfId="0" applyNumberFormat="1" applyFill="1" applyBorder="1" applyAlignment="1">
      <alignment horizontal="center"/>
    </xf>
    <xf numFmtId="178" fontId="0" fillId="6" borderId="13" xfId="0" applyNumberFormat="1" applyFill="1" applyBorder="1" applyAlignment="1">
      <alignment horizontal="center"/>
    </xf>
    <xf numFmtId="180" fontId="0" fillId="7" borderId="14" xfId="0" applyNumberFormat="1" applyFill="1" applyBorder="1" applyAlignment="1">
      <alignment horizontal="center"/>
    </xf>
    <xf numFmtId="178" fontId="0" fillId="7" borderId="14" xfId="0" applyNumberFormat="1" applyFill="1" applyBorder="1" applyAlignment="1">
      <alignment horizontal="center"/>
    </xf>
    <xf numFmtId="180" fontId="0" fillId="8" borderId="14" xfId="0" applyNumberForma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14" fontId="0" fillId="9" borderId="0" xfId="0" applyNumberForma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38" fontId="0" fillId="9" borderId="0" xfId="0" applyNumberFormat="1" applyFill="1" applyBorder="1" applyAlignment="1">
      <alignment horizontal="center"/>
    </xf>
    <xf numFmtId="180" fontId="13" fillId="10" borderId="13" xfId="0" applyNumberFormat="1" applyFont="1" applyFill="1" applyBorder="1" applyAlignment="1">
      <alignment horizontal="center"/>
    </xf>
    <xf numFmtId="178" fontId="13" fillId="10" borderId="13" xfId="0" applyNumberFormat="1" applyFont="1" applyFill="1" applyBorder="1" applyAlignment="1">
      <alignment horizontal="center"/>
    </xf>
    <xf numFmtId="180" fontId="0" fillId="11" borderId="14" xfId="0" applyNumberFormat="1" applyFill="1" applyBorder="1" applyAlignment="1">
      <alignment horizontal="center"/>
    </xf>
    <xf numFmtId="178" fontId="0" fillId="11" borderId="14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81" fontId="0" fillId="0" borderId="0" xfId="0" applyNumberFormat="1" applyFill="1" applyBorder="1" applyAlignment="1">
      <alignment horizontal="center"/>
    </xf>
    <xf numFmtId="180" fontId="0" fillId="0" borderId="0" xfId="0" applyNumberFormat="1" applyFill="1" applyBorder="1" applyAlignment="1">
      <alignment horizontal="center"/>
    </xf>
    <xf numFmtId="178" fontId="0" fillId="0" borderId="0" xfId="0" applyNumberFormat="1" applyFill="1" applyBorder="1" applyAlignment="1">
      <alignment horizontal="center"/>
    </xf>
    <xf numFmtId="181" fontId="13" fillId="5" borderId="17" xfId="0" applyNumberFormat="1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80" fontId="13" fillId="5" borderId="19" xfId="0" applyNumberFormat="1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2" fontId="13" fillId="0" borderId="18" xfId="0" applyNumberFormat="1" applyFont="1" applyFill="1" applyBorder="1" applyAlignment="1">
      <alignment horizontal="center"/>
    </xf>
    <xf numFmtId="38" fontId="13" fillId="0" borderId="18" xfId="0" applyNumberFormat="1" applyFont="1" applyBorder="1" applyAlignment="1">
      <alignment horizontal="center"/>
    </xf>
    <xf numFmtId="2" fontId="13" fillId="0" borderId="18" xfId="0" applyNumberFormat="1" applyFont="1" applyBorder="1" applyAlignment="1">
      <alignment horizontal="center"/>
    </xf>
    <xf numFmtId="181" fontId="13" fillId="10" borderId="20" xfId="0" applyNumberFormat="1" applyFont="1" applyFill="1" applyBorder="1" applyAlignment="1">
      <alignment horizontal="center"/>
    </xf>
    <xf numFmtId="178" fontId="13" fillId="10" borderId="21" xfId="0" applyNumberFormat="1" applyFont="1" applyFill="1" applyBorder="1" applyAlignment="1">
      <alignment horizontal="center"/>
    </xf>
    <xf numFmtId="181" fontId="0" fillId="4" borderId="20" xfId="0" applyNumberFormat="1" applyFill="1" applyBorder="1" applyAlignment="1">
      <alignment horizontal="center"/>
    </xf>
    <xf numFmtId="181" fontId="0" fillId="6" borderId="20" xfId="0" applyNumberFormat="1" applyFill="1" applyBorder="1" applyAlignment="1">
      <alignment horizontal="center"/>
    </xf>
    <xf numFmtId="178" fontId="0" fillId="6" borderId="21" xfId="0" applyNumberFormat="1" applyFill="1" applyBorder="1" applyAlignment="1">
      <alignment horizontal="center"/>
    </xf>
    <xf numFmtId="181" fontId="0" fillId="6" borderId="22" xfId="0" applyNumberFormat="1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180" fontId="0" fillId="6" borderId="23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81" fontId="0" fillId="11" borderId="17" xfId="0" applyNumberFormat="1" applyFill="1" applyBorder="1" applyAlignment="1">
      <alignment horizontal="center"/>
    </xf>
    <xf numFmtId="14" fontId="0" fillId="0" borderId="18" xfId="0" applyNumberFormat="1" applyFill="1" applyBorder="1" applyAlignment="1">
      <alignment horizontal="center"/>
    </xf>
    <xf numFmtId="180" fontId="0" fillId="11" borderId="19" xfId="0" applyNumberFormat="1" applyFill="1" applyBorder="1" applyAlignment="1">
      <alignment horizontal="center"/>
    </xf>
    <xf numFmtId="175" fontId="0" fillId="0" borderId="19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181" fontId="0" fillId="11" borderId="24" xfId="0" applyNumberFormat="1" applyFill="1" applyBorder="1" applyAlignment="1">
      <alignment horizontal="center"/>
    </xf>
    <xf numFmtId="178" fontId="0" fillId="11" borderId="21" xfId="0" applyNumberFormat="1" applyFill="1" applyBorder="1" applyAlignment="1">
      <alignment horizontal="center"/>
    </xf>
    <xf numFmtId="181" fontId="0" fillId="7" borderId="24" xfId="0" applyNumberFormat="1" applyFill="1" applyBorder="1" applyAlignment="1">
      <alignment horizontal="center"/>
    </xf>
    <xf numFmtId="178" fontId="0" fillId="7" borderId="21" xfId="0" applyNumberFormat="1" applyFill="1" applyBorder="1" applyAlignment="1">
      <alignment horizontal="center"/>
    </xf>
    <xf numFmtId="181" fontId="0" fillId="8" borderId="24" xfId="0" applyNumberFormat="1" applyFill="1" applyBorder="1" applyAlignment="1">
      <alignment horizontal="center"/>
    </xf>
    <xf numFmtId="181" fontId="13" fillId="5" borderId="20" xfId="0" applyNumberFormat="1" applyFont="1" applyFill="1" applyBorder="1" applyAlignment="1">
      <alignment horizontal="center"/>
    </xf>
    <xf numFmtId="175" fontId="3" fillId="0" borderId="25" xfId="0" applyNumberFormat="1" applyFont="1" applyFill="1" applyBorder="1" applyAlignment="1">
      <alignment horizontal="center"/>
    </xf>
    <xf numFmtId="38" fontId="3" fillId="0" borderId="26" xfId="0" applyNumberFormat="1" applyFont="1" applyFill="1" applyBorder="1" applyAlignment="1">
      <alignment horizontal="center"/>
    </xf>
    <xf numFmtId="186" fontId="0" fillId="0" borderId="0" xfId="0" applyNumberFormat="1" applyAlignment="1">
      <alignment horizontal="center"/>
    </xf>
    <xf numFmtId="180" fontId="13" fillId="5" borderId="5" xfId="0" applyNumberFormat="1" applyFont="1" applyFill="1" applyBorder="1" applyAlignment="1">
      <alignment horizontal="center"/>
    </xf>
    <xf numFmtId="180" fontId="13" fillId="10" borderId="27" xfId="0" applyNumberFormat="1" applyFont="1" applyFill="1" applyBorder="1" applyAlignment="1">
      <alignment horizontal="center"/>
    </xf>
    <xf numFmtId="180" fontId="0" fillId="4" borderId="27" xfId="0" applyNumberFormat="1" applyFill="1" applyBorder="1" applyAlignment="1">
      <alignment horizontal="center"/>
    </xf>
    <xf numFmtId="180" fontId="0" fillId="6" borderId="27" xfId="0" applyNumberFormat="1" applyFill="1" applyBorder="1" applyAlignment="1">
      <alignment horizontal="center"/>
    </xf>
    <xf numFmtId="180" fontId="0" fillId="6" borderId="28" xfId="0" applyNumberFormat="1" applyFill="1" applyBorder="1" applyAlignment="1">
      <alignment horizontal="center"/>
    </xf>
    <xf numFmtId="180" fontId="0" fillId="11" borderId="5" xfId="0" applyNumberFormat="1" applyFill="1" applyBorder="1" applyAlignment="1">
      <alignment horizontal="center"/>
    </xf>
    <xf numFmtId="180" fontId="0" fillId="7" borderId="3" xfId="0" applyNumberFormat="1" applyFill="1" applyBorder="1" applyAlignment="1">
      <alignment horizontal="center"/>
    </xf>
    <xf numFmtId="180" fontId="0" fillId="8" borderId="3" xfId="0" applyNumberFormat="1" applyFill="1" applyBorder="1" applyAlignment="1">
      <alignment horizontal="center"/>
    </xf>
    <xf numFmtId="180" fontId="13" fillId="5" borderId="27" xfId="0" applyNumberFormat="1" applyFont="1" applyFill="1" applyBorder="1" applyAlignment="1">
      <alignment horizontal="center"/>
    </xf>
    <xf numFmtId="180" fontId="0" fillId="0" borderId="2" xfId="0" applyNumberForma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0" fontId="5" fillId="0" borderId="0" xfId="0" applyFont="1" applyFill="1"/>
    <xf numFmtId="181" fontId="5" fillId="0" borderId="17" xfId="0" applyNumberFormat="1" applyFont="1" applyFill="1" applyBorder="1" applyAlignment="1">
      <alignment horizontal="center"/>
    </xf>
    <xf numFmtId="180" fontId="5" fillId="0" borderId="19" xfId="0" applyNumberFormat="1" applyFont="1" applyFill="1" applyBorder="1" applyAlignment="1">
      <alignment horizontal="center"/>
    </xf>
    <xf numFmtId="178" fontId="5" fillId="0" borderId="19" xfId="0" applyNumberFormat="1" applyFont="1" applyFill="1" applyBorder="1" applyAlignment="1">
      <alignment horizontal="center"/>
    </xf>
    <xf numFmtId="178" fontId="5" fillId="0" borderId="29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81" fontId="5" fillId="0" borderId="20" xfId="0" applyNumberFormat="1" applyFont="1" applyFill="1" applyBorder="1" applyAlignment="1">
      <alignment horizontal="center"/>
    </xf>
    <xf numFmtId="180" fontId="5" fillId="0" borderId="13" xfId="0" applyNumberFormat="1" applyFont="1" applyFill="1" applyBorder="1" applyAlignment="1">
      <alignment horizontal="center"/>
    </xf>
    <xf numFmtId="178" fontId="5" fillId="0" borderId="13" xfId="0" applyNumberFormat="1" applyFont="1" applyFill="1" applyBorder="1" applyAlignment="1">
      <alignment horizontal="center"/>
    </xf>
    <xf numFmtId="178" fontId="5" fillId="0" borderId="21" xfId="0" applyNumberFormat="1" applyFont="1" applyFill="1" applyBorder="1" applyAlignment="1">
      <alignment horizontal="center"/>
    </xf>
    <xf numFmtId="0" fontId="5" fillId="0" borderId="1" xfId="0" applyFont="1" applyFill="1" applyBorder="1"/>
    <xf numFmtId="181" fontId="5" fillId="0" borderId="22" xfId="0" applyNumberFormat="1" applyFont="1" applyFill="1" applyBorder="1" applyAlignment="1">
      <alignment horizontal="center"/>
    </xf>
    <xf numFmtId="180" fontId="5" fillId="0" borderId="23" xfId="0" applyNumberFormat="1" applyFont="1" applyFill="1" applyBorder="1" applyAlignment="1">
      <alignment horizontal="center"/>
    </xf>
    <xf numFmtId="178" fontId="5" fillId="0" borderId="23" xfId="0" applyNumberFormat="1" applyFont="1" applyFill="1" applyBorder="1" applyAlignment="1">
      <alignment horizontal="center"/>
    </xf>
    <xf numFmtId="178" fontId="5" fillId="0" borderId="3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81" fontId="5" fillId="0" borderId="24" xfId="0" applyNumberFormat="1" applyFont="1" applyFill="1" applyBorder="1" applyAlignment="1">
      <alignment horizontal="center"/>
    </xf>
    <xf numFmtId="180" fontId="5" fillId="0" borderId="14" xfId="0" applyNumberFormat="1" applyFont="1" applyFill="1" applyBorder="1" applyAlignment="1">
      <alignment horizontal="center"/>
    </xf>
    <xf numFmtId="178" fontId="5" fillId="0" borderId="14" xfId="0" applyNumberFormat="1" applyFont="1" applyFill="1" applyBorder="1" applyAlignment="1">
      <alignment horizontal="center"/>
    </xf>
    <xf numFmtId="0" fontId="5" fillId="3" borderId="0" xfId="0" applyFont="1" applyFill="1"/>
    <xf numFmtId="181" fontId="5" fillId="3" borderId="20" xfId="0" applyNumberFormat="1" applyFont="1" applyFill="1" applyBorder="1" applyAlignment="1">
      <alignment horizontal="center"/>
    </xf>
    <xf numFmtId="180" fontId="5" fillId="3" borderId="13" xfId="0" applyNumberFormat="1" applyFont="1" applyFill="1" applyBorder="1" applyAlignment="1">
      <alignment horizontal="center"/>
    </xf>
    <xf numFmtId="178" fontId="5" fillId="3" borderId="13" xfId="0" applyNumberFormat="1" applyFont="1" applyFill="1" applyBorder="1" applyAlignment="1">
      <alignment horizontal="center"/>
    </xf>
    <xf numFmtId="178" fontId="5" fillId="3" borderId="21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81" fontId="5" fillId="3" borderId="24" xfId="0" applyNumberFormat="1" applyFont="1" applyFill="1" applyBorder="1" applyAlignment="1">
      <alignment horizontal="center"/>
    </xf>
    <xf numFmtId="180" fontId="5" fillId="3" borderId="14" xfId="0" applyNumberFormat="1" applyFont="1" applyFill="1" applyBorder="1" applyAlignment="1">
      <alignment horizontal="center"/>
    </xf>
    <xf numFmtId="178" fontId="5" fillId="3" borderId="14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81" fontId="0" fillId="0" borderId="0" xfId="0" applyNumberFormat="1" applyAlignment="1">
      <alignment horizontal="center"/>
    </xf>
    <xf numFmtId="181" fontId="3" fillId="0" borderId="0" xfId="0" applyNumberFormat="1" applyFont="1" applyFill="1"/>
    <xf numFmtId="175" fontId="0" fillId="0" borderId="6" xfId="0" applyNumberFormat="1" applyBorder="1" applyAlignment="1">
      <alignment horizontal="center"/>
    </xf>
    <xf numFmtId="175" fontId="0" fillId="3" borderId="6" xfId="0" applyNumberFormat="1" applyFill="1" applyBorder="1" applyAlignment="1">
      <alignment horizontal="center"/>
    </xf>
    <xf numFmtId="175" fontId="3" fillId="0" borderId="6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4" fontId="0" fillId="0" borderId="15" xfId="0" applyNumberForma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38" fontId="0" fillId="0" borderId="1" xfId="0" applyNumberForma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2" fontId="5" fillId="0" borderId="0" xfId="0" applyNumberFormat="1" applyFont="1"/>
    <xf numFmtId="8" fontId="0" fillId="3" borderId="0" xfId="0" applyNumberFormat="1" applyFill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87" fontId="0" fillId="0" borderId="6" xfId="0" applyNumberFormat="1" applyBorder="1" applyAlignment="1">
      <alignment horizontal="center"/>
    </xf>
    <xf numFmtId="8" fontId="0" fillId="3" borderId="6" xfId="0" applyNumberFormat="1" applyFill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187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5" fontId="0" fillId="0" borderId="2" xfId="0" applyNumberFormat="1" applyBorder="1" applyAlignment="1">
      <alignment horizontal="left"/>
    </xf>
    <xf numFmtId="0" fontId="14" fillId="0" borderId="2" xfId="0" applyFont="1" applyBorder="1" applyAlignment="1">
      <alignment horizontal="left"/>
    </xf>
    <xf numFmtId="175" fontId="0" fillId="3" borderId="0" xfId="0" applyNumberFormat="1" applyFill="1"/>
    <xf numFmtId="3" fontId="0" fillId="3" borderId="0" xfId="0" applyNumberFormat="1" applyFill="1"/>
    <xf numFmtId="8" fontId="0" fillId="0" borderId="1" xfId="0" applyNumberFormat="1" applyBorder="1" applyAlignment="1">
      <alignment horizontal="center"/>
    </xf>
    <xf numFmtId="8" fontId="0" fillId="0" borderId="16" xfId="0" applyNumberFormat="1" applyBorder="1" applyAlignment="1">
      <alignment horizontal="center"/>
    </xf>
    <xf numFmtId="181" fontId="0" fillId="3" borderId="1" xfId="0" applyNumberFormat="1" applyFill="1" applyBorder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/>
    </xf>
    <xf numFmtId="178" fontId="5" fillId="3" borderId="27" xfId="0" applyNumberFormat="1" applyFont="1" applyFill="1" applyBorder="1" applyAlignment="1">
      <alignment horizontal="center"/>
    </xf>
    <xf numFmtId="178" fontId="5" fillId="0" borderId="27" xfId="0" applyNumberFormat="1" applyFont="1" applyFill="1" applyBorder="1" applyAlignment="1">
      <alignment horizontal="center"/>
    </xf>
    <xf numFmtId="178" fontId="5" fillId="0" borderId="28" xfId="0" applyNumberFormat="1" applyFont="1" applyFill="1" applyBorder="1" applyAlignment="1">
      <alignment horizontal="center"/>
    </xf>
    <xf numFmtId="178" fontId="5" fillId="3" borderId="3" xfId="0" applyNumberFormat="1" applyFont="1" applyFill="1" applyBorder="1" applyAlignment="1">
      <alignment horizontal="center"/>
    </xf>
    <xf numFmtId="178" fontId="5" fillId="0" borderId="3" xfId="0" applyNumberFormat="1" applyFont="1" applyFill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14" fontId="5" fillId="0" borderId="7" xfId="0" applyNumberFormat="1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175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17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6" fillId="12" borderId="0" xfId="0" applyFont="1" applyFill="1"/>
    <xf numFmtId="0" fontId="6" fillId="2" borderId="0" xfId="0" applyFont="1" applyFill="1" applyAlignment="1">
      <alignment horizontal="left"/>
    </xf>
    <xf numFmtId="171" fontId="0" fillId="0" borderId="2" xfId="1" applyNumberFormat="1" applyFont="1" applyBorder="1" applyAlignment="1">
      <alignment horizontal="center"/>
    </xf>
    <xf numFmtId="171" fontId="0" fillId="0" borderId="0" xfId="1" applyNumberFormat="1" applyFont="1" applyBorder="1" applyAlignment="1">
      <alignment horizontal="center"/>
    </xf>
    <xf numFmtId="171" fontId="0" fillId="3" borderId="0" xfId="1" applyNumberFormat="1" applyFont="1" applyFill="1" applyBorder="1" applyAlignment="1">
      <alignment horizontal="center"/>
    </xf>
    <xf numFmtId="171" fontId="0" fillId="3" borderId="1" xfId="1" applyNumberFormat="1" applyFont="1" applyFill="1" applyBorder="1" applyAlignment="1">
      <alignment horizontal="center"/>
    </xf>
    <xf numFmtId="171" fontId="3" fillId="0" borderId="0" xfId="1" applyNumberFormat="1" applyFont="1" applyFill="1" applyBorder="1" applyAlignment="1">
      <alignment horizontal="center"/>
    </xf>
    <xf numFmtId="171" fontId="3" fillId="2" borderId="0" xfId="1" applyNumberFormat="1" applyFont="1" applyFill="1" applyBorder="1" applyAlignment="1">
      <alignment horizontal="center"/>
    </xf>
    <xf numFmtId="171" fontId="0" fillId="0" borderId="1" xfId="1" applyNumberFormat="1" applyFont="1" applyBorder="1" applyAlignment="1">
      <alignment horizontal="center"/>
    </xf>
    <xf numFmtId="171" fontId="3" fillId="0" borderId="26" xfId="1" applyNumberFormat="1" applyFont="1" applyFill="1" applyBorder="1" applyAlignment="1">
      <alignment horizontal="center"/>
    </xf>
    <xf numFmtId="171" fontId="0" fillId="3" borderId="8" xfId="1" applyNumberFormat="1" applyFon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0" fontId="3" fillId="12" borderId="0" xfId="0" applyFont="1" applyFill="1" applyAlignment="1">
      <alignment horizontal="right"/>
    </xf>
    <xf numFmtId="0" fontId="5" fillId="12" borderId="0" xfId="0" applyNumberFormat="1" applyFont="1" applyFill="1" applyAlignment="1">
      <alignment horizontal="right"/>
    </xf>
    <xf numFmtId="38" fontId="5" fillId="12" borderId="0" xfId="0" applyNumberFormat="1" applyFont="1" applyFill="1" applyAlignment="1">
      <alignment horizontal="right"/>
    </xf>
    <xf numFmtId="178" fontId="0" fillId="11" borderId="13" xfId="0" applyNumberFormat="1" applyFill="1" applyBorder="1" applyAlignment="1">
      <alignment horizontal="center"/>
    </xf>
    <xf numFmtId="178" fontId="0" fillId="7" borderId="13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75" fontId="0" fillId="0" borderId="5" xfId="0" applyNumberFormat="1" applyFill="1" applyBorder="1" applyAlignment="1">
      <alignment horizontal="center"/>
    </xf>
    <xf numFmtId="175" fontId="0" fillId="0" borderId="3" xfId="0" applyNumberFormat="1" applyFill="1" applyBorder="1" applyAlignment="1">
      <alignment horizontal="center"/>
    </xf>
    <xf numFmtId="180" fontId="13" fillId="10" borderId="31" xfId="0" applyNumberFormat="1" applyFont="1" applyFill="1" applyBorder="1" applyAlignment="1">
      <alignment horizontal="center"/>
    </xf>
    <xf numFmtId="180" fontId="0" fillId="4" borderId="31" xfId="0" applyNumberFormat="1" applyFill="1" applyBorder="1" applyAlignment="1">
      <alignment horizontal="center"/>
    </xf>
    <xf numFmtId="180" fontId="0" fillId="6" borderId="32" xfId="0" applyNumberFormat="1" applyFill="1" applyBorder="1" applyAlignment="1">
      <alignment horizontal="center"/>
    </xf>
    <xf numFmtId="180" fontId="0" fillId="11" borderId="4" xfId="0" applyNumberFormat="1" applyFill="1" applyBorder="1" applyAlignment="1">
      <alignment horizontal="center"/>
    </xf>
    <xf numFmtId="180" fontId="0" fillId="7" borderId="1" xfId="0" applyNumberFormat="1" applyFill="1" applyBorder="1" applyAlignment="1">
      <alignment horizontal="center"/>
    </xf>
    <xf numFmtId="180" fontId="0" fillId="8" borderId="1" xfId="0" applyNumberFormat="1" applyFill="1" applyBorder="1" applyAlignment="1">
      <alignment horizontal="center"/>
    </xf>
    <xf numFmtId="180" fontId="13" fillId="5" borderId="31" xfId="0" applyNumberFormat="1" applyFont="1" applyFill="1" applyBorder="1" applyAlignment="1">
      <alignment horizontal="center"/>
    </xf>
    <xf numFmtId="180" fontId="5" fillId="3" borderId="33" xfId="0" applyNumberFormat="1" applyFont="1" applyFill="1" applyBorder="1" applyAlignment="1">
      <alignment horizontal="center"/>
    </xf>
    <xf numFmtId="180" fontId="5" fillId="0" borderId="33" xfId="0" applyNumberFormat="1" applyFont="1" applyFill="1" applyBorder="1" applyAlignment="1">
      <alignment horizontal="center"/>
    </xf>
    <xf numFmtId="180" fontId="5" fillId="0" borderId="34" xfId="0" applyNumberFormat="1" applyFont="1" applyFill="1" applyBorder="1" applyAlignment="1">
      <alignment horizontal="center"/>
    </xf>
    <xf numFmtId="180" fontId="5" fillId="3" borderId="34" xfId="0" applyNumberFormat="1" applyFont="1" applyFill="1" applyBorder="1" applyAlignment="1">
      <alignment horizontal="center"/>
    </xf>
    <xf numFmtId="180" fontId="0" fillId="0" borderId="13" xfId="0" applyNumberFormat="1" applyFill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175" fontId="11" fillId="0" borderId="13" xfId="0" applyNumberFormat="1" applyFont="1" applyBorder="1" applyAlignment="1">
      <alignment horizontal="center" vertical="center" wrapText="1"/>
    </xf>
    <xf numFmtId="180" fontId="5" fillId="13" borderId="13" xfId="0" applyNumberFormat="1" applyFont="1" applyFill="1" applyBorder="1" applyAlignment="1">
      <alignment horizontal="center"/>
    </xf>
    <xf numFmtId="171" fontId="0" fillId="0" borderId="9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2" fillId="0" borderId="18" xfId="0" applyFont="1" applyBorder="1" applyAlignment="1">
      <alignment horizontal="center" vertical="center" wrapText="1"/>
    </xf>
    <xf numFmtId="180" fontId="5" fillId="3" borderId="19" xfId="0" applyNumberFormat="1" applyFont="1" applyFill="1" applyBorder="1" applyAlignment="1">
      <alignment horizontal="center"/>
    </xf>
    <xf numFmtId="178" fontId="5" fillId="3" borderId="29" xfId="0" applyNumberFormat="1" applyFont="1" applyFill="1" applyBorder="1" applyAlignment="1">
      <alignment horizontal="center"/>
    </xf>
    <xf numFmtId="181" fontId="13" fillId="10" borderId="35" xfId="0" applyNumberFormat="1" applyFont="1" applyFill="1" applyBorder="1" applyAlignment="1">
      <alignment horizontal="center"/>
    </xf>
    <xf numFmtId="180" fontId="13" fillId="10" borderId="33" xfId="0" applyNumberFormat="1" applyFont="1" applyFill="1" applyBorder="1" applyAlignment="1">
      <alignment horizontal="center"/>
    </xf>
    <xf numFmtId="171" fontId="3" fillId="2" borderId="18" xfId="1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38" fontId="3" fillId="2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12" fillId="0" borderId="37" xfId="0" applyFont="1" applyBorder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center"/>
    </xf>
    <xf numFmtId="175" fontId="0" fillId="0" borderId="9" xfId="0" applyNumberFormat="1" applyBorder="1" applyAlignment="1">
      <alignment horizontal="center"/>
    </xf>
    <xf numFmtId="181" fontId="5" fillId="0" borderId="35" xfId="0" applyNumberFormat="1" applyFont="1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180" fontId="13" fillId="10" borderId="38" xfId="0" applyNumberFormat="1" applyFont="1" applyFill="1" applyBorder="1" applyAlignment="1">
      <alignment horizontal="center"/>
    </xf>
    <xf numFmtId="178" fontId="5" fillId="0" borderId="33" xfId="0" applyNumberFormat="1" applyFont="1" applyFill="1" applyBorder="1" applyAlignment="1">
      <alignment horizontal="center"/>
    </xf>
    <xf numFmtId="178" fontId="5" fillId="0" borderId="38" xfId="0" applyNumberFormat="1" applyFont="1" applyFill="1" applyBorder="1" applyAlignment="1">
      <alignment horizontal="center"/>
    </xf>
    <xf numFmtId="181" fontId="5" fillId="3" borderId="17" xfId="0" applyNumberFormat="1" applyFont="1" applyFill="1" applyBorder="1" applyAlignment="1">
      <alignment horizontal="center"/>
    </xf>
    <xf numFmtId="181" fontId="0" fillId="4" borderId="17" xfId="0" applyNumberFormat="1" applyFill="1" applyBorder="1" applyAlignment="1">
      <alignment horizontal="center"/>
    </xf>
    <xf numFmtId="180" fontId="0" fillId="4" borderId="19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80" fontId="0" fillId="4" borderId="5" xfId="0" applyNumberFormat="1" applyFill="1" applyBorder="1" applyAlignment="1">
      <alignment horizontal="center"/>
    </xf>
    <xf numFmtId="178" fontId="5" fillId="3" borderId="19" xfId="0" applyNumberFormat="1" applyFont="1" applyFill="1" applyBorder="1" applyAlignment="1">
      <alignment horizontal="center"/>
    </xf>
    <xf numFmtId="178" fontId="5" fillId="3" borderId="5" xfId="0" applyNumberFormat="1" applyFon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80" fontId="5" fillId="13" borderId="39" xfId="0" applyNumberFormat="1" applyFont="1" applyFill="1" applyBorder="1" applyAlignment="1">
      <alignment horizontal="center"/>
    </xf>
    <xf numFmtId="14" fontId="3" fillId="2" borderId="40" xfId="0" applyNumberFormat="1" applyFont="1" applyFill="1" applyBorder="1" applyAlignment="1">
      <alignment horizontal="left"/>
    </xf>
    <xf numFmtId="1" fontId="3" fillId="2" borderId="18" xfId="0" applyNumberFormat="1" applyFont="1" applyFill="1" applyBorder="1" applyAlignment="1">
      <alignment horizontal="center"/>
    </xf>
    <xf numFmtId="175" fontId="3" fillId="2" borderId="37" xfId="0" applyNumberFormat="1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38" fontId="3" fillId="2" borderId="37" xfId="0" applyNumberFormat="1" applyFont="1" applyFill="1" applyBorder="1" applyAlignment="1">
      <alignment horizontal="center"/>
    </xf>
    <xf numFmtId="14" fontId="0" fillId="3" borderId="41" xfId="0" applyNumberFormat="1" applyFill="1" applyBorder="1" applyAlignment="1">
      <alignment horizontal="left"/>
    </xf>
    <xf numFmtId="14" fontId="0" fillId="3" borderId="42" xfId="0" applyNumberFormat="1" applyFill="1" applyBorder="1" applyAlignment="1">
      <alignment horizontal="center"/>
    </xf>
    <xf numFmtId="175" fontId="0" fillId="3" borderId="43" xfId="0" applyNumberFormat="1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38" fontId="0" fillId="3" borderId="42" xfId="0" applyNumberFormat="1" applyFill="1" applyBorder="1" applyAlignment="1">
      <alignment horizontal="center"/>
    </xf>
    <xf numFmtId="171" fontId="0" fillId="3" borderId="42" xfId="1" applyNumberFormat="1" applyFont="1" applyFill="1" applyBorder="1" applyAlignment="1">
      <alignment horizontal="center"/>
    </xf>
    <xf numFmtId="175" fontId="0" fillId="3" borderId="42" xfId="0" applyNumberFormat="1" applyFill="1" applyBorder="1" applyAlignment="1">
      <alignment horizontal="center"/>
    </xf>
    <xf numFmtId="175" fontId="0" fillId="3" borderId="44" xfId="0" applyNumberFormat="1" applyFill="1" applyBorder="1" applyAlignment="1">
      <alignment horizontal="center"/>
    </xf>
    <xf numFmtId="0" fontId="3" fillId="2" borderId="18" xfId="0" applyFont="1" applyFill="1" applyBorder="1"/>
    <xf numFmtId="38" fontId="3" fillId="3" borderId="8" xfId="0" applyNumberFormat="1" applyFont="1" applyFill="1" applyBorder="1" applyAlignment="1">
      <alignment horizontal="center"/>
    </xf>
    <xf numFmtId="38" fontId="3" fillId="0" borderId="8" xfId="0" applyNumberFormat="1" applyFont="1" applyFill="1" applyBorder="1" applyAlignment="1">
      <alignment horizontal="center"/>
    </xf>
    <xf numFmtId="175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/>
    <xf numFmtId="175" fontId="3" fillId="0" borderId="9" xfId="0" applyNumberFormat="1" applyFont="1" applyFill="1" applyBorder="1" applyAlignment="1">
      <alignment horizontal="center"/>
    </xf>
    <xf numFmtId="3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14" fontId="3" fillId="0" borderId="12" xfId="0" applyNumberFormat="1" applyFont="1" applyFill="1" applyBorder="1" applyAlignment="1">
      <alignment horizontal="left"/>
    </xf>
    <xf numFmtId="14" fontId="3" fillId="3" borderId="8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75" fontId="0" fillId="0" borderId="45" xfId="0" applyNumberFormat="1" applyFill="1" applyBorder="1" applyAlignment="1">
      <alignment horizontal="center"/>
    </xf>
    <xf numFmtId="180" fontId="0" fillId="4" borderId="4" xfId="0" applyNumberFormat="1" applyFill="1" applyBorder="1" applyAlignment="1">
      <alignment horizontal="center"/>
    </xf>
    <xf numFmtId="180" fontId="0" fillId="6" borderId="31" xfId="0" applyNumberFormat="1" applyFill="1" applyBorder="1" applyAlignment="1">
      <alignment horizontal="center"/>
    </xf>
    <xf numFmtId="175" fontId="0" fillId="0" borderId="46" xfId="0" applyNumberFormat="1" applyFill="1" applyBorder="1" applyAlignment="1">
      <alignment horizontal="center"/>
    </xf>
    <xf numFmtId="175" fontId="0" fillId="3" borderId="1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180" fontId="5" fillId="3" borderId="50" xfId="0" applyNumberFormat="1" applyFont="1" applyFill="1" applyBorder="1" applyAlignment="1">
      <alignment horizontal="center"/>
    </xf>
    <xf numFmtId="180" fontId="5" fillId="0" borderId="51" xfId="0" applyNumberFormat="1" applyFont="1" applyFill="1" applyBorder="1" applyAlignment="1">
      <alignment horizontal="center"/>
    </xf>
    <xf numFmtId="180" fontId="5" fillId="3" borderId="51" xfId="0" applyNumberFormat="1" applyFont="1" applyFill="1" applyBorder="1" applyAlignment="1">
      <alignment horizontal="center"/>
    </xf>
    <xf numFmtId="180" fontId="5" fillId="0" borderId="52" xfId="0" applyNumberFormat="1" applyFont="1" applyFill="1" applyBorder="1" applyAlignment="1">
      <alignment horizontal="center"/>
    </xf>
    <xf numFmtId="180" fontId="0" fillId="0" borderId="47" xfId="0" applyNumberFormat="1" applyFill="1" applyBorder="1" applyAlignment="1">
      <alignment horizontal="center"/>
    </xf>
    <xf numFmtId="180" fontId="5" fillId="0" borderId="50" xfId="0" applyNumberFormat="1" applyFont="1" applyFill="1" applyBorder="1" applyAlignment="1">
      <alignment horizontal="center"/>
    </xf>
    <xf numFmtId="178" fontId="5" fillId="3" borderId="50" xfId="0" applyNumberFormat="1" applyFont="1" applyFill="1" applyBorder="1" applyAlignment="1">
      <alignment horizontal="center"/>
    </xf>
    <xf numFmtId="178" fontId="5" fillId="0" borderId="51" xfId="0" applyNumberFormat="1" applyFont="1" applyFill="1" applyBorder="1" applyAlignment="1">
      <alignment horizontal="center"/>
    </xf>
    <xf numFmtId="178" fontId="5" fillId="3" borderId="51" xfId="0" applyNumberFormat="1" applyFont="1" applyFill="1" applyBorder="1" applyAlignment="1">
      <alignment horizontal="center"/>
    </xf>
    <xf numFmtId="178" fontId="5" fillId="0" borderId="52" xfId="0" applyNumberFormat="1" applyFont="1" applyFill="1" applyBorder="1" applyAlignment="1">
      <alignment horizontal="center"/>
    </xf>
    <xf numFmtId="178" fontId="0" fillId="0" borderId="49" xfId="0" applyNumberFormat="1" applyFill="1" applyBorder="1" applyAlignment="1">
      <alignment horizontal="center"/>
    </xf>
    <xf numFmtId="178" fontId="5" fillId="0" borderId="50" xfId="0" applyNumberFormat="1" applyFont="1" applyFill="1" applyBorder="1" applyAlignment="1">
      <alignment horizontal="center"/>
    </xf>
    <xf numFmtId="180" fontId="5" fillId="3" borderId="53" xfId="0" applyNumberFormat="1" applyFont="1" applyFill="1" applyBorder="1" applyAlignment="1">
      <alignment horizontal="center"/>
    </xf>
    <xf numFmtId="178" fontId="5" fillId="3" borderId="53" xfId="0" applyNumberFormat="1" applyFont="1" applyFill="1" applyBorder="1" applyAlignment="1">
      <alignment horizontal="center"/>
    </xf>
    <xf numFmtId="180" fontId="5" fillId="0" borderId="53" xfId="0" applyNumberFormat="1" applyFont="1" applyFill="1" applyBorder="1" applyAlignment="1">
      <alignment horizontal="center"/>
    </xf>
    <xf numFmtId="178" fontId="5" fillId="0" borderId="53" xfId="0" applyNumberFormat="1" applyFont="1" applyFill="1" applyBorder="1" applyAlignment="1">
      <alignment horizontal="center"/>
    </xf>
    <xf numFmtId="38" fontId="0" fillId="0" borderId="47" xfId="0" applyNumberFormat="1" applyBorder="1" applyAlignment="1">
      <alignment horizontal="center"/>
    </xf>
    <xf numFmtId="38" fontId="3" fillId="2" borderId="54" xfId="0" applyNumberFormat="1" applyFont="1" applyFill="1" applyBorder="1" applyAlignment="1">
      <alignment horizontal="center"/>
    </xf>
    <xf numFmtId="175" fontId="0" fillId="0" borderId="47" xfId="0" applyNumberFormat="1" applyBorder="1" applyAlignment="1">
      <alignment horizontal="center"/>
    </xf>
    <xf numFmtId="175" fontId="0" fillId="3" borderId="47" xfId="0" applyNumberFormat="1" applyFill="1" applyBorder="1" applyAlignment="1">
      <alignment horizontal="center"/>
    </xf>
    <xf numFmtId="175" fontId="0" fillId="3" borderId="55" xfId="0" applyNumberFormat="1" applyFill="1" applyBorder="1" applyAlignment="1">
      <alignment horizontal="center"/>
    </xf>
    <xf numFmtId="38" fontId="0" fillId="0" borderId="49" xfId="0" applyNumberFormat="1" applyBorder="1" applyAlignment="1">
      <alignment horizontal="center"/>
    </xf>
    <xf numFmtId="2" fontId="3" fillId="2" borderId="56" xfId="0" applyNumberFormat="1" applyFont="1" applyFill="1" applyBorder="1" applyAlignment="1">
      <alignment horizontal="center"/>
    </xf>
    <xf numFmtId="38" fontId="0" fillId="3" borderId="49" xfId="0" applyNumberFormat="1" applyFill="1" applyBorder="1" applyAlignment="1">
      <alignment horizontal="center"/>
    </xf>
    <xf numFmtId="38" fontId="0" fillId="3" borderId="57" xfId="0" applyNumberFormat="1" applyFill="1" applyBorder="1" applyAlignment="1">
      <alignment horizontal="center"/>
    </xf>
    <xf numFmtId="175" fontId="3" fillId="0" borderId="47" xfId="0" applyNumberFormat="1" applyFont="1" applyFill="1" applyBorder="1" applyAlignment="1">
      <alignment horizontal="center"/>
    </xf>
    <xf numFmtId="38" fontId="3" fillId="0" borderId="49" xfId="0" applyNumberFormat="1" applyFont="1" applyFill="1" applyBorder="1" applyAlignment="1">
      <alignment horizontal="center"/>
    </xf>
    <xf numFmtId="2" fontId="3" fillId="2" borderId="47" xfId="0" applyNumberFormat="1" applyFont="1" applyFill="1" applyBorder="1" applyAlignment="1">
      <alignment horizontal="center"/>
    </xf>
    <xf numFmtId="175" fontId="0" fillId="3" borderId="53" xfId="0" applyNumberFormat="1" applyFill="1" applyBorder="1" applyAlignment="1">
      <alignment horizontal="center"/>
    </xf>
    <xf numFmtId="2" fontId="3" fillId="2" borderId="49" xfId="0" applyNumberFormat="1" applyFont="1" applyFill="1" applyBorder="1" applyAlignment="1">
      <alignment horizontal="center"/>
    </xf>
    <xf numFmtId="38" fontId="0" fillId="3" borderId="58" xfId="0" applyNumberFormat="1" applyFill="1" applyBorder="1" applyAlignment="1">
      <alignment horizontal="center"/>
    </xf>
    <xf numFmtId="187" fontId="0" fillId="0" borderId="49" xfId="0" applyNumberFormat="1" applyBorder="1" applyAlignment="1">
      <alignment horizontal="center"/>
    </xf>
    <xf numFmtId="38" fontId="3" fillId="0" borderId="59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0" xfId="0" applyBorder="1" applyAlignment="1">
      <alignment horizontal="center"/>
    </xf>
    <xf numFmtId="43" fontId="0" fillId="0" borderId="2" xfId="1" applyFont="1" applyBorder="1" applyAlignment="1">
      <alignment horizontal="right"/>
    </xf>
    <xf numFmtId="17" fontId="0" fillId="0" borderId="0" xfId="0" applyNumberFormat="1" applyAlignment="1">
      <alignment horizontal="left"/>
    </xf>
    <xf numFmtId="3" fontId="0" fillId="0" borderId="2" xfId="1" applyNumberFormat="1" applyFon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5" fillId="0" borderId="5" xfId="1" applyNumberFormat="1" applyFont="1" applyFill="1" applyBorder="1" applyAlignment="1">
      <alignment horizontal="center"/>
    </xf>
    <xf numFmtId="3" fontId="5" fillId="3" borderId="27" xfId="1" applyNumberFormat="1" applyFont="1" applyFill="1" applyBorder="1" applyAlignment="1">
      <alignment horizontal="center"/>
    </xf>
    <xf numFmtId="3" fontId="5" fillId="0" borderId="38" xfId="1" applyNumberFormat="1" applyFont="1" applyFill="1" applyBorder="1" applyAlignment="1">
      <alignment horizontal="center"/>
    </xf>
    <xf numFmtId="3" fontId="5" fillId="3" borderId="5" xfId="1" applyNumberFormat="1" applyFont="1" applyFill="1" applyBorder="1" applyAlignment="1">
      <alignment horizontal="center"/>
    </xf>
    <xf numFmtId="3" fontId="5" fillId="0" borderId="27" xfId="1" applyNumberFormat="1" applyFont="1" applyFill="1" applyBorder="1" applyAlignment="1">
      <alignment horizontal="center"/>
    </xf>
    <xf numFmtId="3" fontId="0" fillId="0" borderId="0" xfId="1" applyNumberFormat="1" applyFont="1" applyFill="1" applyBorder="1" applyAlignment="1">
      <alignment horizontal="center"/>
    </xf>
    <xf numFmtId="3" fontId="0" fillId="11" borderId="14" xfId="1" applyNumberFormat="1" applyFont="1" applyFill="1" applyBorder="1" applyAlignment="1">
      <alignment horizontal="center"/>
    </xf>
    <xf numFmtId="3" fontId="0" fillId="7" borderId="14" xfId="1" applyNumberFormat="1" applyFont="1" applyFill="1" applyBorder="1" applyAlignment="1">
      <alignment horizontal="center"/>
    </xf>
    <xf numFmtId="3" fontId="13" fillId="10" borderId="13" xfId="1" applyNumberFormat="1" applyFont="1" applyFill="1" applyBorder="1" applyAlignment="1">
      <alignment horizontal="center"/>
    </xf>
    <xf numFmtId="3" fontId="0" fillId="6" borderId="13" xfId="1" applyNumberFormat="1" applyFont="1" applyFill="1" applyBorder="1" applyAlignment="1">
      <alignment horizontal="center"/>
    </xf>
    <xf numFmtId="3" fontId="3" fillId="2" borderId="18" xfId="1" applyNumberFormat="1" applyFont="1" applyFill="1" applyBorder="1" applyAlignment="1">
      <alignment horizontal="center"/>
    </xf>
    <xf numFmtId="3" fontId="0" fillId="3" borderId="0" xfId="1" applyNumberFormat="1" applyFont="1" applyFill="1" applyBorder="1" applyAlignment="1">
      <alignment horizontal="center"/>
    </xf>
    <xf numFmtId="3" fontId="3" fillId="2" borderId="0" xfId="1" applyNumberFormat="1" applyFont="1" applyFill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3" fontId="3" fillId="0" borderId="8" xfId="1" applyNumberFormat="1" applyFont="1" applyFill="1" applyBorder="1" applyAlignment="1">
      <alignment horizontal="center"/>
    </xf>
    <xf numFmtId="3" fontId="0" fillId="3" borderId="8" xfId="1" applyNumberFormat="1" applyFont="1" applyFill="1" applyBorder="1" applyAlignment="1">
      <alignment horizontal="center"/>
    </xf>
    <xf numFmtId="3" fontId="0" fillId="0" borderId="0" xfId="1" applyNumberFormat="1" applyFont="1" applyAlignment="1">
      <alignment horizontal="center"/>
    </xf>
    <xf numFmtId="3" fontId="3" fillId="2" borderId="0" xfId="1" applyNumberFormat="1" applyFont="1" applyFill="1" applyAlignment="1">
      <alignment horizontal="center"/>
    </xf>
    <xf numFmtId="3" fontId="0" fillId="0" borderId="0" xfId="1" applyNumberFormat="1" applyFont="1" applyAlignment="1">
      <alignment horizontal="left"/>
    </xf>
    <xf numFmtId="38" fontId="3" fillId="0" borderId="32" xfId="0" applyNumberFormat="1" applyFont="1" applyFill="1" applyBorder="1" applyAlignment="1">
      <alignment horizontal="center"/>
    </xf>
    <xf numFmtId="175" fontId="3" fillId="0" borderId="28" xfId="0" applyNumberFormat="1" applyFont="1" applyFill="1" applyBorder="1" applyAlignment="1">
      <alignment horizontal="center"/>
    </xf>
    <xf numFmtId="191" fontId="0" fillId="0" borderId="0" xfId="0" applyNumberFormat="1" applyBorder="1" applyAlignment="1">
      <alignment horizontal="center"/>
    </xf>
    <xf numFmtId="183" fontId="0" fillId="0" borderId="0" xfId="1" applyNumberFormat="1" applyFont="1" applyBorder="1" applyAlignment="1">
      <alignment horizontal="center"/>
    </xf>
    <xf numFmtId="183" fontId="0" fillId="0" borderId="2" xfId="1" applyNumberFormat="1" applyFont="1" applyBorder="1" applyAlignment="1">
      <alignment horizontal="center"/>
    </xf>
    <xf numFmtId="183" fontId="0" fillId="0" borderId="9" xfId="1" applyNumberFormat="1" applyFont="1" applyBorder="1" applyAlignment="1">
      <alignment horizontal="center"/>
    </xf>
    <xf numFmtId="183" fontId="5" fillId="0" borderId="5" xfId="1" applyNumberFormat="1" applyFont="1" applyFill="1" applyBorder="1" applyAlignment="1">
      <alignment horizontal="center"/>
    </xf>
    <xf numFmtId="183" fontId="5" fillId="3" borderId="27" xfId="1" applyNumberFormat="1" applyFont="1" applyFill="1" applyBorder="1" applyAlignment="1">
      <alignment horizontal="center"/>
    </xf>
    <xf numFmtId="183" fontId="5" fillId="0" borderId="38" xfId="1" applyNumberFormat="1" applyFont="1" applyFill="1" applyBorder="1" applyAlignment="1">
      <alignment horizontal="center"/>
    </xf>
    <xf numFmtId="183" fontId="5" fillId="3" borderId="19" xfId="0" applyNumberFormat="1" applyFont="1" applyFill="1" applyBorder="1" applyAlignment="1">
      <alignment horizontal="center"/>
    </xf>
    <xf numFmtId="183" fontId="0" fillId="11" borderId="14" xfId="0" applyNumberFormat="1" applyFill="1" applyBorder="1" applyAlignment="1">
      <alignment horizontal="center"/>
    </xf>
    <xf numFmtId="183" fontId="0" fillId="7" borderId="14" xfId="0" applyNumberFormat="1" applyFill="1" applyBorder="1" applyAlignment="1">
      <alignment horizontal="center"/>
    </xf>
    <xf numFmtId="183" fontId="13" fillId="10" borderId="13" xfId="0" applyNumberFormat="1" applyFont="1" applyFill="1" applyBorder="1" applyAlignment="1">
      <alignment horizontal="center"/>
    </xf>
    <xf numFmtId="183" fontId="0" fillId="6" borderId="13" xfId="0" applyNumberFormat="1" applyFill="1" applyBorder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3" fillId="2" borderId="0" xfId="1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3" fillId="2" borderId="0" xfId="1" applyNumberFormat="1" applyFont="1" applyFill="1" applyAlignment="1">
      <alignment horizontal="center"/>
    </xf>
    <xf numFmtId="183" fontId="0" fillId="0" borderId="0" xfId="1" applyNumberFormat="1" applyFont="1" applyAlignment="1">
      <alignment horizontal="left"/>
    </xf>
    <xf numFmtId="183" fontId="0" fillId="0" borderId="0" xfId="0" applyNumberFormat="1" applyBorder="1" applyAlignment="1">
      <alignment horizontal="center"/>
    </xf>
    <xf numFmtId="183" fontId="5" fillId="0" borderId="5" xfId="0" applyNumberFormat="1" applyFont="1" applyFill="1" applyBorder="1" applyAlignment="1">
      <alignment horizontal="center"/>
    </xf>
    <xf numFmtId="183" fontId="5" fillId="3" borderId="27" xfId="0" applyNumberFormat="1" applyFont="1" applyFill="1" applyBorder="1" applyAlignment="1">
      <alignment horizontal="center"/>
    </xf>
    <xf numFmtId="183" fontId="5" fillId="0" borderId="38" xfId="0" applyNumberFormat="1" applyFont="1" applyFill="1" applyBorder="1" applyAlignment="1">
      <alignment horizontal="center"/>
    </xf>
    <xf numFmtId="183" fontId="0" fillId="0" borderId="0" xfId="0" applyNumberFormat="1" applyFill="1" applyBorder="1" applyAlignment="1">
      <alignment horizontal="center"/>
    </xf>
    <xf numFmtId="183" fontId="3" fillId="2" borderId="18" xfId="0" applyNumberFormat="1" applyFont="1" applyFill="1" applyBorder="1" applyAlignment="1">
      <alignment horizontal="center"/>
    </xf>
    <xf numFmtId="183" fontId="0" fillId="3" borderId="0" xfId="0" applyNumberFormat="1" applyFill="1" applyBorder="1" applyAlignment="1">
      <alignment horizontal="center"/>
    </xf>
    <xf numFmtId="183" fontId="0" fillId="3" borderId="42" xfId="0" applyNumberFormat="1" applyFill="1" applyBorder="1" applyAlignment="1">
      <alignment horizontal="center"/>
    </xf>
    <xf numFmtId="183" fontId="3" fillId="0" borderId="0" xfId="0" applyNumberFormat="1" applyFont="1" applyFill="1" applyBorder="1" applyAlignment="1">
      <alignment horizontal="center"/>
    </xf>
    <xf numFmtId="183" fontId="3" fillId="2" borderId="0" xfId="0" applyNumberFormat="1" applyFont="1" applyFill="1" applyBorder="1" applyAlignment="1">
      <alignment horizontal="center"/>
    </xf>
    <xf numFmtId="183" fontId="0" fillId="3" borderId="1" xfId="0" applyNumberFormat="1" applyFill="1" applyBorder="1" applyAlignment="1">
      <alignment horizontal="center"/>
    </xf>
    <xf numFmtId="183" fontId="0" fillId="0" borderId="1" xfId="0" applyNumberFormat="1" applyBorder="1" applyAlignment="1">
      <alignment horizontal="center"/>
    </xf>
    <xf numFmtId="183" fontId="3" fillId="0" borderId="8" xfId="0" applyNumberFormat="1" applyFont="1" applyFill="1" applyBorder="1" applyAlignment="1">
      <alignment horizontal="center"/>
    </xf>
    <xf numFmtId="183" fontId="0" fillId="3" borderId="8" xfId="0" applyNumberForma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183" fontId="3" fillId="2" borderId="0" xfId="0" applyNumberFormat="1" applyFont="1" applyFill="1" applyAlignment="1">
      <alignment horizontal="center"/>
    </xf>
    <xf numFmtId="183" fontId="0" fillId="0" borderId="0" xfId="0" applyNumberFormat="1" applyAlignment="1">
      <alignment horizontal="left"/>
    </xf>
    <xf numFmtId="180" fontId="5" fillId="0" borderId="13" xfId="1" applyNumberFormat="1" applyFont="1" applyFill="1" applyBorder="1" applyAlignment="1">
      <alignment horizontal="center"/>
    </xf>
    <xf numFmtId="180" fontId="5" fillId="3" borderId="13" xfId="1" applyNumberFormat="1" applyFont="1" applyFill="1" applyBorder="1" applyAlignment="1">
      <alignment horizontal="center"/>
    </xf>
    <xf numFmtId="180" fontId="5" fillId="0" borderId="23" xfId="1" applyNumberFormat="1" applyFont="1" applyFill="1" applyBorder="1" applyAlignment="1">
      <alignment horizontal="center"/>
    </xf>
    <xf numFmtId="180" fontId="0" fillId="0" borderId="2" xfId="1" applyNumberFormat="1" applyFont="1" applyFill="1" applyBorder="1" applyAlignment="1">
      <alignment horizontal="center"/>
    </xf>
    <xf numFmtId="180" fontId="5" fillId="0" borderId="19" xfId="1" applyNumberFormat="1" applyFont="1" applyFill="1" applyBorder="1" applyAlignment="1">
      <alignment horizontal="center"/>
    </xf>
    <xf numFmtId="180" fontId="5" fillId="3" borderId="14" xfId="1" applyNumberFormat="1" applyFont="1" applyFill="1" applyBorder="1" applyAlignment="1">
      <alignment horizontal="center"/>
    </xf>
    <xf numFmtId="180" fontId="5" fillId="0" borderId="14" xfId="1" applyNumberFormat="1" applyFont="1" applyFill="1" applyBorder="1" applyAlignment="1">
      <alignment horizontal="center"/>
    </xf>
    <xf numFmtId="180" fontId="0" fillId="0" borderId="0" xfId="1" applyNumberFormat="1" applyFont="1" applyFill="1" applyBorder="1" applyAlignment="1">
      <alignment horizontal="center"/>
    </xf>
    <xf numFmtId="180" fontId="5" fillId="0" borderId="0" xfId="0" applyNumberFormat="1" applyFont="1" applyFill="1" applyBorder="1" applyAlignment="1">
      <alignment horizontal="center"/>
    </xf>
    <xf numFmtId="178" fontId="5" fillId="0" borderId="3" xfId="1" applyNumberFormat="1" applyFont="1" applyFill="1" applyBorder="1" applyAlignment="1">
      <alignment horizontal="center"/>
    </xf>
    <xf numFmtId="178" fontId="5" fillId="3" borderId="27" xfId="1" applyNumberFormat="1" applyFont="1" applyFill="1" applyBorder="1" applyAlignment="1">
      <alignment horizontal="center"/>
    </xf>
    <xf numFmtId="178" fontId="5" fillId="0" borderId="27" xfId="1" applyNumberFormat="1" applyFont="1" applyFill="1" applyBorder="1" applyAlignment="1">
      <alignment horizontal="center"/>
    </xf>
    <xf numFmtId="178" fontId="5" fillId="0" borderId="28" xfId="1" applyNumberFormat="1" applyFont="1" applyFill="1" applyBorder="1" applyAlignment="1">
      <alignment horizontal="center"/>
    </xf>
    <xf numFmtId="178" fontId="0" fillId="0" borderId="13" xfId="1" applyNumberFormat="1" applyFont="1" applyBorder="1" applyAlignment="1">
      <alignment horizontal="center"/>
    </xf>
    <xf numFmtId="178" fontId="0" fillId="0" borderId="0" xfId="1" applyNumberFormat="1" applyFont="1" applyBorder="1" applyAlignment="1">
      <alignment horizontal="center"/>
    </xf>
    <xf numFmtId="178" fontId="5" fillId="3" borderId="13" xfId="1" applyNumberFormat="1" applyFont="1" applyFill="1" applyBorder="1" applyAlignment="1">
      <alignment horizontal="center"/>
    </xf>
    <xf numFmtId="178" fontId="5" fillId="0" borderId="23" xfId="1" applyNumberFormat="1" applyFont="1" applyFill="1" applyBorder="1" applyAlignment="1">
      <alignment horizontal="center"/>
    </xf>
    <xf numFmtId="178" fontId="5" fillId="0" borderId="14" xfId="1" applyNumberFormat="1" applyFont="1" applyFill="1" applyBorder="1" applyAlignment="1">
      <alignment horizontal="center"/>
    </xf>
    <xf numFmtId="178" fontId="5" fillId="0" borderId="13" xfId="1" applyNumberFormat="1" applyFont="1" applyFill="1" applyBorder="1" applyAlignment="1">
      <alignment horizontal="center"/>
    </xf>
    <xf numFmtId="178" fontId="0" fillId="0" borderId="13" xfId="0" applyNumberFormat="1" applyFill="1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180" fontId="0" fillId="0" borderId="13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0" fontId="0" fillId="0" borderId="9" xfId="0" applyNumberFormat="1" applyBorder="1" applyAlignment="1">
      <alignment horizontal="center"/>
    </xf>
    <xf numFmtId="180" fontId="5" fillId="3" borderId="27" xfId="1" applyNumberFormat="1" applyFont="1" applyFill="1" applyBorder="1" applyAlignment="1">
      <alignment horizontal="center"/>
    </xf>
    <xf numFmtId="180" fontId="5" fillId="0" borderId="28" xfId="1" applyNumberFormat="1" applyFont="1" applyFill="1" applyBorder="1" applyAlignment="1">
      <alignment horizontal="center"/>
    </xf>
    <xf numFmtId="180" fontId="5" fillId="0" borderId="5" xfId="1" applyNumberFormat="1" applyFont="1" applyFill="1" applyBorder="1" applyAlignment="1">
      <alignment horizontal="center"/>
    </xf>
    <xf numFmtId="180" fontId="5" fillId="3" borderId="3" xfId="1" applyNumberFormat="1" applyFont="1" applyFill="1" applyBorder="1" applyAlignment="1">
      <alignment horizontal="center"/>
    </xf>
    <xf numFmtId="180" fontId="5" fillId="0" borderId="3" xfId="1" applyNumberFormat="1" applyFont="1" applyFill="1" applyBorder="1" applyAlignment="1">
      <alignment horizontal="center"/>
    </xf>
    <xf numFmtId="180" fontId="5" fillId="0" borderId="27" xfId="1" applyNumberFormat="1" applyFont="1" applyFill="1" applyBorder="1" applyAlignment="1">
      <alignment horizontal="center"/>
    </xf>
    <xf numFmtId="0" fontId="5" fillId="0" borderId="0" xfId="0" applyFont="1" applyFill="1" applyBorder="1"/>
    <xf numFmtId="180" fontId="0" fillId="6" borderId="2" xfId="0" applyNumberFormat="1" applyFill="1" applyBorder="1" applyAlignment="1">
      <alignment horizontal="center"/>
    </xf>
    <xf numFmtId="178" fontId="5" fillId="0" borderId="0" xfId="1" applyNumberFormat="1" applyFont="1" applyFill="1" applyBorder="1" applyAlignment="1">
      <alignment horizontal="center"/>
    </xf>
    <xf numFmtId="180" fontId="5" fillId="0" borderId="0" xfId="1" applyNumberFormat="1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center"/>
    </xf>
    <xf numFmtId="180" fontId="0" fillId="6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81" fontId="0" fillId="6" borderId="0" xfId="0" applyNumberFormat="1" applyFill="1" applyBorder="1" applyAlignment="1">
      <alignment horizontal="center"/>
    </xf>
    <xf numFmtId="181" fontId="5" fillId="0" borderId="0" xfId="0" applyNumberFormat="1" applyFont="1" applyFill="1" applyBorder="1" applyAlignment="1">
      <alignment horizontal="center"/>
    </xf>
    <xf numFmtId="180" fontId="5" fillId="13" borderId="0" xfId="0" applyNumberFormat="1" applyFont="1" applyFill="1" applyBorder="1" applyAlignment="1">
      <alignment horizontal="center"/>
    </xf>
    <xf numFmtId="0" fontId="0" fillId="0" borderId="0" xfId="0" applyBorder="1"/>
    <xf numFmtId="180" fontId="0" fillId="0" borderId="38" xfId="0" applyNumberFormat="1" applyBorder="1" applyAlignment="1">
      <alignment horizontal="center"/>
    </xf>
    <xf numFmtId="178" fontId="0" fillId="0" borderId="38" xfId="1" applyNumberFormat="1" applyFont="1" applyBorder="1" applyAlignment="1">
      <alignment horizontal="center"/>
    </xf>
    <xf numFmtId="178" fontId="0" fillId="0" borderId="38" xfId="0" applyNumberFormat="1" applyBorder="1" applyAlignment="1">
      <alignment horizontal="center"/>
    </xf>
    <xf numFmtId="14" fontId="0" fillId="3" borderId="13" xfId="0" applyNumberFormat="1" applyFill="1" applyBorder="1" applyAlignment="1">
      <alignment horizontal="center"/>
    </xf>
    <xf numFmtId="180" fontId="0" fillId="3" borderId="13" xfId="0" applyNumberFormat="1" applyFill="1" applyBorder="1" applyAlignment="1">
      <alignment horizontal="center"/>
    </xf>
    <xf numFmtId="178" fontId="0" fillId="3" borderId="13" xfId="1" applyNumberFormat="1" applyFont="1" applyFill="1" applyBorder="1" applyAlignment="1">
      <alignment horizontal="center"/>
    </xf>
    <xf numFmtId="178" fontId="0" fillId="3" borderId="13" xfId="0" applyNumberFormat="1" applyFill="1" applyBorder="1" applyAlignment="1">
      <alignment horizontal="center"/>
    </xf>
    <xf numFmtId="38" fontId="0" fillId="3" borderId="0" xfId="0" applyNumberFormat="1" applyFill="1"/>
    <xf numFmtId="38" fontId="0" fillId="0" borderId="0" xfId="0" applyNumberFormat="1"/>
    <xf numFmtId="0" fontId="12" fillId="0" borderId="6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5" fontId="0" fillId="0" borderId="62" xfId="0" applyNumberFormat="1" applyBorder="1" applyAlignment="1">
      <alignment horizontal="center"/>
    </xf>
    <xf numFmtId="175" fontId="0" fillId="3" borderId="62" xfId="0" applyNumberFormat="1" applyFill="1" applyBorder="1" applyAlignment="1">
      <alignment horizontal="center"/>
    </xf>
    <xf numFmtId="175" fontId="0" fillId="3" borderId="46" xfId="0" applyNumberFormat="1" applyFill="1" applyBorder="1" applyAlignment="1">
      <alignment horizontal="center"/>
    </xf>
    <xf numFmtId="38" fontId="3" fillId="2" borderId="63" xfId="0" applyNumberFormat="1" applyFont="1" applyFill="1" applyBorder="1" applyAlignment="1">
      <alignment horizontal="center"/>
    </xf>
    <xf numFmtId="175" fontId="3" fillId="0" borderId="3" xfId="0" applyNumberFormat="1" applyFont="1" applyFill="1" applyBorder="1" applyAlignment="1">
      <alignment horizontal="center"/>
    </xf>
    <xf numFmtId="175" fontId="3" fillId="0" borderId="46" xfId="0" applyNumberFormat="1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38" fontId="3" fillId="0" borderId="1" xfId="0" applyNumberFormat="1" applyFont="1" applyFill="1" applyBorder="1" applyAlignment="1">
      <alignment horizontal="center"/>
    </xf>
    <xf numFmtId="3" fontId="3" fillId="2" borderId="37" xfId="1" applyNumberFormat="1" applyFont="1" applyFill="1" applyBorder="1" applyAlignment="1">
      <alignment horizontal="center"/>
    </xf>
    <xf numFmtId="3" fontId="0" fillId="3" borderId="2" xfId="1" applyNumberFormat="1" applyFont="1" applyFill="1" applyBorder="1" applyAlignment="1">
      <alignment horizontal="center"/>
    </xf>
    <xf numFmtId="3" fontId="0" fillId="3" borderId="43" xfId="1" applyNumberFormat="1" applyFont="1" applyFill="1" applyBorder="1" applyAlignment="1">
      <alignment horizontal="center"/>
    </xf>
    <xf numFmtId="3" fontId="3" fillId="0" borderId="2" xfId="1" applyNumberFormat="1" applyFont="1" applyFill="1" applyBorder="1" applyAlignment="1">
      <alignment horizontal="center"/>
    </xf>
    <xf numFmtId="3" fontId="3" fillId="2" borderId="2" xfId="1" applyNumberFormat="1" applyFont="1" applyFill="1" applyBorder="1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175" fontId="3" fillId="0" borderId="1" xfId="0" applyNumberFormat="1" applyFont="1" applyFill="1" applyBorder="1" applyAlignment="1">
      <alignment horizontal="center"/>
    </xf>
    <xf numFmtId="2" fontId="3" fillId="2" borderId="37" xfId="0" applyNumberFormat="1" applyFont="1" applyFill="1" applyBorder="1" applyAlignment="1">
      <alignment horizontal="center"/>
    </xf>
    <xf numFmtId="38" fontId="0" fillId="3" borderId="2" xfId="0" applyNumberFormat="1" applyFill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175" fontId="3" fillId="0" borderId="9" xfId="0" applyNumberFormat="1" applyFont="1" applyFill="1" applyBorder="1" applyAlignment="1">
      <alignment horizontal="left"/>
    </xf>
    <xf numFmtId="0" fontId="5" fillId="3" borderId="1" xfId="0" applyFont="1" applyFill="1" applyBorder="1"/>
    <xf numFmtId="181" fontId="5" fillId="3" borderId="22" xfId="0" applyNumberFormat="1" applyFont="1" applyFill="1" applyBorder="1" applyAlignment="1">
      <alignment horizontal="center"/>
    </xf>
    <xf numFmtId="180" fontId="5" fillId="3" borderId="23" xfId="0" applyNumberFormat="1" applyFont="1" applyFill="1" applyBorder="1" applyAlignment="1">
      <alignment horizontal="center"/>
    </xf>
    <xf numFmtId="178" fontId="5" fillId="3" borderId="23" xfId="0" applyNumberFormat="1" applyFont="1" applyFill="1" applyBorder="1" applyAlignment="1">
      <alignment horizontal="center"/>
    </xf>
    <xf numFmtId="180" fontId="5" fillId="3" borderId="23" xfId="1" applyNumberFormat="1" applyFont="1" applyFill="1" applyBorder="1" applyAlignment="1">
      <alignment horizontal="center"/>
    </xf>
    <xf numFmtId="178" fontId="5" fillId="3" borderId="28" xfId="0" applyNumberFormat="1" applyFont="1" applyFill="1" applyBorder="1" applyAlignment="1">
      <alignment horizontal="center"/>
    </xf>
    <xf numFmtId="180" fontId="5" fillId="3" borderId="52" xfId="0" applyNumberFormat="1" applyFont="1" applyFill="1" applyBorder="1" applyAlignment="1">
      <alignment horizontal="center"/>
    </xf>
    <xf numFmtId="178" fontId="5" fillId="3" borderId="52" xfId="0" applyNumberFormat="1" applyFont="1" applyFill="1" applyBorder="1" applyAlignment="1">
      <alignment horizontal="center"/>
    </xf>
    <xf numFmtId="180" fontId="5" fillId="3" borderId="28" xfId="1" applyNumberFormat="1" applyFont="1" applyFill="1" applyBorder="1" applyAlignment="1">
      <alignment horizontal="center"/>
    </xf>
    <xf numFmtId="178" fontId="5" fillId="3" borderId="3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8" fontId="0" fillId="3" borderId="49" xfId="0" applyNumberFormat="1" applyFill="1" applyBorder="1" applyAlignment="1">
      <alignment horizontal="center"/>
    </xf>
    <xf numFmtId="8" fontId="0" fillId="0" borderId="49" xfId="0" applyNumberFormat="1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8" fontId="0" fillId="0" borderId="58" xfId="0" applyNumberFormat="1" applyFill="1" applyBorder="1" applyAlignment="1">
      <alignment horizontal="center"/>
    </xf>
    <xf numFmtId="183" fontId="3" fillId="0" borderId="27" xfId="0" applyNumberFormat="1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183" fontId="12" fillId="0" borderId="19" xfId="0" applyNumberFormat="1" applyFont="1" applyBorder="1" applyAlignment="1">
      <alignment horizontal="center" vertical="center" wrapText="1"/>
    </xf>
    <xf numFmtId="181" fontId="8" fillId="0" borderId="69" xfId="0" applyNumberFormat="1" applyFont="1" applyBorder="1" applyAlignment="1">
      <alignment horizontal="center" vertical="center" wrapText="1"/>
    </xf>
    <xf numFmtId="181" fontId="8" fillId="0" borderId="70" xfId="0" applyNumberFormat="1" applyFont="1" applyBorder="1" applyAlignment="1">
      <alignment horizontal="center" vertical="center" wrapText="1"/>
    </xf>
    <xf numFmtId="175" fontId="12" fillId="0" borderId="18" xfId="0" applyNumberFormat="1" applyFont="1" applyBorder="1" applyAlignment="1">
      <alignment horizontal="center" vertical="center" wrapText="1"/>
    </xf>
    <xf numFmtId="175" fontId="12" fillId="0" borderId="63" xfId="0" applyNumberFormat="1" applyFont="1" applyBorder="1" applyAlignment="1">
      <alignment horizontal="center" vertical="center" wrapText="1"/>
    </xf>
    <xf numFmtId="18" fontId="10" fillId="0" borderId="67" xfId="0" applyNumberFormat="1" applyFont="1" applyBorder="1" applyAlignment="1">
      <alignment horizontal="center" vertical="center" wrapText="1"/>
    </xf>
    <xf numFmtId="18" fontId="10" fillId="0" borderId="68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1" fontId="12" fillId="0" borderId="19" xfId="1" applyNumberFormat="1" applyFont="1" applyBorder="1" applyAlignment="1">
      <alignment horizontal="center" vertical="center" wrapText="1"/>
    </xf>
    <xf numFmtId="171" fontId="3" fillId="0" borderId="27" xfId="1" applyNumberFormat="1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ont>
        <condense val="0"/>
        <extend val="0"/>
        <color auto="1"/>
      </font>
      <fill>
        <patternFill>
          <bgColor indexed="51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51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84</xdr:col>
          <xdr:colOff>276225</xdr:colOff>
          <xdr:row>3</xdr:row>
          <xdr:rowOff>85725</xdr:rowOff>
        </xdr:from>
        <xdr:to>
          <xdr:col>90</xdr:col>
          <xdr:colOff>9525</xdr:colOff>
          <xdr:row>130</xdr:row>
          <xdr:rowOff>9525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&amp; ARCHIVE NEW AS OLD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84</xdr:col>
          <xdr:colOff>276225</xdr:colOff>
          <xdr:row>134</xdr:row>
          <xdr:rowOff>57150</xdr:rowOff>
        </xdr:from>
        <xdr:to>
          <xdr:col>89</xdr:col>
          <xdr:colOff>581025</xdr:colOff>
          <xdr:row>136</xdr:row>
          <xdr:rowOff>133350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TODAY'S TRADE DATA</a:t>
              </a:r>
            </a:p>
          </xdr:txBody>
        </xdr:sp>
        <xdr:clientData fPrintsWithSheet="0"/>
      </xdr:twoCellAnchor>
    </mc:Choice>
    <mc:Fallback/>
  </mc:AlternateContent>
  <xdr:twoCellAnchor>
    <xdr:from>
      <xdr:col>84</xdr:col>
      <xdr:colOff>323850</xdr:colOff>
      <xdr:row>139</xdr:row>
      <xdr:rowOff>57150</xdr:rowOff>
    </xdr:from>
    <xdr:to>
      <xdr:col>90</xdr:col>
      <xdr:colOff>38100</xdr:colOff>
      <xdr:row>152</xdr:row>
      <xdr:rowOff>19050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28755975" y="2085975"/>
          <a:ext cx="3667125" cy="1200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Arial"/>
              <a:cs typeface="Arial"/>
            </a:rPr>
            <a:t>MAKE SURE TO CHANGE THE DATE IN THE MACRO TO TOMORROW'S FOLDER BEFORE RUNNING THE MACRO!!!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MW/MW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definedNames>
      <definedName name="_xlnm.Print_Area" refersTo="='Offpeak_Forward'!$A$2:$AG$231" sheetId="4"/>
    </definedNames>
    <sheetDataSet>
      <sheetData sheetId="0"/>
      <sheetData sheetId="1"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36.380428314208999</v>
          </cell>
          <cell r="C8">
            <v>36.380428314208999</v>
          </cell>
          <cell r="D8">
            <v>36.380428314208999</v>
          </cell>
          <cell r="E8">
            <v>36.380428314208999</v>
          </cell>
          <cell r="F8">
            <v>25.9608764648438</v>
          </cell>
          <cell r="G8">
            <v>30.460878372192401</v>
          </cell>
          <cell r="H8">
            <v>25.9608764648438</v>
          </cell>
          <cell r="I8">
            <v>26.9608764648438</v>
          </cell>
          <cell r="J8">
            <v>29.973913192748999</v>
          </cell>
          <cell r="K8">
            <v>33.793479919433601</v>
          </cell>
          <cell r="L8">
            <v>35.586956024169901</v>
          </cell>
          <cell r="M8">
            <v>19.973474502563501</v>
          </cell>
          <cell r="N8">
            <v>19.635217666626001</v>
          </cell>
          <cell r="O8">
            <v>18.9763374328613</v>
          </cell>
          <cell r="P8">
            <v>19.973474502563501</v>
          </cell>
          <cell r="Q8">
            <v>19.620872497558601</v>
          </cell>
          <cell r="R8">
            <v>22.840183258056602</v>
          </cell>
          <cell r="S8">
            <v>21.3569526672363</v>
          </cell>
          <cell r="T8">
            <v>17.789997100830099</v>
          </cell>
          <cell r="U8">
            <v>24.500001907348601</v>
          </cell>
          <cell r="V8">
            <v>18.749998092651399</v>
          </cell>
          <cell r="W8">
            <v>26.500001907348601</v>
          </cell>
          <cell r="X8">
            <v>23.4713020324707</v>
          </cell>
          <cell r="Y8">
            <v>25.000001907348601</v>
          </cell>
          <cell r="Z8">
            <v>27.000001907348601</v>
          </cell>
          <cell r="AA8">
            <v>27.500001907348601</v>
          </cell>
          <cell r="AB8">
            <v>18.869556427001999</v>
          </cell>
          <cell r="AC8">
            <v>21.869562149047901</v>
          </cell>
          <cell r="AD8">
            <v>18.869556427001999</v>
          </cell>
          <cell r="AE8">
            <v>18.869556427001999</v>
          </cell>
          <cell r="AF8">
            <v>18.869556427001999</v>
          </cell>
          <cell r="AG8">
            <v>1.83</v>
          </cell>
        </row>
        <row r="9">
          <cell r="A9">
            <v>37196</v>
          </cell>
          <cell r="AG9">
            <v>2.2530000000000001</v>
          </cell>
        </row>
        <row r="10">
          <cell r="A10">
            <v>37226</v>
          </cell>
          <cell r="B10">
            <v>29.763888888888889</v>
          </cell>
          <cell r="C10">
            <v>33.513888888888886</v>
          </cell>
          <cell r="D10">
            <v>33.513888888888886</v>
          </cell>
          <cell r="E10">
            <v>33.513888888888886</v>
          </cell>
          <cell r="F10">
            <v>23.361111111111111</v>
          </cell>
          <cell r="G10">
            <v>29.361111111111111</v>
          </cell>
          <cell r="H10">
            <v>29.361111111111111</v>
          </cell>
          <cell r="I10">
            <v>29.361111111111111</v>
          </cell>
          <cell r="J10">
            <v>26.216666666666658</v>
          </cell>
          <cell r="K10">
            <v>32.5</v>
          </cell>
          <cell r="L10">
            <v>33.777777777777779</v>
          </cell>
          <cell r="M10">
            <v>22.191666666666674</v>
          </cell>
          <cell r="N10">
            <v>21.911111111111115</v>
          </cell>
          <cell r="O10">
            <v>22.041666666666668</v>
          </cell>
          <cell r="P10">
            <v>22.191666666666674</v>
          </cell>
          <cell r="Q10">
            <v>23.091666666666665</v>
          </cell>
          <cell r="R10">
            <v>22.041666666666661</v>
          </cell>
          <cell r="S10">
            <v>22.191666666666674</v>
          </cell>
          <cell r="T10">
            <v>17.19166666666667</v>
          </cell>
          <cell r="U10">
            <v>21.708333333333332</v>
          </cell>
          <cell r="V10">
            <v>19.180555555555557</v>
          </cell>
          <cell r="W10">
            <v>24.458333333333332</v>
          </cell>
          <cell r="X10">
            <v>15.630555555555551</v>
          </cell>
          <cell r="Y10">
            <v>22.208333333333332</v>
          </cell>
          <cell r="Z10">
            <v>24.708333333333332</v>
          </cell>
          <cell r="AA10">
            <v>24.458333333333332</v>
          </cell>
          <cell r="AB10">
            <v>19.75</v>
          </cell>
          <cell r="AC10">
            <v>21.758888888888883</v>
          </cell>
          <cell r="AD10">
            <v>19.758888888888883</v>
          </cell>
          <cell r="AE10">
            <v>19.758888888888883</v>
          </cell>
          <cell r="AF10">
            <v>19.758888888888883</v>
          </cell>
          <cell r="AG10">
            <v>2.3159999999999998</v>
          </cell>
        </row>
        <row r="11">
          <cell r="A11">
            <v>37257</v>
          </cell>
          <cell r="B11">
            <v>36.7501831054688</v>
          </cell>
          <cell r="C11">
            <v>37.261547088622997</v>
          </cell>
          <cell r="D11">
            <v>37.261547088622997</v>
          </cell>
          <cell r="E11">
            <v>37.261547088622997</v>
          </cell>
          <cell r="F11">
            <v>28.5</v>
          </cell>
          <cell r="G11">
            <v>33.204544067382798</v>
          </cell>
          <cell r="H11">
            <v>29.318181991577099</v>
          </cell>
          <cell r="I11">
            <v>30.181818008422901</v>
          </cell>
          <cell r="J11">
            <v>29.25</v>
          </cell>
          <cell r="K11">
            <v>36.5</v>
          </cell>
          <cell r="L11">
            <v>41.75</v>
          </cell>
          <cell r="M11">
            <v>25.605688095092798</v>
          </cell>
          <cell r="N11">
            <v>22.875682830810501</v>
          </cell>
          <cell r="O11">
            <v>25.141141891479499</v>
          </cell>
          <cell r="P11">
            <v>25.605688095092798</v>
          </cell>
          <cell r="Q11">
            <v>26.505681991577099</v>
          </cell>
          <cell r="R11">
            <v>26.146593093872099</v>
          </cell>
          <cell r="S11">
            <v>25.605688095092798</v>
          </cell>
          <cell r="T11">
            <v>20.605686187744102</v>
          </cell>
          <cell r="U11">
            <v>27.5</v>
          </cell>
          <cell r="V11">
            <v>22.5</v>
          </cell>
          <cell r="W11">
            <v>30.25</v>
          </cell>
          <cell r="X11">
            <v>18.950004577636701</v>
          </cell>
          <cell r="Y11">
            <v>28</v>
          </cell>
          <cell r="Z11">
            <v>30.5</v>
          </cell>
          <cell r="AA11">
            <v>30.25</v>
          </cell>
          <cell r="AB11">
            <v>22.163732528686499</v>
          </cell>
          <cell r="AC11">
            <v>24.165094375610401</v>
          </cell>
          <cell r="AD11">
            <v>22.165096282958999</v>
          </cell>
          <cell r="AE11">
            <v>22.165096282958999</v>
          </cell>
          <cell r="AF11">
            <v>22.165096282958999</v>
          </cell>
          <cell r="AG11">
            <v>2.4910000000000001</v>
          </cell>
        </row>
        <row r="12">
          <cell r="A12">
            <v>37288</v>
          </cell>
          <cell r="B12">
            <v>36.75</v>
          </cell>
          <cell r="C12">
            <v>36.75</v>
          </cell>
          <cell r="D12">
            <v>36.75</v>
          </cell>
          <cell r="E12">
            <v>36.75</v>
          </cell>
          <cell r="F12">
            <v>28.5</v>
          </cell>
          <cell r="G12">
            <v>34.5</v>
          </cell>
          <cell r="H12">
            <v>29</v>
          </cell>
          <cell r="I12">
            <v>30.5</v>
          </cell>
          <cell r="J12">
            <v>29.25</v>
          </cell>
          <cell r="K12">
            <v>36.5</v>
          </cell>
          <cell r="L12">
            <v>43</v>
          </cell>
          <cell r="M12">
            <v>25.95</v>
          </cell>
          <cell r="N12">
            <v>23.22</v>
          </cell>
          <cell r="O12">
            <v>25.57</v>
          </cell>
          <cell r="P12">
            <v>26</v>
          </cell>
          <cell r="Q12">
            <v>29.45</v>
          </cell>
          <cell r="R12">
            <v>29.68</v>
          </cell>
          <cell r="S12">
            <v>25.95</v>
          </cell>
          <cell r="T12">
            <v>20.95</v>
          </cell>
          <cell r="U12">
            <v>27.5</v>
          </cell>
          <cell r="V12">
            <v>22.5</v>
          </cell>
          <cell r="W12">
            <v>29.25</v>
          </cell>
          <cell r="X12">
            <v>21.1</v>
          </cell>
          <cell r="Y12">
            <v>28</v>
          </cell>
          <cell r="Z12">
            <v>30.5</v>
          </cell>
          <cell r="AA12">
            <v>30.25</v>
          </cell>
          <cell r="AB12">
            <v>21.67</v>
          </cell>
          <cell r="AC12">
            <v>24.17</v>
          </cell>
          <cell r="AD12">
            <v>23.17</v>
          </cell>
          <cell r="AE12">
            <v>21.67</v>
          </cell>
          <cell r="AF12">
            <v>24.67</v>
          </cell>
          <cell r="AG12">
            <v>2.6240000000000001</v>
          </cell>
        </row>
        <row r="13">
          <cell r="A13">
            <v>37316</v>
          </cell>
          <cell r="B13">
            <v>33</v>
          </cell>
          <cell r="C13">
            <v>33</v>
          </cell>
          <cell r="D13">
            <v>33</v>
          </cell>
          <cell r="E13">
            <v>33</v>
          </cell>
          <cell r="F13">
            <v>26.9</v>
          </cell>
          <cell r="G13">
            <v>33.4</v>
          </cell>
          <cell r="H13">
            <v>27.65</v>
          </cell>
          <cell r="I13">
            <v>28.9</v>
          </cell>
          <cell r="J13">
            <v>27</v>
          </cell>
          <cell r="K13">
            <v>35</v>
          </cell>
          <cell r="L13">
            <v>37.5</v>
          </cell>
          <cell r="M13">
            <v>24.58</v>
          </cell>
          <cell r="N13">
            <v>23.08</v>
          </cell>
          <cell r="O13">
            <v>23.98</v>
          </cell>
          <cell r="P13">
            <v>24.83</v>
          </cell>
          <cell r="Q13">
            <v>25.33</v>
          </cell>
          <cell r="R13">
            <v>28.68</v>
          </cell>
          <cell r="S13">
            <v>24.58</v>
          </cell>
          <cell r="T13">
            <v>19.579999999999998</v>
          </cell>
          <cell r="U13">
            <v>25.8</v>
          </cell>
          <cell r="V13">
            <v>22</v>
          </cell>
          <cell r="W13">
            <v>27.55</v>
          </cell>
          <cell r="X13">
            <v>21</v>
          </cell>
          <cell r="Y13">
            <v>26.3</v>
          </cell>
          <cell r="Z13">
            <v>28.8</v>
          </cell>
          <cell r="AA13">
            <v>28.55</v>
          </cell>
          <cell r="AB13">
            <v>23</v>
          </cell>
          <cell r="AC13">
            <v>25.75</v>
          </cell>
          <cell r="AD13">
            <v>24.5</v>
          </cell>
          <cell r="AE13">
            <v>23</v>
          </cell>
          <cell r="AF13">
            <v>25.5</v>
          </cell>
          <cell r="AG13">
            <v>2.6309999999999998</v>
          </cell>
        </row>
        <row r="14">
          <cell r="A14">
            <v>37347</v>
          </cell>
          <cell r="B14">
            <v>33</v>
          </cell>
          <cell r="C14">
            <v>33</v>
          </cell>
          <cell r="D14">
            <v>33</v>
          </cell>
          <cell r="E14">
            <v>33</v>
          </cell>
          <cell r="F14">
            <v>26.9</v>
          </cell>
          <cell r="G14">
            <v>33.4</v>
          </cell>
          <cell r="H14">
            <v>27.65</v>
          </cell>
          <cell r="I14">
            <v>28.9</v>
          </cell>
          <cell r="J14">
            <v>27</v>
          </cell>
          <cell r="K14">
            <v>35</v>
          </cell>
          <cell r="L14">
            <v>37.5</v>
          </cell>
          <cell r="M14">
            <v>25.03</v>
          </cell>
          <cell r="N14">
            <v>23.53</v>
          </cell>
          <cell r="O14">
            <v>24.43</v>
          </cell>
          <cell r="P14">
            <v>25.28</v>
          </cell>
          <cell r="Q14">
            <v>25.78</v>
          </cell>
          <cell r="R14">
            <v>29.13</v>
          </cell>
          <cell r="S14">
            <v>25.03</v>
          </cell>
          <cell r="T14">
            <v>20.03</v>
          </cell>
          <cell r="U14">
            <v>25.8</v>
          </cell>
          <cell r="V14">
            <v>22</v>
          </cell>
          <cell r="W14">
            <v>27.55</v>
          </cell>
          <cell r="X14">
            <v>21</v>
          </cell>
          <cell r="Y14">
            <v>26.3</v>
          </cell>
          <cell r="Z14">
            <v>28.8</v>
          </cell>
          <cell r="AA14">
            <v>28.55</v>
          </cell>
          <cell r="AB14">
            <v>22.6</v>
          </cell>
          <cell r="AC14">
            <v>26.35</v>
          </cell>
          <cell r="AD14">
            <v>24.6</v>
          </cell>
          <cell r="AE14">
            <v>22.6</v>
          </cell>
          <cell r="AF14">
            <v>25.1</v>
          </cell>
          <cell r="AG14">
            <v>2.6120000000000001</v>
          </cell>
        </row>
        <row r="15">
          <cell r="A15">
            <v>37377</v>
          </cell>
          <cell r="B15">
            <v>33.75</v>
          </cell>
          <cell r="C15">
            <v>33.75</v>
          </cell>
          <cell r="D15">
            <v>33.75</v>
          </cell>
          <cell r="E15">
            <v>33.75</v>
          </cell>
          <cell r="F15">
            <v>30</v>
          </cell>
          <cell r="G15">
            <v>36.5</v>
          </cell>
          <cell r="H15">
            <v>30.5</v>
          </cell>
          <cell r="I15">
            <v>32</v>
          </cell>
          <cell r="J15">
            <v>29</v>
          </cell>
          <cell r="K15">
            <v>36.25</v>
          </cell>
          <cell r="L15">
            <v>41</v>
          </cell>
          <cell r="M15">
            <v>27.15</v>
          </cell>
          <cell r="N15">
            <v>24.52</v>
          </cell>
          <cell r="O15">
            <v>26.51</v>
          </cell>
          <cell r="P15">
            <v>27.4</v>
          </cell>
          <cell r="Q15">
            <v>26.9</v>
          </cell>
          <cell r="R15">
            <v>30.65</v>
          </cell>
          <cell r="S15">
            <v>27.15</v>
          </cell>
          <cell r="T15">
            <v>22.15</v>
          </cell>
          <cell r="U15">
            <v>27.8</v>
          </cell>
          <cell r="V15">
            <v>25</v>
          </cell>
          <cell r="W15">
            <v>29.55</v>
          </cell>
          <cell r="X15">
            <v>24.45</v>
          </cell>
          <cell r="Y15">
            <v>28.3</v>
          </cell>
          <cell r="Z15">
            <v>30.8</v>
          </cell>
          <cell r="AA15">
            <v>31.55</v>
          </cell>
          <cell r="AB15">
            <v>25.995000000000001</v>
          </cell>
          <cell r="AC15">
            <v>30.495000000000001</v>
          </cell>
          <cell r="AD15">
            <v>27.995000000000001</v>
          </cell>
          <cell r="AE15">
            <v>25.995000000000001</v>
          </cell>
          <cell r="AF15">
            <v>29.245000000000001</v>
          </cell>
          <cell r="AG15">
            <v>2.6539999999999999</v>
          </cell>
        </row>
        <row r="16">
          <cell r="A16">
            <v>37408</v>
          </cell>
          <cell r="B16">
            <v>40.75</v>
          </cell>
          <cell r="C16">
            <v>40.75</v>
          </cell>
          <cell r="D16">
            <v>40.75</v>
          </cell>
          <cell r="E16">
            <v>40.75</v>
          </cell>
          <cell r="F16">
            <v>39.75</v>
          </cell>
          <cell r="G16">
            <v>51.25</v>
          </cell>
          <cell r="H16">
            <v>40.25</v>
          </cell>
          <cell r="I16">
            <v>43.75</v>
          </cell>
          <cell r="J16">
            <v>39.5</v>
          </cell>
          <cell r="K16">
            <v>43.5</v>
          </cell>
          <cell r="L16">
            <v>51</v>
          </cell>
          <cell r="M16">
            <v>36</v>
          </cell>
          <cell r="N16">
            <v>33.119999999999997</v>
          </cell>
          <cell r="O16">
            <v>34.31</v>
          </cell>
          <cell r="P16">
            <v>36.049999999999997</v>
          </cell>
          <cell r="Q16">
            <v>38.630000000000003</v>
          </cell>
          <cell r="R16">
            <v>40.5</v>
          </cell>
          <cell r="S16">
            <v>36</v>
          </cell>
          <cell r="T16">
            <v>31</v>
          </cell>
          <cell r="U16">
            <v>36.5</v>
          </cell>
          <cell r="V16">
            <v>32.5</v>
          </cell>
          <cell r="W16">
            <v>38.25</v>
          </cell>
          <cell r="X16">
            <v>31.95</v>
          </cell>
          <cell r="Y16">
            <v>37</v>
          </cell>
          <cell r="Z16">
            <v>39.75</v>
          </cell>
          <cell r="AA16">
            <v>42.25</v>
          </cell>
          <cell r="AB16">
            <v>28</v>
          </cell>
          <cell r="AC16">
            <v>34</v>
          </cell>
          <cell r="AD16">
            <v>31</v>
          </cell>
          <cell r="AE16">
            <v>28</v>
          </cell>
          <cell r="AF16">
            <v>32.5</v>
          </cell>
          <cell r="AG16">
            <v>2.7040000000000002</v>
          </cell>
        </row>
        <row r="17">
          <cell r="A17">
            <v>37438</v>
          </cell>
          <cell r="B17">
            <v>51.75</v>
          </cell>
          <cell r="C17">
            <v>51.75</v>
          </cell>
          <cell r="D17">
            <v>51.75</v>
          </cell>
          <cell r="E17">
            <v>51.75</v>
          </cell>
          <cell r="F17">
            <v>52</v>
          </cell>
          <cell r="G17">
            <v>76</v>
          </cell>
          <cell r="H17">
            <v>52.5</v>
          </cell>
          <cell r="I17">
            <v>56</v>
          </cell>
          <cell r="J17">
            <v>48.5</v>
          </cell>
          <cell r="K17">
            <v>61.75</v>
          </cell>
          <cell r="L17">
            <v>70</v>
          </cell>
          <cell r="M17">
            <v>46.125</v>
          </cell>
          <cell r="N17">
            <v>42.75</v>
          </cell>
          <cell r="O17">
            <v>45.024999999999999</v>
          </cell>
          <cell r="P17">
            <v>46.125</v>
          </cell>
          <cell r="Q17">
            <v>50.375</v>
          </cell>
          <cell r="R17">
            <v>55.125</v>
          </cell>
          <cell r="S17">
            <v>46.125</v>
          </cell>
          <cell r="T17">
            <v>41.125</v>
          </cell>
          <cell r="U17">
            <v>48.5</v>
          </cell>
          <cell r="V17">
            <v>41.003999999999998</v>
          </cell>
          <cell r="W17">
            <v>50.25</v>
          </cell>
          <cell r="X17">
            <v>40.143999999999998</v>
          </cell>
          <cell r="Y17">
            <v>49</v>
          </cell>
          <cell r="Z17">
            <v>51.75</v>
          </cell>
          <cell r="AA17">
            <v>54.25</v>
          </cell>
          <cell r="AB17">
            <v>36.25</v>
          </cell>
          <cell r="AC17">
            <v>47.75</v>
          </cell>
          <cell r="AD17">
            <v>43.25</v>
          </cell>
          <cell r="AE17">
            <v>36.25</v>
          </cell>
          <cell r="AF17">
            <v>44.25</v>
          </cell>
          <cell r="AG17">
            <v>2.7440000000000002</v>
          </cell>
        </row>
        <row r="18">
          <cell r="A18">
            <v>37469</v>
          </cell>
          <cell r="B18">
            <v>51.75</v>
          </cell>
          <cell r="C18">
            <v>51.75</v>
          </cell>
          <cell r="D18">
            <v>51.75</v>
          </cell>
          <cell r="E18">
            <v>51.75</v>
          </cell>
          <cell r="F18">
            <v>52</v>
          </cell>
          <cell r="G18">
            <v>76</v>
          </cell>
          <cell r="H18">
            <v>52.5</v>
          </cell>
          <cell r="I18">
            <v>56</v>
          </cell>
          <cell r="J18">
            <v>48.5</v>
          </cell>
          <cell r="K18">
            <v>61.75</v>
          </cell>
          <cell r="L18">
            <v>70</v>
          </cell>
          <cell r="M18">
            <v>46.125</v>
          </cell>
          <cell r="N18">
            <v>42.75</v>
          </cell>
          <cell r="O18">
            <v>45.024999999999999</v>
          </cell>
          <cell r="P18">
            <v>46.125</v>
          </cell>
          <cell r="Q18">
            <v>50.375</v>
          </cell>
          <cell r="R18">
            <v>55.125</v>
          </cell>
          <cell r="S18">
            <v>46.125</v>
          </cell>
          <cell r="T18">
            <v>41.125</v>
          </cell>
          <cell r="U18">
            <v>48.5</v>
          </cell>
          <cell r="V18">
            <v>41</v>
          </cell>
          <cell r="W18">
            <v>50.25</v>
          </cell>
          <cell r="X18">
            <v>40.15</v>
          </cell>
          <cell r="Y18">
            <v>49</v>
          </cell>
          <cell r="Z18">
            <v>51.75</v>
          </cell>
          <cell r="AA18">
            <v>54.25</v>
          </cell>
          <cell r="AB18">
            <v>36.25</v>
          </cell>
          <cell r="AC18">
            <v>47.75</v>
          </cell>
          <cell r="AD18">
            <v>43.25</v>
          </cell>
          <cell r="AE18">
            <v>36.25</v>
          </cell>
          <cell r="AF18">
            <v>44.25</v>
          </cell>
          <cell r="AG18">
            <v>2.7839999999999998</v>
          </cell>
        </row>
        <row r="19">
          <cell r="A19">
            <v>37500</v>
          </cell>
          <cell r="B19">
            <v>33</v>
          </cell>
          <cell r="C19">
            <v>33</v>
          </cell>
          <cell r="D19">
            <v>33</v>
          </cell>
          <cell r="E19">
            <v>33</v>
          </cell>
          <cell r="F19">
            <v>27</v>
          </cell>
          <cell r="G19">
            <v>30.5</v>
          </cell>
          <cell r="H19">
            <v>27.5</v>
          </cell>
          <cell r="I19">
            <v>29</v>
          </cell>
          <cell r="J19">
            <v>27.25</v>
          </cell>
          <cell r="K19">
            <v>34.5</v>
          </cell>
          <cell r="L19">
            <v>40</v>
          </cell>
          <cell r="M19">
            <v>25.15</v>
          </cell>
          <cell r="N19">
            <v>23.274999999999999</v>
          </cell>
          <cell r="O19">
            <v>24.46</v>
          </cell>
          <cell r="P19">
            <v>25.2</v>
          </cell>
          <cell r="Q19">
            <v>25.15</v>
          </cell>
          <cell r="R19">
            <v>27.3</v>
          </cell>
          <cell r="S19">
            <v>25.15</v>
          </cell>
          <cell r="T19">
            <v>20.149999999999999</v>
          </cell>
          <cell r="U19">
            <v>26.85</v>
          </cell>
          <cell r="V19">
            <v>23.1</v>
          </cell>
          <cell r="W19">
            <v>28.6</v>
          </cell>
          <cell r="X19">
            <v>22.65</v>
          </cell>
          <cell r="Y19">
            <v>27.35</v>
          </cell>
          <cell r="Z19">
            <v>29.85</v>
          </cell>
          <cell r="AA19">
            <v>32.1</v>
          </cell>
          <cell r="AB19">
            <v>27</v>
          </cell>
          <cell r="AC19">
            <v>30.25</v>
          </cell>
          <cell r="AD19">
            <v>31</v>
          </cell>
          <cell r="AE19">
            <v>27</v>
          </cell>
          <cell r="AF19">
            <v>32.25</v>
          </cell>
          <cell r="AG19">
            <v>2.7789999999999999</v>
          </cell>
        </row>
        <row r="20">
          <cell r="A20">
            <v>37530</v>
          </cell>
          <cell r="B20">
            <v>33</v>
          </cell>
          <cell r="C20">
            <v>33</v>
          </cell>
          <cell r="D20">
            <v>33</v>
          </cell>
          <cell r="E20">
            <v>33</v>
          </cell>
          <cell r="F20">
            <v>26.75</v>
          </cell>
          <cell r="G20">
            <v>31.25</v>
          </cell>
          <cell r="H20">
            <v>27.25</v>
          </cell>
          <cell r="I20">
            <v>28.75</v>
          </cell>
          <cell r="J20">
            <v>27.25</v>
          </cell>
          <cell r="K20">
            <v>34.5</v>
          </cell>
          <cell r="L20">
            <v>39.5</v>
          </cell>
          <cell r="M20">
            <v>25</v>
          </cell>
          <cell r="N20">
            <v>23.125</v>
          </cell>
          <cell r="O20">
            <v>24.06</v>
          </cell>
          <cell r="P20">
            <v>25.25</v>
          </cell>
          <cell r="Q20">
            <v>25.75</v>
          </cell>
          <cell r="R20">
            <v>26.95</v>
          </cell>
          <cell r="S20">
            <v>25</v>
          </cell>
          <cell r="T20">
            <v>20</v>
          </cell>
          <cell r="U20">
            <v>26.25</v>
          </cell>
          <cell r="V20">
            <v>23.85</v>
          </cell>
          <cell r="W20">
            <v>28</v>
          </cell>
          <cell r="X20">
            <v>23.45</v>
          </cell>
          <cell r="Y20">
            <v>26.75</v>
          </cell>
          <cell r="Z20">
            <v>29.25</v>
          </cell>
          <cell r="AA20">
            <v>29</v>
          </cell>
          <cell r="AB20">
            <v>26.53</v>
          </cell>
          <cell r="AC20">
            <v>29.03</v>
          </cell>
          <cell r="AD20">
            <v>28.53</v>
          </cell>
          <cell r="AE20">
            <v>26.53</v>
          </cell>
          <cell r="AF20">
            <v>29.03</v>
          </cell>
          <cell r="AG20">
            <v>2.7970000000000002</v>
          </cell>
        </row>
        <row r="21">
          <cell r="A21">
            <v>37561</v>
          </cell>
          <cell r="B21">
            <v>33</v>
          </cell>
          <cell r="C21">
            <v>33</v>
          </cell>
          <cell r="D21">
            <v>33</v>
          </cell>
          <cell r="E21">
            <v>33</v>
          </cell>
          <cell r="F21">
            <v>26.75</v>
          </cell>
          <cell r="G21">
            <v>31.25</v>
          </cell>
          <cell r="H21">
            <v>27.25</v>
          </cell>
          <cell r="I21">
            <v>28.75</v>
          </cell>
          <cell r="J21">
            <v>27.25</v>
          </cell>
          <cell r="K21">
            <v>34.5</v>
          </cell>
          <cell r="L21">
            <v>39.5</v>
          </cell>
          <cell r="M21">
            <v>25.2</v>
          </cell>
          <cell r="N21">
            <v>23.324999999999999</v>
          </cell>
          <cell r="O21">
            <v>24.26</v>
          </cell>
          <cell r="P21">
            <v>25.45</v>
          </cell>
          <cell r="Q21">
            <v>25.95</v>
          </cell>
          <cell r="R21">
            <v>27.15</v>
          </cell>
          <cell r="S21">
            <v>25.2</v>
          </cell>
          <cell r="T21">
            <v>20.2</v>
          </cell>
          <cell r="U21">
            <v>26.25</v>
          </cell>
          <cell r="V21">
            <v>23.85</v>
          </cell>
          <cell r="W21">
            <v>28</v>
          </cell>
          <cell r="X21">
            <v>23.45</v>
          </cell>
          <cell r="Y21">
            <v>26.75</v>
          </cell>
          <cell r="Z21">
            <v>29.25</v>
          </cell>
          <cell r="AA21">
            <v>29</v>
          </cell>
          <cell r="AB21">
            <v>25.53</v>
          </cell>
          <cell r="AC21">
            <v>27.78</v>
          </cell>
          <cell r="AD21">
            <v>27.53</v>
          </cell>
          <cell r="AE21">
            <v>25.53</v>
          </cell>
          <cell r="AF21">
            <v>28.03</v>
          </cell>
          <cell r="AG21">
            <v>2.996</v>
          </cell>
        </row>
        <row r="22">
          <cell r="A22">
            <v>37591</v>
          </cell>
          <cell r="B22">
            <v>33</v>
          </cell>
          <cell r="C22">
            <v>33</v>
          </cell>
          <cell r="D22">
            <v>33</v>
          </cell>
          <cell r="E22">
            <v>33</v>
          </cell>
          <cell r="F22">
            <v>26.75</v>
          </cell>
          <cell r="G22">
            <v>31.25</v>
          </cell>
          <cell r="H22">
            <v>27.25</v>
          </cell>
          <cell r="I22">
            <v>28.75</v>
          </cell>
          <cell r="J22">
            <v>27.25</v>
          </cell>
          <cell r="K22">
            <v>34.5</v>
          </cell>
          <cell r="L22">
            <v>39.5</v>
          </cell>
          <cell r="M22">
            <v>25.4</v>
          </cell>
          <cell r="N22">
            <v>23.524999999999999</v>
          </cell>
          <cell r="O22">
            <v>24.46</v>
          </cell>
          <cell r="P22">
            <v>25.65</v>
          </cell>
          <cell r="Q22">
            <v>26.15</v>
          </cell>
          <cell r="R22">
            <v>27.35</v>
          </cell>
          <cell r="S22">
            <v>25.4</v>
          </cell>
          <cell r="T22">
            <v>20.399999999999999</v>
          </cell>
          <cell r="U22">
            <v>26.25</v>
          </cell>
          <cell r="V22">
            <v>23.85</v>
          </cell>
          <cell r="W22">
            <v>28</v>
          </cell>
          <cell r="X22">
            <v>23.45</v>
          </cell>
          <cell r="Y22">
            <v>26.75</v>
          </cell>
          <cell r="Z22">
            <v>29.25</v>
          </cell>
          <cell r="AA22">
            <v>29</v>
          </cell>
          <cell r="AB22">
            <v>25.93</v>
          </cell>
          <cell r="AC22">
            <v>29.43</v>
          </cell>
          <cell r="AD22">
            <v>27.93</v>
          </cell>
          <cell r="AE22">
            <v>25.93</v>
          </cell>
          <cell r="AF22">
            <v>28.93</v>
          </cell>
          <cell r="AG22">
            <v>3.181</v>
          </cell>
        </row>
        <row r="23">
          <cell r="A23">
            <v>37622</v>
          </cell>
          <cell r="B23">
            <v>37.75</v>
          </cell>
          <cell r="C23">
            <v>37.75</v>
          </cell>
          <cell r="D23">
            <v>37.75</v>
          </cell>
          <cell r="E23">
            <v>37.75</v>
          </cell>
          <cell r="F23">
            <v>30.5</v>
          </cell>
          <cell r="G23">
            <v>36.5</v>
          </cell>
          <cell r="H23">
            <v>31</v>
          </cell>
          <cell r="I23">
            <v>32.5</v>
          </cell>
          <cell r="J23">
            <v>30.75</v>
          </cell>
          <cell r="K23">
            <v>38.5</v>
          </cell>
          <cell r="L23">
            <v>44</v>
          </cell>
          <cell r="M23">
            <v>28.48</v>
          </cell>
          <cell r="N23">
            <v>26.03</v>
          </cell>
          <cell r="O23">
            <v>27.98</v>
          </cell>
          <cell r="P23">
            <v>28.98</v>
          </cell>
          <cell r="Q23">
            <v>29.15</v>
          </cell>
          <cell r="R23">
            <v>31.71</v>
          </cell>
          <cell r="S23">
            <v>28.48</v>
          </cell>
          <cell r="T23">
            <v>23.48</v>
          </cell>
          <cell r="U23">
            <v>28.35</v>
          </cell>
          <cell r="V23">
            <v>26.550999999999998</v>
          </cell>
          <cell r="W23">
            <v>30.1</v>
          </cell>
          <cell r="X23">
            <v>25.951000000000001</v>
          </cell>
          <cell r="Y23">
            <v>28.35</v>
          </cell>
          <cell r="Z23">
            <v>30.35</v>
          </cell>
          <cell r="AA23">
            <v>30.6</v>
          </cell>
          <cell r="AB23">
            <v>28.37</v>
          </cell>
          <cell r="AC23">
            <v>31.12</v>
          </cell>
          <cell r="AD23">
            <v>30.37</v>
          </cell>
          <cell r="AE23">
            <v>28.37</v>
          </cell>
          <cell r="AF23">
            <v>31.37</v>
          </cell>
          <cell r="AG23">
            <v>3.274</v>
          </cell>
        </row>
        <row r="24">
          <cell r="A24">
            <v>37653</v>
          </cell>
          <cell r="B24">
            <v>37.75</v>
          </cell>
          <cell r="C24">
            <v>37.75</v>
          </cell>
          <cell r="D24">
            <v>37.75</v>
          </cell>
          <cell r="E24">
            <v>37.75</v>
          </cell>
          <cell r="F24">
            <v>30.5</v>
          </cell>
          <cell r="G24">
            <v>36.5</v>
          </cell>
          <cell r="H24">
            <v>31</v>
          </cell>
          <cell r="I24">
            <v>32.5</v>
          </cell>
          <cell r="J24">
            <v>30.75</v>
          </cell>
          <cell r="K24">
            <v>38.5</v>
          </cell>
          <cell r="L24">
            <v>44</v>
          </cell>
          <cell r="M24">
            <v>27.88</v>
          </cell>
          <cell r="N24">
            <v>25.43</v>
          </cell>
          <cell r="O24">
            <v>27.38</v>
          </cell>
          <cell r="P24">
            <v>28.38</v>
          </cell>
          <cell r="Q24">
            <v>30.3</v>
          </cell>
          <cell r="R24">
            <v>31.11</v>
          </cell>
          <cell r="S24">
            <v>27.88</v>
          </cell>
          <cell r="T24">
            <v>22.88</v>
          </cell>
          <cell r="U24">
            <v>28.35</v>
          </cell>
          <cell r="V24">
            <v>26.550999999999998</v>
          </cell>
          <cell r="W24">
            <v>30.1</v>
          </cell>
          <cell r="X24">
            <v>25.951000000000001</v>
          </cell>
          <cell r="Y24">
            <v>28.35</v>
          </cell>
          <cell r="Z24">
            <v>30.35</v>
          </cell>
          <cell r="AA24">
            <v>30.6</v>
          </cell>
          <cell r="AB24">
            <v>27.22</v>
          </cell>
          <cell r="AC24">
            <v>29.97</v>
          </cell>
          <cell r="AD24">
            <v>28.72</v>
          </cell>
          <cell r="AE24">
            <v>27.22</v>
          </cell>
          <cell r="AF24">
            <v>30.22</v>
          </cell>
          <cell r="AG24">
            <v>3.2090000000000001</v>
          </cell>
        </row>
        <row r="25">
          <cell r="A25">
            <v>37681</v>
          </cell>
          <cell r="B25">
            <v>33.5</v>
          </cell>
          <cell r="C25">
            <v>33.5</v>
          </cell>
          <cell r="D25">
            <v>33.5</v>
          </cell>
          <cell r="E25">
            <v>33.5</v>
          </cell>
          <cell r="F25">
            <v>29</v>
          </cell>
          <cell r="G25">
            <v>33</v>
          </cell>
          <cell r="H25">
            <v>29.5</v>
          </cell>
          <cell r="I25">
            <v>31</v>
          </cell>
          <cell r="J25">
            <v>28.5</v>
          </cell>
          <cell r="K25">
            <v>36.5</v>
          </cell>
          <cell r="L25">
            <v>39</v>
          </cell>
          <cell r="M25">
            <v>27.6</v>
          </cell>
          <cell r="N25">
            <v>26.35</v>
          </cell>
          <cell r="O25">
            <v>27.1</v>
          </cell>
          <cell r="P25">
            <v>28.35</v>
          </cell>
          <cell r="Q25">
            <v>29.57</v>
          </cell>
          <cell r="R25">
            <v>30.55</v>
          </cell>
          <cell r="S25">
            <v>27.6</v>
          </cell>
          <cell r="T25">
            <v>22.6</v>
          </cell>
          <cell r="U25">
            <v>27.1</v>
          </cell>
          <cell r="V25">
            <v>25.401</v>
          </cell>
          <cell r="W25">
            <v>28.85</v>
          </cell>
          <cell r="X25">
            <v>25.251000000000001</v>
          </cell>
          <cell r="Y25">
            <v>27.1</v>
          </cell>
          <cell r="Z25">
            <v>29.1</v>
          </cell>
          <cell r="AA25">
            <v>29.35</v>
          </cell>
          <cell r="AB25">
            <v>25.606000000000002</v>
          </cell>
          <cell r="AC25">
            <v>28.456</v>
          </cell>
          <cell r="AD25">
            <v>27.106000000000002</v>
          </cell>
          <cell r="AE25">
            <v>25.606000000000002</v>
          </cell>
          <cell r="AF25">
            <v>28.106000000000002</v>
          </cell>
          <cell r="AG25">
            <v>3.1190000000000002</v>
          </cell>
        </row>
        <row r="26">
          <cell r="A26">
            <v>37712</v>
          </cell>
          <cell r="B26">
            <v>33.5</v>
          </cell>
          <cell r="C26">
            <v>33.5</v>
          </cell>
          <cell r="D26">
            <v>33.5</v>
          </cell>
          <cell r="E26">
            <v>33.5</v>
          </cell>
          <cell r="F26">
            <v>29</v>
          </cell>
          <cell r="G26">
            <v>33</v>
          </cell>
          <cell r="H26">
            <v>29.5</v>
          </cell>
          <cell r="I26">
            <v>31</v>
          </cell>
          <cell r="J26">
            <v>28.5</v>
          </cell>
          <cell r="K26">
            <v>36.5</v>
          </cell>
          <cell r="L26">
            <v>39</v>
          </cell>
          <cell r="M26">
            <v>27.8</v>
          </cell>
          <cell r="N26">
            <v>26.55</v>
          </cell>
          <cell r="O26">
            <v>27.3</v>
          </cell>
          <cell r="P26">
            <v>28.55</v>
          </cell>
          <cell r="Q26">
            <v>29.82</v>
          </cell>
          <cell r="R26">
            <v>30.75</v>
          </cell>
          <cell r="S26">
            <v>27.8</v>
          </cell>
          <cell r="T26">
            <v>22.8</v>
          </cell>
          <cell r="U26">
            <v>27.1</v>
          </cell>
          <cell r="V26">
            <v>25.401</v>
          </cell>
          <cell r="W26">
            <v>28.85</v>
          </cell>
          <cell r="X26">
            <v>25.251000000000001</v>
          </cell>
          <cell r="Y26">
            <v>27.1</v>
          </cell>
          <cell r="Z26">
            <v>29.1</v>
          </cell>
          <cell r="AA26">
            <v>29.35</v>
          </cell>
          <cell r="AB26">
            <v>26.39</v>
          </cell>
          <cell r="AC26">
            <v>29.24</v>
          </cell>
          <cell r="AD26">
            <v>28.39</v>
          </cell>
          <cell r="AE26">
            <v>26.39</v>
          </cell>
          <cell r="AF26">
            <v>28.89</v>
          </cell>
          <cell r="AG26">
            <v>2.9740000000000002</v>
          </cell>
        </row>
        <row r="27">
          <cell r="A27">
            <v>37742</v>
          </cell>
          <cell r="B27">
            <v>34</v>
          </cell>
          <cell r="C27">
            <v>34</v>
          </cell>
          <cell r="D27">
            <v>34</v>
          </cell>
          <cell r="E27">
            <v>34</v>
          </cell>
          <cell r="F27">
            <v>30.25</v>
          </cell>
          <cell r="G27">
            <v>36.75</v>
          </cell>
          <cell r="H27">
            <v>30.75</v>
          </cell>
          <cell r="I27">
            <v>32.25</v>
          </cell>
          <cell r="J27">
            <v>30</v>
          </cell>
          <cell r="K27">
            <v>37</v>
          </cell>
          <cell r="L27">
            <v>43</v>
          </cell>
          <cell r="M27">
            <v>28.274999999999999</v>
          </cell>
          <cell r="N27">
            <v>25.524999999999999</v>
          </cell>
          <cell r="O27">
            <v>27.274999999999999</v>
          </cell>
          <cell r="P27">
            <v>29.274999999999999</v>
          </cell>
          <cell r="Q27">
            <v>28.774999999999999</v>
          </cell>
          <cell r="R27">
            <v>33.024999999999999</v>
          </cell>
          <cell r="S27">
            <v>28.274999999999999</v>
          </cell>
          <cell r="T27">
            <v>23.274999999999999</v>
          </cell>
          <cell r="U27">
            <v>29.25</v>
          </cell>
          <cell r="V27">
            <v>26.850999999999999</v>
          </cell>
          <cell r="W27">
            <v>31</v>
          </cell>
          <cell r="X27">
            <v>27.100999999999999</v>
          </cell>
          <cell r="Y27">
            <v>29.25</v>
          </cell>
          <cell r="Z27">
            <v>31.75</v>
          </cell>
          <cell r="AA27">
            <v>32.5</v>
          </cell>
          <cell r="AB27">
            <v>28.65</v>
          </cell>
          <cell r="AC27">
            <v>32.4</v>
          </cell>
          <cell r="AD27">
            <v>30.65</v>
          </cell>
          <cell r="AE27">
            <v>28.65</v>
          </cell>
          <cell r="AF27">
            <v>31.9</v>
          </cell>
          <cell r="AG27">
            <v>2.9740000000000002</v>
          </cell>
        </row>
        <row r="28">
          <cell r="A28">
            <v>37773</v>
          </cell>
          <cell r="B28">
            <v>37.75</v>
          </cell>
          <cell r="C28">
            <v>37.75</v>
          </cell>
          <cell r="D28">
            <v>37.75</v>
          </cell>
          <cell r="E28">
            <v>37.75</v>
          </cell>
          <cell r="F28">
            <v>40.25</v>
          </cell>
          <cell r="G28">
            <v>52.25</v>
          </cell>
          <cell r="H28">
            <v>40.75</v>
          </cell>
          <cell r="I28">
            <v>44.25</v>
          </cell>
          <cell r="J28">
            <v>39</v>
          </cell>
          <cell r="K28">
            <v>45</v>
          </cell>
          <cell r="L28">
            <v>53</v>
          </cell>
          <cell r="M28">
            <v>36.295000000000002</v>
          </cell>
          <cell r="N28">
            <v>34.145000000000003</v>
          </cell>
          <cell r="O28">
            <v>35.045000000000002</v>
          </cell>
          <cell r="P28">
            <v>37.795000000000002</v>
          </cell>
          <cell r="Q28">
            <v>35.295000000000002</v>
          </cell>
          <cell r="R28">
            <v>40.174999999999997</v>
          </cell>
          <cell r="S28">
            <v>36.295000000000002</v>
          </cell>
          <cell r="T28">
            <v>31.295000000000002</v>
          </cell>
          <cell r="U28">
            <v>36.6</v>
          </cell>
          <cell r="V28">
            <v>35.801000000000002</v>
          </cell>
          <cell r="W28">
            <v>38.35</v>
          </cell>
          <cell r="X28">
            <v>35.350999999999999</v>
          </cell>
          <cell r="Y28">
            <v>36.6</v>
          </cell>
          <cell r="Z28">
            <v>39.35</v>
          </cell>
          <cell r="AA28">
            <v>41.85</v>
          </cell>
          <cell r="AB28">
            <v>32.200000000000003</v>
          </cell>
          <cell r="AC28">
            <v>37.450000000000003</v>
          </cell>
          <cell r="AD28">
            <v>32.950000000000003</v>
          </cell>
          <cell r="AE28">
            <v>32.200000000000003</v>
          </cell>
          <cell r="AF28">
            <v>36.700000000000003</v>
          </cell>
          <cell r="AG28">
            <v>3.004</v>
          </cell>
        </row>
        <row r="29">
          <cell r="A29">
            <v>37803</v>
          </cell>
          <cell r="B29">
            <v>46.75</v>
          </cell>
          <cell r="C29">
            <v>46.75</v>
          </cell>
          <cell r="D29">
            <v>46.75</v>
          </cell>
          <cell r="E29">
            <v>46.75</v>
          </cell>
          <cell r="F29">
            <v>50</v>
          </cell>
          <cell r="G29">
            <v>68</v>
          </cell>
          <cell r="H29">
            <v>50.5</v>
          </cell>
          <cell r="I29">
            <v>54</v>
          </cell>
          <cell r="J29">
            <v>50.5</v>
          </cell>
          <cell r="K29">
            <v>65</v>
          </cell>
          <cell r="L29">
            <v>74</v>
          </cell>
          <cell r="M29">
            <v>46.93</v>
          </cell>
          <cell r="N29">
            <v>44.33</v>
          </cell>
          <cell r="O29">
            <v>46.18</v>
          </cell>
          <cell r="P29">
            <v>49.43</v>
          </cell>
          <cell r="Q29">
            <v>45.93</v>
          </cell>
          <cell r="R29">
            <v>50.93</v>
          </cell>
          <cell r="S29">
            <v>46.93</v>
          </cell>
          <cell r="T29">
            <v>41.93</v>
          </cell>
          <cell r="U29">
            <v>45</v>
          </cell>
          <cell r="V29">
            <v>39.600999999999999</v>
          </cell>
          <cell r="W29">
            <v>46.75</v>
          </cell>
          <cell r="X29">
            <v>38.491</v>
          </cell>
          <cell r="Y29">
            <v>45</v>
          </cell>
          <cell r="Z29">
            <v>47.75</v>
          </cell>
          <cell r="AA29">
            <v>50.25</v>
          </cell>
          <cell r="AB29">
            <v>41.05</v>
          </cell>
          <cell r="AC29">
            <v>52</v>
          </cell>
          <cell r="AD29">
            <v>43.9</v>
          </cell>
          <cell r="AE29">
            <v>41.05</v>
          </cell>
          <cell r="AF29">
            <v>49.05</v>
          </cell>
          <cell r="AG29">
            <v>3.044</v>
          </cell>
        </row>
        <row r="30">
          <cell r="A30">
            <v>37834</v>
          </cell>
          <cell r="B30">
            <v>46.75</v>
          </cell>
          <cell r="C30">
            <v>46.75</v>
          </cell>
          <cell r="D30">
            <v>46.75</v>
          </cell>
          <cell r="E30">
            <v>46.75</v>
          </cell>
          <cell r="F30">
            <v>50</v>
          </cell>
          <cell r="G30">
            <v>68</v>
          </cell>
          <cell r="H30">
            <v>50.5</v>
          </cell>
          <cell r="I30">
            <v>54</v>
          </cell>
          <cell r="J30">
            <v>50.5</v>
          </cell>
          <cell r="K30">
            <v>65</v>
          </cell>
          <cell r="L30">
            <v>74</v>
          </cell>
          <cell r="M30">
            <v>47.02</v>
          </cell>
          <cell r="N30">
            <v>44.42</v>
          </cell>
          <cell r="O30">
            <v>46.27</v>
          </cell>
          <cell r="P30">
            <v>49.52</v>
          </cell>
          <cell r="Q30">
            <v>46.02</v>
          </cell>
          <cell r="R30">
            <v>51.02</v>
          </cell>
          <cell r="S30">
            <v>47.02</v>
          </cell>
          <cell r="T30">
            <v>42.02</v>
          </cell>
          <cell r="U30">
            <v>45</v>
          </cell>
          <cell r="V30">
            <v>39.600999999999999</v>
          </cell>
          <cell r="W30">
            <v>46.75</v>
          </cell>
          <cell r="X30">
            <v>37.591000000000001</v>
          </cell>
          <cell r="Y30">
            <v>45</v>
          </cell>
          <cell r="Z30">
            <v>47.75</v>
          </cell>
          <cell r="AA30">
            <v>50.25</v>
          </cell>
          <cell r="AB30">
            <v>40.65</v>
          </cell>
          <cell r="AC30">
            <v>51.6</v>
          </cell>
          <cell r="AD30">
            <v>43.9</v>
          </cell>
          <cell r="AE30">
            <v>40.65</v>
          </cell>
          <cell r="AF30">
            <v>48.65</v>
          </cell>
          <cell r="AG30">
            <v>3.0790000000000002</v>
          </cell>
        </row>
        <row r="31">
          <cell r="A31">
            <v>37865</v>
          </cell>
          <cell r="B31">
            <v>33</v>
          </cell>
          <cell r="C31">
            <v>33</v>
          </cell>
          <cell r="D31">
            <v>33</v>
          </cell>
          <cell r="E31">
            <v>33</v>
          </cell>
          <cell r="F31">
            <v>28.75</v>
          </cell>
          <cell r="G31">
            <v>31.75</v>
          </cell>
          <cell r="H31">
            <v>29.25</v>
          </cell>
          <cell r="I31">
            <v>30.75</v>
          </cell>
          <cell r="J31">
            <v>28.5</v>
          </cell>
          <cell r="K31">
            <v>36.5</v>
          </cell>
          <cell r="L31">
            <v>40</v>
          </cell>
          <cell r="M31">
            <v>26.4</v>
          </cell>
          <cell r="N31">
            <v>25.25</v>
          </cell>
          <cell r="O31">
            <v>25.9</v>
          </cell>
          <cell r="P31">
            <v>27.9</v>
          </cell>
          <cell r="Q31">
            <v>26.4</v>
          </cell>
          <cell r="R31">
            <v>27.32</v>
          </cell>
          <cell r="S31">
            <v>26.4</v>
          </cell>
          <cell r="T31">
            <v>21.4</v>
          </cell>
          <cell r="U31">
            <v>27.45</v>
          </cell>
          <cell r="V31">
            <v>25.151</v>
          </cell>
          <cell r="W31">
            <v>29.2</v>
          </cell>
          <cell r="X31">
            <v>24.701000000000001</v>
          </cell>
          <cell r="Y31">
            <v>27.45</v>
          </cell>
          <cell r="Z31">
            <v>29.7</v>
          </cell>
          <cell r="AA31">
            <v>31.7</v>
          </cell>
          <cell r="AB31">
            <v>29.4</v>
          </cell>
          <cell r="AC31">
            <v>31.3</v>
          </cell>
          <cell r="AD31">
            <v>33.200000000000003</v>
          </cell>
          <cell r="AE31">
            <v>29.4</v>
          </cell>
          <cell r="AF31">
            <v>35.799999999999997</v>
          </cell>
          <cell r="AG31">
            <v>3.0790000000000002</v>
          </cell>
        </row>
        <row r="32">
          <cell r="A32">
            <v>37895</v>
          </cell>
          <cell r="B32">
            <v>34.25</v>
          </cell>
          <cell r="C32">
            <v>34.25</v>
          </cell>
          <cell r="D32">
            <v>34.25</v>
          </cell>
          <cell r="E32">
            <v>34.25</v>
          </cell>
          <cell r="F32">
            <v>28.75</v>
          </cell>
          <cell r="G32">
            <v>32.25</v>
          </cell>
          <cell r="H32">
            <v>29.25</v>
          </cell>
          <cell r="I32">
            <v>30.75</v>
          </cell>
          <cell r="J32">
            <v>28.5</v>
          </cell>
          <cell r="K32">
            <v>36.5</v>
          </cell>
          <cell r="L32">
            <v>40</v>
          </cell>
          <cell r="M32">
            <v>27.15</v>
          </cell>
          <cell r="N32">
            <v>26.1</v>
          </cell>
          <cell r="O32">
            <v>26.4</v>
          </cell>
          <cell r="P32">
            <v>27.15</v>
          </cell>
          <cell r="Q32">
            <v>26.34</v>
          </cell>
          <cell r="R32">
            <v>28.23</v>
          </cell>
          <cell r="S32">
            <v>27.15</v>
          </cell>
          <cell r="T32">
            <v>22.15</v>
          </cell>
          <cell r="U32">
            <v>27.3</v>
          </cell>
          <cell r="V32">
            <v>26.251000000000001</v>
          </cell>
          <cell r="W32">
            <v>29.05</v>
          </cell>
          <cell r="X32">
            <v>25.850999999999999</v>
          </cell>
          <cell r="Y32">
            <v>27.3</v>
          </cell>
          <cell r="Z32">
            <v>29.3</v>
          </cell>
          <cell r="AA32">
            <v>29.55</v>
          </cell>
          <cell r="AB32">
            <v>28.07</v>
          </cell>
          <cell r="AC32">
            <v>30.27</v>
          </cell>
          <cell r="AD32">
            <v>30.07</v>
          </cell>
          <cell r="AE32">
            <v>28.07</v>
          </cell>
          <cell r="AF32">
            <v>31.18</v>
          </cell>
          <cell r="AG32">
            <v>3.0990000000000002</v>
          </cell>
        </row>
        <row r="33">
          <cell r="A33">
            <v>37926</v>
          </cell>
          <cell r="B33">
            <v>34.25</v>
          </cell>
          <cell r="C33">
            <v>34.25</v>
          </cell>
          <cell r="D33">
            <v>34.25</v>
          </cell>
          <cell r="E33">
            <v>34.25</v>
          </cell>
          <cell r="F33">
            <v>28.75</v>
          </cell>
          <cell r="G33">
            <v>32.25</v>
          </cell>
          <cell r="H33">
            <v>29.25</v>
          </cell>
          <cell r="I33">
            <v>30.75</v>
          </cell>
          <cell r="J33">
            <v>28.5</v>
          </cell>
          <cell r="K33">
            <v>36.5</v>
          </cell>
          <cell r="L33">
            <v>40</v>
          </cell>
          <cell r="M33">
            <v>27.25</v>
          </cell>
          <cell r="N33">
            <v>26.2</v>
          </cell>
          <cell r="O33">
            <v>26.5</v>
          </cell>
          <cell r="P33">
            <v>27.25</v>
          </cell>
          <cell r="Q33">
            <v>29.84</v>
          </cell>
          <cell r="R33">
            <v>28.32</v>
          </cell>
          <cell r="S33">
            <v>27.25</v>
          </cell>
          <cell r="T33">
            <v>22.25</v>
          </cell>
          <cell r="U33">
            <v>27.3</v>
          </cell>
          <cell r="V33">
            <v>26.251000000000001</v>
          </cell>
          <cell r="W33">
            <v>29.05</v>
          </cell>
          <cell r="X33">
            <v>25.850999999999999</v>
          </cell>
          <cell r="Y33">
            <v>27.3</v>
          </cell>
          <cell r="Z33">
            <v>29.3</v>
          </cell>
          <cell r="AA33">
            <v>29.55</v>
          </cell>
          <cell r="AB33">
            <v>27.07</v>
          </cell>
          <cell r="AC33">
            <v>28.77</v>
          </cell>
          <cell r="AD33">
            <v>29.07</v>
          </cell>
          <cell r="AE33">
            <v>27.07</v>
          </cell>
          <cell r="AF33">
            <v>30.18</v>
          </cell>
          <cell r="AG33">
            <v>3.234</v>
          </cell>
        </row>
        <row r="34">
          <cell r="A34">
            <v>37956</v>
          </cell>
          <cell r="B34">
            <v>34.25</v>
          </cell>
          <cell r="C34">
            <v>34.25</v>
          </cell>
          <cell r="D34">
            <v>34.25</v>
          </cell>
          <cell r="E34">
            <v>34.25</v>
          </cell>
          <cell r="F34">
            <v>28.75</v>
          </cell>
          <cell r="G34">
            <v>32.25</v>
          </cell>
          <cell r="H34">
            <v>29.25</v>
          </cell>
          <cell r="I34">
            <v>30.75</v>
          </cell>
          <cell r="J34">
            <v>28.5</v>
          </cell>
          <cell r="K34">
            <v>36.5</v>
          </cell>
          <cell r="L34">
            <v>40</v>
          </cell>
          <cell r="M34">
            <v>27.35</v>
          </cell>
          <cell r="N34">
            <v>26.3</v>
          </cell>
          <cell r="O34">
            <v>26.6</v>
          </cell>
          <cell r="P34">
            <v>27.35</v>
          </cell>
          <cell r="Q34">
            <v>30.34</v>
          </cell>
          <cell r="R34">
            <v>28.42</v>
          </cell>
          <cell r="S34">
            <v>27.35</v>
          </cell>
          <cell r="T34">
            <v>22.35</v>
          </cell>
          <cell r="U34">
            <v>27.3</v>
          </cell>
          <cell r="V34">
            <v>26.251000000000001</v>
          </cell>
          <cell r="W34">
            <v>29.05</v>
          </cell>
          <cell r="X34">
            <v>25.850999999999999</v>
          </cell>
          <cell r="Y34">
            <v>27.3</v>
          </cell>
          <cell r="Z34">
            <v>29.3</v>
          </cell>
          <cell r="AA34">
            <v>29.55</v>
          </cell>
          <cell r="AB34">
            <v>27.97</v>
          </cell>
          <cell r="AC34">
            <v>30.57</v>
          </cell>
          <cell r="AD34">
            <v>29.82</v>
          </cell>
          <cell r="AE34">
            <v>27.97</v>
          </cell>
          <cell r="AF34">
            <v>31.58</v>
          </cell>
          <cell r="AG34">
            <v>3.3690000000000002</v>
          </cell>
        </row>
        <row r="35">
          <cell r="A35">
            <v>37987</v>
          </cell>
          <cell r="B35">
            <v>40</v>
          </cell>
          <cell r="C35">
            <v>40</v>
          </cell>
          <cell r="D35">
            <v>40</v>
          </cell>
          <cell r="E35">
            <v>40</v>
          </cell>
          <cell r="F35">
            <v>31</v>
          </cell>
          <cell r="G35">
            <v>37.5</v>
          </cell>
          <cell r="H35">
            <v>31</v>
          </cell>
          <cell r="I35">
            <v>33</v>
          </cell>
          <cell r="J35">
            <v>31.5</v>
          </cell>
          <cell r="K35">
            <v>40</v>
          </cell>
          <cell r="L35">
            <v>45</v>
          </cell>
          <cell r="M35">
            <v>28.87</v>
          </cell>
          <cell r="N35">
            <v>27.32</v>
          </cell>
          <cell r="O35">
            <v>28.37</v>
          </cell>
          <cell r="P35">
            <v>29.37</v>
          </cell>
          <cell r="Q35">
            <v>31.82</v>
          </cell>
          <cell r="R35">
            <v>31.69</v>
          </cell>
          <cell r="S35">
            <v>28.87</v>
          </cell>
          <cell r="T35">
            <v>23.87</v>
          </cell>
          <cell r="U35">
            <v>30.1</v>
          </cell>
          <cell r="V35">
            <v>28.812000000000001</v>
          </cell>
          <cell r="W35">
            <v>31.85</v>
          </cell>
          <cell r="X35">
            <v>28.212</v>
          </cell>
          <cell r="Y35">
            <v>30.1</v>
          </cell>
          <cell r="Z35">
            <v>32.1</v>
          </cell>
          <cell r="AA35">
            <v>32.35</v>
          </cell>
          <cell r="AB35">
            <v>28.11</v>
          </cell>
          <cell r="AC35">
            <v>30.86</v>
          </cell>
          <cell r="AD35">
            <v>30.11</v>
          </cell>
          <cell r="AE35">
            <v>28.11</v>
          </cell>
          <cell r="AF35">
            <v>31.51</v>
          </cell>
          <cell r="AG35">
            <v>3.4289999999999998</v>
          </cell>
        </row>
        <row r="36">
          <cell r="A36">
            <v>38018</v>
          </cell>
          <cell r="B36">
            <v>40</v>
          </cell>
          <cell r="C36">
            <v>40</v>
          </cell>
          <cell r="D36">
            <v>40</v>
          </cell>
          <cell r="E36">
            <v>40</v>
          </cell>
          <cell r="F36">
            <v>31</v>
          </cell>
          <cell r="G36">
            <v>37.5</v>
          </cell>
          <cell r="H36">
            <v>31</v>
          </cell>
          <cell r="I36">
            <v>33</v>
          </cell>
          <cell r="J36">
            <v>31.5</v>
          </cell>
          <cell r="K36">
            <v>40</v>
          </cell>
          <cell r="L36">
            <v>45</v>
          </cell>
          <cell r="M36">
            <v>28.52</v>
          </cell>
          <cell r="N36">
            <v>26.97</v>
          </cell>
          <cell r="O36">
            <v>28.02</v>
          </cell>
          <cell r="P36">
            <v>29.02</v>
          </cell>
          <cell r="Q36">
            <v>32.97</v>
          </cell>
          <cell r="R36">
            <v>31.34</v>
          </cell>
          <cell r="S36">
            <v>28.52</v>
          </cell>
          <cell r="T36">
            <v>23.52</v>
          </cell>
          <cell r="U36">
            <v>30.1</v>
          </cell>
          <cell r="V36">
            <v>29.986999999999998</v>
          </cell>
          <cell r="W36">
            <v>31.85</v>
          </cell>
          <cell r="X36">
            <v>29.387</v>
          </cell>
          <cell r="Y36">
            <v>30.1</v>
          </cell>
          <cell r="Z36">
            <v>32.1</v>
          </cell>
          <cell r="AA36">
            <v>32.35</v>
          </cell>
          <cell r="AB36">
            <v>27.36</v>
          </cell>
          <cell r="AC36">
            <v>30.11</v>
          </cell>
          <cell r="AD36">
            <v>28.86</v>
          </cell>
          <cell r="AE36">
            <v>27.36</v>
          </cell>
          <cell r="AF36">
            <v>30.36</v>
          </cell>
          <cell r="AG36">
            <v>3.3439999999999999</v>
          </cell>
        </row>
        <row r="37">
          <cell r="A37">
            <v>38047</v>
          </cell>
          <cell r="B37">
            <v>33.5</v>
          </cell>
          <cell r="C37">
            <v>33.5</v>
          </cell>
          <cell r="D37">
            <v>33.5</v>
          </cell>
          <cell r="E37">
            <v>33.5</v>
          </cell>
          <cell r="F37">
            <v>29.25</v>
          </cell>
          <cell r="G37">
            <v>32.75</v>
          </cell>
          <cell r="H37">
            <v>29.25</v>
          </cell>
          <cell r="I37">
            <v>31.25</v>
          </cell>
          <cell r="J37">
            <v>29.5</v>
          </cell>
          <cell r="K37">
            <v>37</v>
          </cell>
          <cell r="L37">
            <v>40</v>
          </cell>
          <cell r="M37">
            <v>28.23</v>
          </cell>
          <cell r="N37">
            <v>26.68</v>
          </cell>
          <cell r="O37">
            <v>27.73</v>
          </cell>
          <cell r="P37">
            <v>28.98</v>
          </cell>
          <cell r="Q37">
            <v>30.93</v>
          </cell>
          <cell r="R37">
            <v>30.78</v>
          </cell>
          <cell r="S37">
            <v>28.23</v>
          </cell>
          <cell r="T37">
            <v>23.23</v>
          </cell>
          <cell r="U37">
            <v>27.85</v>
          </cell>
          <cell r="V37">
            <v>25.887</v>
          </cell>
          <cell r="W37">
            <v>29.6</v>
          </cell>
          <cell r="X37">
            <v>25.736999999999998</v>
          </cell>
          <cell r="Y37">
            <v>27.85</v>
          </cell>
          <cell r="Z37">
            <v>29.85</v>
          </cell>
          <cell r="AA37">
            <v>30.1</v>
          </cell>
          <cell r="AB37">
            <v>25.795999999999999</v>
          </cell>
          <cell r="AC37">
            <v>28.646000000000001</v>
          </cell>
          <cell r="AD37">
            <v>27.295999999999999</v>
          </cell>
          <cell r="AE37">
            <v>25.795999999999999</v>
          </cell>
          <cell r="AF37">
            <v>28.295999999999999</v>
          </cell>
          <cell r="AG37">
            <v>3.214</v>
          </cell>
        </row>
        <row r="38">
          <cell r="A38">
            <v>38078</v>
          </cell>
          <cell r="B38">
            <v>33.5</v>
          </cell>
          <cell r="C38">
            <v>33.5</v>
          </cell>
          <cell r="D38">
            <v>33.5</v>
          </cell>
          <cell r="E38">
            <v>33.5</v>
          </cell>
          <cell r="F38">
            <v>29.25</v>
          </cell>
          <cell r="G38">
            <v>32.75</v>
          </cell>
          <cell r="H38">
            <v>29.25</v>
          </cell>
          <cell r="I38">
            <v>31.25</v>
          </cell>
          <cell r="J38">
            <v>29.5</v>
          </cell>
          <cell r="K38">
            <v>37</v>
          </cell>
          <cell r="L38">
            <v>40</v>
          </cell>
          <cell r="M38">
            <v>28.67</v>
          </cell>
          <cell r="N38">
            <v>27.12</v>
          </cell>
          <cell r="O38">
            <v>28.17</v>
          </cell>
          <cell r="P38">
            <v>29.42</v>
          </cell>
          <cell r="Q38">
            <v>30.92</v>
          </cell>
          <cell r="R38">
            <v>31.22</v>
          </cell>
          <cell r="S38">
            <v>28.67</v>
          </cell>
          <cell r="T38">
            <v>23.67</v>
          </cell>
          <cell r="U38">
            <v>27.85</v>
          </cell>
          <cell r="V38">
            <v>25.887</v>
          </cell>
          <cell r="W38">
            <v>29.6</v>
          </cell>
          <cell r="X38">
            <v>25.736999999999998</v>
          </cell>
          <cell r="Y38">
            <v>27.85</v>
          </cell>
          <cell r="Z38">
            <v>29.85</v>
          </cell>
          <cell r="AA38">
            <v>30.1</v>
          </cell>
          <cell r="AB38">
            <v>26.58</v>
          </cell>
          <cell r="AC38">
            <v>29.43</v>
          </cell>
          <cell r="AD38">
            <v>28.58</v>
          </cell>
          <cell r="AE38">
            <v>26.58</v>
          </cell>
          <cell r="AF38">
            <v>29.08</v>
          </cell>
          <cell r="AG38">
            <v>3.0289999999999999</v>
          </cell>
        </row>
        <row r="39">
          <cell r="A39">
            <v>38108</v>
          </cell>
          <cell r="B39">
            <v>33</v>
          </cell>
          <cell r="C39">
            <v>33</v>
          </cell>
          <cell r="D39">
            <v>33</v>
          </cell>
          <cell r="E39">
            <v>33</v>
          </cell>
          <cell r="F39">
            <v>30.75</v>
          </cell>
          <cell r="G39">
            <v>37.75</v>
          </cell>
          <cell r="H39">
            <v>30.75</v>
          </cell>
          <cell r="I39">
            <v>32.75</v>
          </cell>
          <cell r="J39">
            <v>30.5</v>
          </cell>
          <cell r="K39">
            <v>38</v>
          </cell>
          <cell r="L39">
            <v>44</v>
          </cell>
          <cell r="M39">
            <v>29.45</v>
          </cell>
          <cell r="N39">
            <v>27.95</v>
          </cell>
          <cell r="O39">
            <v>28.95</v>
          </cell>
          <cell r="P39">
            <v>30.45</v>
          </cell>
          <cell r="Q39">
            <v>26.5</v>
          </cell>
          <cell r="R39">
            <v>33.79</v>
          </cell>
          <cell r="S39">
            <v>29.45</v>
          </cell>
          <cell r="T39">
            <v>24.45</v>
          </cell>
          <cell r="U39">
            <v>29.55</v>
          </cell>
          <cell r="V39">
            <v>28.286999999999999</v>
          </cell>
          <cell r="W39">
            <v>31.3</v>
          </cell>
          <cell r="X39">
            <v>28.536999999999999</v>
          </cell>
          <cell r="Y39">
            <v>29.55</v>
          </cell>
          <cell r="Z39">
            <v>32.049999999999997</v>
          </cell>
          <cell r="AA39">
            <v>32.799999999999997</v>
          </cell>
          <cell r="AB39">
            <v>28.54</v>
          </cell>
          <cell r="AC39">
            <v>32.29</v>
          </cell>
          <cell r="AD39">
            <v>30.54</v>
          </cell>
          <cell r="AE39">
            <v>28.54</v>
          </cell>
          <cell r="AF39">
            <v>31.79</v>
          </cell>
          <cell r="AG39">
            <v>3.024</v>
          </cell>
        </row>
        <row r="40">
          <cell r="A40">
            <v>38139</v>
          </cell>
          <cell r="B40">
            <v>38</v>
          </cell>
          <cell r="C40">
            <v>38</v>
          </cell>
          <cell r="D40">
            <v>38</v>
          </cell>
          <cell r="E40">
            <v>38</v>
          </cell>
          <cell r="F40">
            <v>40.75</v>
          </cell>
          <cell r="G40">
            <v>51.75</v>
          </cell>
          <cell r="H40">
            <v>40.75</v>
          </cell>
          <cell r="I40">
            <v>44.75</v>
          </cell>
          <cell r="J40">
            <v>40</v>
          </cell>
          <cell r="K40">
            <v>46</v>
          </cell>
          <cell r="L40">
            <v>55</v>
          </cell>
          <cell r="M40">
            <v>34.71</v>
          </cell>
          <cell r="N40">
            <v>33.06</v>
          </cell>
          <cell r="O40">
            <v>34.21</v>
          </cell>
          <cell r="P40">
            <v>36.21</v>
          </cell>
          <cell r="Q40">
            <v>29.46</v>
          </cell>
          <cell r="R40">
            <v>38.19</v>
          </cell>
          <cell r="S40">
            <v>34.71</v>
          </cell>
          <cell r="T40">
            <v>29.71</v>
          </cell>
          <cell r="U40">
            <v>36.89</v>
          </cell>
          <cell r="V40">
            <v>37.472000000000001</v>
          </cell>
          <cell r="W40">
            <v>38.64</v>
          </cell>
          <cell r="X40">
            <v>37.021999999999998</v>
          </cell>
          <cell r="Y40">
            <v>36.89</v>
          </cell>
          <cell r="Z40">
            <v>39.64</v>
          </cell>
          <cell r="AA40">
            <v>42.14</v>
          </cell>
          <cell r="AB40">
            <v>32.590000000000003</v>
          </cell>
          <cell r="AC40">
            <v>37.840000000000003</v>
          </cell>
          <cell r="AD40">
            <v>33.340000000000003</v>
          </cell>
          <cell r="AE40">
            <v>32.590000000000003</v>
          </cell>
          <cell r="AF40">
            <v>37.090000000000003</v>
          </cell>
          <cell r="AG40">
            <v>3.0590000000000002</v>
          </cell>
        </row>
        <row r="41">
          <cell r="A41">
            <v>38169</v>
          </cell>
          <cell r="B41">
            <v>46.5</v>
          </cell>
          <cell r="C41">
            <v>46.5</v>
          </cell>
          <cell r="D41">
            <v>46.5</v>
          </cell>
          <cell r="E41">
            <v>46.5</v>
          </cell>
          <cell r="F41">
            <v>50.25</v>
          </cell>
          <cell r="G41">
            <v>67.75</v>
          </cell>
          <cell r="H41">
            <v>50.25</v>
          </cell>
          <cell r="I41">
            <v>54.25</v>
          </cell>
          <cell r="J41">
            <v>51.5</v>
          </cell>
          <cell r="K41">
            <v>67</v>
          </cell>
          <cell r="L41">
            <v>77</v>
          </cell>
          <cell r="M41">
            <v>45.87</v>
          </cell>
          <cell r="N41">
            <v>43.82</v>
          </cell>
          <cell r="O41">
            <v>45.37</v>
          </cell>
          <cell r="P41">
            <v>48.37</v>
          </cell>
          <cell r="Q41">
            <v>39.020000000000003</v>
          </cell>
          <cell r="R41">
            <v>45.62</v>
          </cell>
          <cell r="S41">
            <v>45.87</v>
          </cell>
          <cell r="T41">
            <v>38.020000000000003</v>
          </cell>
          <cell r="U41">
            <v>45.9</v>
          </cell>
          <cell r="V41">
            <v>44.715000000000003</v>
          </cell>
          <cell r="W41">
            <v>47.65</v>
          </cell>
          <cell r="X41">
            <v>43.604999999999997</v>
          </cell>
          <cell r="Y41">
            <v>45.9</v>
          </cell>
          <cell r="Z41">
            <v>48.65</v>
          </cell>
          <cell r="AA41">
            <v>51.15</v>
          </cell>
          <cell r="AB41">
            <v>42.14</v>
          </cell>
          <cell r="AC41">
            <v>52.59</v>
          </cell>
          <cell r="AD41">
            <v>44.99</v>
          </cell>
          <cell r="AE41">
            <v>42.14</v>
          </cell>
          <cell r="AF41">
            <v>50.14</v>
          </cell>
          <cell r="AG41">
            <v>3.0990000000000002</v>
          </cell>
        </row>
        <row r="42">
          <cell r="A42">
            <v>38200</v>
          </cell>
          <cell r="B42">
            <v>46.5</v>
          </cell>
          <cell r="C42">
            <v>46.5</v>
          </cell>
          <cell r="D42">
            <v>46.5</v>
          </cell>
          <cell r="E42">
            <v>46.5</v>
          </cell>
          <cell r="F42">
            <v>50.25</v>
          </cell>
          <cell r="G42">
            <v>67.75</v>
          </cell>
          <cell r="H42">
            <v>50.25</v>
          </cell>
          <cell r="I42">
            <v>54.25</v>
          </cell>
          <cell r="J42">
            <v>51.5</v>
          </cell>
          <cell r="K42">
            <v>67</v>
          </cell>
          <cell r="L42">
            <v>77</v>
          </cell>
          <cell r="M42">
            <v>44.68</v>
          </cell>
          <cell r="N42">
            <v>42.63</v>
          </cell>
          <cell r="O42">
            <v>44.18</v>
          </cell>
          <cell r="P42">
            <v>47.18</v>
          </cell>
          <cell r="Q42">
            <v>37.83</v>
          </cell>
          <cell r="R42">
            <v>44.93</v>
          </cell>
          <cell r="S42">
            <v>44.68</v>
          </cell>
          <cell r="T42">
            <v>36.83</v>
          </cell>
          <cell r="U42">
            <v>45.4</v>
          </cell>
          <cell r="V42">
            <v>44.715000000000003</v>
          </cell>
          <cell r="W42">
            <v>47.15</v>
          </cell>
          <cell r="X42">
            <v>42.704999999999998</v>
          </cell>
          <cell r="Y42">
            <v>45.4</v>
          </cell>
          <cell r="Z42">
            <v>48.15</v>
          </cell>
          <cell r="AA42">
            <v>50.65</v>
          </cell>
          <cell r="AB42">
            <v>41.74</v>
          </cell>
          <cell r="AC42">
            <v>52.19</v>
          </cell>
          <cell r="AD42">
            <v>44.99</v>
          </cell>
          <cell r="AE42">
            <v>41.74</v>
          </cell>
          <cell r="AF42">
            <v>49.74</v>
          </cell>
          <cell r="AG42">
            <v>3.1389999999999998</v>
          </cell>
        </row>
        <row r="43">
          <cell r="A43">
            <v>38231</v>
          </cell>
          <cell r="B43">
            <v>31.75</v>
          </cell>
          <cell r="C43">
            <v>31.75</v>
          </cell>
          <cell r="D43">
            <v>31.75</v>
          </cell>
          <cell r="E43">
            <v>31.75</v>
          </cell>
          <cell r="F43">
            <v>29</v>
          </cell>
          <cell r="G43">
            <v>32</v>
          </cell>
          <cell r="H43">
            <v>29</v>
          </cell>
          <cell r="I43">
            <v>31</v>
          </cell>
          <cell r="J43">
            <v>29</v>
          </cell>
          <cell r="K43">
            <v>37</v>
          </cell>
          <cell r="L43">
            <v>40.5</v>
          </cell>
          <cell r="M43">
            <v>27.75</v>
          </cell>
          <cell r="N43">
            <v>26.5</v>
          </cell>
          <cell r="O43">
            <v>27.25</v>
          </cell>
          <cell r="P43">
            <v>29.25</v>
          </cell>
          <cell r="Q43">
            <v>24.1</v>
          </cell>
          <cell r="R43">
            <v>28.54</v>
          </cell>
          <cell r="S43">
            <v>27.75</v>
          </cell>
          <cell r="T43">
            <v>22.65</v>
          </cell>
          <cell r="U43">
            <v>27.88</v>
          </cell>
          <cell r="V43">
            <v>24.56</v>
          </cell>
          <cell r="W43">
            <v>29.63</v>
          </cell>
          <cell r="X43">
            <v>24.11</v>
          </cell>
          <cell r="Y43">
            <v>27.88</v>
          </cell>
          <cell r="Z43">
            <v>30.13</v>
          </cell>
          <cell r="AA43">
            <v>32.130000000000003</v>
          </cell>
          <cell r="AB43">
            <v>29.49</v>
          </cell>
          <cell r="AC43">
            <v>31.39</v>
          </cell>
          <cell r="AD43">
            <v>33.29</v>
          </cell>
          <cell r="AE43">
            <v>29.49</v>
          </cell>
          <cell r="AF43">
            <v>35.89</v>
          </cell>
          <cell r="AG43">
            <v>3.1219999999999999</v>
          </cell>
        </row>
        <row r="44">
          <cell r="A44">
            <v>38261</v>
          </cell>
          <cell r="B44">
            <v>31.75</v>
          </cell>
          <cell r="C44">
            <v>31.75</v>
          </cell>
          <cell r="D44">
            <v>31.75</v>
          </cell>
          <cell r="E44">
            <v>31.75</v>
          </cell>
          <cell r="F44">
            <v>29</v>
          </cell>
          <cell r="G44">
            <v>32</v>
          </cell>
          <cell r="H44">
            <v>29</v>
          </cell>
          <cell r="I44">
            <v>31</v>
          </cell>
          <cell r="J44">
            <v>29</v>
          </cell>
          <cell r="K44">
            <v>37</v>
          </cell>
          <cell r="L44">
            <v>40.5</v>
          </cell>
          <cell r="M44">
            <v>27.92</v>
          </cell>
          <cell r="N44">
            <v>26.67</v>
          </cell>
          <cell r="O44">
            <v>27.42</v>
          </cell>
          <cell r="P44">
            <v>27.92</v>
          </cell>
          <cell r="Q44">
            <v>29.61</v>
          </cell>
          <cell r="R44">
            <v>28.59</v>
          </cell>
          <cell r="S44">
            <v>27.92</v>
          </cell>
          <cell r="T44">
            <v>22.42</v>
          </cell>
          <cell r="U44">
            <v>28.2</v>
          </cell>
          <cell r="V44">
            <v>26.108000000000001</v>
          </cell>
          <cell r="W44">
            <v>29.95</v>
          </cell>
          <cell r="X44">
            <v>25.707999999999998</v>
          </cell>
          <cell r="Y44">
            <v>28.2</v>
          </cell>
          <cell r="Z44">
            <v>30.2</v>
          </cell>
          <cell r="AA44">
            <v>30.45</v>
          </cell>
          <cell r="AB44">
            <v>27.71</v>
          </cell>
          <cell r="AC44">
            <v>29.66</v>
          </cell>
          <cell r="AD44">
            <v>29.71</v>
          </cell>
          <cell r="AE44">
            <v>27.71</v>
          </cell>
          <cell r="AF44">
            <v>30.82</v>
          </cell>
          <cell r="AG44">
            <v>3.1469999999999998</v>
          </cell>
        </row>
        <row r="45">
          <cell r="A45">
            <v>38292</v>
          </cell>
          <cell r="B45">
            <v>31.75</v>
          </cell>
          <cell r="C45">
            <v>31.75</v>
          </cell>
          <cell r="D45">
            <v>31.75</v>
          </cell>
          <cell r="E45">
            <v>31.75</v>
          </cell>
          <cell r="F45">
            <v>29</v>
          </cell>
          <cell r="G45">
            <v>32</v>
          </cell>
          <cell r="H45">
            <v>29</v>
          </cell>
          <cell r="I45">
            <v>31</v>
          </cell>
          <cell r="J45">
            <v>29</v>
          </cell>
          <cell r="K45">
            <v>37</v>
          </cell>
          <cell r="L45">
            <v>40.5</v>
          </cell>
          <cell r="M45">
            <v>28.26</v>
          </cell>
          <cell r="N45">
            <v>27.01</v>
          </cell>
          <cell r="O45">
            <v>27.76</v>
          </cell>
          <cell r="P45">
            <v>28.26</v>
          </cell>
          <cell r="Q45">
            <v>33.35</v>
          </cell>
          <cell r="R45">
            <v>28.93</v>
          </cell>
          <cell r="S45">
            <v>28.26</v>
          </cell>
          <cell r="T45">
            <v>22.76</v>
          </cell>
          <cell r="U45">
            <v>28.2</v>
          </cell>
          <cell r="V45">
            <v>26.108000000000001</v>
          </cell>
          <cell r="W45">
            <v>29.95</v>
          </cell>
          <cell r="X45">
            <v>25.707999999999998</v>
          </cell>
          <cell r="Y45">
            <v>28.2</v>
          </cell>
          <cell r="Z45">
            <v>30.2</v>
          </cell>
          <cell r="AA45">
            <v>30.44</v>
          </cell>
          <cell r="AB45">
            <v>26.71</v>
          </cell>
          <cell r="AC45">
            <v>28.41</v>
          </cell>
          <cell r="AD45">
            <v>28.71</v>
          </cell>
          <cell r="AE45">
            <v>26.71</v>
          </cell>
          <cell r="AF45">
            <v>29.82</v>
          </cell>
          <cell r="AG45">
            <v>3.2989999999999999</v>
          </cell>
        </row>
        <row r="46">
          <cell r="A46">
            <v>38322</v>
          </cell>
          <cell r="B46">
            <v>31.75</v>
          </cell>
          <cell r="C46">
            <v>31.75</v>
          </cell>
          <cell r="D46">
            <v>31.75</v>
          </cell>
          <cell r="E46">
            <v>31.75</v>
          </cell>
          <cell r="F46">
            <v>29</v>
          </cell>
          <cell r="G46">
            <v>32</v>
          </cell>
          <cell r="H46">
            <v>29</v>
          </cell>
          <cell r="I46">
            <v>31</v>
          </cell>
          <cell r="J46">
            <v>29</v>
          </cell>
          <cell r="K46">
            <v>37</v>
          </cell>
          <cell r="L46">
            <v>40.5</v>
          </cell>
          <cell r="M46">
            <v>27.96</v>
          </cell>
          <cell r="N46">
            <v>26.71</v>
          </cell>
          <cell r="O46">
            <v>27.46</v>
          </cell>
          <cell r="P46">
            <v>27.96</v>
          </cell>
          <cell r="Q46">
            <v>33.450000000000003</v>
          </cell>
          <cell r="R46">
            <v>28.63</v>
          </cell>
          <cell r="S46">
            <v>27.96</v>
          </cell>
          <cell r="T46">
            <v>22.46</v>
          </cell>
          <cell r="U46">
            <v>28.2</v>
          </cell>
          <cell r="V46">
            <v>26.358000000000001</v>
          </cell>
          <cell r="W46">
            <v>29.95</v>
          </cell>
          <cell r="X46">
            <v>25.957999999999998</v>
          </cell>
          <cell r="Y46">
            <v>28.2</v>
          </cell>
          <cell r="Z46">
            <v>30.2</v>
          </cell>
          <cell r="AA46">
            <v>30.45</v>
          </cell>
          <cell r="AB46">
            <v>27.61</v>
          </cell>
          <cell r="AC46">
            <v>29.96</v>
          </cell>
          <cell r="AD46">
            <v>29.46</v>
          </cell>
          <cell r="AE46">
            <v>27.61</v>
          </cell>
          <cell r="AF46">
            <v>31.22</v>
          </cell>
          <cell r="AG46">
            <v>3.4420000000000002</v>
          </cell>
        </row>
        <row r="47">
          <cell r="A47">
            <v>38353</v>
          </cell>
          <cell r="B47">
            <v>40</v>
          </cell>
          <cell r="C47">
            <v>40</v>
          </cell>
          <cell r="D47">
            <v>40</v>
          </cell>
          <cell r="E47">
            <v>40</v>
          </cell>
          <cell r="F47">
            <v>31.25</v>
          </cell>
          <cell r="G47">
            <v>36.75</v>
          </cell>
          <cell r="H47">
            <v>31.25</v>
          </cell>
          <cell r="I47">
            <v>33.25</v>
          </cell>
          <cell r="J47">
            <v>32</v>
          </cell>
          <cell r="K47">
            <v>41</v>
          </cell>
          <cell r="L47">
            <v>46</v>
          </cell>
          <cell r="M47">
            <v>29.96</v>
          </cell>
          <cell r="N47">
            <v>28.41</v>
          </cell>
          <cell r="O47">
            <v>29.46</v>
          </cell>
          <cell r="P47">
            <v>30.46</v>
          </cell>
          <cell r="Q47">
            <v>33.06</v>
          </cell>
          <cell r="R47">
            <v>33.01</v>
          </cell>
          <cell r="S47">
            <v>29.96</v>
          </cell>
          <cell r="T47">
            <v>24.86</v>
          </cell>
          <cell r="U47">
            <v>30.86</v>
          </cell>
          <cell r="V47">
            <v>28.317</v>
          </cell>
          <cell r="W47">
            <v>32.61</v>
          </cell>
          <cell r="X47">
            <v>27.716999999999999</v>
          </cell>
          <cell r="Y47">
            <v>30.86</v>
          </cell>
          <cell r="Z47">
            <v>32.86</v>
          </cell>
          <cell r="AA47">
            <v>33.11</v>
          </cell>
          <cell r="AB47">
            <v>28.68</v>
          </cell>
          <cell r="AC47">
            <v>31.43</v>
          </cell>
          <cell r="AD47">
            <v>30.68</v>
          </cell>
          <cell r="AE47">
            <v>28.68</v>
          </cell>
          <cell r="AF47">
            <v>32.08</v>
          </cell>
          <cell r="AG47">
            <v>3.4750000000000001</v>
          </cell>
        </row>
        <row r="48">
          <cell r="A48">
            <v>38384</v>
          </cell>
          <cell r="B48">
            <v>40</v>
          </cell>
          <cell r="C48">
            <v>40</v>
          </cell>
          <cell r="D48">
            <v>40</v>
          </cell>
          <cell r="E48">
            <v>40</v>
          </cell>
          <cell r="F48">
            <v>31.25</v>
          </cell>
          <cell r="G48">
            <v>36.75</v>
          </cell>
          <cell r="H48">
            <v>31.25</v>
          </cell>
          <cell r="I48">
            <v>33.25</v>
          </cell>
          <cell r="J48">
            <v>32</v>
          </cell>
          <cell r="K48">
            <v>41</v>
          </cell>
          <cell r="L48">
            <v>46</v>
          </cell>
          <cell r="M48">
            <v>29.06</v>
          </cell>
          <cell r="N48">
            <v>27.51</v>
          </cell>
          <cell r="O48">
            <v>28.56</v>
          </cell>
          <cell r="P48">
            <v>29.56</v>
          </cell>
          <cell r="Q48">
            <v>33.159999999999997</v>
          </cell>
          <cell r="R48">
            <v>32.17</v>
          </cell>
          <cell r="S48">
            <v>29.06</v>
          </cell>
          <cell r="T48">
            <v>23.46</v>
          </cell>
          <cell r="U48">
            <v>30.81</v>
          </cell>
          <cell r="V48">
            <v>28.315000000000001</v>
          </cell>
          <cell r="W48">
            <v>32.56</v>
          </cell>
          <cell r="X48">
            <v>27.715</v>
          </cell>
          <cell r="Y48">
            <v>30.81</v>
          </cell>
          <cell r="Z48">
            <v>32.81</v>
          </cell>
          <cell r="AA48">
            <v>33.06</v>
          </cell>
          <cell r="AB48">
            <v>27.93</v>
          </cell>
          <cell r="AC48">
            <v>30.68</v>
          </cell>
          <cell r="AD48">
            <v>29.43</v>
          </cell>
          <cell r="AE48">
            <v>27.93</v>
          </cell>
          <cell r="AF48">
            <v>30.93</v>
          </cell>
          <cell r="AG48">
            <v>3.419</v>
          </cell>
        </row>
        <row r="49">
          <cell r="A49">
            <v>38412</v>
          </cell>
          <cell r="B49">
            <v>33.5</v>
          </cell>
          <cell r="C49">
            <v>33.5</v>
          </cell>
          <cell r="D49">
            <v>33.5</v>
          </cell>
          <cell r="E49">
            <v>33.5</v>
          </cell>
          <cell r="F49">
            <v>29.5</v>
          </cell>
          <cell r="G49">
            <v>32.5</v>
          </cell>
          <cell r="H49">
            <v>29.5</v>
          </cell>
          <cell r="I49">
            <v>31.5</v>
          </cell>
          <cell r="J49">
            <v>30</v>
          </cell>
          <cell r="K49">
            <v>37.5</v>
          </cell>
          <cell r="L49">
            <v>41</v>
          </cell>
          <cell r="M49">
            <v>26.91</v>
          </cell>
          <cell r="N49">
            <v>25.36</v>
          </cell>
          <cell r="O49">
            <v>26.41</v>
          </cell>
          <cell r="P49">
            <v>27.66</v>
          </cell>
          <cell r="Q49">
            <v>29.26</v>
          </cell>
          <cell r="R49">
            <v>29.74</v>
          </cell>
          <cell r="S49">
            <v>26.91</v>
          </cell>
          <cell r="T49">
            <v>21.06</v>
          </cell>
          <cell r="U49">
            <v>28.56</v>
          </cell>
          <cell r="V49">
            <v>28.065000000000001</v>
          </cell>
          <cell r="W49">
            <v>30.31</v>
          </cell>
          <cell r="X49">
            <v>27.914999999999999</v>
          </cell>
          <cell r="Y49">
            <v>28.56</v>
          </cell>
          <cell r="Z49">
            <v>30.56</v>
          </cell>
          <cell r="AA49">
            <v>30.81</v>
          </cell>
          <cell r="AB49">
            <v>26.366</v>
          </cell>
          <cell r="AC49">
            <v>29.216000000000001</v>
          </cell>
          <cell r="AD49">
            <v>27.866</v>
          </cell>
          <cell r="AE49">
            <v>26.366</v>
          </cell>
          <cell r="AF49">
            <v>28.866</v>
          </cell>
          <cell r="AG49">
            <v>3.2890000000000001</v>
          </cell>
        </row>
        <row r="50">
          <cell r="A50">
            <v>38443</v>
          </cell>
          <cell r="B50">
            <v>33.5</v>
          </cell>
          <cell r="C50">
            <v>33.5</v>
          </cell>
          <cell r="D50">
            <v>33.5</v>
          </cell>
          <cell r="E50">
            <v>33.5</v>
          </cell>
          <cell r="F50">
            <v>29.5</v>
          </cell>
          <cell r="G50">
            <v>32.5</v>
          </cell>
          <cell r="H50">
            <v>29.5</v>
          </cell>
          <cell r="I50">
            <v>31.5</v>
          </cell>
          <cell r="J50">
            <v>30</v>
          </cell>
          <cell r="K50">
            <v>37.5</v>
          </cell>
          <cell r="L50">
            <v>41</v>
          </cell>
          <cell r="M50">
            <v>28.12</v>
          </cell>
          <cell r="N50">
            <v>26.57</v>
          </cell>
          <cell r="O50">
            <v>27.62</v>
          </cell>
          <cell r="P50">
            <v>28.87</v>
          </cell>
          <cell r="Q50">
            <v>30.02</v>
          </cell>
          <cell r="R50">
            <v>30.95</v>
          </cell>
          <cell r="S50">
            <v>28.12</v>
          </cell>
          <cell r="T50">
            <v>22.27</v>
          </cell>
          <cell r="U50">
            <v>28.56</v>
          </cell>
          <cell r="V50">
            <v>28.065999999999999</v>
          </cell>
          <cell r="W50">
            <v>30.31</v>
          </cell>
          <cell r="X50">
            <v>27.916</v>
          </cell>
          <cell r="Y50">
            <v>28.56</v>
          </cell>
          <cell r="Z50">
            <v>30.56</v>
          </cell>
          <cell r="AA50">
            <v>30.81</v>
          </cell>
          <cell r="AB50">
            <v>27.15</v>
          </cell>
          <cell r="AC50">
            <v>30</v>
          </cell>
          <cell r="AD50">
            <v>29.15</v>
          </cell>
          <cell r="AE50">
            <v>27.15</v>
          </cell>
          <cell r="AF50">
            <v>29.65</v>
          </cell>
          <cell r="AG50">
            <v>3.1040000000000001</v>
          </cell>
        </row>
        <row r="51">
          <cell r="A51">
            <v>38473</v>
          </cell>
          <cell r="B51">
            <v>33</v>
          </cell>
          <cell r="C51">
            <v>33</v>
          </cell>
          <cell r="D51">
            <v>33</v>
          </cell>
          <cell r="E51">
            <v>33</v>
          </cell>
          <cell r="F51">
            <v>31</v>
          </cell>
          <cell r="G51">
            <v>37</v>
          </cell>
          <cell r="H51">
            <v>31</v>
          </cell>
          <cell r="I51">
            <v>33</v>
          </cell>
          <cell r="J51">
            <v>31</v>
          </cell>
          <cell r="K51">
            <v>38.5</v>
          </cell>
          <cell r="L51">
            <v>45</v>
          </cell>
          <cell r="M51">
            <v>29.76</v>
          </cell>
          <cell r="N51">
            <v>28.26</v>
          </cell>
          <cell r="O51">
            <v>29.26</v>
          </cell>
          <cell r="P51">
            <v>30.76</v>
          </cell>
          <cell r="Q51">
            <v>26.46</v>
          </cell>
          <cell r="R51">
            <v>34.39</v>
          </cell>
          <cell r="S51">
            <v>29.76</v>
          </cell>
          <cell r="T51">
            <v>24.38</v>
          </cell>
          <cell r="U51">
            <v>30.26</v>
          </cell>
          <cell r="V51">
            <v>29.420999999999999</v>
          </cell>
          <cell r="W51">
            <v>32.01</v>
          </cell>
          <cell r="X51">
            <v>29.670999999999999</v>
          </cell>
          <cell r="Y51">
            <v>30.26</v>
          </cell>
          <cell r="Z51">
            <v>32.76</v>
          </cell>
          <cell r="AA51">
            <v>33.51</v>
          </cell>
          <cell r="AB51">
            <v>29.11</v>
          </cell>
          <cell r="AC51">
            <v>32.86</v>
          </cell>
          <cell r="AD51">
            <v>31.11</v>
          </cell>
          <cell r="AE51">
            <v>29.11</v>
          </cell>
          <cell r="AF51">
            <v>32.36</v>
          </cell>
          <cell r="AG51">
            <v>3.0990000000000002</v>
          </cell>
        </row>
        <row r="52">
          <cell r="A52">
            <v>38504</v>
          </cell>
          <cell r="B52">
            <v>38</v>
          </cell>
          <cell r="C52">
            <v>38</v>
          </cell>
          <cell r="D52">
            <v>38</v>
          </cell>
          <cell r="E52">
            <v>38</v>
          </cell>
          <cell r="F52">
            <v>41</v>
          </cell>
          <cell r="G52">
            <v>52</v>
          </cell>
          <cell r="H52">
            <v>41</v>
          </cell>
          <cell r="I52">
            <v>45</v>
          </cell>
          <cell r="J52">
            <v>41</v>
          </cell>
          <cell r="K52">
            <v>47</v>
          </cell>
          <cell r="L52">
            <v>56</v>
          </cell>
          <cell r="M52">
            <v>35.369999999999997</v>
          </cell>
          <cell r="N52">
            <v>33.72</v>
          </cell>
          <cell r="O52">
            <v>34.869999999999997</v>
          </cell>
          <cell r="P52">
            <v>36.869999999999997</v>
          </cell>
          <cell r="Q52">
            <v>30.77</v>
          </cell>
          <cell r="R52">
            <v>38.39</v>
          </cell>
          <cell r="S52">
            <v>35.369999999999997</v>
          </cell>
          <cell r="T52">
            <v>31.05</v>
          </cell>
          <cell r="U52">
            <v>37.26</v>
          </cell>
          <cell r="V52">
            <v>36.895000000000003</v>
          </cell>
          <cell r="W52">
            <v>39.01</v>
          </cell>
          <cell r="X52">
            <v>36.445</v>
          </cell>
          <cell r="Y52">
            <v>37.26</v>
          </cell>
          <cell r="Z52">
            <v>40.01</v>
          </cell>
          <cell r="AA52">
            <v>42.51</v>
          </cell>
          <cell r="AB52">
            <v>33.159999999999997</v>
          </cell>
          <cell r="AC52">
            <v>38.409999999999997</v>
          </cell>
          <cell r="AD52">
            <v>33.909999999999997</v>
          </cell>
          <cell r="AE52">
            <v>33.159999999999997</v>
          </cell>
          <cell r="AF52">
            <v>37.659999999999997</v>
          </cell>
          <cell r="AG52">
            <v>3.1339999999999999</v>
          </cell>
        </row>
        <row r="53">
          <cell r="A53">
            <v>38534</v>
          </cell>
          <cell r="B53">
            <v>46.5</v>
          </cell>
          <cell r="C53">
            <v>46.5</v>
          </cell>
          <cell r="D53">
            <v>46.5</v>
          </cell>
          <cell r="E53">
            <v>46.5</v>
          </cell>
          <cell r="F53">
            <v>50.25</v>
          </cell>
          <cell r="G53">
            <v>67.25</v>
          </cell>
          <cell r="H53">
            <v>50.25</v>
          </cell>
          <cell r="I53">
            <v>54.25</v>
          </cell>
          <cell r="J53">
            <v>52</v>
          </cell>
          <cell r="K53">
            <v>68</v>
          </cell>
          <cell r="L53">
            <v>78</v>
          </cell>
          <cell r="M53">
            <v>45.384999999999998</v>
          </cell>
          <cell r="N53">
            <v>43.335000000000001</v>
          </cell>
          <cell r="O53">
            <v>44.884999999999998</v>
          </cell>
          <cell r="P53">
            <v>47.884999999999998</v>
          </cell>
          <cell r="Q53">
            <v>37.685000000000002</v>
          </cell>
          <cell r="R53">
            <v>44.134999999999998</v>
          </cell>
          <cell r="S53">
            <v>45.384999999999998</v>
          </cell>
          <cell r="T53">
            <v>37.924999999999997</v>
          </cell>
          <cell r="U53">
            <v>45.55</v>
          </cell>
          <cell r="V53">
            <v>46.552</v>
          </cell>
          <cell r="W53">
            <v>47.3</v>
          </cell>
          <cell r="X53">
            <v>45.442</v>
          </cell>
          <cell r="Y53">
            <v>45.55</v>
          </cell>
          <cell r="Z53">
            <v>48.3</v>
          </cell>
          <cell r="AA53">
            <v>50.8</v>
          </cell>
          <cell r="AB53">
            <v>42.71</v>
          </cell>
          <cell r="AC53">
            <v>53.16</v>
          </cell>
          <cell r="AD53">
            <v>45.56</v>
          </cell>
          <cell r="AE53">
            <v>42.71</v>
          </cell>
          <cell r="AF53">
            <v>50.71</v>
          </cell>
          <cell r="AG53">
            <v>3.1739999999999999</v>
          </cell>
        </row>
        <row r="54">
          <cell r="A54">
            <v>38565</v>
          </cell>
          <cell r="B54">
            <v>46.5</v>
          </cell>
          <cell r="C54">
            <v>46.5</v>
          </cell>
          <cell r="D54">
            <v>46.5</v>
          </cell>
          <cell r="E54">
            <v>46.5</v>
          </cell>
          <cell r="F54">
            <v>50.25</v>
          </cell>
          <cell r="G54">
            <v>67.25</v>
          </cell>
          <cell r="H54">
            <v>50.25</v>
          </cell>
          <cell r="I54">
            <v>54.25</v>
          </cell>
          <cell r="J54">
            <v>52</v>
          </cell>
          <cell r="K54">
            <v>68</v>
          </cell>
          <cell r="L54">
            <v>78</v>
          </cell>
          <cell r="M54">
            <v>44.734999999999999</v>
          </cell>
          <cell r="N54">
            <v>42.685000000000002</v>
          </cell>
          <cell r="O54">
            <v>44.234999999999999</v>
          </cell>
          <cell r="P54">
            <v>47.234999999999999</v>
          </cell>
          <cell r="Q54">
            <v>37.034999999999997</v>
          </cell>
          <cell r="R54">
            <v>44.484999999999999</v>
          </cell>
          <cell r="S54">
            <v>44.734999999999999</v>
          </cell>
          <cell r="T54">
            <v>37.274999999999999</v>
          </cell>
          <cell r="U54">
            <v>44.55</v>
          </cell>
          <cell r="V54">
            <v>46.802</v>
          </cell>
          <cell r="W54">
            <v>46.3</v>
          </cell>
          <cell r="X54">
            <v>44.792000000000002</v>
          </cell>
          <cell r="Y54">
            <v>44.55</v>
          </cell>
          <cell r="Z54">
            <v>47.3</v>
          </cell>
          <cell r="AA54">
            <v>49.8</v>
          </cell>
          <cell r="AB54">
            <v>42.31</v>
          </cell>
          <cell r="AC54">
            <v>52.76</v>
          </cell>
          <cell r="AD54">
            <v>45.56</v>
          </cell>
          <cell r="AE54">
            <v>42.31</v>
          </cell>
          <cell r="AF54">
            <v>50.31</v>
          </cell>
          <cell r="AG54">
            <v>3.214</v>
          </cell>
        </row>
        <row r="55">
          <cell r="A55">
            <v>38596</v>
          </cell>
          <cell r="B55">
            <v>31.75</v>
          </cell>
          <cell r="C55">
            <v>31.75</v>
          </cell>
          <cell r="D55">
            <v>31.75</v>
          </cell>
          <cell r="E55">
            <v>31.75</v>
          </cell>
          <cell r="F55">
            <v>29</v>
          </cell>
          <cell r="G55">
            <v>32</v>
          </cell>
          <cell r="H55">
            <v>29</v>
          </cell>
          <cell r="I55">
            <v>31</v>
          </cell>
          <cell r="J55">
            <v>29.75</v>
          </cell>
          <cell r="K55">
            <v>37.5</v>
          </cell>
          <cell r="L55">
            <v>41</v>
          </cell>
          <cell r="M55">
            <v>28.16</v>
          </cell>
          <cell r="N55">
            <v>26.91</v>
          </cell>
          <cell r="O55">
            <v>27.66</v>
          </cell>
          <cell r="P55">
            <v>29.66</v>
          </cell>
          <cell r="Q55">
            <v>24.16</v>
          </cell>
          <cell r="R55">
            <v>30.2</v>
          </cell>
          <cell r="S55">
            <v>28.16</v>
          </cell>
          <cell r="T55">
            <v>22.68</v>
          </cell>
          <cell r="U55">
            <v>27.62</v>
          </cell>
          <cell r="V55">
            <v>25.341999999999999</v>
          </cell>
          <cell r="W55">
            <v>29.37</v>
          </cell>
          <cell r="X55">
            <v>24.891999999999999</v>
          </cell>
          <cell r="Y55">
            <v>27.62</v>
          </cell>
          <cell r="Z55">
            <v>29.87</v>
          </cell>
          <cell r="AA55">
            <v>31.87</v>
          </cell>
          <cell r="AB55">
            <v>30.06</v>
          </cell>
          <cell r="AC55">
            <v>31.96</v>
          </cell>
          <cell r="AD55">
            <v>33.86</v>
          </cell>
          <cell r="AE55">
            <v>30.06</v>
          </cell>
          <cell r="AF55">
            <v>36.46</v>
          </cell>
          <cell r="AG55">
            <v>3.1970000000000001</v>
          </cell>
        </row>
        <row r="56">
          <cell r="A56">
            <v>38626</v>
          </cell>
          <cell r="B56">
            <v>31.75</v>
          </cell>
          <cell r="C56">
            <v>31.75</v>
          </cell>
          <cell r="D56">
            <v>31.75</v>
          </cell>
          <cell r="E56">
            <v>31.75</v>
          </cell>
          <cell r="F56">
            <v>29</v>
          </cell>
          <cell r="G56">
            <v>32</v>
          </cell>
          <cell r="H56">
            <v>29</v>
          </cell>
          <cell r="I56">
            <v>31</v>
          </cell>
          <cell r="J56">
            <v>29.75</v>
          </cell>
          <cell r="K56">
            <v>37.5</v>
          </cell>
          <cell r="L56">
            <v>41</v>
          </cell>
          <cell r="M56">
            <v>27.85</v>
          </cell>
          <cell r="N56">
            <v>26.6</v>
          </cell>
          <cell r="O56">
            <v>27.35</v>
          </cell>
          <cell r="P56">
            <v>27.85</v>
          </cell>
          <cell r="Q56">
            <v>29.19</v>
          </cell>
          <cell r="R56">
            <v>28.81</v>
          </cell>
          <cell r="S56">
            <v>27.85</v>
          </cell>
          <cell r="T56">
            <v>21.5</v>
          </cell>
          <cell r="U56">
            <v>29.16</v>
          </cell>
          <cell r="V56">
            <v>26.792000000000002</v>
          </cell>
          <cell r="W56">
            <v>30.91</v>
          </cell>
          <cell r="X56">
            <v>26.391999999999999</v>
          </cell>
          <cell r="Y56">
            <v>29.16</v>
          </cell>
          <cell r="Z56">
            <v>31.16</v>
          </cell>
          <cell r="AA56">
            <v>31.41</v>
          </cell>
          <cell r="AB56">
            <v>28.28</v>
          </cell>
          <cell r="AC56">
            <v>30.23</v>
          </cell>
          <cell r="AD56">
            <v>30.28</v>
          </cell>
          <cell r="AE56">
            <v>28.28</v>
          </cell>
          <cell r="AF56">
            <v>31.39</v>
          </cell>
          <cell r="AG56">
            <v>3.222</v>
          </cell>
        </row>
        <row r="57">
          <cell r="A57">
            <v>38657</v>
          </cell>
          <cell r="B57">
            <v>31.75</v>
          </cell>
          <cell r="C57">
            <v>31.75</v>
          </cell>
          <cell r="D57">
            <v>31.75</v>
          </cell>
          <cell r="E57">
            <v>31.75</v>
          </cell>
          <cell r="F57">
            <v>29</v>
          </cell>
          <cell r="G57">
            <v>32</v>
          </cell>
          <cell r="H57">
            <v>29</v>
          </cell>
          <cell r="I57">
            <v>31</v>
          </cell>
          <cell r="J57">
            <v>29.75</v>
          </cell>
          <cell r="K57">
            <v>37.5</v>
          </cell>
          <cell r="L57">
            <v>41</v>
          </cell>
          <cell r="M57">
            <v>28.96</v>
          </cell>
          <cell r="N57">
            <v>27.71</v>
          </cell>
          <cell r="O57">
            <v>28.46</v>
          </cell>
          <cell r="P57">
            <v>28.96</v>
          </cell>
          <cell r="Q57">
            <v>33.700000000000003</v>
          </cell>
          <cell r="R57">
            <v>29.91</v>
          </cell>
          <cell r="S57">
            <v>28.96</v>
          </cell>
          <cell r="T57">
            <v>22.61</v>
          </cell>
          <cell r="U57">
            <v>29.16</v>
          </cell>
          <cell r="V57">
            <v>26.891999999999999</v>
          </cell>
          <cell r="W57">
            <v>30.91</v>
          </cell>
          <cell r="X57">
            <v>26.492000000000001</v>
          </cell>
          <cell r="Y57">
            <v>29.16</v>
          </cell>
          <cell r="Z57">
            <v>31.16</v>
          </cell>
          <cell r="AA57">
            <v>31.41</v>
          </cell>
          <cell r="AB57">
            <v>27.28</v>
          </cell>
          <cell r="AC57">
            <v>28.98</v>
          </cell>
          <cell r="AD57">
            <v>29.28</v>
          </cell>
          <cell r="AE57">
            <v>27.28</v>
          </cell>
          <cell r="AF57">
            <v>30.39</v>
          </cell>
          <cell r="AG57">
            <v>3.3740000000000001</v>
          </cell>
        </row>
        <row r="58">
          <cell r="A58">
            <v>38687</v>
          </cell>
          <cell r="B58">
            <v>31.75</v>
          </cell>
          <cell r="C58">
            <v>31.75</v>
          </cell>
          <cell r="D58">
            <v>31.75</v>
          </cell>
          <cell r="E58">
            <v>31.75</v>
          </cell>
          <cell r="F58">
            <v>29</v>
          </cell>
          <cell r="G58">
            <v>32</v>
          </cell>
          <cell r="H58">
            <v>29</v>
          </cell>
          <cell r="I58">
            <v>31</v>
          </cell>
          <cell r="J58">
            <v>29.75</v>
          </cell>
          <cell r="K58">
            <v>37.5</v>
          </cell>
          <cell r="L58">
            <v>41</v>
          </cell>
          <cell r="M58">
            <v>29.48</v>
          </cell>
          <cell r="N58">
            <v>28.23</v>
          </cell>
          <cell r="O58">
            <v>28.98</v>
          </cell>
          <cell r="P58">
            <v>29.48</v>
          </cell>
          <cell r="Q58">
            <v>34.619999999999997</v>
          </cell>
          <cell r="R58">
            <v>30.43</v>
          </cell>
          <cell r="S58">
            <v>29.48</v>
          </cell>
          <cell r="T58">
            <v>23.13</v>
          </cell>
          <cell r="U58">
            <v>29.16</v>
          </cell>
          <cell r="V58">
            <v>26.992000000000001</v>
          </cell>
          <cell r="W58">
            <v>30.91</v>
          </cell>
          <cell r="X58">
            <v>26.591999999999999</v>
          </cell>
          <cell r="Y58">
            <v>29.16</v>
          </cell>
          <cell r="Z58">
            <v>31.16</v>
          </cell>
          <cell r="AA58">
            <v>31.41</v>
          </cell>
          <cell r="AB58">
            <v>28.18</v>
          </cell>
          <cell r="AC58">
            <v>30.53</v>
          </cell>
          <cell r="AD58">
            <v>30.03</v>
          </cell>
          <cell r="AE58">
            <v>28.18</v>
          </cell>
          <cell r="AF58">
            <v>31.79</v>
          </cell>
          <cell r="AG58">
            <v>3.5169999999999999</v>
          </cell>
        </row>
        <row r="59">
          <cell r="A59">
            <v>38718</v>
          </cell>
          <cell r="B59">
            <v>42.55</v>
          </cell>
          <cell r="C59">
            <v>42.55</v>
          </cell>
          <cell r="D59">
            <v>42.55</v>
          </cell>
          <cell r="E59">
            <v>42.55</v>
          </cell>
          <cell r="F59">
            <v>31.75</v>
          </cell>
          <cell r="G59">
            <v>36.75</v>
          </cell>
          <cell r="H59">
            <v>31.75</v>
          </cell>
          <cell r="I59">
            <v>33.75</v>
          </cell>
          <cell r="J59">
            <v>32.5</v>
          </cell>
          <cell r="K59">
            <v>42</v>
          </cell>
          <cell r="L59">
            <v>47</v>
          </cell>
          <cell r="M59">
            <v>30.81</v>
          </cell>
          <cell r="N59">
            <v>29.26</v>
          </cell>
          <cell r="O59">
            <v>30.31</v>
          </cell>
          <cell r="P59">
            <v>31.31</v>
          </cell>
          <cell r="Q59">
            <v>33.76</v>
          </cell>
          <cell r="R59">
            <v>34</v>
          </cell>
          <cell r="S59">
            <v>30.81</v>
          </cell>
          <cell r="T59">
            <v>24.81</v>
          </cell>
          <cell r="U59">
            <v>31.62</v>
          </cell>
          <cell r="V59">
            <v>28.891999999999999</v>
          </cell>
          <cell r="W59">
            <v>33.369999999999997</v>
          </cell>
          <cell r="X59">
            <v>28.292000000000002</v>
          </cell>
          <cell r="Y59">
            <v>31.62</v>
          </cell>
          <cell r="Z59">
            <v>33.619999999999997</v>
          </cell>
          <cell r="AA59">
            <v>33.869999999999997</v>
          </cell>
          <cell r="AB59">
            <v>30.22</v>
          </cell>
          <cell r="AC59">
            <v>32.97</v>
          </cell>
          <cell r="AD59">
            <v>32.22</v>
          </cell>
          <cell r="AE59">
            <v>30.22</v>
          </cell>
          <cell r="AF59">
            <v>33.619999999999997</v>
          </cell>
          <cell r="AG59">
            <v>3.55</v>
          </cell>
        </row>
        <row r="60">
          <cell r="A60">
            <v>38749</v>
          </cell>
          <cell r="B60">
            <v>42.55</v>
          </cell>
          <cell r="C60">
            <v>42.55</v>
          </cell>
          <cell r="D60">
            <v>42.55</v>
          </cell>
          <cell r="E60">
            <v>42.55</v>
          </cell>
          <cell r="F60">
            <v>31.75</v>
          </cell>
          <cell r="G60">
            <v>36.75</v>
          </cell>
          <cell r="H60">
            <v>31.75</v>
          </cell>
          <cell r="I60">
            <v>33.75</v>
          </cell>
          <cell r="J60">
            <v>32.5</v>
          </cell>
          <cell r="K60">
            <v>42</v>
          </cell>
          <cell r="L60">
            <v>47</v>
          </cell>
          <cell r="M60">
            <v>29.51</v>
          </cell>
          <cell r="N60">
            <v>27.96</v>
          </cell>
          <cell r="O60">
            <v>29.01</v>
          </cell>
          <cell r="P60">
            <v>30.01</v>
          </cell>
          <cell r="Q60">
            <v>33.46</v>
          </cell>
          <cell r="R60">
            <v>33</v>
          </cell>
          <cell r="S60">
            <v>29.51</v>
          </cell>
          <cell r="T60">
            <v>23.01</v>
          </cell>
          <cell r="U60">
            <v>30.62</v>
          </cell>
          <cell r="V60">
            <v>28.645</v>
          </cell>
          <cell r="W60">
            <v>32.369999999999997</v>
          </cell>
          <cell r="X60">
            <v>28.045000000000002</v>
          </cell>
          <cell r="Y60">
            <v>30.62</v>
          </cell>
          <cell r="Z60">
            <v>32.619999999999997</v>
          </cell>
          <cell r="AA60">
            <v>32.869999999999997</v>
          </cell>
          <cell r="AB60">
            <v>29.47</v>
          </cell>
          <cell r="AC60">
            <v>32.22</v>
          </cell>
          <cell r="AD60">
            <v>30.97</v>
          </cell>
          <cell r="AE60">
            <v>29.47</v>
          </cell>
          <cell r="AF60">
            <v>32.47</v>
          </cell>
          <cell r="AG60">
            <v>3.4940000000000002</v>
          </cell>
        </row>
        <row r="61">
          <cell r="A61">
            <v>38777</v>
          </cell>
          <cell r="B61">
            <v>34.549999999999997</v>
          </cell>
          <cell r="C61">
            <v>34.549999999999997</v>
          </cell>
          <cell r="D61">
            <v>34.549999999999997</v>
          </cell>
          <cell r="E61">
            <v>34.549999999999997</v>
          </cell>
          <cell r="F61">
            <v>29.75</v>
          </cell>
          <cell r="G61">
            <v>32.75</v>
          </cell>
          <cell r="H61">
            <v>29.75</v>
          </cell>
          <cell r="I61">
            <v>31.75</v>
          </cell>
          <cell r="J61">
            <v>30.5</v>
          </cell>
          <cell r="K61">
            <v>38</v>
          </cell>
          <cell r="L61">
            <v>41.5</v>
          </cell>
          <cell r="M61">
            <v>28.45</v>
          </cell>
          <cell r="N61">
            <v>26.9</v>
          </cell>
          <cell r="O61">
            <v>27.95</v>
          </cell>
          <cell r="P61">
            <v>29.2</v>
          </cell>
          <cell r="Q61">
            <v>30.65</v>
          </cell>
          <cell r="R61">
            <v>31.66</v>
          </cell>
          <cell r="S61">
            <v>28.45</v>
          </cell>
          <cell r="T61">
            <v>21.45</v>
          </cell>
          <cell r="U61">
            <v>28.37</v>
          </cell>
          <cell r="V61">
            <v>28.395</v>
          </cell>
          <cell r="W61">
            <v>30.12</v>
          </cell>
          <cell r="X61">
            <v>28.245000000000001</v>
          </cell>
          <cell r="Y61">
            <v>28.37</v>
          </cell>
          <cell r="Z61">
            <v>30.37</v>
          </cell>
          <cell r="AA61">
            <v>30.62</v>
          </cell>
          <cell r="AB61">
            <v>27.905999999999999</v>
          </cell>
          <cell r="AC61">
            <v>30.756</v>
          </cell>
          <cell r="AD61">
            <v>29.405999999999999</v>
          </cell>
          <cell r="AE61">
            <v>27.905999999999999</v>
          </cell>
          <cell r="AF61">
            <v>30.405999999999999</v>
          </cell>
          <cell r="AG61">
            <v>3.3639999999999999</v>
          </cell>
        </row>
        <row r="62">
          <cell r="A62">
            <v>38808</v>
          </cell>
          <cell r="B62">
            <v>34.799999999999997</v>
          </cell>
          <cell r="C62">
            <v>34.799999999999997</v>
          </cell>
          <cell r="D62">
            <v>34.799999999999997</v>
          </cell>
          <cell r="E62">
            <v>34.799999999999997</v>
          </cell>
          <cell r="F62">
            <v>29.75</v>
          </cell>
          <cell r="G62">
            <v>32.75</v>
          </cell>
          <cell r="H62">
            <v>29.75</v>
          </cell>
          <cell r="I62">
            <v>31.75</v>
          </cell>
          <cell r="J62">
            <v>30.5</v>
          </cell>
          <cell r="K62">
            <v>38</v>
          </cell>
          <cell r="L62">
            <v>41.5</v>
          </cell>
          <cell r="M62">
            <v>28.4</v>
          </cell>
          <cell r="N62">
            <v>26.85</v>
          </cell>
          <cell r="O62">
            <v>27.9</v>
          </cell>
          <cell r="P62">
            <v>29.15</v>
          </cell>
          <cell r="Q62">
            <v>30.15</v>
          </cell>
          <cell r="R62">
            <v>31.61</v>
          </cell>
          <cell r="S62">
            <v>28.4</v>
          </cell>
          <cell r="T62">
            <v>21.4</v>
          </cell>
          <cell r="U62">
            <v>28.37</v>
          </cell>
          <cell r="V62">
            <v>28.396000000000001</v>
          </cell>
          <cell r="W62">
            <v>30.12</v>
          </cell>
          <cell r="X62">
            <v>28.245999999999999</v>
          </cell>
          <cell r="Y62">
            <v>28.37</v>
          </cell>
          <cell r="Z62">
            <v>30.37</v>
          </cell>
          <cell r="AA62">
            <v>30.62</v>
          </cell>
          <cell r="AB62">
            <v>28.69</v>
          </cell>
          <cell r="AC62">
            <v>31.54</v>
          </cell>
          <cell r="AD62">
            <v>30.69</v>
          </cell>
          <cell r="AE62">
            <v>28.69</v>
          </cell>
          <cell r="AF62">
            <v>31.19</v>
          </cell>
          <cell r="AG62">
            <v>3.1789999999999998</v>
          </cell>
        </row>
        <row r="63">
          <cell r="A63">
            <v>38838</v>
          </cell>
          <cell r="B63">
            <v>34.799999999999997</v>
          </cell>
          <cell r="C63">
            <v>34.799999999999997</v>
          </cell>
          <cell r="D63">
            <v>34.799999999999997</v>
          </cell>
          <cell r="E63">
            <v>34.799999999999997</v>
          </cell>
          <cell r="F63">
            <v>31.5</v>
          </cell>
          <cell r="G63">
            <v>36.5</v>
          </cell>
          <cell r="H63">
            <v>31.5</v>
          </cell>
          <cell r="I63">
            <v>33.5</v>
          </cell>
          <cell r="J63">
            <v>31.25</v>
          </cell>
          <cell r="K63">
            <v>39.5</v>
          </cell>
          <cell r="L63">
            <v>46</v>
          </cell>
          <cell r="M63">
            <v>29.265000000000001</v>
          </cell>
          <cell r="N63">
            <v>27.765000000000001</v>
          </cell>
          <cell r="O63">
            <v>28.765000000000001</v>
          </cell>
          <cell r="P63">
            <v>30.265000000000001</v>
          </cell>
          <cell r="Q63">
            <v>25.815000000000001</v>
          </cell>
          <cell r="R63">
            <v>34.274999999999999</v>
          </cell>
          <cell r="S63">
            <v>29.265000000000001</v>
          </cell>
          <cell r="T63">
            <v>23.675000000000001</v>
          </cell>
          <cell r="U63">
            <v>30.57</v>
          </cell>
          <cell r="V63">
            <v>30.251000000000001</v>
          </cell>
          <cell r="W63">
            <v>32.32</v>
          </cell>
          <cell r="X63">
            <v>30.501000000000001</v>
          </cell>
          <cell r="Y63">
            <v>30.57</v>
          </cell>
          <cell r="Z63">
            <v>33.07</v>
          </cell>
          <cell r="AA63">
            <v>33.82</v>
          </cell>
          <cell r="AB63">
            <v>30.65</v>
          </cell>
          <cell r="AC63">
            <v>34.4</v>
          </cell>
          <cell r="AD63">
            <v>32.65</v>
          </cell>
          <cell r="AE63">
            <v>30.65</v>
          </cell>
          <cell r="AF63">
            <v>33.9</v>
          </cell>
          <cell r="AG63">
            <v>3.1739999999999999</v>
          </cell>
        </row>
        <row r="64">
          <cell r="A64">
            <v>38869</v>
          </cell>
          <cell r="B64">
            <v>39.549999999999997</v>
          </cell>
          <cell r="C64">
            <v>39.549999999999997</v>
          </cell>
          <cell r="D64">
            <v>39.549999999999997</v>
          </cell>
          <cell r="E64">
            <v>39.549999999999997</v>
          </cell>
          <cell r="F64">
            <v>41.75</v>
          </cell>
          <cell r="G64">
            <v>52.25</v>
          </cell>
          <cell r="H64">
            <v>41.75</v>
          </cell>
          <cell r="I64">
            <v>45.75</v>
          </cell>
          <cell r="J64">
            <v>41.5</v>
          </cell>
          <cell r="K64">
            <v>48</v>
          </cell>
          <cell r="L64">
            <v>57</v>
          </cell>
          <cell r="M64">
            <v>35.43</v>
          </cell>
          <cell r="N64">
            <v>33.78</v>
          </cell>
          <cell r="O64">
            <v>34.93</v>
          </cell>
          <cell r="P64">
            <v>36.93</v>
          </cell>
          <cell r="Q64">
            <v>31.43</v>
          </cell>
          <cell r="R64">
            <v>38.72</v>
          </cell>
          <cell r="S64">
            <v>35.43</v>
          </cell>
          <cell r="T64">
            <v>31.4</v>
          </cell>
          <cell r="U64">
            <v>37.479999999999997</v>
          </cell>
          <cell r="V64">
            <v>37.634999999999998</v>
          </cell>
          <cell r="W64">
            <v>39.229999999999997</v>
          </cell>
          <cell r="X64">
            <v>37.185000000000002</v>
          </cell>
          <cell r="Y64">
            <v>37.479999999999997</v>
          </cell>
          <cell r="Z64">
            <v>40.229999999999997</v>
          </cell>
          <cell r="AA64">
            <v>42.73</v>
          </cell>
          <cell r="AB64">
            <v>34.700000000000003</v>
          </cell>
          <cell r="AC64">
            <v>39.950000000000003</v>
          </cell>
          <cell r="AD64">
            <v>35.450000000000003</v>
          </cell>
          <cell r="AE64">
            <v>34.700000000000003</v>
          </cell>
          <cell r="AF64">
            <v>39.200000000000003</v>
          </cell>
          <cell r="AG64">
            <v>3.2090000000000001</v>
          </cell>
        </row>
        <row r="65">
          <cell r="A65">
            <v>38899</v>
          </cell>
          <cell r="B65">
            <v>46.8</v>
          </cell>
          <cell r="C65">
            <v>46.8</v>
          </cell>
          <cell r="D65">
            <v>46.8</v>
          </cell>
          <cell r="E65">
            <v>46.8</v>
          </cell>
          <cell r="F65">
            <v>50.5</v>
          </cell>
          <cell r="G65">
            <v>67</v>
          </cell>
          <cell r="H65">
            <v>50.5</v>
          </cell>
          <cell r="I65">
            <v>54.5</v>
          </cell>
          <cell r="J65">
            <v>52.5</v>
          </cell>
          <cell r="K65">
            <v>69</v>
          </cell>
          <cell r="L65">
            <v>78.5</v>
          </cell>
          <cell r="M65">
            <v>48.545000000000002</v>
          </cell>
          <cell r="N65">
            <v>46.494999999999997</v>
          </cell>
          <cell r="O65">
            <v>48.045000000000002</v>
          </cell>
          <cell r="P65">
            <v>51.045000000000002</v>
          </cell>
          <cell r="Q65">
            <v>38.945</v>
          </cell>
          <cell r="R65">
            <v>47.045000000000002</v>
          </cell>
          <cell r="S65">
            <v>48.545000000000002</v>
          </cell>
          <cell r="T65">
            <v>41.195</v>
          </cell>
          <cell r="U65">
            <v>47.3</v>
          </cell>
          <cell r="V65">
            <v>48.822000000000003</v>
          </cell>
          <cell r="W65">
            <v>49.05</v>
          </cell>
          <cell r="X65">
            <v>47.712000000000003</v>
          </cell>
          <cell r="Y65">
            <v>47.3</v>
          </cell>
          <cell r="Z65">
            <v>50.05</v>
          </cell>
          <cell r="AA65">
            <v>52.55</v>
          </cell>
          <cell r="AB65">
            <v>44.25</v>
          </cell>
          <cell r="AC65">
            <v>54.7</v>
          </cell>
          <cell r="AD65">
            <v>47.1</v>
          </cell>
          <cell r="AE65">
            <v>44.25</v>
          </cell>
          <cell r="AF65">
            <v>52.25</v>
          </cell>
          <cell r="AG65">
            <v>3.2490000000000001</v>
          </cell>
        </row>
        <row r="66">
          <cell r="A66">
            <v>38930</v>
          </cell>
          <cell r="B66">
            <v>46.8</v>
          </cell>
          <cell r="C66">
            <v>46.8</v>
          </cell>
          <cell r="D66">
            <v>46.8</v>
          </cell>
          <cell r="E66">
            <v>46.8</v>
          </cell>
          <cell r="F66">
            <v>50.5</v>
          </cell>
          <cell r="G66">
            <v>67</v>
          </cell>
          <cell r="H66">
            <v>50.5</v>
          </cell>
          <cell r="I66">
            <v>54.5</v>
          </cell>
          <cell r="J66">
            <v>52.5</v>
          </cell>
          <cell r="K66">
            <v>69</v>
          </cell>
          <cell r="L66">
            <v>78.5</v>
          </cell>
          <cell r="M66">
            <v>48.375</v>
          </cell>
          <cell r="N66">
            <v>46.325000000000003</v>
          </cell>
          <cell r="O66">
            <v>47.875</v>
          </cell>
          <cell r="P66">
            <v>50.875</v>
          </cell>
          <cell r="Q66">
            <v>38.774999999999999</v>
          </cell>
          <cell r="R66">
            <v>47.875</v>
          </cell>
          <cell r="S66">
            <v>48.375</v>
          </cell>
          <cell r="T66">
            <v>41.024999999999999</v>
          </cell>
          <cell r="U66">
            <v>46.3</v>
          </cell>
          <cell r="V66">
            <v>49.072000000000003</v>
          </cell>
          <cell r="W66">
            <v>48.05</v>
          </cell>
          <cell r="X66">
            <v>47.061999999999998</v>
          </cell>
          <cell r="Y66">
            <v>46.3</v>
          </cell>
          <cell r="Z66">
            <v>49.05</v>
          </cell>
          <cell r="AA66">
            <v>51.55</v>
          </cell>
          <cell r="AB66">
            <v>43.85</v>
          </cell>
          <cell r="AC66">
            <v>54.3</v>
          </cell>
          <cell r="AD66">
            <v>47.1</v>
          </cell>
          <cell r="AE66">
            <v>43.85</v>
          </cell>
          <cell r="AF66">
            <v>51.85</v>
          </cell>
          <cell r="AG66">
            <v>3.2890000000000001</v>
          </cell>
        </row>
        <row r="67">
          <cell r="A67">
            <v>38961</v>
          </cell>
          <cell r="B67">
            <v>33.799999999999997</v>
          </cell>
          <cell r="C67">
            <v>33.799999999999997</v>
          </cell>
          <cell r="D67">
            <v>33.799999999999997</v>
          </cell>
          <cell r="E67">
            <v>33.799999999999997</v>
          </cell>
          <cell r="F67">
            <v>29.5</v>
          </cell>
          <cell r="G67">
            <v>32.5</v>
          </cell>
          <cell r="H67">
            <v>29.5</v>
          </cell>
          <cell r="I67">
            <v>31.5</v>
          </cell>
          <cell r="J67">
            <v>30.25</v>
          </cell>
          <cell r="K67">
            <v>38</v>
          </cell>
          <cell r="L67">
            <v>41.5</v>
          </cell>
          <cell r="M67">
            <v>27.78</v>
          </cell>
          <cell r="N67">
            <v>26.53</v>
          </cell>
          <cell r="O67">
            <v>27.28</v>
          </cell>
          <cell r="P67">
            <v>29.28</v>
          </cell>
          <cell r="Q67">
            <v>23.63</v>
          </cell>
          <cell r="R67">
            <v>30.17</v>
          </cell>
          <cell r="S67">
            <v>27.78</v>
          </cell>
          <cell r="T67">
            <v>22.09</v>
          </cell>
          <cell r="U67">
            <v>27.21</v>
          </cell>
          <cell r="V67">
            <v>25.452000000000002</v>
          </cell>
          <cell r="W67">
            <v>28.96</v>
          </cell>
          <cell r="X67">
            <v>25.001999999999999</v>
          </cell>
          <cell r="Y67">
            <v>27.21</v>
          </cell>
          <cell r="Z67">
            <v>29.46</v>
          </cell>
          <cell r="AA67">
            <v>31.46</v>
          </cell>
          <cell r="AB67">
            <v>31.6</v>
          </cell>
          <cell r="AC67">
            <v>33.5</v>
          </cell>
          <cell r="AD67">
            <v>35.4</v>
          </cell>
          <cell r="AE67">
            <v>31.6</v>
          </cell>
          <cell r="AF67">
            <v>38</v>
          </cell>
          <cell r="AG67">
            <v>3.2719999999999998</v>
          </cell>
        </row>
        <row r="68">
          <cell r="A68">
            <v>38991</v>
          </cell>
          <cell r="B68">
            <v>33.549999999999997</v>
          </cell>
          <cell r="C68">
            <v>33.549999999999997</v>
          </cell>
          <cell r="D68">
            <v>33.549999999999997</v>
          </cell>
          <cell r="E68">
            <v>33.549999999999997</v>
          </cell>
          <cell r="F68">
            <v>29.5</v>
          </cell>
          <cell r="G68">
            <v>32.5</v>
          </cell>
          <cell r="H68">
            <v>29.5</v>
          </cell>
          <cell r="I68">
            <v>31.5</v>
          </cell>
          <cell r="J68">
            <v>30.25</v>
          </cell>
          <cell r="K68">
            <v>38</v>
          </cell>
          <cell r="L68">
            <v>41.5</v>
          </cell>
          <cell r="M68">
            <v>27.89</v>
          </cell>
          <cell r="N68">
            <v>26.64</v>
          </cell>
          <cell r="O68">
            <v>27.39</v>
          </cell>
          <cell r="P68">
            <v>27.89</v>
          </cell>
          <cell r="Q68">
            <v>29.08</v>
          </cell>
          <cell r="R68">
            <v>29.23</v>
          </cell>
          <cell r="S68">
            <v>27.89</v>
          </cell>
          <cell r="T68">
            <v>20.39</v>
          </cell>
          <cell r="U68">
            <v>28.97</v>
          </cell>
          <cell r="V68">
            <v>27.122</v>
          </cell>
          <cell r="W68">
            <v>30.72</v>
          </cell>
          <cell r="X68">
            <v>26.722000000000001</v>
          </cell>
          <cell r="Y68">
            <v>28.97</v>
          </cell>
          <cell r="Z68">
            <v>30.97</v>
          </cell>
          <cell r="AA68">
            <v>31.22</v>
          </cell>
          <cell r="AB68">
            <v>29.82</v>
          </cell>
          <cell r="AC68">
            <v>31.77</v>
          </cell>
          <cell r="AD68">
            <v>31.82</v>
          </cell>
          <cell r="AE68">
            <v>29.82</v>
          </cell>
          <cell r="AF68">
            <v>32.93</v>
          </cell>
          <cell r="AG68">
            <v>3.2970000000000002</v>
          </cell>
        </row>
        <row r="69">
          <cell r="A69">
            <v>39022</v>
          </cell>
          <cell r="B69">
            <v>33.549999999999997</v>
          </cell>
          <cell r="C69">
            <v>33.549999999999997</v>
          </cell>
          <cell r="D69">
            <v>33.549999999999997</v>
          </cell>
          <cell r="E69">
            <v>33.549999999999997</v>
          </cell>
          <cell r="F69">
            <v>29.5</v>
          </cell>
          <cell r="G69">
            <v>32.5</v>
          </cell>
          <cell r="H69">
            <v>29.5</v>
          </cell>
          <cell r="I69">
            <v>31.5</v>
          </cell>
          <cell r="J69">
            <v>30.25</v>
          </cell>
          <cell r="K69">
            <v>38</v>
          </cell>
          <cell r="L69">
            <v>41.5</v>
          </cell>
          <cell r="M69">
            <v>27.74</v>
          </cell>
          <cell r="N69">
            <v>26.49</v>
          </cell>
          <cell r="O69">
            <v>27.24</v>
          </cell>
          <cell r="P69">
            <v>27.74</v>
          </cell>
          <cell r="Q69">
            <v>32.33</v>
          </cell>
          <cell r="R69">
            <v>29.07</v>
          </cell>
          <cell r="S69">
            <v>27.74</v>
          </cell>
          <cell r="T69">
            <v>20.239999999999998</v>
          </cell>
          <cell r="U69">
            <v>28.97</v>
          </cell>
          <cell r="V69">
            <v>27.222000000000001</v>
          </cell>
          <cell r="W69">
            <v>30.72</v>
          </cell>
          <cell r="X69">
            <v>26.821999999999999</v>
          </cell>
          <cell r="Y69">
            <v>28.97</v>
          </cell>
          <cell r="Z69">
            <v>30.97</v>
          </cell>
          <cell r="AA69">
            <v>31.22</v>
          </cell>
          <cell r="AB69">
            <v>28.82</v>
          </cell>
          <cell r="AC69">
            <v>30.52</v>
          </cell>
          <cell r="AD69">
            <v>30.82</v>
          </cell>
          <cell r="AE69">
            <v>28.82</v>
          </cell>
          <cell r="AF69">
            <v>31.93</v>
          </cell>
          <cell r="AG69">
            <v>3.4489999999999998</v>
          </cell>
        </row>
        <row r="70">
          <cell r="A70">
            <v>39052</v>
          </cell>
          <cell r="B70">
            <v>33.549999999999997</v>
          </cell>
          <cell r="C70">
            <v>33.549999999999997</v>
          </cell>
          <cell r="D70">
            <v>33.549999999999997</v>
          </cell>
          <cell r="E70">
            <v>33.549999999999997</v>
          </cell>
          <cell r="F70">
            <v>29.5</v>
          </cell>
          <cell r="G70">
            <v>32.5</v>
          </cell>
          <cell r="H70">
            <v>29.5</v>
          </cell>
          <cell r="I70">
            <v>31.5</v>
          </cell>
          <cell r="J70">
            <v>30.25</v>
          </cell>
          <cell r="K70">
            <v>38</v>
          </cell>
          <cell r="L70">
            <v>41.5</v>
          </cell>
          <cell r="M70">
            <v>27.06</v>
          </cell>
          <cell r="N70">
            <v>25.81</v>
          </cell>
          <cell r="O70">
            <v>26.56</v>
          </cell>
          <cell r="P70">
            <v>27.06</v>
          </cell>
          <cell r="Q70">
            <v>32.049999999999997</v>
          </cell>
          <cell r="R70">
            <v>28.39</v>
          </cell>
          <cell r="S70">
            <v>27.06</v>
          </cell>
          <cell r="T70">
            <v>19.559999999999999</v>
          </cell>
          <cell r="U70">
            <v>28.97</v>
          </cell>
          <cell r="V70">
            <v>27.472000000000001</v>
          </cell>
          <cell r="W70">
            <v>30.72</v>
          </cell>
          <cell r="X70">
            <v>27.071999999999999</v>
          </cell>
          <cell r="Y70">
            <v>28.97</v>
          </cell>
          <cell r="Z70">
            <v>30.97</v>
          </cell>
          <cell r="AA70">
            <v>31.22</v>
          </cell>
          <cell r="AB70">
            <v>29.72</v>
          </cell>
          <cell r="AC70">
            <v>32.07</v>
          </cell>
          <cell r="AD70">
            <v>31.57</v>
          </cell>
          <cell r="AE70">
            <v>29.72</v>
          </cell>
          <cell r="AF70">
            <v>33.33</v>
          </cell>
          <cell r="AG70">
            <v>3.5920000000000001</v>
          </cell>
        </row>
        <row r="71">
          <cell r="A71">
            <v>39083</v>
          </cell>
          <cell r="B71">
            <v>42.75</v>
          </cell>
          <cell r="C71">
            <v>42.75</v>
          </cell>
          <cell r="D71">
            <v>42.75</v>
          </cell>
          <cell r="E71">
            <v>42.75</v>
          </cell>
          <cell r="F71">
            <v>32.25</v>
          </cell>
          <cell r="G71">
            <v>36.75</v>
          </cell>
          <cell r="H71">
            <v>32.25</v>
          </cell>
          <cell r="I71">
            <v>34.25</v>
          </cell>
          <cell r="J71">
            <v>33</v>
          </cell>
          <cell r="K71">
            <v>43</v>
          </cell>
          <cell r="L71">
            <v>48.5</v>
          </cell>
          <cell r="M71">
            <v>30.3</v>
          </cell>
          <cell r="N71">
            <v>28.75</v>
          </cell>
          <cell r="O71">
            <v>29.8</v>
          </cell>
          <cell r="P71">
            <v>30.8</v>
          </cell>
          <cell r="Q71">
            <v>34.5</v>
          </cell>
          <cell r="R71">
            <v>33.9</v>
          </cell>
          <cell r="S71">
            <v>30.3</v>
          </cell>
          <cell r="T71">
            <v>24.3</v>
          </cell>
          <cell r="U71">
            <v>31.62</v>
          </cell>
          <cell r="V71">
            <v>28.891999999999999</v>
          </cell>
          <cell r="W71">
            <v>33.369999999999997</v>
          </cell>
          <cell r="X71">
            <v>28.292000000000002</v>
          </cell>
          <cell r="Y71">
            <v>31.62</v>
          </cell>
          <cell r="Z71">
            <v>34.119999999999997</v>
          </cell>
          <cell r="AA71">
            <v>33.869999999999997</v>
          </cell>
          <cell r="AB71">
            <v>31.12</v>
          </cell>
          <cell r="AC71">
            <v>33.869999999999997</v>
          </cell>
          <cell r="AD71">
            <v>33.119999999999997</v>
          </cell>
          <cell r="AE71">
            <v>31.12</v>
          </cell>
          <cell r="AF71">
            <v>34.520000000000003</v>
          </cell>
          <cell r="AG71">
            <v>3.625</v>
          </cell>
        </row>
        <row r="72">
          <cell r="A72">
            <v>39114</v>
          </cell>
          <cell r="B72">
            <v>42.75</v>
          </cell>
          <cell r="C72">
            <v>42.75</v>
          </cell>
          <cell r="D72">
            <v>42.75</v>
          </cell>
          <cell r="E72">
            <v>42.75</v>
          </cell>
          <cell r="F72">
            <v>32.25</v>
          </cell>
          <cell r="G72">
            <v>36.75</v>
          </cell>
          <cell r="H72">
            <v>32.25</v>
          </cell>
          <cell r="I72">
            <v>34.25</v>
          </cell>
          <cell r="J72">
            <v>33</v>
          </cell>
          <cell r="K72">
            <v>43</v>
          </cell>
          <cell r="L72">
            <v>48.5</v>
          </cell>
          <cell r="M72">
            <v>29.82</v>
          </cell>
          <cell r="N72">
            <v>28.27</v>
          </cell>
          <cell r="O72">
            <v>29.32</v>
          </cell>
          <cell r="P72">
            <v>30.32</v>
          </cell>
          <cell r="Q72">
            <v>35.020000000000003</v>
          </cell>
          <cell r="R72">
            <v>33.72</v>
          </cell>
          <cell r="S72">
            <v>29.82</v>
          </cell>
          <cell r="T72">
            <v>23.32</v>
          </cell>
          <cell r="U72">
            <v>30.62</v>
          </cell>
          <cell r="V72">
            <v>28.645</v>
          </cell>
          <cell r="W72">
            <v>32.369999999999997</v>
          </cell>
          <cell r="X72">
            <v>28.045000000000002</v>
          </cell>
          <cell r="Y72">
            <v>30.62</v>
          </cell>
          <cell r="Z72">
            <v>33.119999999999997</v>
          </cell>
          <cell r="AA72">
            <v>32.869999999999997</v>
          </cell>
          <cell r="AB72">
            <v>30.37</v>
          </cell>
          <cell r="AC72">
            <v>33.119999999999997</v>
          </cell>
          <cell r="AD72">
            <v>31.87</v>
          </cell>
          <cell r="AE72">
            <v>30.37</v>
          </cell>
          <cell r="AF72">
            <v>33.369999999999997</v>
          </cell>
          <cell r="AG72">
            <v>3.569</v>
          </cell>
        </row>
        <row r="73">
          <cell r="A73">
            <v>39142</v>
          </cell>
          <cell r="B73">
            <v>34.75</v>
          </cell>
          <cell r="C73">
            <v>34.75</v>
          </cell>
          <cell r="D73">
            <v>34.75</v>
          </cell>
          <cell r="E73">
            <v>34.75</v>
          </cell>
          <cell r="F73">
            <v>29.5</v>
          </cell>
          <cell r="G73">
            <v>32.5</v>
          </cell>
          <cell r="H73">
            <v>29.5</v>
          </cell>
          <cell r="I73">
            <v>31.5</v>
          </cell>
          <cell r="J73">
            <v>31</v>
          </cell>
          <cell r="K73">
            <v>38.5</v>
          </cell>
          <cell r="L73">
            <v>42.5</v>
          </cell>
          <cell r="M73">
            <v>28.84</v>
          </cell>
          <cell r="N73">
            <v>27.29</v>
          </cell>
          <cell r="O73">
            <v>28.34</v>
          </cell>
          <cell r="P73">
            <v>29.59</v>
          </cell>
          <cell r="Q73">
            <v>32.29</v>
          </cell>
          <cell r="R73">
            <v>32.46</v>
          </cell>
          <cell r="S73">
            <v>28.84</v>
          </cell>
          <cell r="T73">
            <v>21.59</v>
          </cell>
          <cell r="U73">
            <v>28.37</v>
          </cell>
          <cell r="V73">
            <v>28.395</v>
          </cell>
          <cell r="W73">
            <v>30.12</v>
          </cell>
          <cell r="X73">
            <v>28.245000000000001</v>
          </cell>
          <cell r="Y73">
            <v>28.37</v>
          </cell>
          <cell r="Z73">
            <v>30.87</v>
          </cell>
          <cell r="AA73">
            <v>30.62</v>
          </cell>
          <cell r="AB73">
            <v>28.806000000000001</v>
          </cell>
          <cell r="AC73">
            <v>31.655999999999999</v>
          </cell>
          <cell r="AD73">
            <v>30.306000000000001</v>
          </cell>
          <cell r="AE73">
            <v>28.806000000000001</v>
          </cell>
          <cell r="AF73">
            <v>31.306000000000001</v>
          </cell>
          <cell r="AG73">
            <v>3.4390000000000001</v>
          </cell>
        </row>
        <row r="74">
          <cell r="A74">
            <v>39173</v>
          </cell>
          <cell r="B74">
            <v>35</v>
          </cell>
          <cell r="C74">
            <v>35</v>
          </cell>
          <cell r="D74">
            <v>35</v>
          </cell>
          <cell r="E74">
            <v>35</v>
          </cell>
          <cell r="F74">
            <v>29.5</v>
          </cell>
          <cell r="G74">
            <v>32.5</v>
          </cell>
          <cell r="H74">
            <v>29.5</v>
          </cell>
          <cell r="I74">
            <v>31.5</v>
          </cell>
          <cell r="J74">
            <v>31</v>
          </cell>
          <cell r="K74">
            <v>38.5</v>
          </cell>
          <cell r="L74">
            <v>42.5</v>
          </cell>
          <cell r="M74">
            <v>28.64</v>
          </cell>
          <cell r="N74">
            <v>27.09</v>
          </cell>
          <cell r="O74">
            <v>28.14</v>
          </cell>
          <cell r="P74">
            <v>29.39</v>
          </cell>
          <cell r="Q74">
            <v>31.64</v>
          </cell>
          <cell r="R74">
            <v>32.26</v>
          </cell>
          <cell r="S74">
            <v>28.64</v>
          </cell>
          <cell r="T74">
            <v>21.39</v>
          </cell>
          <cell r="U74">
            <v>28.37</v>
          </cell>
          <cell r="V74">
            <v>28.396000000000001</v>
          </cell>
          <cell r="W74">
            <v>30.12</v>
          </cell>
          <cell r="X74">
            <v>28.245999999999999</v>
          </cell>
          <cell r="Y74">
            <v>28.37</v>
          </cell>
          <cell r="Z74">
            <v>30.87</v>
          </cell>
          <cell r="AA74">
            <v>30.62</v>
          </cell>
          <cell r="AB74">
            <v>29.59</v>
          </cell>
          <cell r="AC74">
            <v>32.44</v>
          </cell>
          <cell r="AD74">
            <v>31.59</v>
          </cell>
          <cell r="AE74">
            <v>29.59</v>
          </cell>
          <cell r="AF74">
            <v>32.090000000000003</v>
          </cell>
          <cell r="AG74">
            <v>3.254</v>
          </cell>
        </row>
        <row r="75">
          <cell r="A75">
            <v>39203</v>
          </cell>
          <cell r="B75">
            <v>35</v>
          </cell>
          <cell r="C75">
            <v>35</v>
          </cell>
          <cell r="D75">
            <v>35</v>
          </cell>
          <cell r="E75">
            <v>35</v>
          </cell>
          <cell r="F75">
            <v>31.75</v>
          </cell>
          <cell r="G75">
            <v>34.75</v>
          </cell>
          <cell r="H75">
            <v>31.75</v>
          </cell>
          <cell r="I75">
            <v>33.75</v>
          </cell>
          <cell r="J75">
            <v>31.5</v>
          </cell>
          <cell r="K75">
            <v>40</v>
          </cell>
          <cell r="L75">
            <v>47.5</v>
          </cell>
          <cell r="M75">
            <v>30.42</v>
          </cell>
          <cell r="N75">
            <v>28.92</v>
          </cell>
          <cell r="O75">
            <v>29.92</v>
          </cell>
          <cell r="P75">
            <v>31.42</v>
          </cell>
          <cell r="Q75">
            <v>28.22</v>
          </cell>
          <cell r="R75">
            <v>35.840000000000003</v>
          </cell>
          <cell r="S75">
            <v>30.42</v>
          </cell>
          <cell r="T75">
            <v>24.97</v>
          </cell>
          <cell r="U75">
            <v>31.07</v>
          </cell>
          <cell r="V75">
            <v>30.751000000000001</v>
          </cell>
          <cell r="W75">
            <v>32.82</v>
          </cell>
          <cell r="X75">
            <v>31.001000000000001</v>
          </cell>
          <cell r="Y75">
            <v>31.07</v>
          </cell>
          <cell r="Z75">
            <v>34.07</v>
          </cell>
          <cell r="AA75">
            <v>34.32</v>
          </cell>
          <cell r="AB75">
            <v>31.55</v>
          </cell>
          <cell r="AC75">
            <v>35.299999999999997</v>
          </cell>
          <cell r="AD75">
            <v>33.549999999999997</v>
          </cell>
          <cell r="AE75">
            <v>31.55</v>
          </cell>
          <cell r="AF75">
            <v>34.799999999999997</v>
          </cell>
          <cell r="AG75">
            <v>3.2490000000000001</v>
          </cell>
        </row>
        <row r="76">
          <cell r="A76">
            <v>39234</v>
          </cell>
          <cell r="B76">
            <v>39.75</v>
          </cell>
          <cell r="C76">
            <v>39.75</v>
          </cell>
          <cell r="D76">
            <v>39.75</v>
          </cell>
          <cell r="E76">
            <v>39.75</v>
          </cell>
          <cell r="F76">
            <v>42</v>
          </cell>
          <cell r="G76">
            <v>52.5</v>
          </cell>
          <cell r="H76">
            <v>42</v>
          </cell>
          <cell r="I76">
            <v>44</v>
          </cell>
          <cell r="J76">
            <v>42</v>
          </cell>
          <cell r="K76">
            <v>48.5</v>
          </cell>
          <cell r="L76">
            <v>57.5</v>
          </cell>
          <cell r="M76">
            <v>35.67</v>
          </cell>
          <cell r="N76">
            <v>34.020000000000003</v>
          </cell>
          <cell r="O76">
            <v>35.17</v>
          </cell>
          <cell r="P76">
            <v>37.17</v>
          </cell>
          <cell r="Q76">
            <v>32.42</v>
          </cell>
          <cell r="R76">
            <v>39.5</v>
          </cell>
          <cell r="S76">
            <v>35.67</v>
          </cell>
          <cell r="T76">
            <v>31.63</v>
          </cell>
          <cell r="U76">
            <v>37.950000000000003</v>
          </cell>
          <cell r="V76">
            <v>38.104999999999997</v>
          </cell>
          <cell r="W76">
            <v>39.700000000000003</v>
          </cell>
          <cell r="X76">
            <v>37.655000000000001</v>
          </cell>
          <cell r="Y76">
            <v>37.950000000000003</v>
          </cell>
          <cell r="Z76">
            <v>41.2</v>
          </cell>
          <cell r="AA76">
            <v>43.2</v>
          </cell>
          <cell r="AB76">
            <v>35.6</v>
          </cell>
          <cell r="AC76">
            <v>40.85</v>
          </cell>
          <cell r="AD76">
            <v>36.35</v>
          </cell>
          <cell r="AE76">
            <v>35.6</v>
          </cell>
          <cell r="AF76">
            <v>40.1</v>
          </cell>
          <cell r="AG76">
            <v>3.2839999999999998</v>
          </cell>
        </row>
        <row r="77">
          <cell r="A77">
            <v>39264</v>
          </cell>
          <cell r="B77">
            <v>47</v>
          </cell>
          <cell r="C77">
            <v>47</v>
          </cell>
          <cell r="D77">
            <v>47</v>
          </cell>
          <cell r="E77">
            <v>47</v>
          </cell>
          <cell r="F77">
            <v>50.75</v>
          </cell>
          <cell r="G77">
            <v>67.25</v>
          </cell>
          <cell r="H77">
            <v>50.75</v>
          </cell>
          <cell r="I77">
            <v>54.75</v>
          </cell>
          <cell r="J77">
            <v>53</v>
          </cell>
          <cell r="K77">
            <v>70</v>
          </cell>
          <cell r="L77">
            <v>78.5</v>
          </cell>
          <cell r="M77">
            <v>47.564999999999998</v>
          </cell>
          <cell r="N77">
            <v>45.515000000000001</v>
          </cell>
          <cell r="O77">
            <v>47.064999999999998</v>
          </cell>
          <cell r="P77">
            <v>50.064999999999998</v>
          </cell>
          <cell r="Q77">
            <v>36.715000000000003</v>
          </cell>
          <cell r="R77">
            <v>46.814999999999998</v>
          </cell>
          <cell r="S77">
            <v>47.564999999999998</v>
          </cell>
          <cell r="T77">
            <v>40.244999999999997</v>
          </cell>
          <cell r="U77">
            <v>48.05</v>
          </cell>
          <cell r="V77">
            <v>49.572000000000003</v>
          </cell>
          <cell r="W77">
            <v>49.8</v>
          </cell>
          <cell r="X77">
            <v>48.462000000000003</v>
          </cell>
          <cell r="Y77">
            <v>48.05</v>
          </cell>
          <cell r="Z77">
            <v>51.3</v>
          </cell>
          <cell r="AA77">
            <v>53.3</v>
          </cell>
          <cell r="AB77">
            <v>45.15</v>
          </cell>
          <cell r="AC77">
            <v>55.6</v>
          </cell>
          <cell r="AD77">
            <v>48</v>
          </cell>
          <cell r="AE77">
            <v>45.15</v>
          </cell>
          <cell r="AF77">
            <v>53.15</v>
          </cell>
          <cell r="AG77">
            <v>3.3239999999999998</v>
          </cell>
        </row>
        <row r="78">
          <cell r="A78">
            <v>39295</v>
          </cell>
          <cell r="B78">
            <v>47</v>
          </cell>
          <cell r="C78">
            <v>47</v>
          </cell>
          <cell r="D78">
            <v>47</v>
          </cell>
          <cell r="E78">
            <v>47</v>
          </cell>
          <cell r="F78">
            <v>50.75</v>
          </cell>
          <cell r="G78">
            <v>67.25</v>
          </cell>
          <cell r="H78">
            <v>50.75</v>
          </cell>
          <cell r="I78">
            <v>54.75</v>
          </cell>
          <cell r="J78">
            <v>53</v>
          </cell>
          <cell r="K78">
            <v>70</v>
          </cell>
          <cell r="L78">
            <v>78.5</v>
          </cell>
          <cell r="M78">
            <v>48.164999999999999</v>
          </cell>
          <cell r="N78">
            <v>46.115000000000002</v>
          </cell>
          <cell r="O78">
            <v>47.664999999999999</v>
          </cell>
          <cell r="P78">
            <v>50.664999999999999</v>
          </cell>
          <cell r="Q78">
            <v>37.314999999999998</v>
          </cell>
          <cell r="R78">
            <v>48.414999999999999</v>
          </cell>
          <cell r="S78">
            <v>48.164999999999999</v>
          </cell>
          <cell r="T78">
            <v>40.844999999999999</v>
          </cell>
          <cell r="U78">
            <v>47.05</v>
          </cell>
          <cell r="V78">
            <v>49.822000000000003</v>
          </cell>
          <cell r="W78">
            <v>48.8</v>
          </cell>
          <cell r="X78">
            <v>47.811999999999998</v>
          </cell>
          <cell r="Y78">
            <v>47.05</v>
          </cell>
          <cell r="Z78">
            <v>50.3</v>
          </cell>
          <cell r="AA78">
            <v>52.3</v>
          </cell>
          <cell r="AB78">
            <v>44.75</v>
          </cell>
          <cell r="AC78">
            <v>55.2</v>
          </cell>
          <cell r="AD78">
            <v>48</v>
          </cell>
          <cell r="AE78">
            <v>44.75</v>
          </cell>
          <cell r="AF78">
            <v>52.75</v>
          </cell>
          <cell r="AG78">
            <v>3.3639999999999999</v>
          </cell>
        </row>
        <row r="79">
          <cell r="A79">
            <v>39326</v>
          </cell>
          <cell r="B79">
            <v>34</v>
          </cell>
          <cell r="C79">
            <v>34</v>
          </cell>
          <cell r="D79">
            <v>34</v>
          </cell>
          <cell r="E79">
            <v>34</v>
          </cell>
          <cell r="F79">
            <v>30</v>
          </cell>
          <cell r="G79">
            <v>33</v>
          </cell>
          <cell r="H79">
            <v>30</v>
          </cell>
          <cell r="I79">
            <v>34</v>
          </cell>
          <cell r="J79">
            <v>30.75</v>
          </cell>
          <cell r="K79">
            <v>38.5</v>
          </cell>
          <cell r="L79">
            <v>42.5</v>
          </cell>
          <cell r="M79">
            <v>28.17</v>
          </cell>
          <cell r="N79">
            <v>26.92</v>
          </cell>
          <cell r="O79">
            <v>27.67</v>
          </cell>
          <cell r="P79">
            <v>29.67</v>
          </cell>
          <cell r="Q79">
            <v>25.27</v>
          </cell>
          <cell r="R79">
            <v>30.94</v>
          </cell>
          <cell r="S79">
            <v>28.17</v>
          </cell>
          <cell r="T79">
            <v>22.62</v>
          </cell>
          <cell r="U79">
            <v>26.99</v>
          </cell>
          <cell r="V79">
            <v>25.231999999999999</v>
          </cell>
          <cell r="W79">
            <v>28.74</v>
          </cell>
          <cell r="X79">
            <v>24.782</v>
          </cell>
          <cell r="Y79">
            <v>26.99</v>
          </cell>
          <cell r="Z79">
            <v>29.74</v>
          </cell>
          <cell r="AA79">
            <v>31.24</v>
          </cell>
          <cell r="AB79">
            <v>32.5</v>
          </cell>
          <cell r="AC79">
            <v>34.4</v>
          </cell>
          <cell r="AD79">
            <v>36.299999999999997</v>
          </cell>
          <cell r="AE79">
            <v>32.5</v>
          </cell>
          <cell r="AF79">
            <v>38.9</v>
          </cell>
          <cell r="AG79">
            <v>3.347</v>
          </cell>
        </row>
        <row r="80">
          <cell r="A80">
            <v>39356</v>
          </cell>
          <cell r="B80">
            <v>33.75</v>
          </cell>
          <cell r="C80">
            <v>33.75</v>
          </cell>
          <cell r="D80">
            <v>33.75</v>
          </cell>
          <cell r="E80">
            <v>33.75</v>
          </cell>
          <cell r="F80">
            <v>30</v>
          </cell>
          <cell r="G80">
            <v>33</v>
          </cell>
          <cell r="H80">
            <v>30</v>
          </cell>
          <cell r="I80">
            <v>32</v>
          </cell>
          <cell r="J80">
            <v>30.75</v>
          </cell>
          <cell r="K80">
            <v>38.5</v>
          </cell>
          <cell r="L80">
            <v>42.5</v>
          </cell>
          <cell r="M80">
            <v>29.53</v>
          </cell>
          <cell r="N80">
            <v>28.28</v>
          </cell>
          <cell r="O80">
            <v>29.03</v>
          </cell>
          <cell r="P80">
            <v>29.53</v>
          </cell>
          <cell r="Q80">
            <v>31.97</v>
          </cell>
          <cell r="R80">
            <v>31.27</v>
          </cell>
          <cell r="S80">
            <v>29.53</v>
          </cell>
          <cell r="T80">
            <v>21.78</v>
          </cell>
          <cell r="U80">
            <v>28.97</v>
          </cell>
          <cell r="V80">
            <v>27.122</v>
          </cell>
          <cell r="W80">
            <v>30.72</v>
          </cell>
          <cell r="X80">
            <v>26.722000000000001</v>
          </cell>
          <cell r="Y80">
            <v>28.97</v>
          </cell>
          <cell r="Z80">
            <v>31.47</v>
          </cell>
          <cell r="AA80">
            <v>31.22</v>
          </cell>
          <cell r="AB80">
            <v>30.72</v>
          </cell>
          <cell r="AC80">
            <v>32.67</v>
          </cell>
          <cell r="AD80">
            <v>32.72</v>
          </cell>
          <cell r="AE80">
            <v>30.72</v>
          </cell>
          <cell r="AF80">
            <v>33.83</v>
          </cell>
          <cell r="AG80">
            <v>3.3719999999999999</v>
          </cell>
        </row>
        <row r="81">
          <cell r="A81">
            <v>39387</v>
          </cell>
          <cell r="B81">
            <v>33.75</v>
          </cell>
          <cell r="C81">
            <v>33.75</v>
          </cell>
          <cell r="D81">
            <v>33.75</v>
          </cell>
          <cell r="E81">
            <v>33.75</v>
          </cell>
          <cell r="F81">
            <v>30</v>
          </cell>
          <cell r="G81">
            <v>33</v>
          </cell>
          <cell r="H81">
            <v>30</v>
          </cell>
          <cell r="I81">
            <v>32</v>
          </cell>
          <cell r="J81">
            <v>30.75</v>
          </cell>
          <cell r="K81">
            <v>38.5</v>
          </cell>
          <cell r="L81">
            <v>42.5</v>
          </cell>
          <cell r="M81">
            <v>29.23</v>
          </cell>
          <cell r="N81">
            <v>27.98</v>
          </cell>
          <cell r="O81">
            <v>28.73</v>
          </cell>
          <cell r="P81">
            <v>29.23</v>
          </cell>
          <cell r="Q81">
            <v>35.07</v>
          </cell>
          <cell r="R81">
            <v>30.97</v>
          </cell>
          <cell r="S81">
            <v>29.23</v>
          </cell>
          <cell r="T81">
            <v>21.48</v>
          </cell>
          <cell r="U81">
            <v>28.97</v>
          </cell>
          <cell r="V81">
            <v>27.222000000000001</v>
          </cell>
          <cell r="W81">
            <v>30.72</v>
          </cell>
          <cell r="X81">
            <v>26.821999999999999</v>
          </cell>
          <cell r="Y81">
            <v>28.97</v>
          </cell>
          <cell r="Z81">
            <v>31.47</v>
          </cell>
          <cell r="AA81">
            <v>31.22</v>
          </cell>
          <cell r="AB81">
            <v>29.72</v>
          </cell>
          <cell r="AC81">
            <v>31.42</v>
          </cell>
          <cell r="AD81">
            <v>31.72</v>
          </cell>
          <cell r="AE81">
            <v>29.72</v>
          </cell>
          <cell r="AF81">
            <v>32.83</v>
          </cell>
          <cell r="AG81">
            <v>3.524</v>
          </cell>
        </row>
        <row r="82">
          <cell r="A82">
            <v>39417</v>
          </cell>
          <cell r="B82">
            <v>33.75</v>
          </cell>
          <cell r="C82">
            <v>33.75</v>
          </cell>
          <cell r="D82">
            <v>33.75</v>
          </cell>
          <cell r="E82">
            <v>33.75</v>
          </cell>
          <cell r="F82">
            <v>30</v>
          </cell>
          <cell r="G82">
            <v>33</v>
          </cell>
          <cell r="H82">
            <v>30</v>
          </cell>
          <cell r="I82">
            <v>32</v>
          </cell>
          <cell r="J82">
            <v>30.75</v>
          </cell>
          <cell r="K82">
            <v>38.5</v>
          </cell>
          <cell r="L82">
            <v>42.5</v>
          </cell>
          <cell r="M82">
            <v>29.09</v>
          </cell>
          <cell r="N82">
            <v>27.84</v>
          </cell>
          <cell r="O82">
            <v>28.59</v>
          </cell>
          <cell r="P82">
            <v>29.09</v>
          </cell>
          <cell r="Q82">
            <v>35.33</v>
          </cell>
          <cell r="R82">
            <v>30.83</v>
          </cell>
          <cell r="S82">
            <v>29.09</v>
          </cell>
          <cell r="T82">
            <v>21.34</v>
          </cell>
          <cell r="U82">
            <v>28.97</v>
          </cell>
          <cell r="V82">
            <v>27.321999999999999</v>
          </cell>
          <cell r="W82">
            <v>30.72</v>
          </cell>
          <cell r="X82">
            <v>26.922000000000001</v>
          </cell>
          <cell r="Y82">
            <v>28.97</v>
          </cell>
          <cell r="Z82">
            <v>31.47</v>
          </cell>
          <cell r="AA82">
            <v>31.22</v>
          </cell>
          <cell r="AB82">
            <v>30.62</v>
          </cell>
          <cell r="AC82">
            <v>32.97</v>
          </cell>
          <cell r="AD82">
            <v>32.47</v>
          </cell>
          <cell r="AE82">
            <v>30.62</v>
          </cell>
          <cell r="AF82">
            <v>34.229999999999997</v>
          </cell>
          <cell r="AG82">
            <v>3.6669999999999998</v>
          </cell>
        </row>
        <row r="83">
          <cell r="A83">
            <v>39448</v>
          </cell>
          <cell r="B83">
            <v>43.75</v>
          </cell>
          <cell r="C83">
            <v>43.75</v>
          </cell>
          <cell r="D83">
            <v>43.75</v>
          </cell>
          <cell r="E83">
            <v>43.75</v>
          </cell>
          <cell r="F83">
            <v>32.75</v>
          </cell>
          <cell r="G83">
            <v>37.25</v>
          </cell>
          <cell r="H83">
            <v>32.75</v>
          </cell>
          <cell r="I83">
            <v>34.75</v>
          </cell>
          <cell r="J83">
            <v>33.5</v>
          </cell>
          <cell r="K83">
            <v>44</v>
          </cell>
          <cell r="L83">
            <v>49.5</v>
          </cell>
          <cell r="M83">
            <v>30.12</v>
          </cell>
          <cell r="N83">
            <v>28.57</v>
          </cell>
          <cell r="O83">
            <v>29.62</v>
          </cell>
          <cell r="P83">
            <v>30.62</v>
          </cell>
          <cell r="Q83">
            <v>35.07</v>
          </cell>
          <cell r="R83">
            <v>33.69</v>
          </cell>
          <cell r="S83">
            <v>30.12</v>
          </cell>
          <cell r="T83">
            <v>24.62</v>
          </cell>
          <cell r="U83">
            <v>31.97</v>
          </cell>
          <cell r="V83">
            <v>29.641999999999999</v>
          </cell>
          <cell r="W83">
            <v>33.72</v>
          </cell>
          <cell r="X83">
            <v>29.042000000000002</v>
          </cell>
          <cell r="Y83">
            <v>31.97</v>
          </cell>
          <cell r="Z83">
            <v>34.47</v>
          </cell>
          <cell r="AA83">
            <v>34.22</v>
          </cell>
          <cell r="AB83">
            <v>32.020000000000003</v>
          </cell>
          <cell r="AC83">
            <v>34.770000000000003</v>
          </cell>
          <cell r="AD83">
            <v>34.020000000000003</v>
          </cell>
          <cell r="AE83">
            <v>32.020000000000003</v>
          </cell>
          <cell r="AF83">
            <v>35.42</v>
          </cell>
          <cell r="AG83">
            <v>3.7025000000000001</v>
          </cell>
        </row>
        <row r="84">
          <cell r="A84">
            <v>39479</v>
          </cell>
          <cell r="B84">
            <v>43.75</v>
          </cell>
          <cell r="C84">
            <v>43.75</v>
          </cell>
          <cell r="D84">
            <v>43.75</v>
          </cell>
          <cell r="E84">
            <v>43.75</v>
          </cell>
          <cell r="F84">
            <v>32.75</v>
          </cell>
          <cell r="G84">
            <v>37.25</v>
          </cell>
          <cell r="H84">
            <v>32.75</v>
          </cell>
          <cell r="I84">
            <v>34.75</v>
          </cell>
          <cell r="J84">
            <v>33.5</v>
          </cell>
          <cell r="K84">
            <v>44</v>
          </cell>
          <cell r="L84">
            <v>49.5</v>
          </cell>
          <cell r="M84">
            <v>28.5</v>
          </cell>
          <cell r="N84">
            <v>26.95</v>
          </cell>
          <cell r="O84">
            <v>28</v>
          </cell>
          <cell r="P84">
            <v>29</v>
          </cell>
          <cell r="Q84">
            <v>34.450000000000003</v>
          </cell>
          <cell r="R84">
            <v>32.32</v>
          </cell>
          <cell r="S84">
            <v>28.5</v>
          </cell>
          <cell r="T84">
            <v>22.5</v>
          </cell>
          <cell r="U84">
            <v>31.03</v>
          </cell>
          <cell r="V84">
            <v>29.555</v>
          </cell>
          <cell r="W84">
            <v>32.78</v>
          </cell>
          <cell r="X84">
            <v>28.954999999999998</v>
          </cell>
          <cell r="Y84">
            <v>31.03</v>
          </cell>
          <cell r="Z84">
            <v>33.53</v>
          </cell>
          <cell r="AA84">
            <v>33.28</v>
          </cell>
          <cell r="AB84">
            <v>31.27</v>
          </cell>
          <cell r="AC84">
            <v>34.020000000000003</v>
          </cell>
          <cell r="AD84">
            <v>32.770000000000003</v>
          </cell>
          <cell r="AE84">
            <v>31.27</v>
          </cell>
          <cell r="AF84">
            <v>34.270000000000003</v>
          </cell>
          <cell r="AG84">
            <v>3.6465000000000001</v>
          </cell>
        </row>
        <row r="85">
          <cell r="A85">
            <v>39508</v>
          </cell>
          <cell r="B85">
            <v>35.75</v>
          </cell>
          <cell r="C85">
            <v>35.75</v>
          </cell>
          <cell r="D85">
            <v>35.75</v>
          </cell>
          <cell r="E85">
            <v>35.75</v>
          </cell>
          <cell r="F85">
            <v>30</v>
          </cell>
          <cell r="G85">
            <v>33.5</v>
          </cell>
          <cell r="H85">
            <v>30</v>
          </cell>
          <cell r="I85">
            <v>32</v>
          </cell>
          <cell r="J85">
            <v>31.5</v>
          </cell>
          <cell r="K85">
            <v>39</v>
          </cell>
          <cell r="L85">
            <v>43.25</v>
          </cell>
          <cell r="M85">
            <v>28.54</v>
          </cell>
          <cell r="N85">
            <v>26.99</v>
          </cell>
          <cell r="O85">
            <v>28.04</v>
          </cell>
          <cell r="P85">
            <v>29.29</v>
          </cell>
          <cell r="Q85">
            <v>32.74</v>
          </cell>
          <cell r="R85">
            <v>32.08</v>
          </cell>
          <cell r="S85">
            <v>28.54</v>
          </cell>
          <cell r="T85">
            <v>21.54</v>
          </cell>
          <cell r="U85">
            <v>28.78</v>
          </cell>
          <cell r="V85">
            <v>29.305</v>
          </cell>
          <cell r="W85">
            <v>30.53</v>
          </cell>
          <cell r="X85">
            <v>29.155000000000001</v>
          </cell>
          <cell r="Y85">
            <v>28.78</v>
          </cell>
          <cell r="Z85">
            <v>31.28</v>
          </cell>
          <cell r="AA85">
            <v>31.03</v>
          </cell>
          <cell r="AB85">
            <v>29.706</v>
          </cell>
          <cell r="AC85">
            <v>32.555999999999997</v>
          </cell>
          <cell r="AD85">
            <v>31.206</v>
          </cell>
          <cell r="AE85">
            <v>29.706</v>
          </cell>
          <cell r="AF85">
            <v>32.206000000000003</v>
          </cell>
          <cell r="AG85">
            <v>3.5165000000000002</v>
          </cell>
        </row>
        <row r="86">
          <cell r="A86">
            <v>39539</v>
          </cell>
          <cell r="B86">
            <v>36</v>
          </cell>
          <cell r="C86">
            <v>36</v>
          </cell>
          <cell r="D86">
            <v>36</v>
          </cell>
          <cell r="E86">
            <v>36</v>
          </cell>
          <cell r="F86">
            <v>30</v>
          </cell>
          <cell r="G86">
            <v>33.5</v>
          </cell>
          <cell r="H86">
            <v>30</v>
          </cell>
          <cell r="I86">
            <v>32</v>
          </cell>
          <cell r="J86">
            <v>31.5</v>
          </cell>
          <cell r="K86">
            <v>39</v>
          </cell>
          <cell r="L86">
            <v>43.25</v>
          </cell>
          <cell r="M86">
            <v>29.16</v>
          </cell>
          <cell r="N86">
            <v>27.61</v>
          </cell>
          <cell r="O86">
            <v>28.66</v>
          </cell>
          <cell r="P86">
            <v>29.91</v>
          </cell>
          <cell r="Q86">
            <v>32.909999999999997</v>
          </cell>
          <cell r="R86">
            <v>32.700000000000003</v>
          </cell>
          <cell r="S86">
            <v>29.16</v>
          </cell>
          <cell r="T86">
            <v>22.16</v>
          </cell>
          <cell r="U86">
            <v>28.78</v>
          </cell>
          <cell r="V86">
            <v>29.306000000000001</v>
          </cell>
          <cell r="W86">
            <v>30.53</v>
          </cell>
          <cell r="X86">
            <v>29.155999999999999</v>
          </cell>
          <cell r="Y86">
            <v>28.78</v>
          </cell>
          <cell r="Z86">
            <v>31.28</v>
          </cell>
          <cell r="AA86">
            <v>31.03</v>
          </cell>
          <cell r="AB86">
            <v>30.49</v>
          </cell>
          <cell r="AC86">
            <v>33.340000000000003</v>
          </cell>
          <cell r="AD86">
            <v>32.49</v>
          </cell>
          <cell r="AE86">
            <v>30.49</v>
          </cell>
          <cell r="AF86">
            <v>32.99</v>
          </cell>
          <cell r="AG86">
            <v>3.3315000000000001</v>
          </cell>
        </row>
        <row r="87">
          <cell r="A87">
            <v>39569</v>
          </cell>
          <cell r="B87">
            <v>36</v>
          </cell>
          <cell r="C87">
            <v>36</v>
          </cell>
          <cell r="D87">
            <v>36</v>
          </cell>
          <cell r="E87">
            <v>36</v>
          </cell>
          <cell r="F87">
            <v>32.25</v>
          </cell>
          <cell r="G87">
            <v>35.75</v>
          </cell>
          <cell r="H87">
            <v>32.25</v>
          </cell>
          <cell r="I87">
            <v>34.25</v>
          </cell>
          <cell r="J87">
            <v>32</v>
          </cell>
          <cell r="K87">
            <v>40.5</v>
          </cell>
          <cell r="L87">
            <v>48</v>
          </cell>
          <cell r="M87">
            <v>31.82</v>
          </cell>
          <cell r="N87">
            <v>30.32</v>
          </cell>
          <cell r="O87">
            <v>31.32</v>
          </cell>
          <cell r="P87">
            <v>32.82</v>
          </cell>
          <cell r="Q87">
            <v>30.37</v>
          </cell>
          <cell r="R87">
            <v>37.159999999999997</v>
          </cell>
          <cell r="S87">
            <v>31.82</v>
          </cell>
          <cell r="T87">
            <v>26.58</v>
          </cell>
          <cell r="U87">
            <v>31.98</v>
          </cell>
          <cell r="V87">
            <v>32.161000000000001</v>
          </cell>
          <cell r="W87">
            <v>33.729999999999997</v>
          </cell>
          <cell r="X87">
            <v>32.411000000000001</v>
          </cell>
          <cell r="Y87">
            <v>31.98</v>
          </cell>
          <cell r="Z87">
            <v>34.979999999999997</v>
          </cell>
          <cell r="AA87">
            <v>35.229999999999997</v>
          </cell>
          <cell r="AB87">
            <v>32.450000000000003</v>
          </cell>
          <cell r="AC87">
            <v>36.200000000000003</v>
          </cell>
          <cell r="AD87">
            <v>34.450000000000003</v>
          </cell>
          <cell r="AE87">
            <v>32.450000000000003</v>
          </cell>
          <cell r="AF87">
            <v>35.700000000000003</v>
          </cell>
          <cell r="AG87">
            <v>3.3264999999999998</v>
          </cell>
        </row>
        <row r="88">
          <cell r="A88">
            <v>39600</v>
          </cell>
          <cell r="B88">
            <v>40.75</v>
          </cell>
          <cell r="C88">
            <v>40.75</v>
          </cell>
          <cell r="D88">
            <v>40.75</v>
          </cell>
          <cell r="E88">
            <v>40.75</v>
          </cell>
          <cell r="F88">
            <v>42.25</v>
          </cell>
          <cell r="G88">
            <v>52.75</v>
          </cell>
          <cell r="H88">
            <v>42.25</v>
          </cell>
          <cell r="I88">
            <v>46.25</v>
          </cell>
          <cell r="J88">
            <v>42.5</v>
          </cell>
          <cell r="K88">
            <v>49</v>
          </cell>
          <cell r="L88">
            <v>59</v>
          </cell>
          <cell r="M88">
            <v>36.53</v>
          </cell>
          <cell r="N88">
            <v>34.880000000000003</v>
          </cell>
          <cell r="O88">
            <v>36.03</v>
          </cell>
          <cell r="P88">
            <v>38.03</v>
          </cell>
          <cell r="Q88">
            <v>33.28</v>
          </cell>
          <cell r="R88">
            <v>40.58</v>
          </cell>
          <cell r="S88">
            <v>36.53</v>
          </cell>
          <cell r="T88">
            <v>32.57</v>
          </cell>
          <cell r="U88">
            <v>38.479999999999997</v>
          </cell>
          <cell r="V88">
            <v>39.134999999999998</v>
          </cell>
          <cell r="W88">
            <v>40.229999999999997</v>
          </cell>
          <cell r="X88">
            <v>38.685000000000002</v>
          </cell>
          <cell r="Y88">
            <v>38.479999999999997</v>
          </cell>
          <cell r="Z88">
            <v>41.73</v>
          </cell>
          <cell r="AA88">
            <v>43.73</v>
          </cell>
          <cell r="AB88">
            <v>36.5</v>
          </cell>
          <cell r="AC88">
            <v>41.75</v>
          </cell>
          <cell r="AD88">
            <v>37.25</v>
          </cell>
          <cell r="AE88">
            <v>36.5</v>
          </cell>
          <cell r="AF88">
            <v>41</v>
          </cell>
          <cell r="AG88">
            <v>3.3614999999999999</v>
          </cell>
        </row>
        <row r="89">
          <cell r="A89">
            <v>39630</v>
          </cell>
          <cell r="B89">
            <v>48</v>
          </cell>
          <cell r="C89">
            <v>48</v>
          </cell>
          <cell r="D89">
            <v>48</v>
          </cell>
          <cell r="E89">
            <v>48</v>
          </cell>
          <cell r="F89">
            <v>51.25</v>
          </cell>
          <cell r="G89">
            <v>67.75</v>
          </cell>
          <cell r="H89">
            <v>51.25</v>
          </cell>
          <cell r="I89">
            <v>55.25</v>
          </cell>
          <cell r="J89">
            <v>53.5</v>
          </cell>
          <cell r="K89">
            <v>70.5</v>
          </cell>
          <cell r="L89">
            <v>79</v>
          </cell>
          <cell r="M89">
            <v>50.47</v>
          </cell>
          <cell r="N89">
            <v>48.42</v>
          </cell>
          <cell r="O89">
            <v>49.97</v>
          </cell>
          <cell r="P89">
            <v>52.97</v>
          </cell>
          <cell r="Q89">
            <v>37.619999999999997</v>
          </cell>
          <cell r="R89">
            <v>50.22</v>
          </cell>
          <cell r="S89">
            <v>50.47</v>
          </cell>
          <cell r="T89">
            <v>43.25</v>
          </cell>
          <cell r="U89">
            <v>49.55</v>
          </cell>
          <cell r="V89">
            <v>51.572000000000003</v>
          </cell>
          <cell r="W89">
            <v>51.3</v>
          </cell>
          <cell r="X89">
            <v>50.462000000000003</v>
          </cell>
          <cell r="Y89">
            <v>49.55</v>
          </cell>
          <cell r="Z89">
            <v>52.8</v>
          </cell>
          <cell r="AA89">
            <v>54.8</v>
          </cell>
          <cell r="AB89">
            <v>46.05</v>
          </cell>
          <cell r="AC89">
            <v>56.5</v>
          </cell>
          <cell r="AD89">
            <v>48.9</v>
          </cell>
          <cell r="AE89">
            <v>46.05</v>
          </cell>
          <cell r="AF89">
            <v>54.05</v>
          </cell>
          <cell r="AG89">
            <v>3.4015</v>
          </cell>
        </row>
        <row r="90">
          <cell r="A90">
            <v>39661</v>
          </cell>
          <cell r="B90">
            <v>48</v>
          </cell>
          <cell r="C90">
            <v>48</v>
          </cell>
          <cell r="D90">
            <v>48</v>
          </cell>
          <cell r="E90">
            <v>48</v>
          </cell>
          <cell r="F90">
            <v>51.25</v>
          </cell>
          <cell r="G90">
            <v>67.25</v>
          </cell>
          <cell r="H90">
            <v>51.25</v>
          </cell>
          <cell r="I90">
            <v>55.25</v>
          </cell>
          <cell r="J90">
            <v>53.5</v>
          </cell>
          <cell r="K90">
            <v>70.5</v>
          </cell>
          <cell r="L90">
            <v>79</v>
          </cell>
          <cell r="M90">
            <v>49.81</v>
          </cell>
          <cell r="N90">
            <v>47.76</v>
          </cell>
          <cell r="O90">
            <v>49.31</v>
          </cell>
          <cell r="P90">
            <v>52.31</v>
          </cell>
          <cell r="Q90">
            <v>36.96</v>
          </cell>
          <cell r="R90">
            <v>50.56</v>
          </cell>
          <cell r="S90">
            <v>49.81</v>
          </cell>
          <cell r="T90">
            <v>42.59</v>
          </cell>
          <cell r="U90">
            <v>48.55</v>
          </cell>
          <cell r="V90">
            <v>51.822000000000003</v>
          </cell>
          <cell r="W90">
            <v>50.3</v>
          </cell>
          <cell r="X90">
            <v>49.811999999999998</v>
          </cell>
          <cell r="Y90">
            <v>48.55</v>
          </cell>
          <cell r="Z90">
            <v>51.8</v>
          </cell>
          <cell r="AA90">
            <v>53.8</v>
          </cell>
          <cell r="AB90">
            <v>45.65</v>
          </cell>
          <cell r="AC90">
            <v>56.1</v>
          </cell>
          <cell r="AD90">
            <v>48.9</v>
          </cell>
          <cell r="AE90">
            <v>45.65</v>
          </cell>
          <cell r="AF90">
            <v>53.65</v>
          </cell>
          <cell r="AG90">
            <v>3.4415</v>
          </cell>
        </row>
        <row r="91">
          <cell r="A91">
            <v>39692</v>
          </cell>
          <cell r="B91">
            <v>35</v>
          </cell>
          <cell r="C91">
            <v>35</v>
          </cell>
          <cell r="D91">
            <v>35</v>
          </cell>
          <cell r="E91">
            <v>35</v>
          </cell>
          <cell r="F91">
            <v>30.25</v>
          </cell>
          <cell r="G91">
            <v>33.75</v>
          </cell>
          <cell r="H91">
            <v>30.25</v>
          </cell>
          <cell r="I91">
            <v>32.25</v>
          </cell>
          <cell r="J91">
            <v>31.25</v>
          </cell>
          <cell r="K91">
            <v>39</v>
          </cell>
          <cell r="L91">
            <v>43</v>
          </cell>
          <cell r="M91">
            <v>26.88</v>
          </cell>
          <cell r="N91">
            <v>25.63</v>
          </cell>
          <cell r="O91">
            <v>26.38</v>
          </cell>
          <cell r="P91">
            <v>28.38</v>
          </cell>
          <cell r="Q91">
            <v>24.73</v>
          </cell>
          <cell r="R91">
            <v>29.6</v>
          </cell>
          <cell r="S91">
            <v>26.88</v>
          </cell>
          <cell r="T91">
            <v>21.54</v>
          </cell>
          <cell r="U91">
            <v>27.12</v>
          </cell>
          <cell r="V91">
            <v>25.861999999999998</v>
          </cell>
          <cell r="W91">
            <v>28.87</v>
          </cell>
          <cell r="X91">
            <v>25.411999999999999</v>
          </cell>
          <cell r="Y91">
            <v>27.12</v>
          </cell>
          <cell r="Z91">
            <v>29.87</v>
          </cell>
          <cell r="AA91">
            <v>31.37</v>
          </cell>
          <cell r="AB91">
            <v>33.4</v>
          </cell>
          <cell r="AC91">
            <v>35.299999999999997</v>
          </cell>
          <cell r="AD91">
            <v>37.200000000000003</v>
          </cell>
          <cell r="AE91">
            <v>33.4</v>
          </cell>
          <cell r="AF91">
            <v>39.799999999999997</v>
          </cell>
          <cell r="AG91">
            <v>3.4245000000000001</v>
          </cell>
        </row>
        <row r="92">
          <cell r="A92">
            <v>39722</v>
          </cell>
          <cell r="B92">
            <v>34.75</v>
          </cell>
          <cell r="C92">
            <v>34.75</v>
          </cell>
          <cell r="D92">
            <v>34.75</v>
          </cell>
          <cell r="E92">
            <v>34.75</v>
          </cell>
          <cell r="F92">
            <v>30.25</v>
          </cell>
          <cell r="G92">
            <v>33.75</v>
          </cell>
          <cell r="H92">
            <v>30.25</v>
          </cell>
          <cell r="I92">
            <v>32.25</v>
          </cell>
          <cell r="J92">
            <v>31.25</v>
          </cell>
          <cell r="K92">
            <v>39</v>
          </cell>
          <cell r="L92">
            <v>43</v>
          </cell>
          <cell r="M92">
            <v>28.88</v>
          </cell>
          <cell r="N92">
            <v>27.63</v>
          </cell>
          <cell r="O92">
            <v>28.38</v>
          </cell>
          <cell r="P92">
            <v>28.88</v>
          </cell>
          <cell r="Q92">
            <v>32.07</v>
          </cell>
          <cell r="R92">
            <v>30.54</v>
          </cell>
          <cell r="S92">
            <v>28.88</v>
          </cell>
          <cell r="T92">
            <v>21.38</v>
          </cell>
          <cell r="U92">
            <v>29.38</v>
          </cell>
          <cell r="V92">
            <v>28.032</v>
          </cell>
          <cell r="W92">
            <v>31.13</v>
          </cell>
          <cell r="X92">
            <v>27.632000000000001</v>
          </cell>
          <cell r="Y92">
            <v>29.38</v>
          </cell>
          <cell r="Z92">
            <v>31.88</v>
          </cell>
          <cell r="AA92">
            <v>31.63</v>
          </cell>
          <cell r="AB92">
            <v>31.62</v>
          </cell>
          <cell r="AC92">
            <v>33.57</v>
          </cell>
          <cell r="AD92">
            <v>33.619999999999997</v>
          </cell>
          <cell r="AE92">
            <v>31.62</v>
          </cell>
          <cell r="AF92">
            <v>34.729999999999997</v>
          </cell>
          <cell r="AG92">
            <v>3.4495</v>
          </cell>
        </row>
        <row r="93">
          <cell r="A93">
            <v>39753</v>
          </cell>
          <cell r="B93">
            <v>34.75</v>
          </cell>
          <cell r="C93">
            <v>34.75</v>
          </cell>
          <cell r="D93">
            <v>34.75</v>
          </cell>
          <cell r="E93">
            <v>34.75</v>
          </cell>
          <cell r="F93">
            <v>30.25</v>
          </cell>
          <cell r="G93">
            <v>33.75</v>
          </cell>
          <cell r="H93">
            <v>30.25</v>
          </cell>
          <cell r="I93">
            <v>32.25</v>
          </cell>
          <cell r="J93">
            <v>31.25</v>
          </cell>
          <cell r="K93">
            <v>39</v>
          </cell>
          <cell r="L93">
            <v>43</v>
          </cell>
          <cell r="M93">
            <v>29.4</v>
          </cell>
          <cell r="N93">
            <v>28.15</v>
          </cell>
          <cell r="O93">
            <v>28.9</v>
          </cell>
          <cell r="P93">
            <v>29.4</v>
          </cell>
          <cell r="Q93">
            <v>35.99</v>
          </cell>
          <cell r="R93">
            <v>31.06</v>
          </cell>
          <cell r="S93">
            <v>29.4</v>
          </cell>
          <cell r="T93">
            <v>21.9</v>
          </cell>
          <cell r="U93">
            <v>29.38</v>
          </cell>
          <cell r="V93">
            <v>28.132000000000001</v>
          </cell>
          <cell r="W93">
            <v>31.13</v>
          </cell>
          <cell r="X93">
            <v>27.731999999999999</v>
          </cell>
          <cell r="Y93">
            <v>29.38</v>
          </cell>
          <cell r="Z93">
            <v>31.88</v>
          </cell>
          <cell r="AA93">
            <v>31.63</v>
          </cell>
          <cell r="AB93">
            <v>30.62</v>
          </cell>
          <cell r="AC93">
            <v>32.32</v>
          </cell>
          <cell r="AD93">
            <v>32.619999999999997</v>
          </cell>
          <cell r="AE93">
            <v>30.62</v>
          </cell>
          <cell r="AF93">
            <v>33.729999999999997</v>
          </cell>
          <cell r="AG93">
            <v>3.6015000000000001</v>
          </cell>
        </row>
        <row r="94">
          <cell r="A94">
            <v>39783</v>
          </cell>
          <cell r="B94">
            <v>34.75</v>
          </cell>
          <cell r="C94">
            <v>34.75</v>
          </cell>
          <cell r="D94">
            <v>34.75</v>
          </cell>
          <cell r="E94">
            <v>34.75</v>
          </cell>
          <cell r="F94">
            <v>30.25</v>
          </cell>
          <cell r="G94">
            <v>33.75</v>
          </cell>
          <cell r="H94">
            <v>30.25</v>
          </cell>
          <cell r="I94">
            <v>32.25</v>
          </cell>
          <cell r="J94">
            <v>31.25</v>
          </cell>
          <cell r="K94">
            <v>39</v>
          </cell>
          <cell r="L94">
            <v>43</v>
          </cell>
          <cell r="M94">
            <v>29.74</v>
          </cell>
          <cell r="N94">
            <v>28.49</v>
          </cell>
          <cell r="O94">
            <v>29.24</v>
          </cell>
          <cell r="P94">
            <v>29.74</v>
          </cell>
          <cell r="Q94">
            <v>36.729999999999997</v>
          </cell>
          <cell r="R94">
            <v>31.4</v>
          </cell>
          <cell r="S94">
            <v>29.74</v>
          </cell>
          <cell r="T94">
            <v>22.24</v>
          </cell>
          <cell r="U94">
            <v>29.38</v>
          </cell>
          <cell r="V94">
            <v>28.231999999999999</v>
          </cell>
          <cell r="W94">
            <v>31.13</v>
          </cell>
          <cell r="X94">
            <v>27.832000000000001</v>
          </cell>
          <cell r="Y94">
            <v>29.38</v>
          </cell>
          <cell r="Z94">
            <v>31.88</v>
          </cell>
          <cell r="AA94">
            <v>31.63</v>
          </cell>
          <cell r="AB94">
            <v>31.52</v>
          </cell>
          <cell r="AC94">
            <v>33.869999999999997</v>
          </cell>
          <cell r="AD94">
            <v>33.369999999999997</v>
          </cell>
          <cell r="AE94">
            <v>31.52</v>
          </cell>
          <cell r="AF94">
            <v>35.130000000000003</v>
          </cell>
          <cell r="AG94">
            <v>3.7444999999999999</v>
          </cell>
        </row>
        <row r="95">
          <cell r="A95">
            <v>39814</v>
          </cell>
          <cell r="B95">
            <v>44.25</v>
          </cell>
          <cell r="C95">
            <v>44.25</v>
          </cell>
          <cell r="D95">
            <v>44.25</v>
          </cell>
          <cell r="E95">
            <v>44.25</v>
          </cell>
          <cell r="F95">
            <v>33.25</v>
          </cell>
          <cell r="G95">
            <v>36.75</v>
          </cell>
          <cell r="H95">
            <v>33.25</v>
          </cell>
          <cell r="I95">
            <v>35.25</v>
          </cell>
          <cell r="J95">
            <v>34.25</v>
          </cell>
          <cell r="K95">
            <v>44.5</v>
          </cell>
          <cell r="L95">
            <v>50</v>
          </cell>
          <cell r="M95">
            <v>31.55</v>
          </cell>
          <cell r="N95">
            <v>30</v>
          </cell>
          <cell r="O95">
            <v>31.05</v>
          </cell>
          <cell r="P95">
            <v>32.049999999999997</v>
          </cell>
          <cell r="Q95">
            <v>37</v>
          </cell>
          <cell r="R95">
            <v>34.729999999999997</v>
          </cell>
          <cell r="S95">
            <v>31.55</v>
          </cell>
          <cell r="T95">
            <v>26.3</v>
          </cell>
          <cell r="U95">
            <v>32.61</v>
          </cell>
          <cell r="V95">
            <v>30.832000000000001</v>
          </cell>
          <cell r="W95">
            <v>34.36</v>
          </cell>
          <cell r="X95">
            <v>30.231999999999999</v>
          </cell>
          <cell r="Y95">
            <v>32.61</v>
          </cell>
          <cell r="Z95">
            <v>35.11</v>
          </cell>
          <cell r="AA95">
            <v>34.86</v>
          </cell>
          <cell r="AB95">
            <v>32.92</v>
          </cell>
          <cell r="AC95">
            <v>35.67</v>
          </cell>
          <cell r="AD95">
            <v>34.92</v>
          </cell>
          <cell r="AE95">
            <v>32.92</v>
          </cell>
          <cell r="AF95">
            <v>36.32</v>
          </cell>
          <cell r="AG95">
            <v>3.7825000000000002</v>
          </cell>
        </row>
        <row r="96">
          <cell r="A96">
            <v>39845</v>
          </cell>
          <cell r="B96">
            <v>44.25</v>
          </cell>
          <cell r="C96">
            <v>44.25</v>
          </cell>
          <cell r="D96">
            <v>44.25</v>
          </cell>
          <cell r="E96">
            <v>44.25</v>
          </cell>
          <cell r="F96">
            <v>33.25</v>
          </cell>
          <cell r="G96">
            <v>36.75</v>
          </cell>
          <cell r="H96">
            <v>33.25</v>
          </cell>
          <cell r="I96">
            <v>35.25</v>
          </cell>
          <cell r="J96">
            <v>34.25</v>
          </cell>
          <cell r="K96">
            <v>44.5</v>
          </cell>
          <cell r="L96">
            <v>50</v>
          </cell>
          <cell r="M96">
            <v>29.84</v>
          </cell>
          <cell r="N96">
            <v>28.29</v>
          </cell>
          <cell r="O96">
            <v>29.34</v>
          </cell>
          <cell r="P96">
            <v>30.34</v>
          </cell>
          <cell r="Q96">
            <v>36.29</v>
          </cell>
          <cell r="R96">
            <v>33.880000000000003</v>
          </cell>
          <cell r="S96">
            <v>29.84</v>
          </cell>
          <cell r="T96">
            <v>24.09</v>
          </cell>
          <cell r="U96">
            <v>31.04</v>
          </cell>
          <cell r="V96">
            <v>30.015000000000001</v>
          </cell>
          <cell r="W96">
            <v>32.79</v>
          </cell>
          <cell r="X96">
            <v>29.414999999999999</v>
          </cell>
          <cell r="Y96">
            <v>31.04</v>
          </cell>
          <cell r="Z96">
            <v>33.54</v>
          </cell>
          <cell r="AA96">
            <v>33.29</v>
          </cell>
          <cell r="AB96">
            <v>32.17</v>
          </cell>
          <cell r="AC96">
            <v>34.92</v>
          </cell>
          <cell r="AD96">
            <v>33.67</v>
          </cell>
          <cell r="AE96">
            <v>32.17</v>
          </cell>
          <cell r="AF96">
            <v>35.17</v>
          </cell>
          <cell r="AG96">
            <v>3.7265000000000001</v>
          </cell>
        </row>
        <row r="97">
          <cell r="A97">
            <v>39873</v>
          </cell>
          <cell r="B97">
            <v>36.25</v>
          </cell>
          <cell r="C97">
            <v>36.25</v>
          </cell>
          <cell r="D97">
            <v>36.25</v>
          </cell>
          <cell r="E97">
            <v>36.25</v>
          </cell>
          <cell r="F97">
            <v>30.75</v>
          </cell>
          <cell r="G97">
            <v>34.25</v>
          </cell>
          <cell r="H97">
            <v>30.75</v>
          </cell>
          <cell r="I97">
            <v>32.75</v>
          </cell>
          <cell r="J97">
            <v>32</v>
          </cell>
          <cell r="K97">
            <v>39.5</v>
          </cell>
          <cell r="L97">
            <v>43.75</v>
          </cell>
          <cell r="M97">
            <v>28.37</v>
          </cell>
          <cell r="N97">
            <v>26.82</v>
          </cell>
          <cell r="O97">
            <v>27.87</v>
          </cell>
          <cell r="P97">
            <v>29.12</v>
          </cell>
          <cell r="Q97">
            <v>33.07</v>
          </cell>
          <cell r="R97">
            <v>32.14</v>
          </cell>
          <cell r="S97">
            <v>28.37</v>
          </cell>
          <cell r="T97">
            <v>21.37</v>
          </cell>
          <cell r="U97">
            <v>28.79</v>
          </cell>
          <cell r="V97">
            <v>29.765999999999998</v>
          </cell>
          <cell r="W97">
            <v>30.54</v>
          </cell>
          <cell r="X97">
            <v>29.616</v>
          </cell>
          <cell r="Y97">
            <v>28.79</v>
          </cell>
          <cell r="Z97">
            <v>31.29</v>
          </cell>
          <cell r="AA97">
            <v>31.04</v>
          </cell>
          <cell r="AB97">
            <v>30.606000000000002</v>
          </cell>
          <cell r="AC97">
            <v>33.456000000000003</v>
          </cell>
          <cell r="AD97">
            <v>32.106000000000002</v>
          </cell>
          <cell r="AE97">
            <v>30.606000000000002</v>
          </cell>
          <cell r="AF97">
            <v>33.106000000000002</v>
          </cell>
          <cell r="AG97">
            <v>3.5964999999999998</v>
          </cell>
        </row>
        <row r="98">
          <cell r="A98">
            <v>39904</v>
          </cell>
          <cell r="B98">
            <v>36.5</v>
          </cell>
          <cell r="C98">
            <v>36.5</v>
          </cell>
          <cell r="D98">
            <v>36.5</v>
          </cell>
          <cell r="E98">
            <v>36.5</v>
          </cell>
          <cell r="F98">
            <v>30.75</v>
          </cell>
          <cell r="G98">
            <v>34.25</v>
          </cell>
          <cell r="H98">
            <v>30.75</v>
          </cell>
          <cell r="I98">
            <v>32.75</v>
          </cell>
          <cell r="J98">
            <v>32</v>
          </cell>
          <cell r="K98">
            <v>39.5</v>
          </cell>
          <cell r="L98">
            <v>43.75</v>
          </cell>
          <cell r="M98">
            <v>27.79</v>
          </cell>
          <cell r="N98">
            <v>26.24</v>
          </cell>
          <cell r="O98">
            <v>27.29</v>
          </cell>
          <cell r="P98">
            <v>28.54</v>
          </cell>
          <cell r="Q98">
            <v>32.04</v>
          </cell>
          <cell r="R98">
            <v>31.56</v>
          </cell>
          <cell r="S98">
            <v>27.79</v>
          </cell>
          <cell r="T98">
            <v>20.79</v>
          </cell>
          <cell r="U98">
            <v>28.79</v>
          </cell>
          <cell r="V98">
            <v>29.765999999999998</v>
          </cell>
          <cell r="W98">
            <v>30.54</v>
          </cell>
          <cell r="X98">
            <v>29.616</v>
          </cell>
          <cell r="Y98">
            <v>28.79</v>
          </cell>
          <cell r="Z98">
            <v>31.29</v>
          </cell>
          <cell r="AA98">
            <v>31.04</v>
          </cell>
          <cell r="AB98">
            <v>31.39</v>
          </cell>
          <cell r="AC98">
            <v>34.24</v>
          </cell>
          <cell r="AD98">
            <v>33.39</v>
          </cell>
          <cell r="AE98">
            <v>31.39</v>
          </cell>
          <cell r="AF98">
            <v>33.89</v>
          </cell>
          <cell r="AG98">
            <v>3.4115000000000002</v>
          </cell>
        </row>
        <row r="99">
          <cell r="A99">
            <v>39934</v>
          </cell>
          <cell r="B99">
            <v>36.5</v>
          </cell>
          <cell r="C99">
            <v>36.5</v>
          </cell>
          <cell r="D99">
            <v>36.5</v>
          </cell>
          <cell r="E99">
            <v>36.5</v>
          </cell>
          <cell r="F99">
            <v>32.75</v>
          </cell>
          <cell r="G99">
            <v>36.25</v>
          </cell>
          <cell r="H99">
            <v>32.75</v>
          </cell>
          <cell r="I99">
            <v>34.75</v>
          </cell>
          <cell r="J99">
            <v>33.25</v>
          </cell>
          <cell r="K99">
            <v>40</v>
          </cell>
          <cell r="L99">
            <v>48.5</v>
          </cell>
          <cell r="M99">
            <v>31.82</v>
          </cell>
          <cell r="N99">
            <v>30.32</v>
          </cell>
          <cell r="O99">
            <v>31.32</v>
          </cell>
          <cell r="P99">
            <v>32.82</v>
          </cell>
          <cell r="Q99">
            <v>30.87</v>
          </cell>
          <cell r="R99">
            <v>37.39</v>
          </cell>
          <cell r="S99">
            <v>31.82</v>
          </cell>
          <cell r="T99">
            <v>26.55</v>
          </cell>
          <cell r="U99">
            <v>32.49</v>
          </cell>
          <cell r="V99">
            <v>33.121000000000002</v>
          </cell>
          <cell r="W99">
            <v>34.24</v>
          </cell>
          <cell r="X99">
            <v>33.371000000000002</v>
          </cell>
          <cell r="Y99">
            <v>32.49</v>
          </cell>
          <cell r="Z99">
            <v>35.49</v>
          </cell>
          <cell r="AA99">
            <v>35.74</v>
          </cell>
          <cell r="AB99">
            <v>33.35</v>
          </cell>
          <cell r="AC99">
            <v>37.1</v>
          </cell>
          <cell r="AD99">
            <v>35.35</v>
          </cell>
          <cell r="AE99">
            <v>33.35</v>
          </cell>
          <cell r="AF99">
            <v>36.6</v>
          </cell>
          <cell r="AG99">
            <v>3.4064999999999999</v>
          </cell>
        </row>
        <row r="100">
          <cell r="A100">
            <v>39965</v>
          </cell>
          <cell r="B100">
            <v>41.25</v>
          </cell>
          <cell r="C100">
            <v>41.25</v>
          </cell>
          <cell r="D100">
            <v>41.25</v>
          </cell>
          <cell r="E100">
            <v>41.25</v>
          </cell>
          <cell r="F100">
            <v>42.75</v>
          </cell>
          <cell r="G100">
            <v>52.75</v>
          </cell>
          <cell r="H100">
            <v>42.75</v>
          </cell>
          <cell r="I100">
            <v>46.75</v>
          </cell>
          <cell r="J100">
            <v>43</v>
          </cell>
          <cell r="K100">
            <v>50</v>
          </cell>
          <cell r="L100">
            <v>59.5</v>
          </cell>
          <cell r="M100">
            <v>38</v>
          </cell>
          <cell r="N100">
            <v>36.35</v>
          </cell>
          <cell r="O100">
            <v>37.5</v>
          </cell>
          <cell r="P100">
            <v>39.5</v>
          </cell>
          <cell r="Q100">
            <v>35.25</v>
          </cell>
          <cell r="R100">
            <v>42.65</v>
          </cell>
          <cell r="S100">
            <v>38</v>
          </cell>
          <cell r="T100">
            <v>33.78</v>
          </cell>
          <cell r="U100">
            <v>39.630000000000003</v>
          </cell>
          <cell r="V100">
            <v>40.734999999999999</v>
          </cell>
          <cell r="W100">
            <v>41.38</v>
          </cell>
          <cell r="X100">
            <v>40.284999999999997</v>
          </cell>
          <cell r="Y100">
            <v>39.630000000000003</v>
          </cell>
          <cell r="Z100">
            <v>42.88</v>
          </cell>
          <cell r="AA100">
            <v>44.88</v>
          </cell>
          <cell r="AB100">
            <v>37.4</v>
          </cell>
          <cell r="AC100">
            <v>42.65</v>
          </cell>
          <cell r="AD100">
            <v>38.15</v>
          </cell>
          <cell r="AE100">
            <v>37.4</v>
          </cell>
          <cell r="AF100">
            <v>41.9</v>
          </cell>
          <cell r="AG100">
            <v>3.4415</v>
          </cell>
        </row>
        <row r="101">
          <cell r="A101">
            <v>39995</v>
          </cell>
          <cell r="B101">
            <v>48.5</v>
          </cell>
          <cell r="C101">
            <v>48.5</v>
          </cell>
          <cell r="D101">
            <v>48.5</v>
          </cell>
          <cell r="E101">
            <v>48.5</v>
          </cell>
          <cell r="F101">
            <v>51.75</v>
          </cell>
          <cell r="G101">
            <v>65.75</v>
          </cell>
          <cell r="H101">
            <v>51.75</v>
          </cell>
          <cell r="I101">
            <v>55.75</v>
          </cell>
          <cell r="J101">
            <v>54</v>
          </cell>
          <cell r="K101">
            <v>71</v>
          </cell>
          <cell r="L101">
            <v>79.5</v>
          </cell>
          <cell r="M101">
            <v>51.984999999999999</v>
          </cell>
          <cell r="N101">
            <v>49.935000000000002</v>
          </cell>
          <cell r="O101">
            <v>51.484999999999999</v>
          </cell>
          <cell r="P101">
            <v>54.484999999999999</v>
          </cell>
          <cell r="Q101">
            <v>39.634999999999998</v>
          </cell>
          <cell r="R101">
            <v>52.484999999999999</v>
          </cell>
          <cell r="S101">
            <v>51.984999999999999</v>
          </cell>
          <cell r="T101">
            <v>44.234999999999999</v>
          </cell>
          <cell r="U101">
            <v>50.8</v>
          </cell>
          <cell r="V101">
            <v>53.271999999999998</v>
          </cell>
          <cell r="W101">
            <v>52.55</v>
          </cell>
          <cell r="X101">
            <v>52.161999999999999</v>
          </cell>
          <cell r="Y101">
            <v>50.8</v>
          </cell>
          <cell r="Z101">
            <v>54.05</v>
          </cell>
          <cell r="AA101">
            <v>56.05</v>
          </cell>
          <cell r="AB101">
            <v>46.95</v>
          </cell>
          <cell r="AC101">
            <v>57.4</v>
          </cell>
          <cell r="AD101">
            <v>49.8</v>
          </cell>
          <cell r="AE101">
            <v>46.95</v>
          </cell>
          <cell r="AF101">
            <v>54.95</v>
          </cell>
          <cell r="AG101">
            <v>3.4815</v>
          </cell>
        </row>
        <row r="102">
          <cell r="A102">
            <v>40026</v>
          </cell>
          <cell r="B102">
            <v>48.5</v>
          </cell>
          <cell r="C102">
            <v>48.5</v>
          </cell>
          <cell r="D102">
            <v>48.5</v>
          </cell>
          <cell r="E102">
            <v>48.5</v>
          </cell>
          <cell r="F102">
            <v>51.75</v>
          </cell>
          <cell r="G102">
            <v>65.75</v>
          </cell>
          <cell r="H102">
            <v>51.75</v>
          </cell>
          <cell r="I102">
            <v>55.75</v>
          </cell>
          <cell r="J102">
            <v>54</v>
          </cell>
          <cell r="K102">
            <v>71</v>
          </cell>
          <cell r="L102">
            <v>79.5</v>
          </cell>
          <cell r="M102">
            <v>51.174999999999997</v>
          </cell>
          <cell r="N102">
            <v>49.125</v>
          </cell>
          <cell r="O102">
            <v>50.674999999999997</v>
          </cell>
          <cell r="P102">
            <v>53.674999999999997</v>
          </cell>
          <cell r="Q102">
            <v>38.825000000000003</v>
          </cell>
          <cell r="R102">
            <v>52.674999999999997</v>
          </cell>
          <cell r="S102">
            <v>51.174999999999997</v>
          </cell>
          <cell r="T102">
            <v>43.424999999999997</v>
          </cell>
          <cell r="U102">
            <v>49.8</v>
          </cell>
          <cell r="V102">
            <v>53.521999999999998</v>
          </cell>
          <cell r="W102">
            <v>51.55</v>
          </cell>
          <cell r="X102">
            <v>51.512</v>
          </cell>
          <cell r="Y102">
            <v>49.8</v>
          </cell>
          <cell r="Z102">
            <v>53.05</v>
          </cell>
          <cell r="AA102">
            <v>55.05</v>
          </cell>
          <cell r="AB102">
            <v>46.55</v>
          </cell>
          <cell r="AC102">
            <v>57</v>
          </cell>
          <cell r="AD102">
            <v>49.8</v>
          </cell>
          <cell r="AE102">
            <v>46.55</v>
          </cell>
          <cell r="AF102">
            <v>54.55</v>
          </cell>
          <cell r="AG102">
            <v>3.5215000000000001</v>
          </cell>
        </row>
        <row r="103">
          <cell r="A103">
            <v>40057</v>
          </cell>
          <cell r="B103">
            <v>35.5</v>
          </cell>
          <cell r="C103">
            <v>35.5</v>
          </cell>
          <cell r="D103">
            <v>35.5</v>
          </cell>
          <cell r="E103">
            <v>35.5</v>
          </cell>
          <cell r="F103">
            <v>30.75</v>
          </cell>
          <cell r="G103">
            <v>35.25</v>
          </cell>
          <cell r="H103">
            <v>30.75</v>
          </cell>
          <cell r="I103">
            <v>32.75</v>
          </cell>
          <cell r="J103">
            <v>31.75</v>
          </cell>
          <cell r="K103">
            <v>39.5</v>
          </cell>
          <cell r="L103">
            <v>43.5</v>
          </cell>
          <cell r="M103">
            <v>27.77</v>
          </cell>
          <cell r="N103">
            <v>26.52</v>
          </cell>
          <cell r="O103">
            <v>27.27</v>
          </cell>
          <cell r="P103">
            <v>29.27</v>
          </cell>
          <cell r="Q103">
            <v>26.12</v>
          </cell>
          <cell r="R103">
            <v>30.62</v>
          </cell>
          <cell r="S103">
            <v>27.77</v>
          </cell>
          <cell r="T103">
            <v>22.4</v>
          </cell>
          <cell r="U103">
            <v>26.98</v>
          </cell>
          <cell r="V103">
            <v>26.172000000000001</v>
          </cell>
          <cell r="W103">
            <v>28.73</v>
          </cell>
          <cell r="X103">
            <v>25.722000000000001</v>
          </cell>
          <cell r="Y103">
            <v>26.98</v>
          </cell>
          <cell r="Z103">
            <v>29.73</v>
          </cell>
          <cell r="AA103">
            <v>31.23</v>
          </cell>
          <cell r="AB103">
            <v>34.299999999999997</v>
          </cell>
          <cell r="AC103">
            <v>36.200000000000003</v>
          </cell>
          <cell r="AD103">
            <v>38.1</v>
          </cell>
          <cell r="AE103">
            <v>34.299999999999997</v>
          </cell>
          <cell r="AF103">
            <v>40.700000000000003</v>
          </cell>
          <cell r="AG103">
            <v>3.5045000000000002</v>
          </cell>
        </row>
        <row r="104">
          <cell r="A104">
            <v>40087</v>
          </cell>
          <cell r="B104">
            <v>35.25</v>
          </cell>
          <cell r="C104">
            <v>35.25</v>
          </cell>
          <cell r="D104">
            <v>35.25</v>
          </cell>
          <cell r="E104">
            <v>35.25</v>
          </cell>
          <cell r="F104">
            <v>30.75</v>
          </cell>
          <cell r="G104">
            <v>34.25</v>
          </cell>
          <cell r="H104">
            <v>30.75</v>
          </cell>
          <cell r="I104">
            <v>32.75</v>
          </cell>
          <cell r="J104">
            <v>31.75</v>
          </cell>
          <cell r="K104">
            <v>39.5</v>
          </cell>
          <cell r="L104">
            <v>43.5</v>
          </cell>
          <cell r="M104">
            <v>29.06</v>
          </cell>
          <cell r="N104">
            <v>27.81</v>
          </cell>
          <cell r="O104">
            <v>28.56</v>
          </cell>
          <cell r="P104">
            <v>29.06</v>
          </cell>
          <cell r="Q104">
            <v>32.75</v>
          </cell>
          <cell r="R104">
            <v>30.96</v>
          </cell>
          <cell r="S104">
            <v>29.06</v>
          </cell>
          <cell r="T104">
            <v>21.56</v>
          </cell>
          <cell r="U104">
            <v>29.39</v>
          </cell>
          <cell r="V104">
            <v>28.492000000000001</v>
          </cell>
          <cell r="W104">
            <v>31.14</v>
          </cell>
          <cell r="X104">
            <v>28.091999999999999</v>
          </cell>
          <cell r="Y104">
            <v>29.39</v>
          </cell>
          <cell r="Z104">
            <v>31.89</v>
          </cell>
          <cell r="AA104">
            <v>31.64</v>
          </cell>
          <cell r="AB104">
            <v>32.520000000000003</v>
          </cell>
          <cell r="AC104">
            <v>34.47</v>
          </cell>
          <cell r="AD104">
            <v>34.520000000000003</v>
          </cell>
          <cell r="AE104">
            <v>32.520000000000003</v>
          </cell>
          <cell r="AF104">
            <v>35.630000000000003</v>
          </cell>
          <cell r="AG104">
            <v>3.5295000000000001</v>
          </cell>
        </row>
        <row r="105">
          <cell r="A105">
            <v>40118</v>
          </cell>
          <cell r="B105">
            <v>35.25</v>
          </cell>
          <cell r="C105">
            <v>35.25</v>
          </cell>
          <cell r="D105">
            <v>35.25</v>
          </cell>
          <cell r="E105">
            <v>35.25</v>
          </cell>
          <cell r="F105">
            <v>30.75</v>
          </cell>
          <cell r="G105">
            <v>34.25</v>
          </cell>
          <cell r="H105">
            <v>30.75</v>
          </cell>
          <cell r="I105">
            <v>32.75</v>
          </cell>
          <cell r="J105">
            <v>31.75</v>
          </cell>
          <cell r="K105">
            <v>39.5</v>
          </cell>
          <cell r="L105">
            <v>43.5</v>
          </cell>
          <cell r="M105">
            <v>28.38</v>
          </cell>
          <cell r="N105">
            <v>27.13</v>
          </cell>
          <cell r="O105">
            <v>27.88</v>
          </cell>
          <cell r="P105">
            <v>28.38</v>
          </cell>
          <cell r="Q105">
            <v>35.47</v>
          </cell>
          <cell r="R105">
            <v>30.28</v>
          </cell>
          <cell r="S105">
            <v>28.38</v>
          </cell>
          <cell r="T105">
            <v>20.88</v>
          </cell>
          <cell r="U105">
            <v>29.39</v>
          </cell>
          <cell r="V105">
            <v>28.591999999999999</v>
          </cell>
          <cell r="W105">
            <v>31.14</v>
          </cell>
          <cell r="X105">
            <v>28.192</v>
          </cell>
          <cell r="Y105">
            <v>29.39</v>
          </cell>
          <cell r="Z105">
            <v>31.89</v>
          </cell>
          <cell r="AA105">
            <v>31.63</v>
          </cell>
          <cell r="AB105">
            <v>31.52</v>
          </cell>
          <cell r="AC105">
            <v>33.22</v>
          </cell>
          <cell r="AD105">
            <v>33.520000000000003</v>
          </cell>
          <cell r="AE105">
            <v>31.52</v>
          </cell>
          <cell r="AF105">
            <v>34.630000000000003</v>
          </cell>
          <cell r="AG105">
            <v>3.6815000000000002</v>
          </cell>
        </row>
        <row r="106">
          <cell r="A106">
            <v>40148</v>
          </cell>
          <cell r="B106">
            <v>35.25</v>
          </cell>
          <cell r="C106">
            <v>35.25</v>
          </cell>
          <cell r="D106">
            <v>35.25</v>
          </cell>
          <cell r="E106">
            <v>35.25</v>
          </cell>
          <cell r="F106">
            <v>30.75</v>
          </cell>
          <cell r="G106">
            <v>34.25</v>
          </cell>
          <cell r="H106">
            <v>30.75</v>
          </cell>
          <cell r="I106">
            <v>32.75</v>
          </cell>
          <cell r="J106">
            <v>31.75</v>
          </cell>
          <cell r="K106">
            <v>39.5</v>
          </cell>
          <cell r="L106">
            <v>43.5</v>
          </cell>
          <cell r="M106">
            <v>29.49</v>
          </cell>
          <cell r="N106">
            <v>28.24</v>
          </cell>
          <cell r="O106">
            <v>28.99</v>
          </cell>
          <cell r="P106">
            <v>29.49</v>
          </cell>
          <cell r="Q106">
            <v>36.979999999999997</v>
          </cell>
          <cell r="R106">
            <v>31.39</v>
          </cell>
          <cell r="S106">
            <v>29.49</v>
          </cell>
          <cell r="T106">
            <v>21.99</v>
          </cell>
          <cell r="U106">
            <v>29.39</v>
          </cell>
          <cell r="V106">
            <v>28.692</v>
          </cell>
          <cell r="W106">
            <v>31.14</v>
          </cell>
          <cell r="X106">
            <v>28.292000000000002</v>
          </cell>
          <cell r="Y106">
            <v>29.39</v>
          </cell>
          <cell r="Z106">
            <v>31.89</v>
          </cell>
          <cell r="AA106">
            <v>31.63</v>
          </cell>
          <cell r="AB106">
            <v>32.42</v>
          </cell>
          <cell r="AC106">
            <v>34.770000000000003</v>
          </cell>
          <cell r="AD106">
            <v>34.270000000000003</v>
          </cell>
          <cell r="AE106">
            <v>32.42</v>
          </cell>
          <cell r="AF106">
            <v>36.03</v>
          </cell>
          <cell r="AG106">
            <v>3.8245</v>
          </cell>
        </row>
        <row r="107">
          <cell r="A107">
            <v>40179</v>
          </cell>
          <cell r="B107">
            <v>44.75</v>
          </cell>
          <cell r="C107">
            <v>44.75</v>
          </cell>
          <cell r="D107">
            <v>44.75</v>
          </cell>
          <cell r="E107">
            <v>44.75</v>
          </cell>
          <cell r="F107">
            <v>33.25</v>
          </cell>
          <cell r="G107">
            <v>36.75</v>
          </cell>
          <cell r="H107">
            <v>33.25</v>
          </cell>
          <cell r="I107">
            <v>35.25</v>
          </cell>
          <cell r="J107">
            <v>35</v>
          </cell>
          <cell r="K107">
            <v>45</v>
          </cell>
          <cell r="L107">
            <v>50.5</v>
          </cell>
          <cell r="M107">
            <v>31.38</v>
          </cell>
          <cell r="N107">
            <v>29.83</v>
          </cell>
          <cell r="O107">
            <v>30.88</v>
          </cell>
          <cell r="P107">
            <v>31.88</v>
          </cell>
          <cell r="Q107">
            <v>37.08</v>
          </cell>
          <cell r="R107">
            <v>34.99</v>
          </cell>
          <cell r="S107">
            <v>31.38</v>
          </cell>
          <cell r="T107">
            <v>26.38</v>
          </cell>
          <cell r="U107">
            <v>32.58</v>
          </cell>
          <cell r="V107">
            <v>30.852</v>
          </cell>
          <cell r="W107">
            <v>34.33</v>
          </cell>
          <cell r="X107">
            <v>30.251999999999999</v>
          </cell>
          <cell r="Y107">
            <v>32.58</v>
          </cell>
          <cell r="Z107">
            <v>35.08</v>
          </cell>
          <cell r="AA107">
            <v>34.83</v>
          </cell>
          <cell r="AB107">
            <v>33.82</v>
          </cell>
          <cell r="AC107">
            <v>36.57</v>
          </cell>
          <cell r="AD107">
            <v>35.82</v>
          </cell>
          <cell r="AE107">
            <v>33.82</v>
          </cell>
          <cell r="AF107">
            <v>37.22</v>
          </cell>
          <cell r="AG107">
            <v>3.8624999999999998</v>
          </cell>
        </row>
        <row r="108">
          <cell r="A108">
            <v>40210</v>
          </cell>
          <cell r="B108">
            <v>44.75</v>
          </cell>
          <cell r="C108">
            <v>44.75</v>
          </cell>
          <cell r="D108">
            <v>44.75</v>
          </cell>
          <cell r="E108">
            <v>44.75</v>
          </cell>
          <cell r="F108">
            <v>33.25</v>
          </cell>
          <cell r="G108">
            <v>36.75</v>
          </cell>
          <cell r="H108">
            <v>33.25</v>
          </cell>
          <cell r="I108">
            <v>35.25</v>
          </cell>
          <cell r="J108">
            <v>35</v>
          </cell>
          <cell r="K108">
            <v>45</v>
          </cell>
          <cell r="L108">
            <v>50.5</v>
          </cell>
          <cell r="M108">
            <v>30.83</v>
          </cell>
          <cell r="N108">
            <v>29.28</v>
          </cell>
          <cell r="O108">
            <v>30.33</v>
          </cell>
          <cell r="P108">
            <v>31.33</v>
          </cell>
          <cell r="Q108">
            <v>37.53</v>
          </cell>
          <cell r="R108">
            <v>34.619999999999997</v>
          </cell>
          <cell r="S108">
            <v>30.83</v>
          </cell>
          <cell r="T108">
            <v>25.33</v>
          </cell>
          <cell r="U108">
            <v>31.69</v>
          </cell>
          <cell r="V108">
            <v>30.715</v>
          </cell>
          <cell r="W108">
            <v>33.44</v>
          </cell>
          <cell r="X108">
            <v>30.114999999999998</v>
          </cell>
          <cell r="Y108">
            <v>31.69</v>
          </cell>
          <cell r="Z108">
            <v>34.19</v>
          </cell>
          <cell r="AA108">
            <v>33.94</v>
          </cell>
          <cell r="AB108">
            <v>33.07</v>
          </cell>
          <cell r="AC108">
            <v>35.82</v>
          </cell>
          <cell r="AD108">
            <v>34.57</v>
          </cell>
          <cell r="AE108">
            <v>33.07</v>
          </cell>
          <cell r="AF108">
            <v>36.07</v>
          </cell>
          <cell r="AG108">
            <v>3.8065000000000002</v>
          </cell>
        </row>
        <row r="109">
          <cell r="A109">
            <v>40238</v>
          </cell>
          <cell r="B109">
            <v>36.75</v>
          </cell>
          <cell r="C109">
            <v>36.75</v>
          </cell>
          <cell r="D109">
            <v>36.75</v>
          </cell>
          <cell r="E109">
            <v>36.75</v>
          </cell>
          <cell r="F109">
            <v>31</v>
          </cell>
          <cell r="G109">
            <v>34.5</v>
          </cell>
          <cell r="H109">
            <v>31</v>
          </cell>
          <cell r="I109">
            <v>33</v>
          </cell>
          <cell r="J109">
            <v>32.5</v>
          </cell>
          <cell r="K109">
            <v>40</v>
          </cell>
          <cell r="L109">
            <v>44.5</v>
          </cell>
          <cell r="M109">
            <v>29.46</v>
          </cell>
          <cell r="N109">
            <v>27.91</v>
          </cell>
          <cell r="O109">
            <v>28.96</v>
          </cell>
          <cell r="P109">
            <v>30.21</v>
          </cell>
          <cell r="Q109">
            <v>34.409999999999997</v>
          </cell>
          <cell r="R109">
            <v>32.979999999999997</v>
          </cell>
          <cell r="S109">
            <v>29.46</v>
          </cell>
          <cell r="T109">
            <v>22.46</v>
          </cell>
          <cell r="U109">
            <v>29.44</v>
          </cell>
          <cell r="V109">
            <v>30.466000000000001</v>
          </cell>
          <cell r="W109">
            <v>31.19</v>
          </cell>
          <cell r="X109">
            <v>30.315999999999999</v>
          </cell>
          <cell r="Y109">
            <v>29.44</v>
          </cell>
          <cell r="Z109">
            <v>31.94</v>
          </cell>
          <cell r="AA109">
            <v>31.69</v>
          </cell>
          <cell r="AB109">
            <v>31.506</v>
          </cell>
          <cell r="AC109">
            <v>34.356000000000002</v>
          </cell>
          <cell r="AD109">
            <v>33.006</v>
          </cell>
          <cell r="AE109">
            <v>31.506</v>
          </cell>
          <cell r="AF109">
            <v>34.006</v>
          </cell>
          <cell r="AG109">
            <v>3.6764999999999999</v>
          </cell>
        </row>
        <row r="110">
          <cell r="A110">
            <v>40269</v>
          </cell>
          <cell r="B110">
            <v>37</v>
          </cell>
          <cell r="C110">
            <v>37</v>
          </cell>
          <cell r="D110">
            <v>37</v>
          </cell>
          <cell r="E110">
            <v>37</v>
          </cell>
          <cell r="F110">
            <v>31</v>
          </cell>
          <cell r="G110">
            <v>34.5</v>
          </cell>
          <cell r="H110">
            <v>31</v>
          </cell>
          <cell r="I110">
            <v>33</v>
          </cell>
          <cell r="J110">
            <v>32.5</v>
          </cell>
          <cell r="K110">
            <v>40</v>
          </cell>
          <cell r="L110">
            <v>44.5</v>
          </cell>
          <cell r="M110">
            <v>29.42</v>
          </cell>
          <cell r="N110">
            <v>27.87</v>
          </cell>
          <cell r="O110">
            <v>28.92</v>
          </cell>
          <cell r="P110">
            <v>30.17</v>
          </cell>
          <cell r="Q110">
            <v>33.92</v>
          </cell>
          <cell r="R110">
            <v>32.94</v>
          </cell>
          <cell r="S110">
            <v>29.42</v>
          </cell>
          <cell r="T110">
            <v>22.42</v>
          </cell>
          <cell r="U110">
            <v>29.44</v>
          </cell>
          <cell r="V110">
            <v>30.466000000000001</v>
          </cell>
          <cell r="W110">
            <v>31.19</v>
          </cell>
          <cell r="X110">
            <v>30.315999999999999</v>
          </cell>
          <cell r="Y110">
            <v>29.44</v>
          </cell>
          <cell r="Z110">
            <v>31.94</v>
          </cell>
          <cell r="AA110">
            <v>31.69</v>
          </cell>
          <cell r="AB110">
            <v>32.29</v>
          </cell>
          <cell r="AC110">
            <v>35.14</v>
          </cell>
          <cell r="AD110">
            <v>34.29</v>
          </cell>
          <cell r="AE110">
            <v>32.29</v>
          </cell>
          <cell r="AF110">
            <v>34.79</v>
          </cell>
          <cell r="AG110">
            <v>3.4914999999999998</v>
          </cell>
        </row>
        <row r="111">
          <cell r="A111">
            <v>40299</v>
          </cell>
          <cell r="B111">
            <v>37</v>
          </cell>
          <cell r="C111">
            <v>37</v>
          </cell>
          <cell r="D111">
            <v>37</v>
          </cell>
          <cell r="E111">
            <v>37</v>
          </cell>
          <cell r="F111">
            <v>33</v>
          </cell>
          <cell r="G111">
            <v>36.5</v>
          </cell>
          <cell r="H111">
            <v>33</v>
          </cell>
          <cell r="I111">
            <v>35</v>
          </cell>
          <cell r="J111">
            <v>33.75</v>
          </cell>
          <cell r="K111">
            <v>42</v>
          </cell>
          <cell r="L111">
            <v>49</v>
          </cell>
          <cell r="M111">
            <v>32.590000000000003</v>
          </cell>
          <cell r="N111">
            <v>31.09</v>
          </cell>
          <cell r="O111">
            <v>32.090000000000003</v>
          </cell>
          <cell r="P111">
            <v>33.590000000000003</v>
          </cell>
          <cell r="Q111">
            <v>31.89</v>
          </cell>
          <cell r="R111">
            <v>37.909999999999997</v>
          </cell>
          <cell r="S111">
            <v>32.590000000000003</v>
          </cell>
          <cell r="T111">
            <v>27.28</v>
          </cell>
          <cell r="U111">
            <v>33.64</v>
          </cell>
          <cell r="V111">
            <v>34.320999999999998</v>
          </cell>
          <cell r="W111">
            <v>35.39</v>
          </cell>
          <cell r="X111">
            <v>34.570999999999998</v>
          </cell>
          <cell r="Y111">
            <v>33.64</v>
          </cell>
          <cell r="Z111">
            <v>36.64</v>
          </cell>
          <cell r="AA111">
            <v>36.89</v>
          </cell>
          <cell r="AB111">
            <v>34.25</v>
          </cell>
          <cell r="AC111">
            <v>38</v>
          </cell>
          <cell r="AD111">
            <v>36.25</v>
          </cell>
          <cell r="AE111">
            <v>34.25</v>
          </cell>
          <cell r="AF111">
            <v>37.5</v>
          </cell>
          <cell r="AG111">
            <v>3.4864999999999999</v>
          </cell>
        </row>
        <row r="112">
          <cell r="A112">
            <v>40330</v>
          </cell>
          <cell r="B112">
            <v>41.75</v>
          </cell>
          <cell r="C112">
            <v>41.75</v>
          </cell>
          <cell r="D112">
            <v>41.75</v>
          </cell>
          <cell r="E112">
            <v>41.75</v>
          </cell>
          <cell r="F112">
            <v>43.5</v>
          </cell>
          <cell r="G112">
            <v>53.5</v>
          </cell>
          <cell r="H112">
            <v>43.5</v>
          </cell>
          <cell r="I112">
            <v>45.5</v>
          </cell>
          <cell r="J112">
            <v>43.5</v>
          </cell>
          <cell r="K112">
            <v>52</v>
          </cell>
          <cell r="L112">
            <v>60</v>
          </cell>
          <cell r="M112">
            <v>38.75</v>
          </cell>
          <cell r="N112">
            <v>37.1</v>
          </cell>
          <cell r="O112">
            <v>38.25</v>
          </cell>
          <cell r="P112">
            <v>40.25</v>
          </cell>
          <cell r="Q112">
            <v>36.25</v>
          </cell>
          <cell r="R112">
            <v>43.07</v>
          </cell>
          <cell r="S112">
            <v>38.75</v>
          </cell>
          <cell r="T112">
            <v>34.26</v>
          </cell>
          <cell r="U112">
            <v>41.96</v>
          </cell>
          <cell r="V112">
            <v>43.115000000000002</v>
          </cell>
          <cell r="W112">
            <v>43.71</v>
          </cell>
          <cell r="X112">
            <v>42.664999999999999</v>
          </cell>
          <cell r="Y112">
            <v>41.96</v>
          </cell>
          <cell r="Z112">
            <v>45.21</v>
          </cell>
          <cell r="AA112">
            <v>47.21</v>
          </cell>
          <cell r="AB112">
            <v>38.299999999999997</v>
          </cell>
          <cell r="AC112">
            <v>43.55</v>
          </cell>
          <cell r="AD112">
            <v>39.049999999999997</v>
          </cell>
          <cell r="AE112">
            <v>38.299999999999997</v>
          </cell>
          <cell r="AF112">
            <v>42.8</v>
          </cell>
          <cell r="AG112">
            <v>3.5215000000000001</v>
          </cell>
        </row>
        <row r="113">
          <cell r="A113">
            <v>40360</v>
          </cell>
          <cell r="B113">
            <v>49</v>
          </cell>
          <cell r="C113">
            <v>49</v>
          </cell>
          <cell r="D113">
            <v>49</v>
          </cell>
          <cell r="E113">
            <v>49</v>
          </cell>
          <cell r="F113">
            <v>52</v>
          </cell>
          <cell r="G113">
            <v>66</v>
          </cell>
          <cell r="H113">
            <v>52</v>
          </cell>
          <cell r="I113">
            <v>54</v>
          </cell>
          <cell r="J113">
            <v>54.5</v>
          </cell>
          <cell r="K113">
            <v>72</v>
          </cell>
          <cell r="L113">
            <v>80</v>
          </cell>
          <cell r="M113">
            <v>53.95</v>
          </cell>
          <cell r="N113">
            <v>51.9</v>
          </cell>
          <cell r="O113">
            <v>53.45</v>
          </cell>
          <cell r="P113">
            <v>56.45</v>
          </cell>
          <cell r="Q113">
            <v>41.85</v>
          </cell>
          <cell r="R113">
            <v>54.2</v>
          </cell>
          <cell r="S113">
            <v>53.95</v>
          </cell>
          <cell r="T113">
            <v>45.68</v>
          </cell>
          <cell r="U113">
            <v>53.05</v>
          </cell>
          <cell r="V113">
            <v>55.572000000000003</v>
          </cell>
          <cell r="W113">
            <v>54.8</v>
          </cell>
          <cell r="X113">
            <v>54.462000000000003</v>
          </cell>
          <cell r="Y113">
            <v>53.05</v>
          </cell>
          <cell r="Z113">
            <v>56.3</v>
          </cell>
          <cell r="AA113">
            <v>58.3</v>
          </cell>
          <cell r="AB113">
            <v>47.85</v>
          </cell>
          <cell r="AC113">
            <v>58.3</v>
          </cell>
          <cell r="AD113">
            <v>50.7</v>
          </cell>
          <cell r="AE113">
            <v>47.85</v>
          </cell>
          <cell r="AF113">
            <v>55.85</v>
          </cell>
          <cell r="AG113">
            <v>3.5615000000000001</v>
          </cell>
        </row>
        <row r="114">
          <cell r="A114">
            <v>40391</v>
          </cell>
          <cell r="B114">
            <v>49</v>
          </cell>
          <cell r="C114">
            <v>49</v>
          </cell>
          <cell r="D114">
            <v>49</v>
          </cell>
          <cell r="E114">
            <v>49</v>
          </cell>
          <cell r="F114">
            <v>52</v>
          </cell>
          <cell r="G114">
            <v>66</v>
          </cell>
          <cell r="H114">
            <v>52</v>
          </cell>
          <cell r="I114">
            <v>54</v>
          </cell>
          <cell r="J114">
            <v>54.5</v>
          </cell>
          <cell r="K114">
            <v>72</v>
          </cell>
          <cell r="L114">
            <v>80</v>
          </cell>
          <cell r="M114">
            <v>53.96</v>
          </cell>
          <cell r="N114">
            <v>51.91</v>
          </cell>
          <cell r="O114">
            <v>53.46</v>
          </cell>
          <cell r="P114">
            <v>56.46</v>
          </cell>
          <cell r="Q114">
            <v>41.86</v>
          </cell>
          <cell r="R114">
            <v>55.21</v>
          </cell>
          <cell r="S114">
            <v>53.96</v>
          </cell>
          <cell r="T114">
            <v>45.69</v>
          </cell>
          <cell r="U114">
            <v>52.05</v>
          </cell>
          <cell r="V114">
            <v>55.822000000000003</v>
          </cell>
          <cell r="W114">
            <v>53.8</v>
          </cell>
          <cell r="X114">
            <v>53.811999999999998</v>
          </cell>
          <cell r="Y114">
            <v>52.05</v>
          </cell>
          <cell r="Z114">
            <v>55.3</v>
          </cell>
          <cell r="AA114">
            <v>57.3</v>
          </cell>
          <cell r="AB114">
            <v>47.45</v>
          </cell>
          <cell r="AC114">
            <v>57.9</v>
          </cell>
          <cell r="AD114">
            <v>50.7</v>
          </cell>
          <cell r="AE114">
            <v>47.45</v>
          </cell>
          <cell r="AF114">
            <v>55.45</v>
          </cell>
          <cell r="AG114">
            <v>3.6015000000000001</v>
          </cell>
        </row>
        <row r="115">
          <cell r="A115">
            <v>40422</v>
          </cell>
          <cell r="B115">
            <v>36</v>
          </cell>
          <cell r="C115">
            <v>36</v>
          </cell>
          <cell r="D115">
            <v>36</v>
          </cell>
          <cell r="E115">
            <v>36</v>
          </cell>
          <cell r="F115">
            <v>30.75</v>
          </cell>
          <cell r="G115">
            <v>34.25</v>
          </cell>
          <cell r="H115">
            <v>30.75</v>
          </cell>
          <cell r="I115">
            <v>32.75</v>
          </cell>
          <cell r="J115">
            <v>32</v>
          </cell>
          <cell r="K115">
            <v>40</v>
          </cell>
          <cell r="L115">
            <v>44</v>
          </cell>
          <cell r="M115">
            <v>28.73</v>
          </cell>
          <cell r="N115">
            <v>27.48</v>
          </cell>
          <cell r="O115">
            <v>28.23</v>
          </cell>
          <cell r="P115">
            <v>30.23</v>
          </cell>
          <cell r="Q115">
            <v>27.33</v>
          </cell>
          <cell r="R115">
            <v>31.41</v>
          </cell>
          <cell r="S115">
            <v>28.73</v>
          </cell>
          <cell r="T115">
            <v>23.32</v>
          </cell>
          <cell r="U115">
            <v>27.3</v>
          </cell>
          <cell r="V115">
            <v>26.542000000000002</v>
          </cell>
          <cell r="W115">
            <v>29.05</v>
          </cell>
          <cell r="X115">
            <v>26.091999999999999</v>
          </cell>
          <cell r="Y115">
            <v>27.3</v>
          </cell>
          <cell r="Z115">
            <v>30.05</v>
          </cell>
          <cell r="AA115">
            <v>31.55</v>
          </cell>
          <cell r="AB115">
            <v>35.200000000000003</v>
          </cell>
          <cell r="AC115">
            <v>37.1</v>
          </cell>
          <cell r="AD115">
            <v>39</v>
          </cell>
          <cell r="AE115">
            <v>35.200000000000003</v>
          </cell>
          <cell r="AF115">
            <v>41.6</v>
          </cell>
          <cell r="AG115">
            <v>3.5844999999999998</v>
          </cell>
        </row>
        <row r="116">
          <cell r="A116">
            <v>40452</v>
          </cell>
          <cell r="B116">
            <v>35.75</v>
          </cell>
          <cell r="C116">
            <v>35.75</v>
          </cell>
          <cell r="D116">
            <v>35.75</v>
          </cell>
          <cell r="E116">
            <v>35.75</v>
          </cell>
          <cell r="F116">
            <v>30.75</v>
          </cell>
          <cell r="G116">
            <v>34.25</v>
          </cell>
          <cell r="H116">
            <v>30.75</v>
          </cell>
          <cell r="I116">
            <v>32.75</v>
          </cell>
          <cell r="J116">
            <v>32</v>
          </cell>
          <cell r="K116">
            <v>40</v>
          </cell>
          <cell r="L116">
            <v>44</v>
          </cell>
          <cell r="M116">
            <v>29.8</v>
          </cell>
          <cell r="N116">
            <v>28.55</v>
          </cell>
          <cell r="O116">
            <v>29.3</v>
          </cell>
          <cell r="P116">
            <v>29.8</v>
          </cell>
          <cell r="Q116">
            <v>33.74</v>
          </cell>
          <cell r="R116">
            <v>31.44</v>
          </cell>
          <cell r="S116">
            <v>29.8</v>
          </cell>
          <cell r="T116">
            <v>22.3</v>
          </cell>
          <cell r="U116">
            <v>30.04</v>
          </cell>
          <cell r="V116">
            <v>29.192</v>
          </cell>
          <cell r="W116">
            <v>31.79</v>
          </cell>
          <cell r="X116">
            <v>28.792000000000002</v>
          </cell>
          <cell r="Y116">
            <v>30.04</v>
          </cell>
          <cell r="Z116">
            <v>32.54</v>
          </cell>
          <cell r="AA116">
            <v>32.29</v>
          </cell>
          <cell r="AB116">
            <v>33.42</v>
          </cell>
          <cell r="AC116">
            <v>35.369999999999997</v>
          </cell>
          <cell r="AD116">
            <v>35.42</v>
          </cell>
          <cell r="AE116">
            <v>33.42</v>
          </cell>
          <cell r="AF116">
            <v>36.53</v>
          </cell>
          <cell r="AG116">
            <v>3.6095000000000002</v>
          </cell>
        </row>
        <row r="117">
          <cell r="A117">
            <v>40483</v>
          </cell>
          <cell r="B117">
            <v>35.75</v>
          </cell>
          <cell r="C117">
            <v>35.75</v>
          </cell>
          <cell r="D117">
            <v>35.75</v>
          </cell>
          <cell r="E117">
            <v>35.75</v>
          </cell>
          <cell r="F117">
            <v>30.75</v>
          </cell>
          <cell r="G117">
            <v>34.25</v>
          </cell>
          <cell r="H117">
            <v>30.75</v>
          </cell>
          <cell r="I117">
            <v>32.75</v>
          </cell>
          <cell r="J117">
            <v>32</v>
          </cell>
          <cell r="K117">
            <v>40</v>
          </cell>
          <cell r="L117">
            <v>44</v>
          </cell>
          <cell r="M117">
            <v>29.66</v>
          </cell>
          <cell r="N117">
            <v>28.41</v>
          </cell>
          <cell r="O117">
            <v>29.16</v>
          </cell>
          <cell r="P117">
            <v>29.66</v>
          </cell>
          <cell r="Q117">
            <v>37</v>
          </cell>
          <cell r="R117">
            <v>31.3</v>
          </cell>
          <cell r="S117">
            <v>29.66</v>
          </cell>
          <cell r="T117">
            <v>22.16</v>
          </cell>
          <cell r="U117">
            <v>30.04</v>
          </cell>
          <cell r="V117">
            <v>29.292000000000002</v>
          </cell>
          <cell r="W117">
            <v>31.79</v>
          </cell>
          <cell r="X117">
            <v>28.891999999999999</v>
          </cell>
          <cell r="Y117">
            <v>30.04</v>
          </cell>
          <cell r="Z117">
            <v>32.54</v>
          </cell>
          <cell r="AA117">
            <v>32.28</v>
          </cell>
          <cell r="AB117">
            <v>32.42</v>
          </cell>
          <cell r="AC117">
            <v>34.119999999999997</v>
          </cell>
          <cell r="AD117">
            <v>34.42</v>
          </cell>
          <cell r="AE117">
            <v>32.42</v>
          </cell>
          <cell r="AF117">
            <v>35.53</v>
          </cell>
          <cell r="AG117">
            <v>3.7614999999999998</v>
          </cell>
        </row>
        <row r="118">
          <cell r="A118">
            <v>40513</v>
          </cell>
          <cell r="B118">
            <v>35.75</v>
          </cell>
          <cell r="C118">
            <v>35.75</v>
          </cell>
          <cell r="D118">
            <v>35.75</v>
          </cell>
          <cell r="E118">
            <v>35.75</v>
          </cell>
          <cell r="F118">
            <v>30.75</v>
          </cell>
          <cell r="G118">
            <v>34.25</v>
          </cell>
          <cell r="H118">
            <v>30.75</v>
          </cell>
          <cell r="I118">
            <v>32.75</v>
          </cell>
          <cell r="J118">
            <v>32</v>
          </cell>
          <cell r="K118">
            <v>40</v>
          </cell>
          <cell r="L118">
            <v>44</v>
          </cell>
          <cell r="M118">
            <v>29.51</v>
          </cell>
          <cell r="N118">
            <v>28.26</v>
          </cell>
          <cell r="O118">
            <v>29.01</v>
          </cell>
          <cell r="P118">
            <v>29.51</v>
          </cell>
          <cell r="Q118">
            <v>37.25</v>
          </cell>
          <cell r="R118">
            <v>31.15</v>
          </cell>
          <cell r="S118">
            <v>29.51</v>
          </cell>
          <cell r="T118">
            <v>22.01</v>
          </cell>
          <cell r="U118">
            <v>30.04</v>
          </cell>
          <cell r="V118">
            <v>29.391999999999999</v>
          </cell>
          <cell r="W118">
            <v>31.79</v>
          </cell>
          <cell r="X118">
            <v>28.992000000000001</v>
          </cell>
          <cell r="Y118">
            <v>30.04</v>
          </cell>
          <cell r="Z118">
            <v>32.54</v>
          </cell>
          <cell r="AA118">
            <v>32.28</v>
          </cell>
          <cell r="AB118">
            <v>33.32</v>
          </cell>
          <cell r="AC118">
            <v>35.67</v>
          </cell>
          <cell r="AD118">
            <v>35.17</v>
          </cell>
          <cell r="AE118">
            <v>33.32</v>
          </cell>
          <cell r="AF118">
            <v>36.93</v>
          </cell>
          <cell r="AG118">
            <v>3.9045000000000001</v>
          </cell>
        </row>
        <row r="119">
          <cell r="A119">
            <v>40544</v>
          </cell>
          <cell r="B119">
            <v>44.85</v>
          </cell>
          <cell r="C119">
            <v>44.85</v>
          </cell>
          <cell r="D119">
            <v>44.85</v>
          </cell>
          <cell r="E119">
            <v>44.85</v>
          </cell>
          <cell r="F119">
            <v>33.5</v>
          </cell>
          <cell r="G119">
            <v>37</v>
          </cell>
          <cell r="H119">
            <v>33.5</v>
          </cell>
          <cell r="I119">
            <v>35.5</v>
          </cell>
          <cell r="J119">
            <v>35.5</v>
          </cell>
          <cell r="K119">
            <v>46</v>
          </cell>
          <cell r="L119">
            <v>51</v>
          </cell>
          <cell r="M119">
            <v>30.83</v>
          </cell>
          <cell r="N119">
            <v>29.28</v>
          </cell>
          <cell r="O119">
            <v>30.33</v>
          </cell>
          <cell r="P119">
            <v>31.33</v>
          </cell>
          <cell r="Q119">
            <v>36.53</v>
          </cell>
          <cell r="R119">
            <v>34.35</v>
          </cell>
          <cell r="S119">
            <v>30.83</v>
          </cell>
          <cell r="T119">
            <v>25.83</v>
          </cell>
          <cell r="U119">
            <v>33.159999999999997</v>
          </cell>
          <cell r="V119">
            <v>31.731999999999999</v>
          </cell>
          <cell r="W119">
            <v>34.909999999999997</v>
          </cell>
          <cell r="X119">
            <v>31.132000000000001</v>
          </cell>
          <cell r="Y119">
            <v>33.159999999999997</v>
          </cell>
          <cell r="Z119">
            <v>35.659999999999997</v>
          </cell>
          <cell r="AA119">
            <v>35.409999999999997</v>
          </cell>
          <cell r="AB119">
            <v>34.82</v>
          </cell>
          <cell r="AC119">
            <v>37.57</v>
          </cell>
          <cell r="AD119">
            <v>36.82</v>
          </cell>
          <cell r="AE119">
            <v>34.82</v>
          </cell>
          <cell r="AF119">
            <v>38.22</v>
          </cell>
          <cell r="AG119">
            <v>3.9424999999999999</v>
          </cell>
        </row>
        <row r="120">
          <cell r="A120">
            <v>40575</v>
          </cell>
          <cell r="B120">
            <v>45.85</v>
          </cell>
          <cell r="C120">
            <v>45.85</v>
          </cell>
          <cell r="D120">
            <v>45.85</v>
          </cell>
          <cell r="E120">
            <v>45.85</v>
          </cell>
          <cell r="F120">
            <v>33.5</v>
          </cell>
          <cell r="G120">
            <v>37</v>
          </cell>
          <cell r="H120">
            <v>33.5</v>
          </cell>
          <cell r="I120">
            <v>35.5</v>
          </cell>
          <cell r="J120">
            <v>35.5</v>
          </cell>
          <cell r="K120">
            <v>46</v>
          </cell>
          <cell r="L120">
            <v>51</v>
          </cell>
          <cell r="M120">
            <v>30.97</v>
          </cell>
          <cell r="N120">
            <v>29.42</v>
          </cell>
          <cell r="O120">
            <v>30.47</v>
          </cell>
          <cell r="P120">
            <v>31.47</v>
          </cell>
          <cell r="Q120">
            <v>37.67</v>
          </cell>
          <cell r="R120">
            <v>34.76</v>
          </cell>
          <cell r="S120">
            <v>30.97</v>
          </cell>
          <cell r="T120">
            <v>25.47</v>
          </cell>
          <cell r="U120">
            <v>32.19</v>
          </cell>
          <cell r="V120">
            <v>31.515000000000001</v>
          </cell>
          <cell r="W120">
            <v>33.94</v>
          </cell>
          <cell r="X120">
            <v>30.914999999999999</v>
          </cell>
          <cell r="Y120">
            <v>32.19</v>
          </cell>
          <cell r="Z120">
            <v>34.69</v>
          </cell>
          <cell r="AA120">
            <v>34.44</v>
          </cell>
          <cell r="AB120">
            <v>34.07</v>
          </cell>
          <cell r="AC120">
            <v>36.82</v>
          </cell>
          <cell r="AD120">
            <v>35.57</v>
          </cell>
          <cell r="AE120">
            <v>34.07</v>
          </cell>
          <cell r="AF120">
            <v>37.07</v>
          </cell>
          <cell r="AG120">
            <v>3.8864999999999998</v>
          </cell>
        </row>
        <row r="121">
          <cell r="A121">
            <v>40603</v>
          </cell>
          <cell r="B121">
            <v>36.85</v>
          </cell>
          <cell r="C121">
            <v>36.85</v>
          </cell>
          <cell r="D121">
            <v>36.85</v>
          </cell>
          <cell r="E121">
            <v>36.85</v>
          </cell>
          <cell r="F121">
            <v>31.5</v>
          </cell>
          <cell r="G121">
            <v>35</v>
          </cell>
          <cell r="H121">
            <v>31.5</v>
          </cell>
          <cell r="I121">
            <v>33.5</v>
          </cell>
          <cell r="J121">
            <v>32.75</v>
          </cell>
          <cell r="K121">
            <v>40.5</v>
          </cell>
          <cell r="L121">
            <v>45</v>
          </cell>
          <cell r="M121">
            <v>30.17</v>
          </cell>
          <cell r="N121">
            <v>28.62</v>
          </cell>
          <cell r="O121">
            <v>29.67</v>
          </cell>
          <cell r="P121">
            <v>30.92</v>
          </cell>
          <cell r="Q121">
            <v>35.119999999999997</v>
          </cell>
          <cell r="R121">
            <v>33.69</v>
          </cell>
          <cell r="S121">
            <v>30.17</v>
          </cell>
          <cell r="T121">
            <v>22.92</v>
          </cell>
          <cell r="U121">
            <v>29.94</v>
          </cell>
          <cell r="V121">
            <v>31.265000000000001</v>
          </cell>
          <cell r="W121">
            <v>31.69</v>
          </cell>
          <cell r="X121">
            <v>31.114999999999998</v>
          </cell>
          <cell r="Y121">
            <v>29.94</v>
          </cell>
          <cell r="Z121">
            <v>32.44</v>
          </cell>
          <cell r="AA121">
            <v>32.19</v>
          </cell>
          <cell r="AB121">
            <v>32.506</v>
          </cell>
          <cell r="AC121">
            <v>35.356000000000002</v>
          </cell>
          <cell r="AD121">
            <v>34.006</v>
          </cell>
          <cell r="AE121">
            <v>32.506</v>
          </cell>
          <cell r="AF121">
            <v>35.006</v>
          </cell>
          <cell r="AG121">
            <v>3.7565</v>
          </cell>
        </row>
        <row r="122">
          <cell r="A122">
            <v>40634</v>
          </cell>
          <cell r="B122">
            <v>37.1</v>
          </cell>
          <cell r="C122">
            <v>37.1</v>
          </cell>
          <cell r="D122">
            <v>37.1</v>
          </cell>
          <cell r="E122">
            <v>37.1</v>
          </cell>
          <cell r="F122">
            <v>31.5</v>
          </cell>
          <cell r="G122">
            <v>35</v>
          </cell>
          <cell r="H122">
            <v>31.5</v>
          </cell>
          <cell r="I122">
            <v>33.5</v>
          </cell>
          <cell r="J122">
            <v>32.75</v>
          </cell>
          <cell r="K122">
            <v>40.5</v>
          </cell>
          <cell r="L122">
            <v>45</v>
          </cell>
          <cell r="M122">
            <v>30.61</v>
          </cell>
          <cell r="N122">
            <v>29.06</v>
          </cell>
          <cell r="O122">
            <v>30.11</v>
          </cell>
          <cell r="P122">
            <v>31.36</v>
          </cell>
          <cell r="Q122">
            <v>35.11</v>
          </cell>
          <cell r="R122">
            <v>34.130000000000003</v>
          </cell>
          <cell r="S122">
            <v>30.61</v>
          </cell>
          <cell r="T122">
            <v>23.36</v>
          </cell>
          <cell r="U122">
            <v>29.94</v>
          </cell>
          <cell r="V122">
            <v>31.265999999999998</v>
          </cell>
          <cell r="W122">
            <v>31.69</v>
          </cell>
          <cell r="X122">
            <v>31.116</v>
          </cell>
          <cell r="Y122">
            <v>29.94</v>
          </cell>
          <cell r="Z122">
            <v>32.44</v>
          </cell>
          <cell r="AA122">
            <v>32.19</v>
          </cell>
          <cell r="AB122">
            <v>33.29</v>
          </cell>
          <cell r="AC122">
            <v>36.14</v>
          </cell>
          <cell r="AD122">
            <v>35.29</v>
          </cell>
          <cell r="AE122">
            <v>33.29</v>
          </cell>
          <cell r="AF122">
            <v>35.79</v>
          </cell>
          <cell r="AG122">
            <v>3.5714999999999999</v>
          </cell>
        </row>
        <row r="123">
          <cell r="A123">
            <v>40664</v>
          </cell>
          <cell r="B123">
            <v>37.1</v>
          </cell>
          <cell r="C123">
            <v>37.1</v>
          </cell>
          <cell r="D123">
            <v>37.1</v>
          </cell>
          <cell r="E123">
            <v>37.1</v>
          </cell>
          <cell r="F123">
            <v>33.5</v>
          </cell>
          <cell r="G123">
            <v>37</v>
          </cell>
          <cell r="H123">
            <v>33.5</v>
          </cell>
          <cell r="I123">
            <v>35.5</v>
          </cell>
          <cell r="J123">
            <v>34</v>
          </cell>
          <cell r="K123">
            <v>42.5</v>
          </cell>
          <cell r="L123">
            <v>49.5</v>
          </cell>
          <cell r="M123">
            <v>34.229999999999997</v>
          </cell>
          <cell r="N123">
            <v>32.729999999999997</v>
          </cell>
          <cell r="O123">
            <v>33.729999999999997</v>
          </cell>
          <cell r="P123">
            <v>35.229999999999997</v>
          </cell>
          <cell r="Q123">
            <v>33.53</v>
          </cell>
          <cell r="R123">
            <v>39.549999999999997</v>
          </cell>
          <cell r="S123">
            <v>34.229999999999997</v>
          </cell>
          <cell r="T123">
            <v>28.84</v>
          </cell>
          <cell r="U123">
            <v>34.64</v>
          </cell>
          <cell r="V123">
            <v>35.621000000000002</v>
          </cell>
          <cell r="W123">
            <v>36.39</v>
          </cell>
          <cell r="X123">
            <v>35.871000000000002</v>
          </cell>
          <cell r="Y123">
            <v>34.64</v>
          </cell>
          <cell r="Z123">
            <v>37.64</v>
          </cell>
          <cell r="AA123">
            <v>37.89</v>
          </cell>
          <cell r="AB123">
            <v>35.25</v>
          </cell>
          <cell r="AC123">
            <v>39</v>
          </cell>
          <cell r="AD123">
            <v>37.25</v>
          </cell>
          <cell r="AE123">
            <v>35.25</v>
          </cell>
          <cell r="AF123">
            <v>38.5</v>
          </cell>
          <cell r="AG123">
            <v>3.5665</v>
          </cell>
        </row>
        <row r="124">
          <cell r="A124">
            <v>40695</v>
          </cell>
          <cell r="B124">
            <v>42.5</v>
          </cell>
          <cell r="C124">
            <v>42.5</v>
          </cell>
          <cell r="D124">
            <v>42.5</v>
          </cell>
          <cell r="E124">
            <v>42.5</v>
          </cell>
          <cell r="F124">
            <v>44</v>
          </cell>
          <cell r="G124">
            <v>52</v>
          </cell>
          <cell r="H124">
            <v>44</v>
          </cell>
          <cell r="I124">
            <v>46</v>
          </cell>
          <cell r="J124">
            <v>44</v>
          </cell>
          <cell r="K124">
            <v>53</v>
          </cell>
          <cell r="L124">
            <v>60.5</v>
          </cell>
          <cell r="M124">
            <v>41.94</v>
          </cell>
          <cell r="N124">
            <v>40.29</v>
          </cell>
          <cell r="O124">
            <v>41.44</v>
          </cell>
          <cell r="P124">
            <v>43.44</v>
          </cell>
          <cell r="Q124">
            <v>39.44</v>
          </cell>
          <cell r="R124">
            <v>46.26</v>
          </cell>
          <cell r="S124">
            <v>41.94</v>
          </cell>
          <cell r="T124">
            <v>37.1</v>
          </cell>
          <cell r="U124">
            <v>43.96</v>
          </cell>
          <cell r="V124">
            <v>45.414999999999999</v>
          </cell>
          <cell r="W124">
            <v>45.71</v>
          </cell>
          <cell r="X124">
            <v>44.965000000000003</v>
          </cell>
          <cell r="Y124">
            <v>43.96</v>
          </cell>
          <cell r="Z124">
            <v>47.21</v>
          </cell>
          <cell r="AA124">
            <v>49.21</v>
          </cell>
          <cell r="AB124">
            <v>39.299999999999997</v>
          </cell>
          <cell r="AC124">
            <v>44.55</v>
          </cell>
          <cell r="AD124">
            <v>40.049999999999997</v>
          </cell>
          <cell r="AE124">
            <v>39.299999999999997</v>
          </cell>
          <cell r="AF124">
            <v>43.8</v>
          </cell>
          <cell r="AG124">
            <v>3.6015000000000001</v>
          </cell>
        </row>
        <row r="125">
          <cell r="A125">
            <v>40725</v>
          </cell>
          <cell r="B125">
            <v>50.5</v>
          </cell>
          <cell r="C125">
            <v>50.5</v>
          </cell>
          <cell r="D125">
            <v>50.5</v>
          </cell>
          <cell r="E125">
            <v>50.5</v>
          </cell>
          <cell r="F125">
            <v>52.5</v>
          </cell>
          <cell r="G125">
            <v>65.5</v>
          </cell>
          <cell r="H125">
            <v>52.5</v>
          </cell>
          <cell r="I125">
            <v>54.5</v>
          </cell>
          <cell r="J125">
            <v>55</v>
          </cell>
          <cell r="K125">
            <v>72.25</v>
          </cell>
          <cell r="L125">
            <v>81</v>
          </cell>
          <cell r="M125">
            <v>55.344999999999999</v>
          </cell>
          <cell r="N125">
            <v>53.295000000000002</v>
          </cell>
          <cell r="O125">
            <v>54.844999999999999</v>
          </cell>
          <cell r="P125">
            <v>57.844999999999999</v>
          </cell>
          <cell r="Q125">
            <v>43.244999999999997</v>
          </cell>
          <cell r="R125">
            <v>55.594999999999999</v>
          </cell>
          <cell r="S125">
            <v>55.344999999999999</v>
          </cell>
          <cell r="T125">
            <v>46.465000000000003</v>
          </cell>
          <cell r="U125">
            <v>55.05</v>
          </cell>
          <cell r="V125">
            <v>57.872</v>
          </cell>
          <cell r="W125">
            <v>56.8</v>
          </cell>
          <cell r="X125">
            <v>56.762</v>
          </cell>
          <cell r="Y125">
            <v>55.05</v>
          </cell>
          <cell r="Z125">
            <v>58.3</v>
          </cell>
          <cell r="AA125">
            <v>60.3</v>
          </cell>
          <cell r="AB125">
            <v>48.85</v>
          </cell>
          <cell r="AC125">
            <v>59.3</v>
          </cell>
          <cell r="AD125">
            <v>51.7</v>
          </cell>
          <cell r="AE125">
            <v>48.85</v>
          </cell>
          <cell r="AF125">
            <v>56.85</v>
          </cell>
          <cell r="AG125">
            <v>3.6415000000000002</v>
          </cell>
        </row>
        <row r="126">
          <cell r="A126">
            <v>40756</v>
          </cell>
          <cell r="B126">
            <v>50.5</v>
          </cell>
          <cell r="C126">
            <v>50.5</v>
          </cell>
          <cell r="D126">
            <v>50.5</v>
          </cell>
          <cell r="E126">
            <v>50.5</v>
          </cell>
          <cell r="F126">
            <v>52.5</v>
          </cell>
          <cell r="G126">
            <v>65.5</v>
          </cell>
          <cell r="H126">
            <v>52.5</v>
          </cell>
          <cell r="I126">
            <v>54.5</v>
          </cell>
          <cell r="J126">
            <v>55</v>
          </cell>
          <cell r="K126">
            <v>72.25</v>
          </cell>
          <cell r="L126">
            <v>81</v>
          </cell>
          <cell r="M126">
            <v>54.155000000000001</v>
          </cell>
          <cell r="N126">
            <v>52.104999999999997</v>
          </cell>
          <cell r="O126">
            <v>53.655000000000001</v>
          </cell>
          <cell r="P126">
            <v>56.655000000000001</v>
          </cell>
          <cell r="Q126">
            <v>42.055</v>
          </cell>
          <cell r="R126">
            <v>55.405000000000001</v>
          </cell>
          <cell r="S126">
            <v>54.155000000000001</v>
          </cell>
          <cell r="T126">
            <v>45.274999999999999</v>
          </cell>
          <cell r="U126">
            <v>54.05</v>
          </cell>
          <cell r="V126">
            <v>58.122</v>
          </cell>
          <cell r="W126">
            <v>55.8</v>
          </cell>
          <cell r="X126">
            <v>56.112000000000002</v>
          </cell>
          <cell r="Y126">
            <v>54.05</v>
          </cell>
          <cell r="Z126">
            <v>57.3</v>
          </cell>
          <cell r="AA126">
            <v>59.3</v>
          </cell>
          <cell r="AB126">
            <v>48.45</v>
          </cell>
          <cell r="AC126">
            <v>58.9</v>
          </cell>
          <cell r="AD126">
            <v>51.7</v>
          </cell>
          <cell r="AE126">
            <v>48.45</v>
          </cell>
          <cell r="AF126">
            <v>56.45</v>
          </cell>
          <cell r="AG126">
            <v>3.6815000000000002</v>
          </cell>
        </row>
        <row r="127">
          <cell r="A127">
            <v>40787</v>
          </cell>
          <cell r="B127">
            <v>36.1</v>
          </cell>
          <cell r="C127">
            <v>36.1</v>
          </cell>
          <cell r="D127">
            <v>36.1</v>
          </cell>
          <cell r="E127">
            <v>36.1</v>
          </cell>
          <cell r="F127">
            <v>31</v>
          </cell>
          <cell r="G127">
            <v>34.5</v>
          </cell>
          <cell r="H127">
            <v>31</v>
          </cell>
          <cell r="I127">
            <v>33</v>
          </cell>
          <cell r="J127">
            <v>32.5</v>
          </cell>
          <cell r="K127">
            <v>40.5</v>
          </cell>
          <cell r="L127">
            <v>44.25</v>
          </cell>
          <cell r="M127">
            <v>28.32</v>
          </cell>
          <cell r="N127">
            <v>27.07</v>
          </cell>
          <cell r="O127">
            <v>27.82</v>
          </cell>
          <cell r="P127">
            <v>29.82</v>
          </cell>
          <cell r="Q127">
            <v>26.92</v>
          </cell>
          <cell r="R127">
            <v>31</v>
          </cell>
          <cell r="S127">
            <v>28.32</v>
          </cell>
          <cell r="T127">
            <v>22.83</v>
          </cell>
          <cell r="U127">
            <v>27.55</v>
          </cell>
          <cell r="V127">
            <v>27.091999999999999</v>
          </cell>
          <cell r="W127">
            <v>29.3</v>
          </cell>
          <cell r="X127">
            <v>26.641999999999999</v>
          </cell>
          <cell r="Y127">
            <v>27.55</v>
          </cell>
          <cell r="Z127">
            <v>30.3</v>
          </cell>
          <cell r="AA127">
            <v>31.8</v>
          </cell>
          <cell r="AB127">
            <v>36.200000000000003</v>
          </cell>
          <cell r="AC127">
            <v>38.1</v>
          </cell>
          <cell r="AD127">
            <v>40</v>
          </cell>
          <cell r="AE127">
            <v>36.200000000000003</v>
          </cell>
          <cell r="AF127">
            <v>42.6</v>
          </cell>
          <cell r="AG127">
            <v>3.6644999999999999</v>
          </cell>
        </row>
        <row r="128">
          <cell r="A128">
            <v>40817</v>
          </cell>
          <cell r="B128">
            <v>35.85</v>
          </cell>
          <cell r="C128">
            <v>35.85</v>
          </cell>
          <cell r="D128">
            <v>35.85</v>
          </cell>
          <cell r="E128">
            <v>35.85</v>
          </cell>
          <cell r="F128">
            <v>31</v>
          </cell>
          <cell r="G128">
            <v>34.5</v>
          </cell>
          <cell r="H128">
            <v>31</v>
          </cell>
          <cell r="I128">
            <v>33</v>
          </cell>
          <cell r="J128">
            <v>32.5</v>
          </cell>
          <cell r="K128">
            <v>40.5</v>
          </cell>
          <cell r="L128">
            <v>44.25</v>
          </cell>
          <cell r="M128">
            <v>30.86</v>
          </cell>
          <cell r="N128">
            <v>29.61</v>
          </cell>
          <cell r="O128">
            <v>30.36</v>
          </cell>
          <cell r="P128">
            <v>30.86</v>
          </cell>
          <cell r="Q128">
            <v>34.799999999999997</v>
          </cell>
          <cell r="R128">
            <v>32.51</v>
          </cell>
          <cell r="S128">
            <v>30.86</v>
          </cell>
          <cell r="T128">
            <v>23.11</v>
          </cell>
          <cell r="U128">
            <v>30.54</v>
          </cell>
          <cell r="V128">
            <v>29.992000000000001</v>
          </cell>
          <cell r="W128">
            <v>32.29</v>
          </cell>
          <cell r="X128">
            <v>29.591999999999999</v>
          </cell>
          <cell r="Y128">
            <v>30.54</v>
          </cell>
          <cell r="Z128">
            <v>33.04</v>
          </cell>
          <cell r="AA128">
            <v>32.79</v>
          </cell>
          <cell r="AB128">
            <v>34.42</v>
          </cell>
          <cell r="AC128">
            <v>36.369999999999997</v>
          </cell>
          <cell r="AD128">
            <v>36.42</v>
          </cell>
          <cell r="AE128">
            <v>34.42</v>
          </cell>
          <cell r="AF128">
            <v>37.53</v>
          </cell>
          <cell r="AG128">
            <v>3.6894999999999998</v>
          </cell>
        </row>
        <row r="129">
          <cell r="A129">
            <v>40848</v>
          </cell>
          <cell r="B129">
            <v>35.85</v>
          </cell>
          <cell r="C129">
            <v>35.85</v>
          </cell>
          <cell r="D129">
            <v>35.85</v>
          </cell>
          <cell r="E129">
            <v>35.85</v>
          </cell>
          <cell r="F129">
            <v>31</v>
          </cell>
          <cell r="G129">
            <v>34.5</v>
          </cell>
          <cell r="H129">
            <v>31</v>
          </cell>
          <cell r="I129">
            <v>33</v>
          </cell>
          <cell r="J129">
            <v>32.5</v>
          </cell>
          <cell r="K129">
            <v>40.5</v>
          </cell>
          <cell r="L129">
            <v>44.25</v>
          </cell>
          <cell r="M129">
            <v>31.2</v>
          </cell>
          <cell r="N129">
            <v>29.95</v>
          </cell>
          <cell r="O129">
            <v>30.7</v>
          </cell>
          <cell r="P129">
            <v>31.2</v>
          </cell>
          <cell r="Q129">
            <v>38.54</v>
          </cell>
          <cell r="R129">
            <v>32.85</v>
          </cell>
          <cell r="S129">
            <v>31.2</v>
          </cell>
          <cell r="T129">
            <v>23.45</v>
          </cell>
          <cell r="U129">
            <v>30.54</v>
          </cell>
          <cell r="V129">
            <v>30.091999999999999</v>
          </cell>
          <cell r="W129">
            <v>32.29</v>
          </cell>
          <cell r="X129">
            <v>29.692</v>
          </cell>
          <cell r="Y129">
            <v>30.54</v>
          </cell>
          <cell r="Z129">
            <v>33.04</v>
          </cell>
          <cell r="AA129">
            <v>32.79</v>
          </cell>
          <cell r="AB129">
            <v>33.42</v>
          </cell>
          <cell r="AC129">
            <v>35.119999999999997</v>
          </cell>
          <cell r="AD129">
            <v>35.42</v>
          </cell>
          <cell r="AE129">
            <v>33.42</v>
          </cell>
          <cell r="AF129">
            <v>36.53</v>
          </cell>
          <cell r="AG129">
            <v>3.8414999999999999</v>
          </cell>
        </row>
        <row r="130">
          <cell r="A130">
            <v>40878</v>
          </cell>
          <cell r="B130">
            <v>35.85</v>
          </cell>
          <cell r="C130">
            <v>35.85</v>
          </cell>
          <cell r="D130">
            <v>35.85</v>
          </cell>
          <cell r="E130">
            <v>35.85</v>
          </cell>
          <cell r="F130">
            <v>31</v>
          </cell>
          <cell r="G130">
            <v>34.5</v>
          </cell>
          <cell r="H130">
            <v>31</v>
          </cell>
          <cell r="I130">
            <v>33</v>
          </cell>
          <cell r="J130">
            <v>32.5</v>
          </cell>
          <cell r="K130">
            <v>40.5</v>
          </cell>
          <cell r="L130">
            <v>44.25</v>
          </cell>
          <cell r="M130">
            <v>30.9</v>
          </cell>
          <cell r="N130">
            <v>29.65</v>
          </cell>
          <cell r="O130">
            <v>30.4</v>
          </cell>
          <cell r="P130">
            <v>30.9</v>
          </cell>
          <cell r="Q130">
            <v>38.64</v>
          </cell>
          <cell r="R130">
            <v>32.549999999999997</v>
          </cell>
          <cell r="S130">
            <v>30.9</v>
          </cell>
          <cell r="T130">
            <v>23.15</v>
          </cell>
          <cell r="U130">
            <v>30.54</v>
          </cell>
          <cell r="V130">
            <v>30.192</v>
          </cell>
          <cell r="W130">
            <v>32.29</v>
          </cell>
          <cell r="X130">
            <v>29.792000000000002</v>
          </cell>
          <cell r="Y130">
            <v>30.54</v>
          </cell>
          <cell r="Z130">
            <v>33.04</v>
          </cell>
          <cell r="AA130">
            <v>32.79</v>
          </cell>
          <cell r="AB130">
            <v>34.32</v>
          </cell>
          <cell r="AC130">
            <v>36.67</v>
          </cell>
          <cell r="AD130">
            <v>36.17</v>
          </cell>
          <cell r="AE130">
            <v>34.32</v>
          </cell>
          <cell r="AF130">
            <v>37.93</v>
          </cell>
          <cell r="AG130">
            <v>3.9845000000000002</v>
          </cell>
        </row>
        <row r="131">
          <cell r="A131">
            <v>40909</v>
          </cell>
          <cell r="B131">
            <v>45.2</v>
          </cell>
          <cell r="C131">
            <v>45.2</v>
          </cell>
          <cell r="D131">
            <v>45.2</v>
          </cell>
          <cell r="E131">
            <v>45.2</v>
          </cell>
          <cell r="F131">
            <v>34</v>
          </cell>
          <cell r="G131">
            <v>37.5</v>
          </cell>
          <cell r="H131">
            <v>34</v>
          </cell>
          <cell r="I131">
            <v>36</v>
          </cell>
          <cell r="J131">
            <v>36</v>
          </cell>
          <cell r="K131">
            <v>47</v>
          </cell>
          <cell r="L131">
            <v>52</v>
          </cell>
          <cell r="M131">
            <v>32.06</v>
          </cell>
          <cell r="N131">
            <v>30.51</v>
          </cell>
          <cell r="O131">
            <v>31.56</v>
          </cell>
          <cell r="P131">
            <v>32.56</v>
          </cell>
          <cell r="Q131">
            <v>37.76</v>
          </cell>
          <cell r="R131">
            <v>35.58</v>
          </cell>
          <cell r="S131">
            <v>32.06</v>
          </cell>
          <cell r="T131">
            <v>27.06</v>
          </cell>
          <cell r="U131">
            <v>33.659999999999997</v>
          </cell>
          <cell r="V131">
            <v>32.231999999999999</v>
          </cell>
          <cell r="W131">
            <v>35.409999999999997</v>
          </cell>
          <cell r="X131">
            <v>31.632000000000001</v>
          </cell>
          <cell r="Y131">
            <v>33.659999999999997</v>
          </cell>
          <cell r="Z131">
            <v>36.159999999999997</v>
          </cell>
          <cell r="AA131">
            <v>35.909999999999997</v>
          </cell>
          <cell r="AB131">
            <v>35.82</v>
          </cell>
          <cell r="AC131">
            <v>38.57</v>
          </cell>
          <cell r="AD131">
            <v>37.82</v>
          </cell>
          <cell r="AE131">
            <v>35.82</v>
          </cell>
          <cell r="AF131">
            <v>39.22</v>
          </cell>
          <cell r="AG131">
            <v>4.0225</v>
          </cell>
        </row>
        <row r="132">
          <cell r="A132">
            <v>40940</v>
          </cell>
          <cell r="B132">
            <v>45.2</v>
          </cell>
          <cell r="C132">
            <v>45.2</v>
          </cell>
          <cell r="D132">
            <v>45.2</v>
          </cell>
          <cell r="E132">
            <v>45.2</v>
          </cell>
          <cell r="F132">
            <v>34</v>
          </cell>
          <cell r="G132">
            <v>37.5</v>
          </cell>
          <cell r="H132">
            <v>34</v>
          </cell>
          <cell r="I132">
            <v>36</v>
          </cell>
          <cell r="J132">
            <v>36</v>
          </cell>
          <cell r="K132">
            <v>47</v>
          </cell>
          <cell r="L132">
            <v>52</v>
          </cell>
          <cell r="M132">
            <v>30.94</v>
          </cell>
          <cell r="N132">
            <v>29.39</v>
          </cell>
          <cell r="O132">
            <v>30.44</v>
          </cell>
          <cell r="P132">
            <v>31.44</v>
          </cell>
          <cell r="Q132">
            <v>37.64</v>
          </cell>
          <cell r="R132">
            <v>34.729999999999997</v>
          </cell>
          <cell r="S132">
            <v>30.94</v>
          </cell>
          <cell r="T132">
            <v>25.44</v>
          </cell>
          <cell r="U132">
            <v>32.69</v>
          </cell>
          <cell r="V132">
            <v>32.015000000000001</v>
          </cell>
          <cell r="W132">
            <v>34.44</v>
          </cell>
          <cell r="X132">
            <v>31.414999999999999</v>
          </cell>
          <cell r="Y132">
            <v>32.69</v>
          </cell>
          <cell r="Z132">
            <v>35.19</v>
          </cell>
          <cell r="AA132">
            <v>34.94</v>
          </cell>
          <cell r="AB132">
            <v>35.07</v>
          </cell>
          <cell r="AC132">
            <v>37.82</v>
          </cell>
          <cell r="AD132">
            <v>36.57</v>
          </cell>
          <cell r="AE132">
            <v>35.07</v>
          </cell>
          <cell r="AF132">
            <v>38.07</v>
          </cell>
          <cell r="AG132">
            <v>3.9664999999999999</v>
          </cell>
        </row>
        <row r="133">
          <cell r="A133">
            <v>40969</v>
          </cell>
          <cell r="B133">
            <v>37.200000000000003</v>
          </cell>
          <cell r="C133">
            <v>37.200000000000003</v>
          </cell>
          <cell r="D133">
            <v>37.200000000000003</v>
          </cell>
          <cell r="E133">
            <v>37.200000000000003</v>
          </cell>
          <cell r="F133">
            <v>31.75</v>
          </cell>
          <cell r="G133">
            <v>35.25</v>
          </cell>
          <cell r="H133">
            <v>31.75</v>
          </cell>
          <cell r="I133">
            <v>33.75</v>
          </cell>
          <cell r="J133">
            <v>33.25</v>
          </cell>
          <cell r="K133">
            <v>40.75</v>
          </cell>
          <cell r="L133">
            <v>45.25</v>
          </cell>
          <cell r="M133">
            <v>29.19</v>
          </cell>
          <cell r="N133">
            <v>27.64</v>
          </cell>
          <cell r="O133">
            <v>28.69</v>
          </cell>
          <cell r="P133">
            <v>29.94</v>
          </cell>
          <cell r="Q133">
            <v>34.14</v>
          </cell>
          <cell r="R133">
            <v>32.71</v>
          </cell>
          <cell r="S133">
            <v>29.19</v>
          </cell>
          <cell r="T133">
            <v>21.69</v>
          </cell>
          <cell r="U133">
            <v>30.44</v>
          </cell>
          <cell r="V133">
            <v>31.765000000000001</v>
          </cell>
          <cell r="W133">
            <v>32.19</v>
          </cell>
          <cell r="X133">
            <v>31.614999999999998</v>
          </cell>
          <cell r="Y133">
            <v>30.44</v>
          </cell>
          <cell r="Z133">
            <v>32.94</v>
          </cell>
          <cell r="AA133">
            <v>32.69</v>
          </cell>
          <cell r="AB133">
            <v>33.506</v>
          </cell>
          <cell r="AC133">
            <v>36.356000000000002</v>
          </cell>
          <cell r="AD133">
            <v>35.006</v>
          </cell>
          <cell r="AE133">
            <v>33.506</v>
          </cell>
          <cell r="AF133">
            <v>36.006</v>
          </cell>
          <cell r="AG133">
            <v>3.8365</v>
          </cell>
        </row>
        <row r="134">
          <cell r="A134">
            <v>41000</v>
          </cell>
          <cell r="B134">
            <v>37.450000000000003</v>
          </cell>
          <cell r="C134">
            <v>37.450000000000003</v>
          </cell>
          <cell r="D134">
            <v>37.450000000000003</v>
          </cell>
          <cell r="E134">
            <v>37.450000000000003</v>
          </cell>
          <cell r="F134">
            <v>31.75</v>
          </cell>
          <cell r="G134">
            <v>35.25</v>
          </cell>
          <cell r="H134">
            <v>31.75</v>
          </cell>
          <cell r="I134">
            <v>33.75</v>
          </cell>
          <cell r="J134">
            <v>33.25</v>
          </cell>
          <cell r="K134">
            <v>40.75</v>
          </cell>
          <cell r="L134">
            <v>45.25</v>
          </cell>
          <cell r="M134">
            <v>30.4</v>
          </cell>
          <cell r="N134">
            <v>28.85</v>
          </cell>
          <cell r="O134">
            <v>29.9</v>
          </cell>
          <cell r="P134">
            <v>31.15</v>
          </cell>
          <cell r="Q134">
            <v>34.9</v>
          </cell>
          <cell r="R134">
            <v>33.92</v>
          </cell>
          <cell r="S134">
            <v>30.4</v>
          </cell>
          <cell r="T134">
            <v>22.9</v>
          </cell>
          <cell r="U134">
            <v>30.44</v>
          </cell>
          <cell r="V134">
            <v>31.765999999999998</v>
          </cell>
          <cell r="W134">
            <v>32.19</v>
          </cell>
          <cell r="X134">
            <v>31.616</v>
          </cell>
          <cell r="Y134">
            <v>30.44</v>
          </cell>
          <cell r="Z134">
            <v>32.94</v>
          </cell>
          <cell r="AA134">
            <v>32.69</v>
          </cell>
          <cell r="AB134">
            <v>34.29</v>
          </cell>
          <cell r="AC134">
            <v>37.14</v>
          </cell>
          <cell r="AD134">
            <v>36.29</v>
          </cell>
          <cell r="AE134">
            <v>34.29</v>
          </cell>
          <cell r="AF134">
            <v>36.79</v>
          </cell>
          <cell r="AG134">
            <v>3.6515</v>
          </cell>
        </row>
        <row r="135">
          <cell r="A135">
            <v>41030</v>
          </cell>
          <cell r="B135">
            <v>37.450000000000003</v>
          </cell>
          <cell r="C135">
            <v>37.450000000000003</v>
          </cell>
          <cell r="D135">
            <v>37.450000000000003</v>
          </cell>
          <cell r="E135">
            <v>37.450000000000003</v>
          </cell>
          <cell r="F135">
            <v>34</v>
          </cell>
          <cell r="G135">
            <v>37.5</v>
          </cell>
          <cell r="H135">
            <v>34</v>
          </cell>
          <cell r="I135">
            <v>36</v>
          </cell>
          <cell r="J135">
            <v>34.5</v>
          </cell>
          <cell r="K135">
            <v>43</v>
          </cell>
          <cell r="L135">
            <v>49.5</v>
          </cell>
          <cell r="M135">
            <v>35.24</v>
          </cell>
          <cell r="N135">
            <v>33.74</v>
          </cell>
          <cell r="O135">
            <v>34.74</v>
          </cell>
          <cell r="P135">
            <v>36.24</v>
          </cell>
          <cell r="Q135">
            <v>34.54</v>
          </cell>
          <cell r="R135">
            <v>40.56</v>
          </cell>
          <cell r="S135">
            <v>35.24</v>
          </cell>
          <cell r="T135">
            <v>29.78</v>
          </cell>
          <cell r="U135">
            <v>35.64</v>
          </cell>
          <cell r="V135">
            <v>36.621000000000002</v>
          </cell>
          <cell r="W135">
            <v>37.39</v>
          </cell>
          <cell r="X135">
            <v>36.871000000000002</v>
          </cell>
          <cell r="Y135">
            <v>35.64</v>
          </cell>
          <cell r="Z135">
            <v>38.64</v>
          </cell>
          <cell r="AA135">
            <v>38.89</v>
          </cell>
          <cell r="AB135">
            <v>36.25</v>
          </cell>
          <cell r="AC135">
            <v>40</v>
          </cell>
          <cell r="AD135">
            <v>38.25</v>
          </cell>
          <cell r="AE135">
            <v>36.25</v>
          </cell>
          <cell r="AF135">
            <v>39.5</v>
          </cell>
          <cell r="AG135">
            <v>3.6465000000000001</v>
          </cell>
        </row>
        <row r="136">
          <cell r="A136">
            <v>41061</v>
          </cell>
          <cell r="B136">
            <v>43.5</v>
          </cell>
          <cell r="C136">
            <v>43.5</v>
          </cell>
          <cell r="D136">
            <v>43.5</v>
          </cell>
          <cell r="E136">
            <v>43.5</v>
          </cell>
          <cell r="F136">
            <v>44.5</v>
          </cell>
          <cell r="G136">
            <v>52.5</v>
          </cell>
          <cell r="H136">
            <v>44.5</v>
          </cell>
          <cell r="I136">
            <v>46.5</v>
          </cell>
          <cell r="J136">
            <v>44.5</v>
          </cell>
          <cell r="K136">
            <v>54</v>
          </cell>
          <cell r="L136">
            <v>60.5</v>
          </cell>
          <cell r="M136">
            <v>44.42</v>
          </cell>
          <cell r="N136">
            <v>42.77</v>
          </cell>
          <cell r="O136">
            <v>43.92</v>
          </cell>
          <cell r="P136">
            <v>45.92</v>
          </cell>
          <cell r="Q136">
            <v>41.92</v>
          </cell>
          <cell r="R136">
            <v>48.74</v>
          </cell>
          <cell r="S136">
            <v>44.42</v>
          </cell>
          <cell r="T136">
            <v>39.229999999999997</v>
          </cell>
          <cell r="U136">
            <v>45.96</v>
          </cell>
          <cell r="V136">
            <v>47.414999999999999</v>
          </cell>
          <cell r="W136">
            <v>47.71</v>
          </cell>
          <cell r="X136">
            <v>46.965000000000003</v>
          </cell>
          <cell r="Y136">
            <v>45.96</v>
          </cell>
          <cell r="Z136">
            <v>49.21</v>
          </cell>
          <cell r="AA136">
            <v>51.21</v>
          </cell>
          <cell r="AB136">
            <v>40.299999999999997</v>
          </cell>
          <cell r="AC136">
            <v>45.55</v>
          </cell>
          <cell r="AD136">
            <v>41.05</v>
          </cell>
          <cell r="AE136">
            <v>40.299999999999997</v>
          </cell>
          <cell r="AF136">
            <v>44.8</v>
          </cell>
          <cell r="AG136">
            <v>3.6815000000000002</v>
          </cell>
        </row>
        <row r="137">
          <cell r="A137">
            <v>41091</v>
          </cell>
          <cell r="B137">
            <v>52.25</v>
          </cell>
          <cell r="C137">
            <v>52.25</v>
          </cell>
          <cell r="D137">
            <v>52.25</v>
          </cell>
          <cell r="E137">
            <v>52.25</v>
          </cell>
          <cell r="F137">
            <v>53.25</v>
          </cell>
          <cell r="G137">
            <v>66.25</v>
          </cell>
          <cell r="H137">
            <v>53.25</v>
          </cell>
          <cell r="I137">
            <v>55.25</v>
          </cell>
          <cell r="J137">
            <v>55.5</v>
          </cell>
          <cell r="K137">
            <v>72.75</v>
          </cell>
          <cell r="L137">
            <v>81.5</v>
          </cell>
          <cell r="M137">
            <v>58.21</v>
          </cell>
          <cell r="N137">
            <v>56.16</v>
          </cell>
          <cell r="O137">
            <v>57.71</v>
          </cell>
          <cell r="P137">
            <v>60.71</v>
          </cell>
          <cell r="Q137">
            <v>46.11</v>
          </cell>
          <cell r="R137">
            <v>58.46</v>
          </cell>
          <cell r="S137">
            <v>58.21</v>
          </cell>
          <cell r="T137">
            <v>48.74</v>
          </cell>
          <cell r="U137">
            <v>57.05</v>
          </cell>
          <cell r="V137">
            <v>59.872</v>
          </cell>
          <cell r="W137">
            <v>58.8</v>
          </cell>
          <cell r="X137">
            <v>58.762</v>
          </cell>
          <cell r="Y137">
            <v>57.05</v>
          </cell>
          <cell r="Z137">
            <v>60.3</v>
          </cell>
          <cell r="AA137">
            <v>62.3</v>
          </cell>
          <cell r="AB137">
            <v>49.85</v>
          </cell>
          <cell r="AC137">
            <v>60.3</v>
          </cell>
          <cell r="AD137">
            <v>52.7</v>
          </cell>
          <cell r="AE137">
            <v>49.85</v>
          </cell>
          <cell r="AF137">
            <v>57.85</v>
          </cell>
          <cell r="AG137">
            <v>3.7214999999999998</v>
          </cell>
        </row>
        <row r="138">
          <cell r="A138">
            <v>41122</v>
          </cell>
          <cell r="B138">
            <v>52.25</v>
          </cell>
          <cell r="C138">
            <v>52.25</v>
          </cell>
          <cell r="D138">
            <v>52.25</v>
          </cell>
          <cell r="E138">
            <v>52.25</v>
          </cell>
          <cell r="F138">
            <v>53.25</v>
          </cell>
          <cell r="G138">
            <v>66.25</v>
          </cell>
          <cell r="H138">
            <v>53.25</v>
          </cell>
          <cell r="I138">
            <v>55.25</v>
          </cell>
          <cell r="J138">
            <v>55.5</v>
          </cell>
          <cell r="K138">
            <v>72.75</v>
          </cell>
          <cell r="L138">
            <v>81.5</v>
          </cell>
          <cell r="M138">
            <v>57.56</v>
          </cell>
          <cell r="N138">
            <v>55.51</v>
          </cell>
          <cell r="O138">
            <v>57.06</v>
          </cell>
          <cell r="P138">
            <v>60.06</v>
          </cell>
          <cell r="Q138">
            <v>45.46</v>
          </cell>
          <cell r="R138">
            <v>58.81</v>
          </cell>
          <cell r="S138">
            <v>57.56</v>
          </cell>
          <cell r="T138">
            <v>48.09</v>
          </cell>
          <cell r="U138">
            <v>56.05</v>
          </cell>
          <cell r="V138">
            <v>60.122</v>
          </cell>
          <cell r="W138">
            <v>57.8</v>
          </cell>
          <cell r="X138">
            <v>58.112000000000002</v>
          </cell>
          <cell r="Y138">
            <v>56.05</v>
          </cell>
          <cell r="Z138">
            <v>59.3</v>
          </cell>
          <cell r="AA138">
            <v>61.3</v>
          </cell>
          <cell r="AB138">
            <v>49.45</v>
          </cell>
          <cell r="AC138">
            <v>59.9</v>
          </cell>
          <cell r="AD138">
            <v>52.7</v>
          </cell>
          <cell r="AE138">
            <v>49.45</v>
          </cell>
          <cell r="AF138">
            <v>57.45</v>
          </cell>
          <cell r="AG138">
            <v>3.7614999999999998</v>
          </cell>
        </row>
        <row r="139">
          <cell r="A139">
            <v>41153</v>
          </cell>
          <cell r="B139">
            <v>36.450000000000003</v>
          </cell>
          <cell r="C139">
            <v>36.450000000000003</v>
          </cell>
          <cell r="D139">
            <v>36.450000000000003</v>
          </cell>
          <cell r="E139">
            <v>36.450000000000003</v>
          </cell>
          <cell r="F139">
            <v>31.5</v>
          </cell>
          <cell r="G139">
            <v>35</v>
          </cell>
          <cell r="H139">
            <v>31.5</v>
          </cell>
          <cell r="I139">
            <v>33.5</v>
          </cell>
          <cell r="J139">
            <v>33</v>
          </cell>
          <cell r="K139">
            <v>41</v>
          </cell>
          <cell r="L139">
            <v>44.5</v>
          </cell>
          <cell r="M139">
            <v>28.34</v>
          </cell>
          <cell r="N139">
            <v>27.09</v>
          </cell>
          <cell r="O139">
            <v>27.84</v>
          </cell>
          <cell r="P139">
            <v>29.84</v>
          </cell>
          <cell r="Q139">
            <v>26.94</v>
          </cell>
          <cell r="R139">
            <v>31.02</v>
          </cell>
          <cell r="S139">
            <v>28.34</v>
          </cell>
          <cell r="T139">
            <v>22.78</v>
          </cell>
          <cell r="U139">
            <v>27.8</v>
          </cell>
          <cell r="V139">
            <v>27.341999999999999</v>
          </cell>
          <cell r="W139">
            <v>29.55</v>
          </cell>
          <cell r="X139">
            <v>26.891999999999999</v>
          </cell>
          <cell r="Y139">
            <v>27.8</v>
          </cell>
          <cell r="Z139">
            <v>30.55</v>
          </cell>
          <cell r="AA139">
            <v>32.049999999999997</v>
          </cell>
          <cell r="AB139">
            <v>37.200000000000003</v>
          </cell>
          <cell r="AC139">
            <v>39.1</v>
          </cell>
          <cell r="AD139">
            <v>41</v>
          </cell>
          <cell r="AE139">
            <v>37.200000000000003</v>
          </cell>
          <cell r="AF139">
            <v>43.6</v>
          </cell>
          <cell r="AG139">
            <v>3.7444999999999999</v>
          </cell>
        </row>
        <row r="140">
          <cell r="A140">
            <v>41183</v>
          </cell>
          <cell r="B140">
            <v>36.200000000000003</v>
          </cell>
          <cell r="C140">
            <v>36.200000000000003</v>
          </cell>
          <cell r="D140">
            <v>36.200000000000003</v>
          </cell>
          <cell r="E140">
            <v>36.200000000000003</v>
          </cell>
          <cell r="F140">
            <v>31.5</v>
          </cell>
          <cell r="G140">
            <v>35</v>
          </cell>
          <cell r="H140">
            <v>31.5</v>
          </cell>
          <cell r="I140">
            <v>33.5</v>
          </cell>
          <cell r="J140">
            <v>33</v>
          </cell>
          <cell r="K140">
            <v>41</v>
          </cell>
          <cell r="L140">
            <v>44.5</v>
          </cell>
          <cell r="M140">
            <v>29.53</v>
          </cell>
          <cell r="N140">
            <v>28.28</v>
          </cell>
          <cell r="O140">
            <v>29.03</v>
          </cell>
          <cell r="P140">
            <v>29.53</v>
          </cell>
          <cell r="Q140">
            <v>33.47</v>
          </cell>
          <cell r="R140">
            <v>31.18</v>
          </cell>
          <cell r="S140">
            <v>29.53</v>
          </cell>
          <cell r="T140">
            <v>21.53</v>
          </cell>
          <cell r="U140">
            <v>31.04</v>
          </cell>
          <cell r="V140">
            <v>30.492000000000001</v>
          </cell>
          <cell r="W140">
            <v>32.79</v>
          </cell>
          <cell r="X140">
            <v>30.091999999999999</v>
          </cell>
          <cell r="Y140">
            <v>31.04</v>
          </cell>
          <cell r="Z140">
            <v>33.54</v>
          </cell>
          <cell r="AA140">
            <v>33.29</v>
          </cell>
          <cell r="AB140">
            <v>35.42</v>
          </cell>
          <cell r="AC140">
            <v>37.369999999999997</v>
          </cell>
          <cell r="AD140">
            <v>37.42</v>
          </cell>
          <cell r="AE140">
            <v>35.42</v>
          </cell>
          <cell r="AF140">
            <v>38.53</v>
          </cell>
          <cell r="AG140">
            <v>3.7694999999999999</v>
          </cell>
        </row>
        <row r="141">
          <cell r="A141">
            <v>41214</v>
          </cell>
          <cell r="B141">
            <v>36.200000000000003</v>
          </cell>
          <cell r="C141">
            <v>36.200000000000003</v>
          </cell>
          <cell r="D141">
            <v>36.200000000000003</v>
          </cell>
          <cell r="E141">
            <v>36.200000000000003</v>
          </cell>
          <cell r="F141">
            <v>31.5</v>
          </cell>
          <cell r="G141">
            <v>35</v>
          </cell>
          <cell r="H141">
            <v>31.5</v>
          </cell>
          <cell r="I141">
            <v>33.5</v>
          </cell>
          <cell r="J141">
            <v>33</v>
          </cell>
          <cell r="K141">
            <v>41</v>
          </cell>
          <cell r="L141">
            <v>44.5</v>
          </cell>
          <cell r="M141">
            <v>30.64</v>
          </cell>
          <cell r="N141">
            <v>29.39</v>
          </cell>
          <cell r="O141">
            <v>30.14</v>
          </cell>
          <cell r="P141">
            <v>30.64</v>
          </cell>
          <cell r="Q141">
            <v>37.979999999999997</v>
          </cell>
          <cell r="R141">
            <v>32.29</v>
          </cell>
          <cell r="S141">
            <v>30.64</v>
          </cell>
          <cell r="T141">
            <v>22.64</v>
          </cell>
          <cell r="U141">
            <v>31.04</v>
          </cell>
          <cell r="V141">
            <v>30.591999999999999</v>
          </cell>
          <cell r="W141">
            <v>32.79</v>
          </cell>
          <cell r="X141">
            <v>30.192</v>
          </cell>
          <cell r="Y141">
            <v>31.04</v>
          </cell>
          <cell r="Z141">
            <v>33.54</v>
          </cell>
          <cell r="AA141">
            <v>33.29</v>
          </cell>
          <cell r="AB141">
            <v>34.42</v>
          </cell>
          <cell r="AC141">
            <v>36.119999999999997</v>
          </cell>
          <cell r="AD141">
            <v>36.42</v>
          </cell>
          <cell r="AE141">
            <v>34.42</v>
          </cell>
          <cell r="AF141">
            <v>37.53</v>
          </cell>
          <cell r="AG141">
            <v>3.9215</v>
          </cell>
        </row>
        <row r="142">
          <cell r="A142">
            <v>41244</v>
          </cell>
          <cell r="B142">
            <v>36.200000000000003</v>
          </cell>
          <cell r="C142">
            <v>36.200000000000003</v>
          </cell>
          <cell r="D142">
            <v>36.200000000000003</v>
          </cell>
          <cell r="E142">
            <v>36.200000000000003</v>
          </cell>
          <cell r="F142">
            <v>31.5</v>
          </cell>
          <cell r="G142">
            <v>35</v>
          </cell>
          <cell r="H142">
            <v>31.5</v>
          </cell>
          <cell r="I142">
            <v>33.5</v>
          </cell>
          <cell r="J142">
            <v>33</v>
          </cell>
          <cell r="K142">
            <v>41</v>
          </cell>
          <cell r="L142">
            <v>44.5</v>
          </cell>
          <cell r="M142">
            <v>31.16</v>
          </cell>
          <cell r="N142">
            <v>29.91</v>
          </cell>
          <cell r="O142">
            <v>30.66</v>
          </cell>
          <cell r="P142">
            <v>31.16</v>
          </cell>
          <cell r="Q142">
            <v>38.9</v>
          </cell>
          <cell r="R142">
            <v>32.799999999999997</v>
          </cell>
          <cell r="S142">
            <v>31.16</v>
          </cell>
          <cell r="T142">
            <v>23.16</v>
          </cell>
          <cell r="U142">
            <v>31.04</v>
          </cell>
          <cell r="V142">
            <v>30.692</v>
          </cell>
          <cell r="W142">
            <v>32.79</v>
          </cell>
          <cell r="X142">
            <v>30.292000000000002</v>
          </cell>
          <cell r="Y142">
            <v>31.04</v>
          </cell>
          <cell r="Z142">
            <v>33.54</v>
          </cell>
          <cell r="AA142">
            <v>33.29</v>
          </cell>
          <cell r="AB142">
            <v>35.32</v>
          </cell>
          <cell r="AC142">
            <v>37.67</v>
          </cell>
          <cell r="AD142">
            <v>37.17</v>
          </cell>
          <cell r="AE142">
            <v>35.32</v>
          </cell>
          <cell r="AF142">
            <v>38.93</v>
          </cell>
          <cell r="AG142">
            <v>4.0644999999999998</v>
          </cell>
        </row>
        <row r="143">
          <cell r="A143">
            <v>41275</v>
          </cell>
          <cell r="B143">
            <v>45</v>
          </cell>
          <cell r="C143">
            <v>45</v>
          </cell>
          <cell r="D143">
            <v>45</v>
          </cell>
          <cell r="E143">
            <v>45</v>
          </cell>
          <cell r="F143">
            <v>34.5</v>
          </cell>
          <cell r="G143">
            <v>38</v>
          </cell>
          <cell r="H143">
            <v>34.5</v>
          </cell>
          <cell r="I143">
            <v>36.5</v>
          </cell>
          <cell r="J143">
            <v>36.5</v>
          </cell>
          <cell r="K143">
            <v>47.5</v>
          </cell>
          <cell r="L143">
            <v>52.5</v>
          </cell>
          <cell r="M143">
            <v>33.5</v>
          </cell>
          <cell r="N143">
            <v>31.95</v>
          </cell>
          <cell r="O143">
            <v>33</v>
          </cell>
          <cell r="P143">
            <v>34</v>
          </cell>
          <cell r="Q143">
            <v>39.200000000000003</v>
          </cell>
          <cell r="R143">
            <v>37.020000000000003</v>
          </cell>
          <cell r="S143">
            <v>33.5</v>
          </cell>
          <cell r="T143">
            <v>28.5</v>
          </cell>
          <cell r="U143">
            <v>34.159999999999997</v>
          </cell>
          <cell r="V143">
            <v>32.731999999999999</v>
          </cell>
          <cell r="W143">
            <v>35.909999999999997</v>
          </cell>
          <cell r="X143">
            <v>32.131999999999998</v>
          </cell>
          <cell r="Y143">
            <v>34.159999999999997</v>
          </cell>
          <cell r="Z143">
            <v>36.659999999999997</v>
          </cell>
          <cell r="AA143">
            <v>36.409999999999997</v>
          </cell>
          <cell r="AB143">
            <v>36.82</v>
          </cell>
          <cell r="AC143">
            <v>39.57</v>
          </cell>
          <cell r="AD143">
            <v>38.82</v>
          </cell>
          <cell r="AE143">
            <v>36.82</v>
          </cell>
          <cell r="AF143">
            <v>40.22</v>
          </cell>
          <cell r="AG143">
            <v>4.1025</v>
          </cell>
        </row>
        <row r="144">
          <cell r="A144">
            <v>41306</v>
          </cell>
          <cell r="B144">
            <v>45</v>
          </cell>
          <cell r="C144">
            <v>45</v>
          </cell>
          <cell r="D144">
            <v>45</v>
          </cell>
          <cell r="E144">
            <v>45</v>
          </cell>
          <cell r="F144">
            <v>34.5</v>
          </cell>
          <cell r="G144">
            <v>38</v>
          </cell>
          <cell r="H144">
            <v>34.5</v>
          </cell>
          <cell r="I144">
            <v>36.5</v>
          </cell>
          <cell r="J144">
            <v>36.5</v>
          </cell>
          <cell r="K144">
            <v>47.5</v>
          </cell>
          <cell r="L144">
            <v>52.5</v>
          </cell>
          <cell r="M144">
            <v>32.229999999999997</v>
          </cell>
          <cell r="N144">
            <v>30.68</v>
          </cell>
          <cell r="O144">
            <v>31.73</v>
          </cell>
          <cell r="P144">
            <v>32.729999999999997</v>
          </cell>
          <cell r="Q144">
            <v>38.93</v>
          </cell>
          <cell r="R144">
            <v>36.020000000000003</v>
          </cell>
          <cell r="S144">
            <v>32.229999999999997</v>
          </cell>
          <cell r="T144">
            <v>26.73</v>
          </cell>
          <cell r="U144">
            <v>33.19</v>
          </cell>
          <cell r="V144">
            <v>32.515000000000001</v>
          </cell>
          <cell r="W144">
            <v>34.94</v>
          </cell>
          <cell r="X144">
            <v>31.914999999999999</v>
          </cell>
          <cell r="Y144">
            <v>33.19</v>
          </cell>
          <cell r="Z144">
            <v>35.69</v>
          </cell>
          <cell r="AA144">
            <v>35.44</v>
          </cell>
          <cell r="AB144">
            <v>36.07</v>
          </cell>
          <cell r="AC144">
            <v>38.82</v>
          </cell>
          <cell r="AD144">
            <v>37.57</v>
          </cell>
          <cell r="AE144">
            <v>36.07</v>
          </cell>
          <cell r="AF144">
            <v>39.07</v>
          </cell>
          <cell r="AG144">
            <v>4.0465</v>
          </cell>
        </row>
        <row r="145">
          <cell r="A145">
            <v>41334</v>
          </cell>
          <cell r="B145">
            <v>37.5</v>
          </cell>
          <cell r="C145">
            <v>37.5</v>
          </cell>
          <cell r="D145">
            <v>37.5</v>
          </cell>
          <cell r="E145">
            <v>37.5</v>
          </cell>
          <cell r="F145">
            <v>32</v>
          </cell>
          <cell r="G145">
            <v>35.5</v>
          </cell>
          <cell r="H145">
            <v>32</v>
          </cell>
          <cell r="I145">
            <v>34</v>
          </cell>
          <cell r="J145">
            <v>33.5</v>
          </cell>
          <cell r="K145">
            <v>41</v>
          </cell>
          <cell r="L145">
            <v>45</v>
          </cell>
          <cell r="M145">
            <v>30.77</v>
          </cell>
          <cell r="N145">
            <v>29.22</v>
          </cell>
          <cell r="O145">
            <v>30.27</v>
          </cell>
          <cell r="P145">
            <v>31.52</v>
          </cell>
          <cell r="Q145">
            <v>35.72</v>
          </cell>
          <cell r="R145">
            <v>34.29</v>
          </cell>
          <cell r="S145">
            <v>30.77</v>
          </cell>
          <cell r="T145">
            <v>23.02</v>
          </cell>
          <cell r="U145">
            <v>30.94</v>
          </cell>
          <cell r="V145">
            <v>32.265000000000001</v>
          </cell>
          <cell r="W145">
            <v>32.69</v>
          </cell>
          <cell r="X145">
            <v>32.115000000000002</v>
          </cell>
          <cell r="Y145">
            <v>30.94</v>
          </cell>
          <cell r="Z145">
            <v>33.44</v>
          </cell>
          <cell r="AA145">
            <v>33.19</v>
          </cell>
          <cell r="AB145">
            <v>34.506</v>
          </cell>
          <cell r="AC145">
            <v>37.356000000000002</v>
          </cell>
          <cell r="AD145">
            <v>36.006</v>
          </cell>
          <cell r="AE145">
            <v>34.506</v>
          </cell>
          <cell r="AF145">
            <v>37.006</v>
          </cell>
          <cell r="AG145">
            <v>3.9165000000000001</v>
          </cell>
        </row>
        <row r="146">
          <cell r="A146">
            <v>41365</v>
          </cell>
          <cell r="B146">
            <v>37.75</v>
          </cell>
          <cell r="C146">
            <v>37.75</v>
          </cell>
          <cell r="D146">
            <v>37.75</v>
          </cell>
          <cell r="E146">
            <v>37.75</v>
          </cell>
          <cell r="F146">
            <v>32</v>
          </cell>
          <cell r="G146">
            <v>35.5</v>
          </cell>
          <cell r="H146">
            <v>32</v>
          </cell>
          <cell r="I146">
            <v>34</v>
          </cell>
          <cell r="J146">
            <v>33.5</v>
          </cell>
          <cell r="K146">
            <v>41</v>
          </cell>
          <cell r="L146">
            <v>45</v>
          </cell>
          <cell r="M146">
            <v>30.72</v>
          </cell>
          <cell r="N146">
            <v>29.17</v>
          </cell>
          <cell r="O146">
            <v>30.22</v>
          </cell>
          <cell r="P146">
            <v>31.47</v>
          </cell>
          <cell r="Q146">
            <v>35.22</v>
          </cell>
          <cell r="R146">
            <v>34.24</v>
          </cell>
          <cell r="S146">
            <v>30.72</v>
          </cell>
          <cell r="T146">
            <v>22.97</v>
          </cell>
          <cell r="U146">
            <v>30.94</v>
          </cell>
          <cell r="V146">
            <v>32.265999999999998</v>
          </cell>
          <cell r="W146">
            <v>32.69</v>
          </cell>
          <cell r="X146">
            <v>32.116</v>
          </cell>
          <cell r="Y146">
            <v>30.94</v>
          </cell>
          <cell r="Z146">
            <v>33.44</v>
          </cell>
          <cell r="AA146">
            <v>33.19</v>
          </cell>
          <cell r="AB146">
            <v>35.29</v>
          </cell>
          <cell r="AC146">
            <v>38.14</v>
          </cell>
          <cell r="AD146">
            <v>37.29</v>
          </cell>
          <cell r="AE146">
            <v>35.29</v>
          </cell>
          <cell r="AF146">
            <v>37.79</v>
          </cell>
          <cell r="AG146">
            <v>3.7315</v>
          </cell>
        </row>
        <row r="147">
          <cell r="A147">
            <v>41395</v>
          </cell>
          <cell r="B147">
            <v>37.950000000000003</v>
          </cell>
          <cell r="C147">
            <v>37.950000000000003</v>
          </cell>
          <cell r="D147">
            <v>37.950000000000003</v>
          </cell>
          <cell r="E147">
            <v>37.950000000000003</v>
          </cell>
          <cell r="F147">
            <v>34.5</v>
          </cell>
          <cell r="G147">
            <v>38</v>
          </cell>
          <cell r="H147">
            <v>34.5</v>
          </cell>
          <cell r="I147">
            <v>36.5</v>
          </cell>
          <cell r="J147">
            <v>35</v>
          </cell>
          <cell r="K147">
            <v>43.5</v>
          </cell>
          <cell r="L147">
            <v>49.5</v>
          </cell>
          <cell r="M147">
            <v>34.96</v>
          </cell>
          <cell r="N147">
            <v>33.46</v>
          </cell>
          <cell r="O147">
            <v>34.46</v>
          </cell>
          <cell r="P147">
            <v>35.96</v>
          </cell>
          <cell r="Q147">
            <v>34.26</v>
          </cell>
          <cell r="R147">
            <v>40.28</v>
          </cell>
          <cell r="S147">
            <v>34.96</v>
          </cell>
          <cell r="T147">
            <v>29.42</v>
          </cell>
          <cell r="U147">
            <v>36.64</v>
          </cell>
          <cell r="V147">
            <v>37.621000000000002</v>
          </cell>
          <cell r="W147">
            <v>38.39</v>
          </cell>
          <cell r="X147">
            <v>37.871000000000002</v>
          </cell>
          <cell r="Y147">
            <v>36.64</v>
          </cell>
          <cell r="Z147">
            <v>39.64</v>
          </cell>
          <cell r="AA147">
            <v>39.89</v>
          </cell>
          <cell r="AB147">
            <v>37.25</v>
          </cell>
          <cell r="AC147">
            <v>41</v>
          </cell>
          <cell r="AD147">
            <v>39.25</v>
          </cell>
          <cell r="AE147">
            <v>37.25</v>
          </cell>
          <cell r="AF147">
            <v>40.5</v>
          </cell>
          <cell r="AG147">
            <v>3.7265000000000001</v>
          </cell>
        </row>
        <row r="148">
          <cell r="A148">
            <v>41426</v>
          </cell>
          <cell r="B148">
            <v>44.5</v>
          </cell>
          <cell r="C148">
            <v>44.5</v>
          </cell>
          <cell r="D148">
            <v>44.5</v>
          </cell>
          <cell r="E148">
            <v>44.5</v>
          </cell>
          <cell r="F148">
            <v>44.5</v>
          </cell>
          <cell r="G148">
            <v>52.5</v>
          </cell>
          <cell r="H148">
            <v>44.5</v>
          </cell>
          <cell r="I148">
            <v>46.5</v>
          </cell>
          <cell r="J148">
            <v>45</v>
          </cell>
          <cell r="K148">
            <v>54.5</v>
          </cell>
          <cell r="L148">
            <v>61</v>
          </cell>
          <cell r="M148">
            <v>45.92</v>
          </cell>
          <cell r="N148">
            <v>44.27</v>
          </cell>
          <cell r="O148">
            <v>45.42</v>
          </cell>
          <cell r="P148">
            <v>47.42</v>
          </cell>
          <cell r="Q148">
            <v>43.42</v>
          </cell>
          <cell r="R148">
            <v>50.24</v>
          </cell>
          <cell r="S148">
            <v>45.92</v>
          </cell>
          <cell r="T148">
            <v>40.380000000000003</v>
          </cell>
          <cell r="U148">
            <v>47.96</v>
          </cell>
          <cell r="V148">
            <v>49.414999999999999</v>
          </cell>
          <cell r="W148">
            <v>49.71</v>
          </cell>
          <cell r="X148">
            <v>48.965000000000003</v>
          </cell>
          <cell r="Y148">
            <v>47.96</v>
          </cell>
          <cell r="Z148">
            <v>51.21</v>
          </cell>
          <cell r="AA148">
            <v>53.21</v>
          </cell>
          <cell r="AB148">
            <v>41.3</v>
          </cell>
          <cell r="AC148">
            <v>46.55</v>
          </cell>
          <cell r="AD148">
            <v>42.05</v>
          </cell>
          <cell r="AE148">
            <v>41.3</v>
          </cell>
          <cell r="AF148">
            <v>45.8</v>
          </cell>
          <cell r="AG148">
            <v>3.7614999999999998</v>
          </cell>
        </row>
        <row r="149">
          <cell r="A149">
            <v>41456</v>
          </cell>
          <cell r="B149">
            <v>54.25</v>
          </cell>
          <cell r="C149">
            <v>54.25</v>
          </cell>
          <cell r="D149">
            <v>54.25</v>
          </cell>
          <cell r="E149">
            <v>54.25</v>
          </cell>
          <cell r="F149">
            <v>53.75</v>
          </cell>
          <cell r="G149">
            <v>66.75</v>
          </cell>
          <cell r="H149">
            <v>53.75</v>
          </cell>
          <cell r="I149">
            <v>55.75</v>
          </cell>
          <cell r="J149">
            <v>56</v>
          </cell>
          <cell r="K149">
            <v>73</v>
          </cell>
          <cell r="L149">
            <v>81.5</v>
          </cell>
          <cell r="M149">
            <v>59.994999999999997</v>
          </cell>
          <cell r="N149">
            <v>57.945</v>
          </cell>
          <cell r="O149">
            <v>59.494999999999997</v>
          </cell>
          <cell r="P149">
            <v>62.494999999999997</v>
          </cell>
          <cell r="Q149">
            <v>47.895000000000003</v>
          </cell>
          <cell r="R149">
            <v>60.244999999999997</v>
          </cell>
          <cell r="S149">
            <v>59.994999999999997</v>
          </cell>
          <cell r="T149">
            <v>49.924999999999997</v>
          </cell>
          <cell r="U149">
            <v>59.05</v>
          </cell>
          <cell r="V149">
            <v>61.872</v>
          </cell>
          <cell r="W149">
            <v>60.8</v>
          </cell>
          <cell r="X149">
            <v>60.762</v>
          </cell>
          <cell r="Y149">
            <v>59.05</v>
          </cell>
          <cell r="Z149">
            <v>62.3</v>
          </cell>
          <cell r="AA149">
            <v>64.3</v>
          </cell>
          <cell r="AB149">
            <v>50.85</v>
          </cell>
          <cell r="AC149">
            <v>61.3</v>
          </cell>
          <cell r="AD149">
            <v>53.7</v>
          </cell>
          <cell r="AE149">
            <v>50.85</v>
          </cell>
          <cell r="AF149">
            <v>58.85</v>
          </cell>
          <cell r="AG149">
            <v>3.8014999999999999</v>
          </cell>
        </row>
        <row r="150">
          <cell r="A150">
            <v>41487</v>
          </cell>
          <cell r="B150">
            <v>54.25</v>
          </cell>
          <cell r="C150">
            <v>54.25</v>
          </cell>
          <cell r="D150">
            <v>54.25</v>
          </cell>
          <cell r="E150">
            <v>54.25</v>
          </cell>
          <cell r="F150">
            <v>53.75</v>
          </cell>
          <cell r="G150">
            <v>66.75</v>
          </cell>
          <cell r="H150">
            <v>53.75</v>
          </cell>
          <cell r="I150">
            <v>55.75</v>
          </cell>
          <cell r="J150">
            <v>56</v>
          </cell>
          <cell r="K150">
            <v>73</v>
          </cell>
          <cell r="L150">
            <v>81.5</v>
          </cell>
          <cell r="M150">
            <v>59.825000000000003</v>
          </cell>
          <cell r="N150">
            <v>57.774999999999999</v>
          </cell>
          <cell r="O150">
            <v>59.325000000000003</v>
          </cell>
          <cell r="P150">
            <v>62.325000000000003</v>
          </cell>
          <cell r="Q150">
            <v>47.725000000000001</v>
          </cell>
          <cell r="R150">
            <v>61.075000000000003</v>
          </cell>
          <cell r="S150">
            <v>59.825000000000003</v>
          </cell>
          <cell r="T150">
            <v>49.755000000000003</v>
          </cell>
          <cell r="U150">
            <v>58.05</v>
          </cell>
          <cell r="V150">
            <v>62.122</v>
          </cell>
          <cell r="W150">
            <v>59.8</v>
          </cell>
          <cell r="X150">
            <v>60.112000000000002</v>
          </cell>
          <cell r="Y150">
            <v>58.05</v>
          </cell>
          <cell r="Z150">
            <v>61.3</v>
          </cell>
          <cell r="AA150">
            <v>63.3</v>
          </cell>
          <cell r="AB150">
            <v>50.45</v>
          </cell>
          <cell r="AC150">
            <v>60.9</v>
          </cell>
          <cell r="AD150">
            <v>53.7</v>
          </cell>
          <cell r="AE150">
            <v>50.45</v>
          </cell>
          <cell r="AF150">
            <v>58.45</v>
          </cell>
          <cell r="AG150">
            <v>3.8414999999999999</v>
          </cell>
        </row>
        <row r="151">
          <cell r="A151">
            <v>41518</v>
          </cell>
          <cell r="B151">
            <v>36.5</v>
          </cell>
          <cell r="C151">
            <v>36.5</v>
          </cell>
          <cell r="D151">
            <v>36.5</v>
          </cell>
          <cell r="E151">
            <v>36.5</v>
          </cell>
          <cell r="F151">
            <v>32</v>
          </cell>
          <cell r="G151">
            <v>35.5</v>
          </cell>
          <cell r="H151">
            <v>32</v>
          </cell>
          <cell r="I151">
            <v>34</v>
          </cell>
          <cell r="J151">
            <v>34</v>
          </cell>
          <cell r="K151">
            <v>41.5</v>
          </cell>
          <cell r="L151">
            <v>44.5</v>
          </cell>
          <cell r="M151">
            <v>29.08</v>
          </cell>
          <cell r="N151">
            <v>27.83</v>
          </cell>
          <cell r="O151">
            <v>28.58</v>
          </cell>
          <cell r="P151">
            <v>30.58</v>
          </cell>
          <cell r="Q151">
            <v>27.68</v>
          </cell>
          <cell r="R151">
            <v>31.76</v>
          </cell>
          <cell r="S151">
            <v>29.08</v>
          </cell>
          <cell r="T151">
            <v>23.44</v>
          </cell>
          <cell r="U151">
            <v>28.05</v>
          </cell>
          <cell r="V151">
            <v>27.591999999999999</v>
          </cell>
          <cell r="W151">
            <v>29.8</v>
          </cell>
          <cell r="X151">
            <v>27.141999999999999</v>
          </cell>
          <cell r="Y151">
            <v>28.05</v>
          </cell>
          <cell r="Z151">
            <v>30.8</v>
          </cell>
          <cell r="AA151">
            <v>32.299999999999997</v>
          </cell>
          <cell r="AB151">
            <v>38.200000000000003</v>
          </cell>
          <cell r="AC151">
            <v>40.1</v>
          </cell>
          <cell r="AD151">
            <v>42</v>
          </cell>
          <cell r="AE151">
            <v>38.200000000000003</v>
          </cell>
          <cell r="AF151">
            <v>44.6</v>
          </cell>
          <cell r="AG151">
            <v>3.8245</v>
          </cell>
        </row>
        <row r="152">
          <cell r="A152">
            <v>41548</v>
          </cell>
          <cell r="B152">
            <v>36.25</v>
          </cell>
          <cell r="C152">
            <v>36.25</v>
          </cell>
          <cell r="D152">
            <v>36.25</v>
          </cell>
          <cell r="E152">
            <v>36.25</v>
          </cell>
          <cell r="F152">
            <v>32</v>
          </cell>
          <cell r="G152">
            <v>35.5</v>
          </cell>
          <cell r="H152">
            <v>32</v>
          </cell>
          <cell r="I152">
            <v>34</v>
          </cell>
          <cell r="J152">
            <v>34</v>
          </cell>
          <cell r="K152">
            <v>41.5</v>
          </cell>
          <cell r="L152">
            <v>44.5</v>
          </cell>
          <cell r="M152">
            <v>31.46</v>
          </cell>
          <cell r="N152">
            <v>30.21</v>
          </cell>
          <cell r="O152">
            <v>30.96</v>
          </cell>
          <cell r="P152">
            <v>31.46</v>
          </cell>
          <cell r="Q152">
            <v>35.4</v>
          </cell>
          <cell r="R152">
            <v>33.11</v>
          </cell>
          <cell r="S152">
            <v>31.46</v>
          </cell>
          <cell r="T152">
            <v>23.21</v>
          </cell>
          <cell r="U152">
            <v>31.54</v>
          </cell>
          <cell r="V152">
            <v>30.992000000000001</v>
          </cell>
          <cell r="W152">
            <v>33.29</v>
          </cell>
          <cell r="X152">
            <v>30.591999999999999</v>
          </cell>
          <cell r="Y152">
            <v>31.54</v>
          </cell>
          <cell r="Z152">
            <v>34.04</v>
          </cell>
          <cell r="AA152">
            <v>33.79</v>
          </cell>
          <cell r="AB152">
            <v>36.42</v>
          </cell>
          <cell r="AC152">
            <v>38.369999999999997</v>
          </cell>
          <cell r="AD152">
            <v>38.42</v>
          </cell>
          <cell r="AE152">
            <v>36.42</v>
          </cell>
          <cell r="AF152">
            <v>39.53</v>
          </cell>
          <cell r="AG152">
            <v>3.8494999999999999</v>
          </cell>
        </row>
        <row r="153">
          <cell r="A153">
            <v>41579</v>
          </cell>
          <cell r="B153">
            <v>36.25</v>
          </cell>
          <cell r="C153">
            <v>36.25</v>
          </cell>
          <cell r="D153">
            <v>36.25</v>
          </cell>
          <cell r="E153">
            <v>36.25</v>
          </cell>
          <cell r="F153">
            <v>32</v>
          </cell>
          <cell r="G153">
            <v>35.5</v>
          </cell>
          <cell r="H153">
            <v>32</v>
          </cell>
          <cell r="I153">
            <v>34</v>
          </cell>
          <cell r="J153">
            <v>34</v>
          </cell>
          <cell r="K153">
            <v>41.5</v>
          </cell>
          <cell r="L153">
            <v>44.5</v>
          </cell>
          <cell r="M153">
            <v>31.31</v>
          </cell>
          <cell r="N153">
            <v>30.06</v>
          </cell>
          <cell r="O153">
            <v>30.81</v>
          </cell>
          <cell r="P153">
            <v>31.31</v>
          </cell>
          <cell r="Q153">
            <v>38.65</v>
          </cell>
          <cell r="R153">
            <v>32.96</v>
          </cell>
          <cell r="S153">
            <v>31.31</v>
          </cell>
          <cell r="T153">
            <v>23.06</v>
          </cell>
          <cell r="U153">
            <v>31.54</v>
          </cell>
          <cell r="V153">
            <v>31.091999999999999</v>
          </cell>
          <cell r="W153">
            <v>33.29</v>
          </cell>
          <cell r="X153">
            <v>30.692</v>
          </cell>
          <cell r="Y153">
            <v>31.54</v>
          </cell>
          <cell r="Z153">
            <v>34.04</v>
          </cell>
          <cell r="AA153">
            <v>33.78</v>
          </cell>
          <cell r="AB153">
            <v>35.42</v>
          </cell>
          <cell r="AC153">
            <v>37.119999999999997</v>
          </cell>
          <cell r="AD153">
            <v>37.42</v>
          </cell>
          <cell r="AE153">
            <v>35.42</v>
          </cell>
          <cell r="AF153">
            <v>38.53</v>
          </cell>
          <cell r="AG153">
            <v>4.0015000000000001</v>
          </cell>
        </row>
        <row r="154">
          <cell r="A154">
            <v>41609</v>
          </cell>
          <cell r="B154">
            <v>36.25</v>
          </cell>
          <cell r="C154">
            <v>36.25</v>
          </cell>
          <cell r="D154">
            <v>36.25</v>
          </cell>
          <cell r="E154">
            <v>36.25</v>
          </cell>
          <cell r="F154">
            <v>32</v>
          </cell>
          <cell r="G154">
            <v>35.5</v>
          </cell>
          <cell r="H154">
            <v>32</v>
          </cell>
          <cell r="I154">
            <v>34</v>
          </cell>
          <cell r="J154">
            <v>34</v>
          </cell>
          <cell r="K154">
            <v>41.5</v>
          </cell>
          <cell r="L154">
            <v>44.5</v>
          </cell>
          <cell r="M154">
            <v>30.63</v>
          </cell>
          <cell r="N154">
            <v>29.38</v>
          </cell>
          <cell r="O154">
            <v>30.13</v>
          </cell>
          <cell r="P154">
            <v>30.63</v>
          </cell>
          <cell r="Q154">
            <v>38.369999999999997</v>
          </cell>
          <cell r="R154">
            <v>32.28</v>
          </cell>
          <cell r="S154">
            <v>30.63</v>
          </cell>
          <cell r="T154">
            <v>22.38</v>
          </cell>
          <cell r="U154">
            <v>31.54</v>
          </cell>
          <cell r="V154">
            <v>31.192</v>
          </cell>
          <cell r="W154">
            <v>33.29</v>
          </cell>
          <cell r="X154">
            <v>30.792000000000002</v>
          </cell>
          <cell r="Y154">
            <v>31.54</v>
          </cell>
          <cell r="Z154">
            <v>34.04</v>
          </cell>
          <cell r="AA154">
            <v>33.78</v>
          </cell>
          <cell r="AB154">
            <v>36.32</v>
          </cell>
          <cell r="AC154">
            <v>38.67</v>
          </cell>
          <cell r="AD154">
            <v>38.17</v>
          </cell>
          <cell r="AE154">
            <v>36.32</v>
          </cell>
          <cell r="AF154">
            <v>39.93</v>
          </cell>
          <cell r="AG154">
            <v>4.1444999999999999</v>
          </cell>
        </row>
        <row r="155">
          <cell r="A155">
            <v>41640</v>
          </cell>
          <cell r="B155">
            <v>45.55</v>
          </cell>
          <cell r="C155">
            <v>45.55</v>
          </cell>
          <cell r="D155">
            <v>45.55</v>
          </cell>
          <cell r="E155">
            <v>45.55</v>
          </cell>
          <cell r="F155">
            <v>35</v>
          </cell>
          <cell r="G155">
            <v>38.5</v>
          </cell>
          <cell r="H155">
            <v>35</v>
          </cell>
          <cell r="I155">
            <v>37</v>
          </cell>
          <cell r="J155">
            <v>37</v>
          </cell>
          <cell r="K155">
            <v>48.5</v>
          </cell>
          <cell r="L155">
            <v>53</v>
          </cell>
          <cell r="M155">
            <v>33.04</v>
          </cell>
          <cell r="N155">
            <v>31.49</v>
          </cell>
          <cell r="O155">
            <v>32.54</v>
          </cell>
          <cell r="P155">
            <v>33.54</v>
          </cell>
          <cell r="Q155">
            <v>38.74</v>
          </cell>
          <cell r="R155">
            <v>36.56</v>
          </cell>
          <cell r="S155">
            <v>33.04</v>
          </cell>
          <cell r="T155">
            <v>28.04</v>
          </cell>
          <cell r="U155">
            <v>34.659999999999997</v>
          </cell>
          <cell r="V155">
            <v>33.231999999999999</v>
          </cell>
          <cell r="W155">
            <v>36.409999999999997</v>
          </cell>
          <cell r="X155">
            <v>32.631999999999998</v>
          </cell>
          <cell r="Y155">
            <v>34.659999999999997</v>
          </cell>
          <cell r="Z155">
            <v>37.159999999999997</v>
          </cell>
          <cell r="AA155">
            <v>36.909999999999997</v>
          </cell>
          <cell r="AB155">
            <v>37.82</v>
          </cell>
          <cell r="AC155">
            <v>40.57</v>
          </cell>
          <cell r="AD155">
            <v>39.82</v>
          </cell>
          <cell r="AE155">
            <v>37.82</v>
          </cell>
          <cell r="AF155">
            <v>41.22</v>
          </cell>
          <cell r="AG155">
            <v>4.1825000000000001</v>
          </cell>
        </row>
        <row r="156">
          <cell r="A156">
            <v>41671</v>
          </cell>
          <cell r="B156">
            <v>45.55</v>
          </cell>
          <cell r="C156">
            <v>45.55</v>
          </cell>
          <cell r="D156">
            <v>45.55</v>
          </cell>
          <cell r="E156">
            <v>45.55</v>
          </cell>
          <cell r="F156">
            <v>35</v>
          </cell>
          <cell r="G156">
            <v>38.5</v>
          </cell>
          <cell r="H156">
            <v>35</v>
          </cell>
          <cell r="I156">
            <v>37</v>
          </cell>
          <cell r="J156">
            <v>37</v>
          </cell>
          <cell r="K156">
            <v>48.5</v>
          </cell>
          <cell r="L156">
            <v>53</v>
          </cell>
          <cell r="M156">
            <v>32.590000000000003</v>
          </cell>
          <cell r="N156">
            <v>31.04</v>
          </cell>
          <cell r="O156">
            <v>32.090000000000003</v>
          </cell>
          <cell r="P156">
            <v>33.090000000000003</v>
          </cell>
          <cell r="Q156">
            <v>39.29</v>
          </cell>
          <cell r="R156">
            <v>36.380000000000003</v>
          </cell>
          <cell r="S156">
            <v>32.590000000000003</v>
          </cell>
          <cell r="T156">
            <v>27.09</v>
          </cell>
          <cell r="U156">
            <v>33.69</v>
          </cell>
          <cell r="V156">
            <v>33.015000000000001</v>
          </cell>
          <cell r="W156">
            <v>35.44</v>
          </cell>
          <cell r="X156">
            <v>32.414999999999999</v>
          </cell>
          <cell r="Y156">
            <v>33.69</v>
          </cell>
          <cell r="Z156">
            <v>36.19</v>
          </cell>
          <cell r="AA156">
            <v>35.94</v>
          </cell>
          <cell r="AB156">
            <v>37.07</v>
          </cell>
          <cell r="AC156">
            <v>39.82</v>
          </cell>
          <cell r="AD156">
            <v>38.57</v>
          </cell>
          <cell r="AE156">
            <v>37.07</v>
          </cell>
          <cell r="AF156">
            <v>40.07</v>
          </cell>
          <cell r="AG156">
            <v>4.1265000000000001</v>
          </cell>
        </row>
        <row r="157">
          <cell r="A157">
            <v>41699</v>
          </cell>
          <cell r="B157">
            <v>38.049999999999997</v>
          </cell>
          <cell r="C157">
            <v>38.049999999999997</v>
          </cell>
          <cell r="D157">
            <v>38.049999999999997</v>
          </cell>
          <cell r="E157">
            <v>38.049999999999997</v>
          </cell>
          <cell r="F157">
            <v>32.5</v>
          </cell>
          <cell r="G157">
            <v>36</v>
          </cell>
          <cell r="H157">
            <v>32.5</v>
          </cell>
          <cell r="I157">
            <v>34.5</v>
          </cell>
          <cell r="J157">
            <v>34</v>
          </cell>
          <cell r="K157">
            <v>41.5</v>
          </cell>
          <cell r="L157">
            <v>45.5</v>
          </cell>
          <cell r="M157">
            <v>31.86</v>
          </cell>
          <cell r="N157">
            <v>30.31</v>
          </cell>
          <cell r="O157">
            <v>31.36</v>
          </cell>
          <cell r="P157">
            <v>32.61</v>
          </cell>
          <cell r="Q157">
            <v>36.81</v>
          </cell>
          <cell r="R157">
            <v>35.380000000000003</v>
          </cell>
          <cell r="S157">
            <v>31.86</v>
          </cell>
          <cell r="T157">
            <v>23.86</v>
          </cell>
          <cell r="U157">
            <v>31.44</v>
          </cell>
          <cell r="V157">
            <v>32.765000000000001</v>
          </cell>
          <cell r="W157">
            <v>33.19</v>
          </cell>
          <cell r="X157">
            <v>32.615000000000002</v>
          </cell>
          <cell r="Y157">
            <v>31.44</v>
          </cell>
          <cell r="Z157">
            <v>33.94</v>
          </cell>
          <cell r="AA157">
            <v>33.69</v>
          </cell>
          <cell r="AB157">
            <v>35.506</v>
          </cell>
          <cell r="AC157">
            <v>38.356000000000002</v>
          </cell>
          <cell r="AD157">
            <v>37.006</v>
          </cell>
          <cell r="AE157">
            <v>35.506</v>
          </cell>
          <cell r="AF157">
            <v>38.006</v>
          </cell>
          <cell r="AG157">
            <v>3.9965000000000002</v>
          </cell>
        </row>
        <row r="158">
          <cell r="A158">
            <v>41730</v>
          </cell>
          <cell r="B158">
            <v>38.299999999999997</v>
          </cell>
          <cell r="C158">
            <v>38.299999999999997</v>
          </cell>
          <cell r="D158">
            <v>38.299999999999997</v>
          </cell>
          <cell r="E158">
            <v>38.299999999999997</v>
          </cell>
          <cell r="F158">
            <v>32.5</v>
          </cell>
          <cell r="G158">
            <v>36</v>
          </cell>
          <cell r="H158">
            <v>32.5</v>
          </cell>
          <cell r="I158">
            <v>34.5</v>
          </cell>
          <cell r="J158">
            <v>34</v>
          </cell>
          <cell r="K158">
            <v>41.5</v>
          </cell>
          <cell r="L158">
            <v>45.5</v>
          </cell>
          <cell r="M158">
            <v>31.66</v>
          </cell>
          <cell r="N158">
            <v>30.11</v>
          </cell>
          <cell r="O158">
            <v>31.16</v>
          </cell>
          <cell r="P158">
            <v>32.409999999999997</v>
          </cell>
          <cell r="Q158">
            <v>36.159999999999997</v>
          </cell>
          <cell r="R158">
            <v>35.18</v>
          </cell>
          <cell r="S158">
            <v>31.66</v>
          </cell>
          <cell r="T158">
            <v>23.66</v>
          </cell>
          <cell r="U158">
            <v>31.44</v>
          </cell>
          <cell r="V158">
            <v>32.765999999999998</v>
          </cell>
          <cell r="W158">
            <v>33.19</v>
          </cell>
          <cell r="X158">
            <v>32.616</v>
          </cell>
          <cell r="Y158">
            <v>31.44</v>
          </cell>
          <cell r="Z158">
            <v>33.94</v>
          </cell>
          <cell r="AA158">
            <v>33.69</v>
          </cell>
          <cell r="AB158">
            <v>36.29</v>
          </cell>
          <cell r="AC158">
            <v>39.14</v>
          </cell>
          <cell r="AD158">
            <v>38.29</v>
          </cell>
          <cell r="AE158">
            <v>36.29</v>
          </cell>
          <cell r="AF158">
            <v>38.79</v>
          </cell>
          <cell r="AG158">
            <v>3.8115000000000001</v>
          </cell>
        </row>
        <row r="159">
          <cell r="A159">
            <v>41760</v>
          </cell>
          <cell r="B159">
            <v>38.700000000000003</v>
          </cell>
          <cell r="C159">
            <v>38.700000000000003</v>
          </cell>
          <cell r="D159">
            <v>38.700000000000003</v>
          </cell>
          <cell r="E159">
            <v>38.700000000000003</v>
          </cell>
          <cell r="F159">
            <v>35</v>
          </cell>
          <cell r="G159">
            <v>38.5</v>
          </cell>
          <cell r="H159">
            <v>35</v>
          </cell>
          <cell r="I159">
            <v>37</v>
          </cell>
          <cell r="J159">
            <v>35.5</v>
          </cell>
          <cell r="K159">
            <v>43.5</v>
          </cell>
          <cell r="L159">
            <v>49.5</v>
          </cell>
          <cell r="M159">
            <v>36.840000000000003</v>
          </cell>
          <cell r="N159">
            <v>35.340000000000003</v>
          </cell>
          <cell r="O159">
            <v>36.340000000000003</v>
          </cell>
          <cell r="P159">
            <v>37.840000000000003</v>
          </cell>
          <cell r="Q159">
            <v>36.14</v>
          </cell>
          <cell r="R159">
            <v>42.16</v>
          </cell>
          <cell r="S159">
            <v>36.840000000000003</v>
          </cell>
          <cell r="T159">
            <v>31.23</v>
          </cell>
          <cell r="U159">
            <v>37.64</v>
          </cell>
          <cell r="V159">
            <v>38.621000000000002</v>
          </cell>
          <cell r="W159">
            <v>39.39</v>
          </cell>
          <cell r="X159">
            <v>38.871000000000002</v>
          </cell>
          <cell r="Y159">
            <v>37.64</v>
          </cell>
          <cell r="Z159">
            <v>40.64</v>
          </cell>
          <cell r="AA159">
            <v>40.89</v>
          </cell>
          <cell r="AB159">
            <v>38.25</v>
          </cell>
          <cell r="AC159">
            <v>42</v>
          </cell>
          <cell r="AD159">
            <v>40.25</v>
          </cell>
          <cell r="AE159">
            <v>38.25</v>
          </cell>
          <cell r="AF159">
            <v>41.5</v>
          </cell>
          <cell r="AG159">
            <v>3.8065000000000002</v>
          </cell>
        </row>
        <row r="160">
          <cell r="A160">
            <v>41791</v>
          </cell>
          <cell r="B160">
            <v>45.75</v>
          </cell>
          <cell r="C160">
            <v>45.75</v>
          </cell>
          <cell r="D160">
            <v>45.75</v>
          </cell>
          <cell r="E160">
            <v>45.75</v>
          </cell>
          <cell r="F160">
            <v>45</v>
          </cell>
          <cell r="G160">
            <v>53</v>
          </cell>
          <cell r="H160">
            <v>45</v>
          </cell>
          <cell r="I160">
            <v>47</v>
          </cell>
          <cell r="J160">
            <v>45.5</v>
          </cell>
          <cell r="K160">
            <v>55</v>
          </cell>
          <cell r="L160">
            <v>60.5</v>
          </cell>
          <cell r="M160">
            <v>47.53</v>
          </cell>
          <cell r="N160">
            <v>45.88</v>
          </cell>
          <cell r="O160">
            <v>47.03</v>
          </cell>
          <cell r="P160">
            <v>49.03</v>
          </cell>
          <cell r="Q160">
            <v>45.03</v>
          </cell>
          <cell r="R160">
            <v>51.85</v>
          </cell>
          <cell r="S160">
            <v>47.53</v>
          </cell>
          <cell r="T160">
            <v>41.64</v>
          </cell>
          <cell r="U160">
            <v>49.96</v>
          </cell>
          <cell r="V160">
            <v>51.414999999999999</v>
          </cell>
          <cell r="W160">
            <v>51.71</v>
          </cell>
          <cell r="X160">
            <v>50.965000000000003</v>
          </cell>
          <cell r="Y160">
            <v>49.96</v>
          </cell>
          <cell r="Z160">
            <v>53.21</v>
          </cell>
          <cell r="AA160">
            <v>55.21</v>
          </cell>
          <cell r="AB160">
            <v>42.8</v>
          </cell>
          <cell r="AC160">
            <v>48.05</v>
          </cell>
          <cell r="AD160">
            <v>43.55</v>
          </cell>
          <cell r="AE160">
            <v>42.8</v>
          </cell>
          <cell r="AF160">
            <v>47.3</v>
          </cell>
          <cell r="AG160">
            <v>3.8414999999999999</v>
          </cell>
        </row>
        <row r="161">
          <cell r="A161">
            <v>41821</v>
          </cell>
          <cell r="B161">
            <v>56.5</v>
          </cell>
          <cell r="C161">
            <v>56.5</v>
          </cell>
          <cell r="D161">
            <v>56.5</v>
          </cell>
          <cell r="E161">
            <v>56.5</v>
          </cell>
          <cell r="F161">
            <v>54.5</v>
          </cell>
          <cell r="G161">
            <v>67.5</v>
          </cell>
          <cell r="H161">
            <v>54.5</v>
          </cell>
          <cell r="I161">
            <v>56.5</v>
          </cell>
          <cell r="J161">
            <v>57</v>
          </cell>
          <cell r="K161">
            <v>73.5</v>
          </cell>
          <cell r="L161">
            <v>82</v>
          </cell>
          <cell r="M161">
            <v>60.94</v>
          </cell>
          <cell r="N161">
            <v>58.89</v>
          </cell>
          <cell r="O161">
            <v>60.44</v>
          </cell>
          <cell r="P161">
            <v>63.44</v>
          </cell>
          <cell r="Q161">
            <v>48.84</v>
          </cell>
          <cell r="R161">
            <v>61.19</v>
          </cell>
          <cell r="S161">
            <v>60.94</v>
          </cell>
          <cell r="T161">
            <v>50.27</v>
          </cell>
          <cell r="U161">
            <v>61.05</v>
          </cell>
          <cell r="V161">
            <v>63.872</v>
          </cell>
          <cell r="W161">
            <v>62.8</v>
          </cell>
          <cell r="X161">
            <v>62.762</v>
          </cell>
          <cell r="Y161">
            <v>61.05</v>
          </cell>
          <cell r="Z161">
            <v>64.3</v>
          </cell>
          <cell r="AA161">
            <v>66.3</v>
          </cell>
          <cell r="AB161">
            <v>52.85</v>
          </cell>
          <cell r="AC161">
            <v>63.3</v>
          </cell>
          <cell r="AD161">
            <v>55.7</v>
          </cell>
          <cell r="AE161">
            <v>52.85</v>
          </cell>
          <cell r="AF161">
            <v>60.85</v>
          </cell>
          <cell r="AG161">
            <v>3.8815</v>
          </cell>
        </row>
        <row r="162">
          <cell r="A162">
            <v>41852</v>
          </cell>
          <cell r="B162">
            <v>56.5</v>
          </cell>
          <cell r="C162">
            <v>56.5</v>
          </cell>
          <cell r="D162">
            <v>56.5</v>
          </cell>
          <cell r="E162">
            <v>56.5</v>
          </cell>
          <cell r="F162">
            <v>54.5</v>
          </cell>
          <cell r="G162">
            <v>67.5</v>
          </cell>
          <cell r="H162">
            <v>54.5</v>
          </cell>
          <cell r="I162">
            <v>56.5</v>
          </cell>
          <cell r="J162">
            <v>57</v>
          </cell>
          <cell r="K162">
            <v>73.5</v>
          </cell>
          <cell r="L162">
            <v>82</v>
          </cell>
          <cell r="M162">
            <v>61.54</v>
          </cell>
          <cell r="N162">
            <v>59.49</v>
          </cell>
          <cell r="O162">
            <v>61.04</v>
          </cell>
          <cell r="P162">
            <v>64.040000000000006</v>
          </cell>
          <cell r="Q162">
            <v>49.44</v>
          </cell>
          <cell r="R162">
            <v>62.79</v>
          </cell>
          <cell r="S162">
            <v>61.54</v>
          </cell>
          <cell r="T162">
            <v>50.87</v>
          </cell>
          <cell r="U162">
            <v>60.05</v>
          </cell>
          <cell r="V162">
            <v>64.122</v>
          </cell>
          <cell r="W162">
            <v>61.8</v>
          </cell>
          <cell r="X162">
            <v>62.112000000000002</v>
          </cell>
          <cell r="Y162">
            <v>60.05</v>
          </cell>
          <cell r="Z162">
            <v>63.3</v>
          </cell>
          <cell r="AA162">
            <v>65.3</v>
          </cell>
          <cell r="AB162">
            <v>52.45</v>
          </cell>
          <cell r="AC162">
            <v>62.9</v>
          </cell>
          <cell r="AD162">
            <v>55.7</v>
          </cell>
          <cell r="AE162">
            <v>52.45</v>
          </cell>
          <cell r="AF162">
            <v>60.45</v>
          </cell>
          <cell r="AG162">
            <v>3.9215</v>
          </cell>
        </row>
        <row r="163">
          <cell r="A163">
            <v>41883</v>
          </cell>
          <cell r="B163">
            <v>37.049999999999997</v>
          </cell>
          <cell r="C163">
            <v>37.049999999999997</v>
          </cell>
          <cell r="D163">
            <v>37.049999999999997</v>
          </cell>
          <cell r="E163">
            <v>37.049999999999997</v>
          </cell>
          <cell r="F163">
            <v>32.5</v>
          </cell>
          <cell r="G163">
            <v>36</v>
          </cell>
          <cell r="H163">
            <v>32.5</v>
          </cell>
          <cell r="I163">
            <v>34.5</v>
          </cell>
          <cell r="J163">
            <v>34.5</v>
          </cell>
          <cell r="K163">
            <v>42</v>
          </cell>
          <cell r="L163">
            <v>45</v>
          </cell>
          <cell r="M163">
            <v>29.49</v>
          </cell>
          <cell r="N163">
            <v>28.24</v>
          </cell>
          <cell r="O163">
            <v>28.99</v>
          </cell>
          <cell r="P163">
            <v>30.99</v>
          </cell>
          <cell r="Q163">
            <v>28.09</v>
          </cell>
          <cell r="R163">
            <v>32.17</v>
          </cell>
          <cell r="S163">
            <v>29.49</v>
          </cell>
          <cell r="T163">
            <v>23.78</v>
          </cell>
          <cell r="U163">
            <v>28.3</v>
          </cell>
          <cell r="V163">
            <v>27.841999999999999</v>
          </cell>
          <cell r="W163">
            <v>30.05</v>
          </cell>
          <cell r="X163">
            <v>27.391999999999999</v>
          </cell>
          <cell r="Y163">
            <v>28.3</v>
          </cell>
          <cell r="Z163">
            <v>31.05</v>
          </cell>
          <cell r="AA163">
            <v>32.549999999999997</v>
          </cell>
          <cell r="AB163">
            <v>39.200000000000003</v>
          </cell>
          <cell r="AC163">
            <v>41.1</v>
          </cell>
          <cell r="AD163">
            <v>43</v>
          </cell>
          <cell r="AE163">
            <v>39.200000000000003</v>
          </cell>
          <cell r="AF163">
            <v>45.6</v>
          </cell>
          <cell r="AG163">
            <v>3.9045000000000001</v>
          </cell>
        </row>
        <row r="164">
          <cell r="A164">
            <v>41913</v>
          </cell>
          <cell r="B164">
            <v>36.799999999999997</v>
          </cell>
          <cell r="C164">
            <v>36.799999999999997</v>
          </cell>
          <cell r="D164">
            <v>36.799999999999997</v>
          </cell>
          <cell r="E164">
            <v>36.799999999999997</v>
          </cell>
          <cell r="F164">
            <v>32.5</v>
          </cell>
          <cell r="G164">
            <v>36</v>
          </cell>
          <cell r="H164">
            <v>32.5</v>
          </cell>
          <cell r="I164">
            <v>34.5</v>
          </cell>
          <cell r="J164">
            <v>34.5</v>
          </cell>
          <cell r="K164">
            <v>42</v>
          </cell>
          <cell r="L164">
            <v>45</v>
          </cell>
          <cell r="M164">
            <v>32.200000000000003</v>
          </cell>
          <cell r="N164">
            <v>30.95</v>
          </cell>
          <cell r="O164">
            <v>31.7</v>
          </cell>
          <cell r="P164">
            <v>32.200000000000003</v>
          </cell>
          <cell r="Q164">
            <v>36.14</v>
          </cell>
          <cell r="R164">
            <v>33.85</v>
          </cell>
          <cell r="S164">
            <v>32.200000000000003</v>
          </cell>
          <cell r="T164">
            <v>23.7</v>
          </cell>
          <cell r="U164">
            <v>32.04</v>
          </cell>
          <cell r="V164">
            <v>31.492000000000001</v>
          </cell>
          <cell r="W164">
            <v>33.79</v>
          </cell>
          <cell r="X164">
            <v>31.091999999999999</v>
          </cell>
          <cell r="Y164">
            <v>32.04</v>
          </cell>
          <cell r="Z164">
            <v>34.54</v>
          </cell>
          <cell r="AA164">
            <v>34.29</v>
          </cell>
          <cell r="AB164">
            <v>37.42</v>
          </cell>
          <cell r="AC164">
            <v>39.369999999999997</v>
          </cell>
          <cell r="AD164">
            <v>39.42</v>
          </cell>
          <cell r="AE164">
            <v>37.42</v>
          </cell>
          <cell r="AF164">
            <v>40.53</v>
          </cell>
          <cell r="AG164">
            <v>3.9295</v>
          </cell>
        </row>
        <row r="165">
          <cell r="A165">
            <v>41944</v>
          </cell>
          <cell r="B165">
            <v>36.799999999999997</v>
          </cell>
          <cell r="C165">
            <v>36.799999999999997</v>
          </cell>
          <cell r="D165">
            <v>36.799999999999997</v>
          </cell>
          <cell r="E165">
            <v>36.799999999999997</v>
          </cell>
          <cell r="F165">
            <v>32.5</v>
          </cell>
          <cell r="G165">
            <v>36</v>
          </cell>
          <cell r="H165">
            <v>32.5</v>
          </cell>
          <cell r="I165">
            <v>34.5</v>
          </cell>
          <cell r="J165">
            <v>34.5</v>
          </cell>
          <cell r="K165">
            <v>42</v>
          </cell>
          <cell r="L165">
            <v>45</v>
          </cell>
          <cell r="M165">
            <v>31.9</v>
          </cell>
          <cell r="N165">
            <v>30.65</v>
          </cell>
          <cell r="O165">
            <v>31.4</v>
          </cell>
          <cell r="P165">
            <v>31.9</v>
          </cell>
          <cell r="Q165">
            <v>39.24</v>
          </cell>
          <cell r="R165">
            <v>33.549999999999997</v>
          </cell>
          <cell r="S165">
            <v>31.9</v>
          </cell>
          <cell r="T165">
            <v>23.4</v>
          </cell>
          <cell r="U165">
            <v>32.04</v>
          </cell>
          <cell r="V165">
            <v>31.591999999999999</v>
          </cell>
          <cell r="W165">
            <v>33.79</v>
          </cell>
          <cell r="X165">
            <v>31.192</v>
          </cell>
          <cell r="Y165">
            <v>32.04</v>
          </cell>
          <cell r="Z165">
            <v>34.54</v>
          </cell>
          <cell r="AA165">
            <v>34.28</v>
          </cell>
          <cell r="AB165">
            <v>36.42</v>
          </cell>
          <cell r="AC165">
            <v>38.119999999999997</v>
          </cell>
          <cell r="AD165">
            <v>38.42</v>
          </cell>
          <cell r="AE165">
            <v>36.42</v>
          </cell>
          <cell r="AF165">
            <v>39.53</v>
          </cell>
          <cell r="AG165">
            <v>4.0815000000000001</v>
          </cell>
        </row>
        <row r="166">
          <cell r="A166">
            <v>41974</v>
          </cell>
          <cell r="B166">
            <v>36.799999999999997</v>
          </cell>
          <cell r="C166">
            <v>36.799999999999997</v>
          </cell>
          <cell r="D166">
            <v>36.799999999999997</v>
          </cell>
          <cell r="E166">
            <v>36.799999999999997</v>
          </cell>
          <cell r="F166">
            <v>32.5</v>
          </cell>
          <cell r="G166">
            <v>36</v>
          </cell>
          <cell r="H166">
            <v>32.5</v>
          </cell>
          <cell r="I166">
            <v>34.5</v>
          </cell>
          <cell r="J166">
            <v>34.5</v>
          </cell>
          <cell r="K166">
            <v>42</v>
          </cell>
          <cell r="L166">
            <v>45</v>
          </cell>
          <cell r="M166">
            <v>31.76</v>
          </cell>
          <cell r="N166">
            <v>30.51</v>
          </cell>
          <cell r="O166">
            <v>31.26</v>
          </cell>
          <cell r="P166">
            <v>31.76</v>
          </cell>
          <cell r="Q166">
            <v>39.5</v>
          </cell>
          <cell r="R166">
            <v>33.409999999999997</v>
          </cell>
          <cell r="S166">
            <v>31.76</v>
          </cell>
          <cell r="T166">
            <v>23.26</v>
          </cell>
          <cell r="U166">
            <v>32.04</v>
          </cell>
          <cell r="V166">
            <v>31.692</v>
          </cell>
          <cell r="W166">
            <v>33.79</v>
          </cell>
          <cell r="X166">
            <v>31.292000000000002</v>
          </cell>
          <cell r="Y166">
            <v>32.04</v>
          </cell>
          <cell r="Z166">
            <v>34.54</v>
          </cell>
          <cell r="AA166">
            <v>34.28</v>
          </cell>
          <cell r="AB166">
            <v>37.32</v>
          </cell>
          <cell r="AC166">
            <v>39.67</v>
          </cell>
          <cell r="AD166">
            <v>39.17</v>
          </cell>
          <cell r="AE166">
            <v>37.32</v>
          </cell>
          <cell r="AF166">
            <v>40.93</v>
          </cell>
          <cell r="AG166">
            <v>4.2244999999999999</v>
          </cell>
        </row>
        <row r="167">
          <cell r="A167">
            <v>42005</v>
          </cell>
          <cell r="B167">
            <v>45.85</v>
          </cell>
          <cell r="C167">
            <v>45.85</v>
          </cell>
          <cell r="D167">
            <v>45.85</v>
          </cell>
          <cell r="E167">
            <v>45.85</v>
          </cell>
          <cell r="F167">
            <v>35.5</v>
          </cell>
          <cell r="G167">
            <v>39</v>
          </cell>
          <cell r="H167">
            <v>35.5</v>
          </cell>
          <cell r="I167">
            <v>37.5</v>
          </cell>
          <cell r="J167">
            <v>38</v>
          </cell>
          <cell r="K167">
            <v>49</v>
          </cell>
          <cell r="L167">
            <v>53.5</v>
          </cell>
          <cell r="M167">
            <v>33.61</v>
          </cell>
          <cell r="N167">
            <v>32.06</v>
          </cell>
          <cell r="O167">
            <v>33.11</v>
          </cell>
          <cell r="P167">
            <v>34.11</v>
          </cell>
          <cell r="Q167">
            <v>39.31</v>
          </cell>
          <cell r="R167">
            <v>37.130000000000003</v>
          </cell>
          <cell r="S167">
            <v>33.61</v>
          </cell>
          <cell r="T167">
            <v>28.61</v>
          </cell>
          <cell r="U167">
            <v>35.159999999999997</v>
          </cell>
          <cell r="V167">
            <v>33.731999999999999</v>
          </cell>
          <cell r="W167">
            <v>36.909999999999997</v>
          </cell>
          <cell r="X167">
            <v>33.131999999999998</v>
          </cell>
          <cell r="Y167">
            <v>35.159999999999997</v>
          </cell>
          <cell r="Z167">
            <v>37.659999999999997</v>
          </cell>
          <cell r="AA167">
            <v>37.409999999999997</v>
          </cell>
          <cell r="AB167">
            <v>38.82</v>
          </cell>
          <cell r="AC167">
            <v>41.57</v>
          </cell>
          <cell r="AD167">
            <v>40.82</v>
          </cell>
          <cell r="AE167">
            <v>38.82</v>
          </cell>
          <cell r="AF167">
            <v>42.22</v>
          </cell>
          <cell r="AG167">
            <v>4.2625000000000002</v>
          </cell>
        </row>
        <row r="168">
          <cell r="A168">
            <v>42036</v>
          </cell>
          <cell r="B168">
            <v>45.85</v>
          </cell>
          <cell r="C168">
            <v>45.85</v>
          </cell>
          <cell r="D168">
            <v>45.85</v>
          </cell>
          <cell r="E168">
            <v>45.85</v>
          </cell>
          <cell r="F168">
            <v>35.5</v>
          </cell>
          <cell r="G168">
            <v>39</v>
          </cell>
          <cell r="H168">
            <v>35.5</v>
          </cell>
          <cell r="I168">
            <v>37.5</v>
          </cell>
          <cell r="J168">
            <v>38</v>
          </cell>
          <cell r="K168">
            <v>49</v>
          </cell>
          <cell r="L168">
            <v>53.5</v>
          </cell>
          <cell r="M168">
            <v>31.96</v>
          </cell>
          <cell r="N168">
            <v>30.41</v>
          </cell>
          <cell r="O168">
            <v>31.46</v>
          </cell>
          <cell r="P168">
            <v>32.46</v>
          </cell>
          <cell r="Q168">
            <v>38.659999999999997</v>
          </cell>
          <cell r="R168">
            <v>35.75</v>
          </cell>
          <cell r="S168">
            <v>31.96</v>
          </cell>
          <cell r="T168">
            <v>26.46</v>
          </cell>
          <cell r="U168">
            <v>34.19</v>
          </cell>
          <cell r="V168">
            <v>33.515000000000001</v>
          </cell>
          <cell r="W168">
            <v>35.94</v>
          </cell>
          <cell r="X168">
            <v>32.914999999999999</v>
          </cell>
          <cell r="Y168">
            <v>34.19</v>
          </cell>
          <cell r="Z168">
            <v>36.69</v>
          </cell>
          <cell r="AA168">
            <v>36.44</v>
          </cell>
          <cell r="AB168">
            <v>38.07</v>
          </cell>
          <cell r="AC168">
            <v>40.82</v>
          </cell>
          <cell r="AD168">
            <v>39.57</v>
          </cell>
          <cell r="AE168">
            <v>38.07</v>
          </cell>
          <cell r="AF168">
            <v>41.07</v>
          </cell>
          <cell r="AG168">
            <v>4.2065000000000001</v>
          </cell>
        </row>
        <row r="169">
          <cell r="A169">
            <v>42064</v>
          </cell>
          <cell r="B169">
            <v>38.35</v>
          </cell>
          <cell r="C169">
            <v>38.35</v>
          </cell>
          <cell r="D169">
            <v>38.35</v>
          </cell>
          <cell r="E169">
            <v>38.35</v>
          </cell>
          <cell r="F169">
            <v>33.25</v>
          </cell>
          <cell r="G169">
            <v>36.75</v>
          </cell>
          <cell r="H169">
            <v>33.25</v>
          </cell>
          <cell r="I169">
            <v>35.25</v>
          </cell>
          <cell r="J169">
            <v>34.5</v>
          </cell>
          <cell r="K169">
            <v>42</v>
          </cell>
          <cell r="L169">
            <v>45.5</v>
          </cell>
          <cell r="M169">
            <v>31.75</v>
          </cell>
          <cell r="N169">
            <v>30.2</v>
          </cell>
          <cell r="O169">
            <v>31.25</v>
          </cell>
          <cell r="P169">
            <v>32.5</v>
          </cell>
          <cell r="Q169">
            <v>36.700000000000003</v>
          </cell>
          <cell r="R169">
            <v>35.270000000000003</v>
          </cell>
          <cell r="S169">
            <v>31.75</v>
          </cell>
          <cell r="T169">
            <v>23.5</v>
          </cell>
          <cell r="U169">
            <v>31.94</v>
          </cell>
          <cell r="V169">
            <v>33.265000000000001</v>
          </cell>
          <cell r="W169">
            <v>33.69</v>
          </cell>
          <cell r="X169">
            <v>33.115000000000002</v>
          </cell>
          <cell r="Y169">
            <v>31.94</v>
          </cell>
          <cell r="Z169">
            <v>34.44</v>
          </cell>
          <cell r="AA169">
            <v>34.19</v>
          </cell>
          <cell r="AB169">
            <v>36.506</v>
          </cell>
          <cell r="AC169">
            <v>39.356000000000002</v>
          </cell>
          <cell r="AD169">
            <v>38.006</v>
          </cell>
          <cell r="AE169">
            <v>36.506</v>
          </cell>
          <cell r="AF169">
            <v>39.006</v>
          </cell>
          <cell r="AG169">
            <v>4.0765000000000002</v>
          </cell>
        </row>
        <row r="170">
          <cell r="A170">
            <v>42095</v>
          </cell>
          <cell r="B170">
            <v>38.6</v>
          </cell>
          <cell r="C170">
            <v>38.6</v>
          </cell>
          <cell r="D170">
            <v>38.6</v>
          </cell>
          <cell r="E170">
            <v>38.6</v>
          </cell>
          <cell r="F170">
            <v>33.25</v>
          </cell>
          <cell r="G170">
            <v>36.75</v>
          </cell>
          <cell r="H170">
            <v>33.25</v>
          </cell>
          <cell r="I170">
            <v>35.25</v>
          </cell>
          <cell r="J170">
            <v>34.5</v>
          </cell>
          <cell r="K170">
            <v>42</v>
          </cell>
          <cell r="L170">
            <v>45.5</v>
          </cell>
          <cell r="M170">
            <v>32.369999999999997</v>
          </cell>
          <cell r="N170">
            <v>30.82</v>
          </cell>
          <cell r="O170">
            <v>31.87</v>
          </cell>
          <cell r="P170">
            <v>33.119999999999997</v>
          </cell>
          <cell r="Q170">
            <v>36.869999999999997</v>
          </cell>
          <cell r="R170">
            <v>35.89</v>
          </cell>
          <cell r="S170">
            <v>32.369999999999997</v>
          </cell>
          <cell r="T170">
            <v>24.12</v>
          </cell>
          <cell r="U170">
            <v>31.94</v>
          </cell>
          <cell r="V170">
            <v>33.265999999999998</v>
          </cell>
          <cell r="W170">
            <v>33.69</v>
          </cell>
          <cell r="X170">
            <v>33.116</v>
          </cell>
          <cell r="Y170">
            <v>31.94</v>
          </cell>
          <cell r="Z170">
            <v>34.44</v>
          </cell>
          <cell r="AA170">
            <v>34.19</v>
          </cell>
          <cell r="AB170">
            <v>37.29</v>
          </cell>
          <cell r="AC170">
            <v>40.14</v>
          </cell>
          <cell r="AD170">
            <v>39.29</v>
          </cell>
          <cell r="AE170">
            <v>37.29</v>
          </cell>
          <cell r="AF170">
            <v>39.79</v>
          </cell>
          <cell r="AG170">
            <v>3.8915000000000002</v>
          </cell>
        </row>
        <row r="171">
          <cell r="A171">
            <v>42125</v>
          </cell>
          <cell r="B171">
            <v>39.200000000000003</v>
          </cell>
          <cell r="C171">
            <v>39.200000000000003</v>
          </cell>
          <cell r="D171">
            <v>39.200000000000003</v>
          </cell>
          <cell r="E171">
            <v>39.200000000000003</v>
          </cell>
          <cell r="F171">
            <v>35.75</v>
          </cell>
          <cell r="G171">
            <v>39.25</v>
          </cell>
          <cell r="H171">
            <v>35.75</v>
          </cell>
          <cell r="I171">
            <v>37.75</v>
          </cell>
          <cell r="J171">
            <v>36</v>
          </cell>
          <cell r="K171">
            <v>44</v>
          </cell>
          <cell r="L171">
            <v>50</v>
          </cell>
          <cell r="M171">
            <v>38.630000000000003</v>
          </cell>
          <cell r="N171">
            <v>37.130000000000003</v>
          </cell>
          <cell r="O171">
            <v>38.130000000000003</v>
          </cell>
          <cell r="P171">
            <v>39.630000000000003</v>
          </cell>
          <cell r="Q171">
            <v>37.93</v>
          </cell>
          <cell r="R171">
            <v>43.95</v>
          </cell>
          <cell r="S171">
            <v>38.630000000000003</v>
          </cell>
          <cell r="T171">
            <v>32.94</v>
          </cell>
          <cell r="U171">
            <v>38.64</v>
          </cell>
          <cell r="V171">
            <v>39.621000000000002</v>
          </cell>
          <cell r="W171">
            <v>40.39</v>
          </cell>
          <cell r="X171">
            <v>39.871000000000002</v>
          </cell>
          <cell r="Y171">
            <v>38.64</v>
          </cell>
          <cell r="Z171">
            <v>41.64</v>
          </cell>
          <cell r="AA171">
            <v>41.89</v>
          </cell>
          <cell r="AB171">
            <v>39.25</v>
          </cell>
          <cell r="AC171">
            <v>43</v>
          </cell>
          <cell r="AD171">
            <v>41.25</v>
          </cell>
          <cell r="AE171">
            <v>39.25</v>
          </cell>
          <cell r="AF171">
            <v>42.5</v>
          </cell>
          <cell r="AG171">
            <v>3.8864999999999998</v>
          </cell>
        </row>
        <row r="172">
          <cell r="A172">
            <v>42156</v>
          </cell>
          <cell r="B172">
            <v>46.75</v>
          </cell>
          <cell r="C172">
            <v>46.75</v>
          </cell>
          <cell r="D172">
            <v>46.75</v>
          </cell>
          <cell r="E172">
            <v>46.75</v>
          </cell>
          <cell r="F172">
            <v>45.5</v>
          </cell>
          <cell r="G172">
            <v>53.5</v>
          </cell>
          <cell r="H172">
            <v>45.5</v>
          </cell>
          <cell r="I172">
            <v>47.5</v>
          </cell>
          <cell r="J172">
            <v>45.5</v>
          </cell>
          <cell r="K172">
            <v>55</v>
          </cell>
          <cell r="L172">
            <v>61.5</v>
          </cell>
          <cell r="M172">
            <v>50.18</v>
          </cell>
          <cell r="N172">
            <v>48.53</v>
          </cell>
          <cell r="O172">
            <v>49.68</v>
          </cell>
          <cell r="P172">
            <v>51.68</v>
          </cell>
          <cell r="Q172">
            <v>47.68</v>
          </cell>
          <cell r="R172">
            <v>54.5</v>
          </cell>
          <cell r="S172">
            <v>50.18</v>
          </cell>
          <cell r="T172">
            <v>43.94</v>
          </cell>
          <cell r="U172">
            <v>51.96</v>
          </cell>
          <cell r="V172">
            <v>53.414999999999999</v>
          </cell>
          <cell r="W172">
            <v>53.71</v>
          </cell>
          <cell r="X172">
            <v>52.965000000000003</v>
          </cell>
          <cell r="Y172">
            <v>51.96</v>
          </cell>
          <cell r="Z172">
            <v>55.21</v>
          </cell>
          <cell r="AA172">
            <v>57.21</v>
          </cell>
          <cell r="AB172">
            <v>44.3</v>
          </cell>
          <cell r="AC172">
            <v>49.55</v>
          </cell>
          <cell r="AD172">
            <v>45.05</v>
          </cell>
          <cell r="AE172">
            <v>44.3</v>
          </cell>
          <cell r="AF172">
            <v>48.8</v>
          </cell>
          <cell r="AG172">
            <v>3.9215</v>
          </cell>
        </row>
        <row r="173">
          <cell r="A173">
            <v>42186</v>
          </cell>
          <cell r="B173">
            <v>58.5</v>
          </cell>
          <cell r="C173">
            <v>58.5</v>
          </cell>
          <cell r="D173">
            <v>58.5</v>
          </cell>
          <cell r="E173">
            <v>58.5</v>
          </cell>
          <cell r="F173">
            <v>55.5</v>
          </cell>
          <cell r="G173">
            <v>68.5</v>
          </cell>
          <cell r="H173">
            <v>55.5</v>
          </cell>
          <cell r="I173">
            <v>57.5</v>
          </cell>
          <cell r="J173">
            <v>57.5</v>
          </cell>
          <cell r="K173">
            <v>74.5</v>
          </cell>
          <cell r="L173">
            <v>83.5</v>
          </cell>
          <cell r="M173">
            <v>63.594999999999999</v>
          </cell>
          <cell r="N173">
            <v>61.545000000000002</v>
          </cell>
          <cell r="O173">
            <v>63.094999999999999</v>
          </cell>
          <cell r="P173">
            <v>66.094999999999999</v>
          </cell>
          <cell r="Q173">
            <v>51.494999999999997</v>
          </cell>
          <cell r="R173">
            <v>63.844999999999999</v>
          </cell>
          <cell r="S173">
            <v>63.594999999999999</v>
          </cell>
          <cell r="T173">
            <v>52.314999999999998</v>
          </cell>
          <cell r="U173">
            <v>63.05</v>
          </cell>
          <cell r="V173">
            <v>65.872</v>
          </cell>
          <cell r="W173">
            <v>64.8</v>
          </cell>
          <cell r="X173">
            <v>64.762</v>
          </cell>
          <cell r="Y173">
            <v>63.05</v>
          </cell>
          <cell r="Z173">
            <v>66.3</v>
          </cell>
          <cell r="AA173">
            <v>68.3</v>
          </cell>
          <cell r="AB173">
            <v>54.85</v>
          </cell>
          <cell r="AC173">
            <v>65.3</v>
          </cell>
          <cell r="AD173">
            <v>57.7</v>
          </cell>
          <cell r="AE173">
            <v>54.85</v>
          </cell>
          <cell r="AF173">
            <v>62.85</v>
          </cell>
          <cell r="AG173">
            <v>3.9615</v>
          </cell>
        </row>
        <row r="174">
          <cell r="A174">
            <v>42217</v>
          </cell>
          <cell r="B174">
            <v>58.5</v>
          </cell>
          <cell r="C174">
            <v>58.5</v>
          </cell>
          <cell r="D174">
            <v>58.5</v>
          </cell>
          <cell r="E174">
            <v>58.5</v>
          </cell>
          <cell r="F174">
            <v>55.5</v>
          </cell>
          <cell r="G174">
            <v>68.5</v>
          </cell>
          <cell r="H174">
            <v>55.5</v>
          </cell>
          <cell r="I174">
            <v>56.5</v>
          </cell>
          <cell r="J174">
            <v>57.5</v>
          </cell>
          <cell r="K174">
            <v>74.5</v>
          </cell>
          <cell r="L174">
            <v>83.5</v>
          </cell>
          <cell r="M174">
            <v>62.935000000000002</v>
          </cell>
          <cell r="N174">
            <v>60.884999999999998</v>
          </cell>
          <cell r="O174">
            <v>62.435000000000002</v>
          </cell>
          <cell r="P174">
            <v>65.435000000000002</v>
          </cell>
          <cell r="Q174">
            <v>50.835000000000001</v>
          </cell>
          <cell r="R174">
            <v>64.185000000000002</v>
          </cell>
          <cell r="S174">
            <v>62.935000000000002</v>
          </cell>
          <cell r="T174">
            <v>51.664999999999999</v>
          </cell>
          <cell r="U174">
            <v>62.05</v>
          </cell>
          <cell r="V174">
            <v>66.122</v>
          </cell>
          <cell r="W174">
            <v>63.8</v>
          </cell>
          <cell r="X174">
            <v>64.111999999999995</v>
          </cell>
          <cell r="Y174">
            <v>62.05</v>
          </cell>
          <cell r="Z174">
            <v>65.3</v>
          </cell>
          <cell r="AA174">
            <v>67.3</v>
          </cell>
          <cell r="AB174">
            <v>54.45</v>
          </cell>
          <cell r="AC174">
            <v>64.900000000000006</v>
          </cell>
          <cell r="AD174">
            <v>57.7</v>
          </cell>
          <cell r="AE174">
            <v>54.45</v>
          </cell>
          <cell r="AF174">
            <v>62.45</v>
          </cell>
          <cell r="AG174">
            <v>4.0015000000000001</v>
          </cell>
        </row>
        <row r="175">
          <cell r="A175">
            <v>42248</v>
          </cell>
          <cell r="B175">
            <v>37.35</v>
          </cell>
          <cell r="C175">
            <v>37.35</v>
          </cell>
          <cell r="D175">
            <v>37.35</v>
          </cell>
          <cell r="E175">
            <v>37.35</v>
          </cell>
          <cell r="F175">
            <v>32.5</v>
          </cell>
          <cell r="G175">
            <v>36</v>
          </cell>
          <cell r="H175">
            <v>32.5</v>
          </cell>
          <cell r="I175">
            <v>33.5</v>
          </cell>
          <cell r="J175">
            <v>35</v>
          </cell>
          <cell r="K175">
            <v>42.5</v>
          </cell>
          <cell r="L175">
            <v>45.5</v>
          </cell>
          <cell r="M175">
            <v>28.31</v>
          </cell>
          <cell r="N175">
            <v>27.06</v>
          </cell>
          <cell r="O175">
            <v>27.81</v>
          </cell>
          <cell r="P175">
            <v>29.81</v>
          </cell>
          <cell r="Q175">
            <v>26.91</v>
          </cell>
          <cell r="R175">
            <v>30.99</v>
          </cell>
          <cell r="S175">
            <v>28.31</v>
          </cell>
          <cell r="T175">
            <v>22.52</v>
          </cell>
          <cell r="U175">
            <v>28.55</v>
          </cell>
          <cell r="V175">
            <v>28.091999999999999</v>
          </cell>
          <cell r="W175">
            <v>30.3</v>
          </cell>
          <cell r="X175">
            <v>27.641999999999999</v>
          </cell>
          <cell r="Y175">
            <v>28.55</v>
          </cell>
          <cell r="Z175">
            <v>31.3</v>
          </cell>
          <cell r="AA175">
            <v>32.799999999999997</v>
          </cell>
          <cell r="AB175">
            <v>40.200000000000003</v>
          </cell>
          <cell r="AC175">
            <v>42.1</v>
          </cell>
          <cell r="AD175">
            <v>44</v>
          </cell>
          <cell r="AE175">
            <v>40.200000000000003</v>
          </cell>
          <cell r="AF175">
            <v>46.6</v>
          </cell>
          <cell r="AG175">
            <v>3.9845000000000002</v>
          </cell>
        </row>
        <row r="176">
          <cell r="A176">
            <v>42278</v>
          </cell>
          <cell r="B176">
            <v>37.1</v>
          </cell>
          <cell r="C176">
            <v>37.1</v>
          </cell>
          <cell r="D176">
            <v>37.1</v>
          </cell>
          <cell r="E176">
            <v>37.1</v>
          </cell>
          <cell r="F176">
            <v>32.5</v>
          </cell>
          <cell r="G176">
            <v>36</v>
          </cell>
          <cell r="H176">
            <v>32.5</v>
          </cell>
          <cell r="I176">
            <v>33.5</v>
          </cell>
          <cell r="J176">
            <v>35</v>
          </cell>
          <cell r="K176">
            <v>42.5</v>
          </cell>
          <cell r="L176">
            <v>45.5</v>
          </cell>
          <cell r="M176">
            <v>32.44</v>
          </cell>
          <cell r="N176">
            <v>31.19</v>
          </cell>
          <cell r="O176">
            <v>31.94</v>
          </cell>
          <cell r="P176">
            <v>32.44</v>
          </cell>
          <cell r="Q176">
            <v>36.380000000000003</v>
          </cell>
          <cell r="R176">
            <v>34.090000000000003</v>
          </cell>
          <cell r="S176">
            <v>32.44</v>
          </cell>
          <cell r="T176">
            <v>23.69</v>
          </cell>
          <cell r="U176">
            <v>32.54</v>
          </cell>
          <cell r="V176">
            <v>31.992000000000001</v>
          </cell>
          <cell r="W176">
            <v>34.29</v>
          </cell>
          <cell r="X176">
            <v>31.591999999999999</v>
          </cell>
          <cell r="Y176">
            <v>32.54</v>
          </cell>
          <cell r="Z176">
            <v>35.04</v>
          </cell>
          <cell r="AA176">
            <v>34.79</v>
          </cell>
          <cell r="AB176">
            <v>38.42</v>
          </cell>
          <cell r="AC176">
            <v>40.369999999999997</v>
          </cell>
          <cell r="AD176">
            <v>40.42</v>
          </cell>
          <cell r="AE176">
            <v>38.42</v>
          </cell>
          <cell r="AF176">
            <v>41.53</v>
          </cell>
          <cell r="AG176">
            <v>4.0095000000000001</v>
          </cell>
        </row>
        <row r="177">
          <cell r="A177">
            <v>42309</v>
          </cell>
          <cell r="B177">
            <v>37.1</v>
          </cell>
          <cell r="C177">
            <v>37.1</v>
          </cell>
          <cell r="D177">
            <v>37.1</v>
          </cell>
          <cell r="E177">
            <v>37.1</v>
          </cell>
          <cell r="F177">
            <v>32.5</v>
          </cell>
          <cell r="G177">
            <v>36</v>
          </cell>
          <cell r="H177">
            <v>32.5</v>
          </cell>
          <cell r="I177">
            <v>33.5</v>
          </cell>
          <cell r="J177">
            <v>35</v>
          </cell>
          <cell r="K177">
            <v>42.5</v>
          </cell>
          <cell r="L177">
            <v>45.5</v>
          </cell>
          <cell r="M177">
            <v>32.96</v>
          </cell>
          <cell r="N177">
            <v>31.71</v>
          </cell>
          <cell r="O177">
            <v>32.46</v>
          </cell>
          <cell r="P177">
            <v>32.96</v>
          </cell>
          <cell r="Q177">
            <v>40.299999999999997</v>
          </cell>
          <cell r="R177">
            <v>34.61</v>
          </cell>
          <cell r="S177">
            <v>32.96</v>
          </cell>
          <cell r="T177">
            <v>24.21</v>
          </cell>
          <cell r="U177">
            <v>32.54</v>
          </cell>
          <cell r="V177">
            <v>32.091999999999999</v>
          </cell>
          <cell r="W177">
            <v>34.29</v>
          </cell>
          <cell r="X177">
            <v>31.692</v>
          </cell>
          <cell r="Y177">
            <v>32.54</v>
          </cell>
          <cell r="Z177">
            <v>35.04</v>
          </cell>
          <cell r="AA177">
            <v>34.79</v>
          </cell>
          <cell r="AB177">
            <v>37.42</v>
          </cell>
          <cell r="AC177">
            <v>39.119999999999997</v>
          </cell>
          <cell r="AD177">
            <v>39.42</v>
          </cell>
          <cell r="AE177">
            <v>37.42</v>
          </cell>
          <cell r="AF177">
            <v>40.53</v>
          </cell>
          <cell r="AG177">
            <v>4.1615000000000002</v>
          </cell>
        </row>
        <row r="178">
          <cell r="A178">
            <v>42339</v>
          </cell>
          <cell r="B178">
            <v>37.1</v>
          </cell>
          <cell r="C178">
            <v>37.1</v>
          </cell>
          <cell r="D178">
            <v>37.1</v>
          </cell>
          <cell r="E178">
            <v>37.1</v>
          </cell>
          <cell r="F178">
            <v>32.5</v>
          </cell>
          <cell r="G178">
            <v>36</v>
          </cell>
          <cell r="H178">
            <v>32.5</v>
          </cell>
          <cell r="I178">
            <v>33.5</v>
          </cell>
          <cell r="J178">
            <v>35</v>
          </cell>
          <cell r="K178">
            <v>42.5</v>
          </cell>
          <cell r="L178">
            <v>45.5</v>
          </cell>
          <cell r="M178">
            <v>33.299999999999997</v>
          </cell>
          <cell r="N178">
            <v>32.049999999999997</v>
          </cell>
          <cell r="O178">
            <v>32.799999999999997</v>
          </cell>
          <cell r="P178">
            <v>33.299999999999997</v>
          </cell>
          <cell r="Q178">
            <v>41.04</v>
          </cell>
          <cell r="R178">
            <v>34.950000000000003</v>
          </cell>
          <cell r="S178">
            <v>33.299999999999997</v>
          </cell>
          <cell r="T178">
            <v>24.55</v>
          </cell>
          <cell r="U178">
            <v>32.54</v>
          </cell>
          <cell r="V178">
            <v>32.192</v>
          </cell>
          <cell r="W178">
            <v>34.29</v>
          </cell>
          <cell r="X178">
            <v>31.792000000000002</v>
          </cell>
          <cell r="Y178">
            <v>32.54</v>
          </cell>
          <cell r="Z178">
            <v>35.04</v>
          </cell>
          <cell r="AA178">
            <v>34.79</v>
          </cell>
          <cell r="AB178">
            <v>38.32</v>
          </cell>
          <cell r="AC178">
            <v>40.67</v>
          </cell>
          <cell r="AD178">
            <v>40.17</v>
          </cell>
          <cell r="AE178">
            <v>38.32</v>
          </cell>
          <cell r="AF178">
            <v>41.93</v>
          </cell>
          <cell r="AG178">
            <v>4.3045</v>
          </cell>
        </row>
        <row r="179">
          <cell r="A179">
            <v>42370</v>
          </cell>
          <cell r="B179">
            <v>46.65</v>
          </cell>
          <cell r="C179">
            <v>46.65</v>
          </cell>
          <cell r="D179">
            <v>46.65</v>
          </cell>
          <cell r="E179">
            <v>46.65</v>
          </cell>
          <cell r="F179">
            <v>36</v>
          </cell>
          <cell r="G179">
            <v>39.5</v>
          </cell>
          <cell r="H179">
            <v>36</v>
          </cell>
          <cell r="I179">
            <v>37</v>
          </cell>
          <cell r="J179">
            <v>38.5</v>
          </cell>
          <cell r="K179">
            <v>49.5</v>
          </cell>
          <cell r="L179">
            <v>53.5</v>
          </cell>
          <cell r="M179">
            <v>34.299999999999997</v>
          </cell>
          <cell r="N179">
            <v>32.75</v>
          </cell>
          <cell r="O179">
            <v>33.799999999999997</v>
          </cell>
          <cell r="P179">
            <v>34.799999999999997</v>
          </cell>
          <cell r="Q179">
            <v>40</v>
          </cell>
          <cell r="R179">
            <v>37.82</v>
          </cell>
          <cell r="S179">
            <v>34.299999999999997</v>
          </cell>
          <cell r="T179">
            <v>29.3</v>
          </cell>
          <cell r="U179">
            <v>35.659999999999997</v>
          </cell>
          <cell r="V179">
            <v>35.231999999999999</v>
          </cell>
          <cell r="W179">
            <v>37.409999999999997</v>
          </cell>
          <cell r="X179">
            <v>34.631999999999998</v>
          </cell>
          <cell r="Y179">
            <v>35.659999999999997</v>
          </cell>
          <cell r="Z179">
            <v>38.159999999999997</v>
          </cell>
          <cell r="AA179">
            <v>37.909999999999997</v>
          </cell>
          <cell r="AB179">
            <v>39.32</v>
          </cell>
          <cell r="AC179">
            <v>42.07</v>
          </cell>
          <cell r="AD179">
            <v>41.32</v>
          </cell>
          <cell r="AE179">
            <v>39.32</v>
          </cell>
          <cell r="AF179">
            <v>42.72</v>
          </cell>
          <cell r="AG179">
            <v>4.3425000000000002</v>
          </cell>
        </row>
        <row r="180">
          <cell r="A180">
            <v>42401</v>
          </cell>
          <cell r="B180">
            <v>46.65</v>
          </cell>
          <cell r="C180">
            <v>46.65</v>
          </cell>
          <cell r="D180">
            <v>46.65</v>
          </cell>
          <cell r="E180">
            <v>46.65</v>
          </cell>
          <cell r="F180">
            <v>36</v>
          </cell>
          <cell r="G180">
            <v>39.5</v>
          </cell>
          <cell r="H180">
            <v>36</v>
          </cell>
          <cell r="I180">
            <v>37</v>
          </cell>
          <cell r="J180">
            <v>38.5</v>
          </cell>
          <cell r="K180">
            <v>49.5</v>
          </cell>
          <cell r="L180">
            <v>53.5</v>
          </cell>
          <cell r="M180">
            <v>33.19</v>
          </cell>
          <cell r="N180">
            <v>31.64</v>
          </cell>
          <cell r="O180">
            <v>32.69</v>
          </cell>
          <cell r="P180">
            <v>33.69</v>
          </cell>
          <cell r="Q180">
            <v>39.89</v>
          </cell>
          <cell r="R180">
            <v>36.979999999999997</v>
          </cell>
          <cell r="S180">
            <v>33.19</v>
          </cell>
          <cell r="T180">
            <v>27.69</v>
          </cell>
          <cell r="U180">
            <v>34.69</v>
          </cell>
          <cell r="V180">
            <v>35.015000000000001</v>
          </cell>
          <cell r="W180">
            <v>36.44</v>
          </cell>
          <cell r="X180">
            <v>34.414999999999999</v>
          </cell>
          <cell r="Y180">
            <v>34.69</v>
          </cell>
          <cell r="Z180">
            <v>37.19</v>
          </cell>
          <cell r="AA180">
            <v>36.94</v>
          </cell>
          <cell r="AB180">
            <v>38.57</v>
          </cell>
          <cell r="AC180">
            <v>41.32</v>
          </cell>
          <cell r="AD180">
            <v>40.07</v>
          </cell>
          <cell r="AE180">
            <v>38.57</v>
          </cell>
          <cell r="AF180">
            <v>41.57</v>
          </cell>
          <cell r="AG180">
            <v>4.2865000000000002</v>
          </cell>
        </row>
        <row r="181">
          <cell r="A181">
            <v>42430</v>
          </cell>
          <cell r="B181">
            <v>39.15</v>
          </cell>
          <cell r="C181">
            <v>39.15</v>
          </cell>
          <cell r="D181">
            <v>39.15</v>
          </cell>
          <cell r="E181">
            <v>39.15</v>
          </cell>
          <cell r="F181">
            <v>33</v>
          </cell>
          <cell r="G181">
            <v>36.5</v>
          </cell>
          <cell r="H181">
            <v>33</v>
          </cell>
          <cell r="I181">
            <v>34</v>
          </cell>
          <cell r="J181">
            <v>35</v>
          </cell>
          <cell r="K181">
            <v>42.5</v>
          </cell>
          <cell r="L181">
            <v>45.5</v>
          </cell>
          <cell r="M181">
            <v>31.97</v>
          </cell>
          <cell r="N181">
            <v>30.42</v>
          </cell>
          <cell r="O181">
            <v>31.47</v>
          </cell>
          <cell r="P181">
            <v>32.72</v>
          </cell>
          <cell r="Q181">
            <v>36.92</v>
          </cell>
          <cell r="R181">
            <v>35.49</v>
          </cell>
          <cell r="S181">
            <v>31.97</v>
          </cell>
          <cell r="T181">
            <v>23.47</v>
          </cell>
          <cell r="U181">
            <v>32.44</v>
          </cell>
          <cell r="V181">
            <v>34.765000000000001</v>
          </cell>
          <cell r="W181">
            <v>34.19</v>
          </cell>
          <cell r="X181">
            <v>34.615000000000002</v>
          </cell>
          <cell r="Y181">
            <v>32.44</v>
          </cell>
          <cell r="Z181">
            <v>34.94</v>
          </cell>
          <cell r="AA181">
            <v>34.69</v>
          </cell>
          <cell r="AB181">
            <v>37.006</v>
          </cell>
          <cell r="AC181">
            <v>39.856000000000002</v>
          </cell>
          <cell r="AD181">
            <v>38.506</v>
          </cell>
          <cell r="AE181">
            <v>37.006</v>
          </cell>
          <cell r="AF181">
            <v>39.506</v>
          </cell>
          <cell r="AG181">
            <v>4.1565000000000003</v>
          </cell>
        </row>
        <row r="182">
          <cell r="A182">
            <v>42461</v>
          </cell>
          <cell r="B182">
            <v>39.4</v>
          </cell>
          <cell r="C182">
            <v>39.4</v>
          </cell>
          <cell r="D182">
            <v>39.4</v>
          </cell>
          <cell r="E182">
            <v>39.4</v>
          </cell>
          <cell r="F182">
            <v>33</v>
          </cell>
          <cell r="G182">
            <v>36.5</v>
          </cell>
          <cell r="H182">
            <v>33</v>
          </cell>
          <cell r="I182">
            <v>34</v>
          </cell>
          <cell r="J182">
            <v>35</v>
          </cell>
          <cell r="K182">
            <v>42.5</v>
          </cell>
          <cell r="L182">
            <v>45.5</v>
          </cell>
          <cell r="M182">
            <v>31.39</v>
          </cell>
          <cell r="N182">
            <v>29.84</v>
          </cell>
          <cell r="O182">
            <v>30.89</v>
          </cell>
          <cell r="P182">
            <v>32.14</v>
          </cell>
          <cell r="Q182">
            <v>35.89</v>
          </cell>
          <cell r="R182">
            <v>34.909999999999997</v>
          </cell>
          <cell r="S182">
            <v>31.39</v>
          </cell>
          <cell r="T182">
            <v>22.89</v>
          </cell>
          <cell r="U182">
            <v>32.44</v>
          </cell>
          <cell r="V182">
            <v>34.765999999999998</v>
          </cell>
          <cell r="W182">
            <v>34.19</v>
          </cell>
          <cell r="X182">
            <v>34.616</v>
          </cell>
          <cell r="Y182">
            <v>32.44</v>
          </cell>
          <cell r="Z182">
            <v>34.94</v>
          </cell>
          <cell r="AA182">
            <v>34.69</v>
          </cell>
          <cell r="AB182">
            <v>37.79</v>
          </cell>
          <cell r="AC182">
            <v>40.64</v>
          </cell>
          <cell r="AD182">
            <v>39.79</v>
          </cell>
          <cell r="AE182">
            <v>37.79</v>
          </cell>
          <cell r="AF182">
            <v>40.29</v>
          </cell>
          <cell r="AG182">
            <v>3.9714999999999998</v>
          </cell>
        </row>
        <row r="183">
          <cell r="A183">
            <v>42491</v>
          </cell>
          <cell r="B183">
            <v>40.200000000000003</v>
          </cell>
          <cell r="C183">
            <v>40.200000000000003</v>
          </cell>
          <cell r="D183">
            <v>40.200000000000003</v>
          </cell>
          <cell r="E183">
            <v>40.200000000000003</v>
          </cell>
          <cell r="F183">
            <v>36</v>
          </cell>
          <cell r="G183">
            <v>39.5</v>
          </cell>
          <cell r="H183">
            <v>36</v>
          </cell>
          <cell r="I183">
            <v>37</v>
          </cell>
          <cell r="J183">
            <v>36</v>
          </cell>
          <cell r="K183">
            <v>44.5</v>
          </cell>
          <cell r="L183">
            <v>50</v>
          </cell>
          <cell r="M183">
            <v>38.82</v>
          </cell>
          <cell r="N183">
            <v>37.32</v>
          </cell>
          <cell r="O183">
            <v>38.32</v>
          </cell>
          <cell r="P183">
            <v>39.82</v>
          </cell>
          <cell r="Q183">
            <v>38.119999999999997</v>
          </cell>
          <cell r="R183">
            <v>44.14</v>
          </cell>
          <cell r="S183">
            <v>38.82</v>
          </cell>
          <cell r="T183">
            <v>33.06</v>
          </cell>
          <cell r="U183">
            <v>39.64</v>
          </cell>
          <cell r="V183">
            <v>41.621000000000002</v>
          </cell>
          <cell r="W183">
            <v>41.39</v>
          </cell>
          <cell r="X183">
            <v>41.871000000000002</v>
          </cell>
          <cell r="Y183">
            <v>39.64</v>
          </cell>
          <cell r="Z183">
            <v>42.64</v>
          </cell>
          <cell r="AA183">
            <v>42.89</v>
          </cell>
          <cell r="AB183">
            <v>39.75</v>
          </cell>
          <cell r="AC183">
            <v>43.5</v>
          </cell>
          <cell r="AD183">
            <v>41.75</v>
          </cell>
          <cell r="AE183">
            <v>39.75</v>
          </cell>
          <cell r="AF183">
            <v>43</v>
          </cell>
          <cell r="AG183">
            <v>3.9664999999999999</v>
          </cell>
        </row>
        <row r="184">
          <cell r="A184">
            <v>42522</v>
          </cell>
          <cell r="B184">
            <v>48.25</v>
          </cell>
          <cell r="C184">
            <v>48.25</v>
          </cell>
          <cell r="D184">
            <v>48.25</v>
          </cell>
          <cell r="E184">
            <v>48.25</v>
          </cell>
          <cell r="F184">
            <v>46</v>
          </cell>
          <cell r="G184">
            <v>54</v>
          </cell>
          <cell r="H184">
            <v>46</v>
          </cell>
          <cell r="I184">
            <v>47</v>
          </cell>
          <cell r="J184">
            <v>46</v>
          </cell>
          <cell r="K184">
            <v>55</v>
          </cell>
          <cell r="L184">
            <v>62</v>
          </cell>
          <cell r="M184">
            <v>52.17</v>
          </cell>
          <cell r="N184">
            <v>50.52</v>
          </cell>
          <cell r="O184">
            <v>51.67</v>
          </cell>
          <cell r="P184">
            <v>53.67</v>
          </cell>
          <cell r="Q184">
            <v>49.67</v>
          </cell>
          <cell r="R184">
            <v>56.49</v>
          </cell>
          <cell r="S184">
            <v>52.17</v>
          </cell>
          <cell r="T184">
            <v>45.58</v>
          </cell>
          <cell r="U184">
            <v>53.96</v>
          </cell>
          <cell r="V184">
            <v>56.414999999999999</v>
          </cell>
          <cell r="W184">
            <v>55.71</v>
          </cell>
          <cell r="X184">
            <v>55.965000000000003</v>
          </cell>
          <cell r="Y184">
            <v>53.96</v>
          </cell>
          <cell r="Z184">
            <v>57.21</v>
          </cell>
          <cell r="AA184">
            <v>59.21</v>
          </cell>
          <cell r="AB184">
            <v>44.8</v>
          </cell>
          <cell r="AC184">
            <v>50.05</v>
          </cell>
          <cell r="AD184">
            <v>45.55</v>
          </cell>
          <cell r="AE184">
            <v>44.8</v>
          </cell>
          <cell r="AF184">
            <v>49.3</v>
          </cell>
          <cell r="AG184">
            <v>4.0015000000000001</v>
          </cell>
        </row>
        <row r="185">
          <cell r="A185">
            <v>42552</v>
          </cell>
          <cell r="B185">
            <v>61</v>
          </cell>
          <cell r="C185">
            <v>61</v>
          </cell>
          <cell r="D185">
            <v>61</v>
          </cell>
          <cell r="E185">
            <v>61</v>
          </cell>
          <cell r="F185">
            <v>56</v>
          </cell>
          <cell r="G185">
            <v>69</v>
          </cell>
          <cell r="H185">
            <v>56</v>
          </cell>
          <cell r="I185">
            <v>57</v>
          </cell>
          <cell r="J185">
            <v>57.75</v>
          </cell>
          <cell r="K185">
            <v>75</v>
          </cell>
          <cell r="L185">
            <v>84</v>
          </cell>
          <cell r="M185">
            <v>66.61</v>
          </cell>
          <cell r="N185">
            <v>64.56</v>
          </cell>
          <cell r="O185">
            <v>66.11</v>
          </cell>
          <cell r="P185">
            <v>69.11</v>
          </cell>
          <cell r="Q185">
            <v>54.51</v>
          </cell>
          <cell r="R185">
            <v>66.86</v>
          </cell>
          <cell r="S185">
            <v>66.61</v>
          </cell>
          <cell r="T185">
            <v>54.73</v>
          </cell>
          <cell r="U185">
            <v>65.05</v>
          </cell>
          <cell r="V185">
            <v>68.872</v>
          </cell>
          <cell r="W185">
            <v>66.8</v>
          </cell>
          <cell r="X185">
            <v>67.762</v>
          </cell>
          <cell r="Y185">
            <v>65.05</v>
          </cell>
          <cell r="Z185">
            <v>68.3</v>
          </cell>
          <cell r="AA185">
            <v>70.3</v>
          </cell>
          <cell r="AB185">
            <v>55.35</v>
          </cell>
          <cell r="AC185">
            <v>65.8</v>
          </cell>
          <cell r="AD185">
            <v>58.2</v>
          </cell>
          <cell r="AE185">
            <v>55.35</v>
          </cell>
          <cell r="AF185">
            <v>63.35</v>
          </cell>
          <cell r="AG185">
            <v>4.0415000000000001</v>
          </cell>
        </row>
        <row r="186">
          <cell r="A186">
            <v>42583</v>
          </cell>
          <cell r="B186">
            <v>61</v>
          </cell>
          <cell r="C186">
            <v>61</v>
          </cell>
          <cell r="D186">
            <v>61</v>
          </cell>
          <cell r="E186">
            <v>61</v>
          </cell>
          <cell r="F186">
            <v>56</v>
          </cell>
          <cell r="G186">
            <v>69</v>
          </cell>
          <cell r="H186">
            <v>56</v>
          </cell>
          <cell r="I186">
            <v>57</v>
          </cell>
          <cell r="J186">
            <v>57.75</v>
          </cell>
          <cell r="K186">
            <v>75</v>
          </cell>
          <cell r="L186">
            <v>84</v>
          </cell>
          <cell r="M186">
            <v>65.8</v>
          </cell>
          <cell r="N186">
            <v>63.75</v>
          </cell>
          <cell r="O186">
            <v>65.3</v>
          </cell>
          <cell r="P186">
            <v>68.3</v>
          </cell>
          <cell r="Q186">
            <v>53.7</v>
          </cell>
          <cell r="R186">
            <v>67.05</v>
          </cell>
          <cell r="S186">
            <v>65.8</v>
          </cell>
          <cell r="T186">
            <v>53.92</v>
          </cell>
          <cell r="U186">
            <v>64.05</v>
          </cell>
          <cell r="V186">
            <v>69.122</v>
          </cell>
          <cell r="W186">
            <v>65.8</v>
          </cell>
          <cell r="X186">
            <v>67.111999999999995</v>
          </cell>
          <cell r="Y186">
            <v>64.05</v>
          </cell>
          <cell r="Z186">
            <v>67.3</v>
          </cell>
          <cell r="AA186">
            <v>69.3</v>
          </cell>
          <cell r="AB186">
            <v>54.95</v>
          </cell>
          <cell r="AC186">
            <v>65.400000000000006</v>
          </cell>
          <cell r="AD186">
            <v>58.2</v>
          </cell>
          <cell r="AE186">
            <v>54.95</v>
          </cell>
          <cell r="AF186">
            <v>62.95</v>
          </cell>
          <cell r="AG186">
            <v>4.0815000000000001</v>
          </cell>
        </row>
        <row r="187">
          <cell r="A187">
            <v>42614</v>
          </cell>
          <cell r="B187">
            <v>38.15</v>
          </cell>
          <cell r="C187">
            <v>38.15</v>
          </cell>
          <cell r="D187">
            <v>38.15</v>
          </cell>
          <cell r="E187">
            <v>38.15</v>
          </cell>
          <cell r="F187">
            <v>32.5</v>
          </cell>
          <cell r="G187">
            <v>36</v>
          </cell>
          <cell r="H187">
            <v>32.5</v>
          </cell>
          <cell r="I187">
            <v>33.5</v>
          </cell>
          <cell r="J187">
            <v>35.25</v>
          </cell>
          <cell r="K187">
            <v>43</v>
          </cell>
          <cell r="L187">
            <v>45.5</v>
          </cell>
          <cell r="M187">
            <v>29.58</v>
          </cell>
          <cell r="N187">
            <v>28.33</v>
          </cell>
          <cell r="O187">
            <v>29.08</v>
          </cell>
          <cell r="P187">
            <v>31.08</v>
          </cell>
          <cell r="Q187">
            <v>28.18</v>
          </cell>
          <cell r="R187">
            <v>32.26</v>
          </cell>
          <cell r="S187">
            <v>29.58</v>
          </cell>
          <cell r="T187">
            <v>23.72</v>
          </cell>
          <cell r="U187">
            <v>28.8</v>
          </cell>
          <cell r="V187">
            <v>29.341999999999999</v>
          </cell>
          <cell r="W187">
            <v>30.55</v>
          </cell>
          <cell r="X187">
            <v>28.891999999999999</v>
          </cell>
          <cell r="Y187">
            <v>28.8</v>
          </cell>
          <cell r="Z187">
            <v>31.55</v>
          </cell>
          <cell r="AA187">
            <v>33.049999999999997</v>
          </cell>
          <cell r="AB187">
            <v>40.700000000000003</v>
          </cell>
          <cell r="AC187">
            <v>42.6</v>
          </cell>
          <cell r="AD187">
            <v>44.5</v>
          </cell>
          <cell r="AE187">
            <v>40.700000000000003</v>
          </cell>
          <cell r="AF187">
            <v>47.1</v>
          </cell>
          <cell r="AG187">
            <v>4.0644999999999998</v>
          </cell>
        </row>
        <row r="188">
          <cell r="A188">
            <v>42644</v>
          </cell>
          <cell r="B188">
            <v>37.9</v>
          </cell>
          <cell r="C188">
            <v>37.9</v>
          </cell>
          <cell r="D188">
            <v>37.9</v>
          </cell>
          <cell r="E188">
            <v>37.9</v>
          </cell>
          <cell r="F188">
            <v>32.5</v>
          </cell>
          <cell r="G188">
            <v>36</v>
          </cell>
          <cell r="H188">
            <v>32.5</v>
          </cell>
          <cell r="I188">
            <v>33.5</v>
          </cell>
          <cell r="J188">
            <v>35.25</v>
          </cell>
          <cell r="K188">
            <v>43</v>
          </cell>
          <cell r="L188">
            <v>45.5</v>
          </cell>
          <cell r="M188">
            <v>32.31</v>
          </cell>
          <cell r="N188">
            <v>31.06</v>
          </cell>
          <cell r="O188">
            <v>31.81</v>
          </cell>
          <cell r="P188">
            <v>32.31</v>
          </cell>
          <cell r="Q188">
            <v>36.25</v>
          </cell>
          <cell r="R188">
            <v>33.96</v>
          </cell>
          <cell r="S188">
            <v>32.31</v>
          </cell>
          <cell r="T188">
            <v>23.31</v>
          </cell>
          <cell r="U188">
            <v>33.04</v>
          </cell>
          <cell r="V188">
            <v>33.491999999999997</v>
          </cell>
          <cell r="W188">
            <v>34.79</v>
          </cell>
          <cell r="X188">
            <v>33.091999999999999</v>
          </cell>
          <cell r="Y188">
            <v>33.04</v>
          </cell>
          <cell r="Z188">
            <v>35.54</v>
          </cell>
          <cell r="AA188">
            <v>35.29</v>
          </cell>
          <cell r="AB188">
            <v>38.92</v>
          </cell>
          <cell r="AC188">
            <v>40.869999999999997</v>
          </cell>
          <cell r="AD188">
            <v>40.92</v>
          </cell>
          <cell r="AE188">
            <v>38.92</v>
          </cell>
          <cell r="AF188">
            <v>42.03</v>
          </cell>
          <cell r="AG188">
            <v>4.0895000000000001</v>
          </cell>
        </row>
        <row r="189">
          <cell r="A189">
            <v>42675</v>
          </cell>
          <cell r="B189">
            <v>37.9</v>
          </cell>
          <cell r="C189">
            <v>37.9</v>
          </cell>
          <cell r="D189">
            <v>37.9</v>
          </cell>
          <cell r="E189">
            <v>37.9</v>
          </cell>
          <cell r="F189">
            <v>32.5</v>
          </cell>
          <cell r="G189">
            <v>36</v>
          </cell>
          <cell r="H189">
            <v>32.5</v>
          </cell>
          <cell r="I189">
            <v>33.5</v>
          </cell>
          <cell r="J189">
            <v>35.25</v>
          </cell>
          <cell r="K189">
            <v>43</v>
          </cell>
          <cell r="L189">
            <v>45.5</v>
          </cell>
          <cell r="M189">
            <v>31.63</v>
          </cell>
          <cell r="N189">
            <v>30.38</v>
          </cell>
          <cell r="O189">
            <v>31.13</v>
          </cell>
          <cell r="P189">
            <v>31.63</v>
          </cell>
          <cell r="Q189">
            <v>38.97</v>
          </cell>
          <cell r="R189">
            <v>33.28</v>
          </cell>
          <cell r="S189">
            <v>31.63</v>
          </cell>
          <cell r="T189">
            <v>22.63</v>
          </cell>
          <cell r="U189">
            <v>33.04</v>
          </cell>
          <cell r="V189">
            <v>33.591999999999999</v>
          </cell>
          <cell r="W189">
            <v>34.79</v>
          </cell>
          <cell r="X189">
            <v>33.192</v>
          </cell>
          <cell r="Y189">
            <v>33.04</v>
          </cell>
          <cell r="Z189">
            <v>35.54</v>
          </cell>
          <cell r="AA189">
            <v>35.29</v>
          </cell>
          <cell r="AB189">
            <v>37.92</v>
          </cell>
          <cell r="AC189">
            <v>39.619999999999997</v>
          </cell>
          <cell r="AD189">
            <v>39.92</v>
          </cell>
          <cell r="AE189">
            <v>37.92</v>
          </cell>
          <cell r="AF189">
            <v>41.03</v>
          </cell>
          <cell r="AG189">
            <v>4.2415000000000003</v>
          </cell>
        </row>
        <row r="190">
          <cell r="A190">
            <v>42705</v>
          </cell>
          <cell r="B190">
            <v>37.9</v>
          </cell>
          <cell r="C190">
            <v>37.9</v>
          </cell>
          <cell r="D190">
            <v>37.9</v>
          </cell>
          <cell r="E190">
            <v>37.9</v>
          </cell>
          <cell r="F190">
            <v>32.5</v>
          </cell>
          <cell r="G190">
            <v>36</v>
          </cell>
          <cell r="H190">
            <v>32.5</v>
          </cell>
          <cell r="I190">
            <v>33.5</v>
          </cell>
          <cell r="J190">
            <v>35.25</v>
          </cell>
          <cell r="K190">
            <v>43</v>
          </cell>
          <cell r="L190">
            <v>45.5</v>
          </cell>
          <cell r="M190">
            <v>32.74</v>
          </cell>
          <cell r="N190">
            <v>31.49</v>
          </cell>
          <cell r="O190">
            <v>32.24</v>
          </cell>
          <cell r="P190">
            <v>32.74</v>
          </cell>
          <cell r="Q190">
            <v>40.479999999999997</v>
          </cell>
          <cell r="R190">
            <v>34.39</v>
          </cell>
          <cell r="S190">
            <v>32.74</v>
          </cell>
          <cell r="T190">
            <v>23.74</v>
          </cell>
          <cell r="U190">
            <v>33.04</v>
          </cell>
          <cell r="V190">
            <v>33.692</v>
          </cell>
          <cell r="W190">
            <v>34.79</v>
          </cell>
          <cell r="X190">
            <v>33.292000000000002</v>
          </cell>
          <cell r="Y190">
            <v>33.04</v>
          </cell>
          <cell r="Z190">
            <v>35.54</v>
          </cell>
          <cell r="AA190">
            <v>35.29</v>
          </cell>
          <cell r="AB190">
            <v>38.82</v>
          </cell>
          <cell r="AC190">
            <v>41.17</v>
          </cell>
          <cell r="AD190">
            <v>40.67</v>
          </cell>
          <cell r="AE190">
            <v>38.82</v>
          </cell>
          <cell r="AF190">
            <v>42.43</v>
          </cell>
          <cell r="AG190">
            <v>4.3845000000000001</v>
          </cell>
        </row>
        <row r="191">
          <cell r="A191">
            <v>42736</v>
          </cell>
          <cell r="B191">
            <v>46.95</v>
          </cell>
          <cell r="C191">
            <v>46.95</v>
          </cell>
          <cell r="D191">
            <v>46.95</v>
          </cell>
          <cell r="E191">
            <v>46.95</v>
          </cell>
          <cell r="F191">
            <v>36.5</v>
          </cell>
          <cell r="G191">
            <v>40</v>
          </cell>
          <cell r="H191">
            <v>36.5</v>
          </cell>
          <cell r="I191">
            <v>37.5</v>
          </cell>
          <cell r="J191">
            <v>39.5</v>
          </cell>
          <cell r="K191">
            <v>50</v>
          </cell>
          <cell r="L191">
            <v>54</v>
          </cell>
          <cell r="M191">
            <v>35.26</v>
          </cell>
          <cell r="N191">
            <v>33.71</v>
          </cell>
          <cell r="O191">
            <v>34.76</v>
          </cell>
          <cell r="P191">
            <v>35.76</v>
          </cell>
          <cell r="Q191">
            <v>40.96</v>
          </cell>
          <cell r="R191">
            <v>38.78</v>
          </cell>
          <cell r="S191">
            <v>35.26</v>
          </cell>
          <cell r="T191">
            <v>30.26</v>
          </cell>
          <cell r="U191">
            <v>36.159999999999997</v>
          </cell>
          <cell r="V191">
            <v>35.731999999999999</v>
          </cell>
          <cell r="W191">
            <v>37.909999999999997</v>
          </cell>
          <cell r="X191">
            <v>35.131999999999998</v>
          </cell>
          <cell r="Y191">
            <v>36.159999999999997</v>
          </cell>
          <cell r="Z191">
            <v>38.659999999999997</v>
          </cell>
          <cell r="AA191">
            <v>38.409999999999997</v>
          </cell>
          <cell r="AB191">
            <v>39.57</v>
          </cell>
          <cell r="AC191">
            <v>42.32</v>
          </cell>
          <cell r="AD191">
            <v>41.57</v>
          </cell>
          <cell r="AE191">
            <v>39.57</v>
          </cell>
          <cell r="AF191">
            <v>42.97</v>
          </cell>
          <cell r="AG191">
            <v>4.4225000000000003</v>
          </cell>
        </row>
        <row r="192">
          <cell r="A192">
            <v>42767</v>
          </cell>
          <cell r="B192">
            <v>47.95</v>
          </cell>
          <cell r="C192">
            <v>47.95</v>
          </cell>
          <cell r="D192">
            <v>47.95</v>
          </cell>
          <cell r="E192">
            <v>47.95</v>
          </cell>
          <cell r="F192">
            <v>36.5</v>
          </cell>
          <cell r="G192">
            <v>40</v>
          </cell>
          <cell r="H192">
            <v>36.5</v>
          </cell>
          <cell r="I192">
            <v>37.5</v>
          </cell>
          <cell r="J192">
            <v>39.5</v>
          </cell>
          <cell r="K192">
            <v>50</v>
          </cell>
          <cell r="L192">
            <v>54</v>
          </cell>
          <cell r="M192">
            <v>34.630000000000003</v>
          </cell>
          <cell r="N192">
            <v>33.08</v>
          </cell>
          <cell r="O192">
            <v>34.130000000000003</v>
          </cell>
          <cell r="P192">
            <v>35.130000000000003</v>
          </cell>
          <cell r="Q192">
            <v>41.33</v>
          </cell>
          <cell r="R192">
            <v>38.42</v>
          </cell>
          <cell r="S192">
            <v>34.630000000000003</v>
          </cell>
          <cell r="T192">
            <v>29.13</v>
          </cell>
          <cell r="U192">
            <v>35.19</v>
          </cell>
          <cell r="V192">
            <v>35.515000000000001</v>
          </cell>
          <cell r="W192">
            <v>36.94</v>
          </cell>
          <cell r="X192">
            <v>34.914999999999999</v>
          </cell>
          <cell r="Y192">
            <v>35.19</v>
          </cell>
          <cell r="Z192">
            <v>37.69</v>
          </cell>
          <cell r="AA192">
            <v>37.44</v>
          </cell>
          <cell r="AB192">
            <v>38.82</v>
          </cell>
          <cell r="AC192">
            <v>41.57</v>
          </cell>
          <cell r="AD192">
            <v>40.32</v>
          </cell>
          <cell r="AE192">
            <v>38.82</v>
          </cell>
          <cell r="AF192">
            <v>41.82</v>
          </cell>
          <cell r="AG192">
            <v>4.3665000000000003</v>
          </cell>
        </row>
        <row r="193">
          <cell r="A193">
            <v>42795</v>
          </cell>
          <cell r="B193">
            <v>39.450000000000003</v>
          </cell>
          <cell r="C193">
            <v>39.450000000000003</v>
          </cell>
          <cell r="D193">
            <v>39.450000000000003</v>
          </cell>
          <cell r="E193">
            <v>39.450000000000003</v>
          </cell>
          <cell r="F193">
            <v>33</v>
          </cell>
          <cell r="G193">
            <v>36.5</v>
          </cell>
          <cell r="H193">
            <v>33</v>
          </cell>
          <cell r="I193">
            <v>34</v>
          </cell>
          <cell r="J193">
            <v>35</v>
          </cell>
          <cell r="K193">
            <v>43</v>
          </cell>
          <cell r="L193">
            <v>46</v>
          </cell>
          <cell r="M193">
            <v>33.01</v>
          </cell>
          <cell r="N193">
            <v>31.46</v>
          </cell>
          <cell r="O193">
            <v>32.51</v>
          </cell>
          <cell r="P193">
            <v>33.76</v>
          </cell>
          <cell r="Q193">
            <v>37.96</v>
          </cell>
          <cell r="R193">
            <v>36.53</v>
          </cell>
          <cell r="S193">
            <v>33.01</v>
          </cell>
          <cell r="T193">
            <v>24.26</v>
          </cell>
          <cell r="U193">
            <v>32.94</v>
          </cell>
          <cell r="V193">
            <v>35.265000000000001</v>
          </cell>
          <cell r="W193">
            <v>34.69</v>
          </cell>
          <cell r="X193">
            <v>35.115000000000002</v>
          </cell>
          <cell r="Y193">
            <v>32.94</v>
          </cell>
          <cell r="Z193">
            <v>35.44</v>
          </cell>
          <cell r="AA193">
            <v>35.19</v>
          </cell>
          <cell r="AB193">
            <v>37.256</v>
          </cell>
          <cell r="AC193">
            <v>40.106000000000002</v>
          </cell>
          <cell r="AD193">
            <v>38.756</v>
          </cell>
          <cell r="AE193">
            <v>37.256</v>
          </cell>
          <cell r="AF193">
            <v>39.756</v>
          </cell>
          <cell r="AG193">
            <v>4.2365000000000004</v>
          </cell>
        </row>
        <row r="194">
          <cell r="A194">
            <v>42826</v>
          </cell>
          <cell r="B194">
            <v>39.700000000000003</v>
          </cell>
          <cell r="C194">
            <v>39.700000000000003</v>
          </cell>
          <cell r="D194">
            <v>39.700000000000003</v>
          </cell>
          <cell r="E194">
            <v>39.700000000000003</v>
          </cell>
          <cell r="F194">
            <v>33</v>
          </cell>
          <cell r="G194">
            <v>36.5</v>
          </cell>
          <cell r="H194">
            <v>33</v>
          </cell>
          <cell r="I194">
            <v>34</v>
          </cell>
          <cell r="J194">
            <v>35</v>
          </cell>
          <cell r="K194">
            <v>43</v>
          </cell>
          <cell r="L194">
            <v>46</v>
          </cell>
          <cell r="M194">
            <v>32.97</v>
          </cell>
          <cell r="N194">
            <v>31.42</v>
          </cell>
          <cell r="O194">
            <v>32.47</v>
          </cell>
          <cell r="P194">
            <v>33.72</v>
          </cell>
          <cell r="Q194">
            <v>37.47</v>
          </cell>
          <cell r="R194">
            <v>36.49</v>
          </cell>
          <cell r="S194">
            <v>32.97</v>
          </cell>
          <cell r="T194">
            <v>24.22</v>
          </cell>
          <cell r="U194">
            <v>32.94</v>
          </cell>
          <cell r="V194">
            <v>35.265999999999998</v>
          </cell>
          <cell r="W194">
            <v>34.69</v>
          </cell>
          <cell r="X194">
            <v>35.116</v>
          </cell>
          <cell r="Y194">
            <v>32.94</v>
          </cell>
          <cell r="Z194">
            <v>35.44</v>
          </cell>
          <cell r="AA194">
            <v>35.19</v>
          </cell>
          <cell r="AB194">
            <v>38.04</v>
          </cell>
          <cell r="AC194">
            <v>40.89</v>
          </cell>
          <cell r="AD194">
            <v>40.04</v>
          </cell>
          <cell r="AE194">
            <v>38.04</v>
          </cell>
          <cell r="AF194">
            <v>40.54</v>
          </cell>
          <cell r="AG194">
            <v>4.0514999999999999</v>
          </cell>
        </row>
        <row r="195">
          <cell r="A195">
            <v>42856</v>
          </cell>
          <cell r="B195">
            <v>40.700000000000003</v>
          </cell>
          <cell r="C195">
            <v>40.700000000000003</v>
          </cell>
          <cell r="D195">
            <v>40.700000000000003</v>
          </cell>
          <cell r="E195">
            <v>40.700000000000003</v>
          </cell>
          <cell r="F195">
            <v>36.5</v>
          </cell>
          <cell r="G195">
            <v>40</v>
          </cell>
          <cell r="H195">
            <v>36.5</v>
          </cell>
          <cell r="I195">
            <v>37.5</v>
          </cell>
          <cell r="J195">
            <v>36</v>
          </cell>
          <cell r="K195">
            <v>45</v>
          </cell>
          <cell r="L195">
            <v>50</v>
          </cell>
          <cell r="M195">
            <v>39.74</v>
          </cell>
          <cell r="N195">
            <v>38.24</v>
          </cell>
          <cell r="O195">
            <v>39.24</v>
          </cell>
          <cell r="P195">
            <v>40.74</v>
          </cell>
          <cell r="Q195">
            <v>39.04</v>
          </cell>
          <cell r="R195">
            <v>45.06</v>
          </cell>
          <cell r="S195">
            <v>39.74</v>
          </cell>
          <cell r="T195">
            <v>33.9</v>
          </cell>
          <cell r="U195">
            <v>40.64</v>
          </cell>
          <cell r="V195">
            <v>42.621000000000002</v>
          </cell>
          <cell r="W195">
            <v>42.39</v>
          </cell>
          <cell r="X195">
            <v>42.871000000000002</v>
          </cell>
          <cell r="Y195">
            <v>40.64</v>
          </cell>
          <cell r="Z195">
            <v>43.64</v>
          </cell>
          <cell r="AA195">
            <v>43.89</v>
          </cell>
          <cell r="AB195">
            <v>40</v>
          </cell>
          <cell r="AC195">
            <v>43.75</v>
          </cell>
          <cell r="AD195">
            <v>42</v>
          </cell>
          <cell r="AE195">
            <v>40</v>
          </cell>
          <cell r="AF195">
            <v>43.25</v>
          </cell>
          <cell r="AG195">
            <v>4.0465</v>
          </cell>
        </row>
        <row r="196">
          <cell r="A196">
            <v>42887</v>
          </cell>
          <cell r="B196">
            <v>49.25</v>
          </cell>
          <cell r="C196">
            <v>49.25</v>
          </cell>
          <cell r="D196">
            <v>49.25</v>
          </cell>
          <cell r="E196">
            <v>49.25</v>
          </cell>
          <cell r="F196">
            <v>46.5</v>
          </cell>
          <cell r="G196">
            <v>54.5</v>
          </cell>
          <cell r="H196">
            <v>46.5</v>
          </cell>
          <cell r="I196">
            <v>47.5</v>
          </cell>
          <cell r="J196">
            <v>46</v>
          </cell>
          <cell r="K196">
            <v>55</v>
          </cell>
          <cell r="L196">
            <v>62</v>
          </cell>
          <cell r="M196">
            <v>52.91</v>
          </cell>
          <cell r="N196">
            <v>51.26</v>
          </cell>
          <cell r="O196">
            <v>52.41</v>
          </cell>
          <cell r="P196">
            <v>54.41</v>
          </cell>
          <cell r="Q196">
            <v>50.41</v>
          </cell>
          <cell r="R196">
            <v>57.23</v>
          </cell>
          <cell r="S196">
            <v>52.91</v>
          </cell>
          <cell r="T196">
            <v>45.97</v>
          </cell>
          <cell r="U196">
            <v>55.96</v>
          </cell>
          <cell r="V196">
            <v>58.414999999999999</v>
          </cell>
          <cell r="W196">
            <v>57.71</v>
          </cell>
          <cell r="X196">
            <v>57.965000000000003</v>
          </cell>
          <cell r="Y196">
            <v>55.96</v>
          </cell>
          <cell r="Z196">
            <v>59.21</v>
          </cell>
          <cell r="AA196">
            <v>61.21</v>
          </cell>
          <cell r="AB196">
            <v>45.05</v>
          </cell>
          <cell r="AC196">
            <v>50.3</v>
          </cell>
          <cell r="AD196">
            <v>45.8</v>
          </cell>
          <cell r="AE196">
            <v>45.05</v>
          </cell>
          <cell r="AF196">
            <v>49.55</v>
          </cell>
          <cell r="AG196">
            <v>4.0815000000000001</v>
          </cell>
        </row>
        <row r="197">
          <cell r="A197">
            <v>42917</v>
          </cell>
          <cell r="B197">
            <v>63</v>
          </cell>
          <cell r="C197">
            <v>63</v>
          </cell>
          <cell r="D197">
            <v>63</v>
          </cell>
          <cell r="E197">
            <v>63</v>
          </cell>
          <cell r="F197">
            <v>56.5</v>
          </cell>
          <cell r="G197">
            <v>69.5</v>
          </cell>
          <cell r="H197">
            <v>56.5</v>
          </cell>
          <cell r="I197">
            <v>57.5</v>
          </cell>
          <cell r="J197">
            <v>58</v>
          </cell>
          <cell r="K197">
            <v>76</v>
          </cell>
          <cell r="L197">
            <v>84</v>
          </cell>
          <cell r="M197">
            <v>67.575000000000003</v>
          </cell>
          <cell r="N197">
            <v>65.525000000000006</v>
          </cell>
          <cell r="O197">
            <v>67.075000000000003</v>
          </cell>
          <cell r="P197">
            <v>70.075000000000003</v>
          </cell>
          <cell r="Q197">
            <v>55.475000000000001</v>
          </cell>
          <cell r="R197">
            <v>67.825000000000003</v>
          </cell>
          <cell r="S197">
            <v>67.575000000000003</v>
          </cell>
          <cell r="T197">
            <v>55.094999999999999</v>
          </cell>
          <cell r="U197">
            <v>67.05</v>
          </cell>
          <cell r="V197">
            <v>70.872</v>
          </cell>
          <cell r="W197">
            <v>68.8</v>
          </cell>
          <cell r="X197">
            <v>69.762</v>
          </cell>
          <cell r="Y197">
            <v>67.05</v>
          </cell>
          <cell r="Z197">
            <v>70.3</v>
          </cell>
          <cell r="AA197">
            <v>72.3</v>
          </cell>
          <cell r="AB197">
            <v>55.6</v>
          </cell>
          <cell r="AC197">
            <v>66.05</v>
          </cell>
          <cell r="AD197">
            <v>58.45</v>
          </cell>
          <cell r="AE197">
            <v>55.6</v>
          </cell>
          <cell r="AF197">
            <v>63.6</v>
          </cell>
          <cell r="AG197">
            <v>4.1215000000000002</v>
          </cell>
        </row>
        <row r="198">
          <cell r="A198">
            <v>42948</v>
          </cell>
          <cell r="B198">
            <v>63</v>
          </cell>
          <cell r="C198">
            <v>63</v>
          </cell>
          <cell r="D198">
            <v>63</v>
          </cell>
          <cell r="E198">
            <v>63</v>
          </cell>
          <cell r="F198">
            <v>56.5</v>
          </cell>
          <cell r="G198">
            <v>69.5</v>
          </cell>
          <cell r="H198">
            <v>56.5</v>
          </cell>
          <cell r="I198">
            <v>57.5</v>
          </cell>
          <cell r="J198">
            <v>58</v>
          </cell>
          <cell r="K198">
            <v>76</v>
          </cell>
          <cell r="L198">
            <v>84</v>
          </cell>
          <cell r="M198">
            <v>67.584999999999994</v>
          </cell>
          <cell r="N198">
            <v>65.534999999999997</v>
          </cell>
          <cell r="O198">
            <v>67.084999999999994</v>
          </cell>
          <cell r="P198">
            <v>70.084999999999994</v>
          </cell>
          <cell r="Q198">
            <v>55.484999999999999</v>
          </cell>
          <cell r="R198">
            <v>68.834999999999994</v>
          </cell>
          <cell r="S198">
            <v>67.584999999999994</v>
          </cell>
          <cell r="T198">
            <v>55.104999999999997</v>
          </cell>
          <cell r="U198">
            <v>66.05</v>
          </cell>
          <cell r="V198">
            <v>71.122</v>
          </cell>
          <cell r="W198">
            <v>67.8</v>
          </cell>
          <cell r="X198">
            <v>69.111999999999995</v>
          </cell>
          <cell r="Y198">
            <v>66.05</v>
          </cell>
          <cell r="Z198">
            <v>69.3</v>
          </cell>
          <cell r="AA198">
            <v>71.3</v>
          </cell>
          <cell r="AB198">
            <v>55.2</v>
          </cell>
          <cell r="AC198">
            <v>65.650000000000006</v>
          </cell>
          <cell r="AD198">
            <v>58.45</v>
          </cell>
          <cell r="AE198">
            <v>55.2</v>
          </cell>
          <cell r="AF198">
            <v>63.2</v>
          </cell>
          <cell r="AG198">
            <v>4.1615000000000002</v>
          </cell>
        </row>
        <row r="199">
          <cell r="A199">
            <v>42979</v>
          </cell>
          <cell r="B199">
            <v>38.450000000000003</v>
          </cell>
          <cell r="C199">
            <v>38.450000000000003</v>
          </cell>
          <cell r="D199">
            <v>38.450000000000003</v>
          </cell>
          <cell r="E199">
            <v>38.450000000000003</v>
          </cell>
          <cell r="F199">
            <v>32.75</v>
          </cell>
          <cell r="G199">
            <v>36.25</v>
          </cell>
          <cell r="H199">
            <v>32.75</v>
          </cell>
          <cell r="I199">
            <v>33.75</v>
          </cell>
          <cell r="J199">
            <v>35.25</v>
          </cell>
          <cell r="K199">
            <v>43</v>
          </cell>
          <cell r="L199">
            <v>45.75</v>
          </cell>
          <cell r="M199">
            <v>30.47</v>
          </cell>
          <cell r="N199">
            <v>29.22</v>
          </cell>
          <cell r="O199">
            <v>29.97</v>
          </cell>
          <cell r="P199">
            <v>31.97</v>
          </cell>
          <cell r="Q199">
            <v>29.07</v>
          </cell>
          <cell r="R199">
            <v>33.15</v>
          </cell>
          <cell r="S199">
            <v>30.47</v>
          </cell>
          <cell r="T199">
            <v>24.54</v>
          </cell>
          <cell r="U199">
            <v>29.05</v>
          </cell>
          <cell r="V199">
            <v>29.591999999999999</v>
          </cell>
          <cell r="W199">
            <v>30.8</v>
          </cell>
          <cell r="X199">
            <v>29.141999999999999</v>
          </cell>
          <cell r="Y199">
            <v>29.05</v>
          </cell>
          <cell r="Z199">
            <v>31.8</v>
          </cell>
          <cell r="AA199">
            <v>33.299999999999997</v>
          </cell>
          <cell r="AB199">
            <v>40.950000000000003</v>
          </cell>
          <cell r="AC199">
            <v>42.85</v>
          </cell>
          <cell r="AD199">
            <v>44.75</v>
          </cell>
          <cell r="AE199">
            <v>40.950000000000003</v>
          </cell>
          <cell r="AF199">
            <v>47.35</v>
          </cell>
          <cell r="AG199">
            <v>4.1444999999999999</v>
          </cell>
        </row>
        <row r="200">
          <cell r="A200">
            <v>43009</v>
          </cell>
          <cell r="B200">
            <v>38.200000000000003</v>
          </cell>
          <cell r="C200">
            <v>38.200000000000003</v>
          </cell>
          <cell r="D200">
            <v>38.200000000000003</v>
          </cell>
          <cell r="E200">
            <v>38.200000000000003</v>
          </cell>
          <cell r="F200">
            <v>32.75</v>
          </cell>
          <cell r="G200">
            <v>36.25</v>
          </cell>
          <cell r="H200">
            <v>32.75</v>
          </cell>
          <cell r="I200">
            <v>33.75</v>
          </cell>
          <cell r="J200">
            <v>35.25</v>
          </cell>
          <cell r="K200">
            <v>43</v>
          </cell>
          <cell r="L200">
            <v>45.75</v>
          </cell>
          <cell r="M200">
            <v>33.700000000000003</v>
          </cell>
          <cell r="N200">
            <v>32.450000000000003</v>
          </cell>
          <cell r="O200">
            <v>33.200000000000003</v>
          </cell>
          <cell r="P200">
            <v>33.700000000000003</v>
          </cell>
          <cell r="Q200">
            <v>37.64</v>
          </cell>
          <cell r="R200">
            <v>35.35</v>
          </cell>
          <cell r="S200">
            <v>33.700000000000003</v>
          </cell>
          <cell r="T200">
            <v>24.45</v>
          </cell>
          <cell r="U200">
            <v>33.54</v>
          </cell>
          <cell r="V200">
            <v>33.991999999999997</v>
          </cell>
          <cell r="W200">
            <v>35.29</v>
          </cell>
          <cell r="X200">
            <v>33.591999999999999</v>
          </cell>
          <cell r="Y200">
            <v>33.54</v>
          </cell>
          <cell r="Z200">
            <v>36.04</v>
          </cell>
          <cell r="AA200">
            <v>35.79</v>
          </cell>
          <cell r="AB200">
            <v>39.17</v>
          </cell>
          <cell r="AC200">
            <v>41.12</v>
          </cell>
          <cell r="AD200">
            <v>41.17</v>
          </cell>
          <cell r="AE200">
            <v>39.17</v>
          </cell>
          <cell r="AF200">
            <v>42.28</v>
          </cell>
          <cell r="AG200">
            <v>4.1695000000000002</v>
          </cell>
        </row>
        <row r="201">
          <cell r="A201">
            <v>43040</v>
          </cell>
          <cell r="B201">
            <v>38.200000000000003</v>
          </cell>
          <cell r="C201">
            <v>38.200000000000003</v>
          </cell>
          <cell r="D201">
            <v>38.200000000000003</v>
          </cell>
          <cell r="E201">
            <v>38.200000000000003</v>
          </cell>
          <cell r="F201">
            <v>32.75</v>
          </cell>
          <cell r="G201">
            <v>36.25</v>
          </cell>
          <cell r="H201">
            <v>32.75</v>
          </cell>
          <cell r="I201">
            <v>33.75</v>
          </cell>
          <cell r="J201">
            <v>35.25</v>
          </cell>
          <cell r="K201">
            <v>43</v>
          </cell>
          <cell r="L201">
            <v>45.75</v>
          </cell>
          <cell r="M201">
            <v>33.56</v>
          </cell>
          <cell r="N201">
            <v>32.31</v>
          </cell>
          <cell r="O201">
            <v>33.06</v>
          </cell>
          <cell r="P201">
            <v>33.56</v>
          </cell>
          <cell r="Q201">
            <v>40.9</v>
          </cell>
          <cell r="R201">
            <v>35.21</v>
          </cell>
          <cell r="S201">
            <v>33.56</v>
          </cell>
          <cell r="T201">
            <v>24.31</v>
          </cell>
          <cell r="U201">
            <v>33.54</v>
          </cell>
          <cell r="V201">
            <v>34.091999999999999</v>
          </cell>
          <cell r="W201">
            <v>35.29</v>
          </cell>
          <cell r="X201">
            <v>33.692</v>
          </cell>
          <cell r="Y201">
            <v>33.54</v>
          </cell>
          <cell r="Z201">
            <v>36.04</v>
          </cell>
          <cell r="AA201">
            <v>35.79</v>
          </cell>
          <cell r="AB201">
            <v>38.17</v>
          </cell>
          <cell r="AC201">
            <v>39.869999999999997</v>
          </cell>
          <cell r="AD201">
            <v>40.17</v>
          </cell>
          <cell r="AE201">
            <v>38.17</v>
          </cell>
          <cell r="AF201">
            <v>41.28</v>
          </cell>
          <cell r="AG201">
            <v>4.3215000000000003</v>
          </cell>
        </row>
        <row r="202">
          <cell r="A202">
            <v>43070</v>
          </cell>
          <cell r="B202">
            <v>38.200000000000003</v>
          </cell>
          <cell r="C202">
            <v>38.200000000000003</v>
          </cell>
          <cell r="D202">
            <v>38.200000000000003</v>
          </cell>
          <cell r="E202">
            <v>38.200000000000003</v>
          </cell>
          <cell r="F202">
            <v>32.75</v>
          </cell>
          <cell r="G202">
            <v>36.25</v>
          </cell>
          <cell r="H202">
            <v>32.75</v>
          </cell>
          <cell r="I202">
            <v>33.75</v>
          </cell>
          <cell r="J202">
            <v>35.25</v>
          </cell>
          <cell r="K202">
            <v>43</v>
          </cell>
          <cell r="L202">
            <v>45.75</v>
          </cell>
          <cell r="M202">
            <v>33.409999999999997</v>
          </cell>
          <cell r="N202">
            <v>32.159999999999997</v>
          </cell>
          <cell r="O202">
            <v>32.909999999999997</v>
          </cell>
          <cell r="P202">
            <v>33.409999999999997</v>
          </cell>
          <cell r="Q202">
            <v>41.15</v>
          </cell>
          <cell r="R202">
            <v>35.06</v>
          </cell>
          <cell r="S202">
            <v>33.409999999999997</v>
          </cell>
          <cell r="T202">
            <v>24.16</v>
          </cell>
          <cell r="U202">
            <v>33.54</v>
          </cell>
          <cell r="V202">
            <v>34.192</v>
          </cell>
          <cell r="W202">
            <v>35.29</v>
          </cell>
          <cell r="X202">
            <v>33.792000000000002</v>
          </cell>
          <cell r="Y202">
            <v>33.54</v>
          </cell>
          <cell r="Z202">
            <v>36.04</v>
          </cell>
          <cell r="AA202">
            <v>35.79</v>
          </cell>
          <cell r="AB202">
            <v>39.07</v>
          </cell>
          <cell r="AC202">
            <v>41.42</v>
          </cell>
          <cell r="AD202">
            <v>40.92</v>
          </cell>
          <cell r="AE202">
            <v>39.07</v>
          </cell>
          <cell r="AF202">
            <v>42.68</v>
          </cell>
          <cell r="AG202">
            <v>4.4645000000000001</v>
          </cell>
        </row>
        <row r="203">
          <cell r="A203">
            <v>43101</v>
          </cell>
          <cell r="B203">
            <v>47.25</v>
          </cell>
          <cell r="C203">
            <v>47.25</v>
          </cell>
          <cell r="D203">
            <v>47.25</v>
          </cell>
          <cell r="E203">
            <v>47.25</v>
          </cell>
          <cell r="F203">
            <v>36.75</v>
          </cell>
          <cell r="G203">
            <v>40.25</v>
          </cell>
          <cell r="H203">
            <v>36.75</v>
          </cell>
          <cell r="I203">
            <v>37.75</v>
          </cell>
          <cell r="J203">
            <v>40</v>
          </cell>
          <cell r="K203">
            <v>50</v>
          </cell>
          <cell r="L203">
            <v>54.5</v>
          </cell>
          <cell r="M203">
            <v>34.03</v>
          </cell>
          <cell r="N203">
            <v>32.479999999999997</v>
          </cell>
          <cell r="O203">
            <v>33.53</v>
          </cell>
          <cell r="P203">
            <v>34.53</v>
          </cell>
          <cell r="Q203">
            <v>39.729999999999997</v>
          </cell>
          <cell r="R203">
            <v>37.549999999999997</v>
          </cell>
          <cell r="S203">
            <v>34.03</v>
          </cell>
          <cell r="T203">
            <v>29.03</v>
          </cell>
          <cell r="U203">
            <v>36.659999999999997</v>
          </cell>
          <cell r="V203">
            <v>36.231999999999999</v>
          </cell>
          <cell r="W203">
            <v>38.409999999999997</v>
          </cell>
          <cell r="X203">
            <v>35.631999999999998</v>
          </cell>
          <cell r="Y203">
            <v>36.659999999999997</v>
          </cell>
          <cell r="Z203">
            <v>39.159999999999997</v>
          </cell>
          <cell r="AA203">
            <v>38.909999999999997</v>
          </cell>
          <cell r="AB203">
            <v>39.82</v>
          </cell>
          <cell r="AC203">
            <v>42.57</v>
          </cell>
          <cell r="AD203">
            <v>41.82</v>
          </cell>
          <cell r="AE203">
            <v>39.82</v>
          </cell>
          <cell r="AF203">
            <v>43.22</v>
          </cell>
          <cell r="AG203">
            <v>4.5025000000000004</v>
          </cell>
        </row>
        <row r="204">
          <cell r="A204">
            <v>43132</v>
          </cell>
          <cell r="B204">
            <v>48.25</v>
          </cell>
          <cell r="C204">
            <v>48.25</v>
          </cell>
          <cell r="D204">
            <v>48.25</v>
          </cell>
          <cell r="E204">
            <v>48.25</v>
          </cell>
          <cell r="F204">
            <v>36.75</v>
          </cell>
          <cell r="G204">
            <v>40.25</v>
          </cell>
          <cell r="H204">
            <v>36.75</v>
          </cell>
          <cell r="I204">
            <v>37.75</v>
          </cell>
          <cell r="J204">
            <v>40</v>
          </cell>
          <cell r="K204">
            <v>50</v>
          </cell>
          <cell r="L204">
            <v>54.5</v>
          </cell>
          <cell r="M204">
            <v>34.17</v>
          </cell>
          <cell r="N204">
            <v>32.619999999999997</v>
          </cell>
          <cell r="O204">
            <v>33.67</v>
          </cell>
          <cell r="P204">
            <v>34.67</v>
          </cell>
          <cell r="Q204">
            <v>40.869999999999997</v>
          </cell>
          <cell r="R204">
            <v>37.96</v>
          </cell>
          <cell r="S204">
            <v>34.17</v>
          </cell>
          <cell r="T204">
            <v>28.67</v>
          </cell>
          <cell r="U204">
            <v>35.69</v>
          </cell>
          <cell r="V204">
            <v>36.015000000000001</v>
          </cell>
          <cell r="W204">
            <v>37.44</v>
          </cell>
          <cell r="X204">
            <v>35.414999999999999</v>
          </cell>
          <cell r="Y204">
            <v>35.69</v>
          </cell>
          <cell r="Z204">
            <v>38.19</v>
          </cell>
          <cell r="AA204">
            <v>37.94</v>
          </cell>
          <cell r="AB204">
            <v>39.07</v>
          </cell>
          <cell r="AC204">
            <v>41.82</v>
          </cell>
          <cell r="AD204">
            <v>40.57</v>
          </cell>
          <cell r="AE204">
            <v>39.07</v>
          </cell>
          <cell r="AF204">
            <v>42.07</v>
          </cell>
          <cell r="AG204">
            <v>4.4465000000000003</v>
          </cell>
        </row>
        <row r="205">
          <cell r="A205">
            <v>43160</v>
          </cell>
          <cell r="B205">
            <v>39.75</v>
          </cell>
          <cell r="C205">
            <v>39.75</v>
          </cell>
          <cell r="D205">
            <v>39.75</v>
          </cell>
          <cell r="E205">
            <v>39.75</v>
          </cell>
          <cell r="F205">
            <v>33</v>
          </cell>
          <cell r="G205">
            <v>36.5</v>
          </cell>
          <cell r="H205">
            <v>33</v>
          </cell>
          <cell r="I205">
            <v>34</v>
          </cell>
          <cell r="J205">
            <v>35</v>
          </cell>
          <cell r="K205">
            <v>43</v>
          </cell>
          <cell r="L205">
            <v>46</v>
          </cell>
          <cell r="M205">
            <v>33.619999999999997</v>
          </cell>
          <cell r="N205">
            <v>32.07</v>
          </cell>
          <cell r="O205">
            <v>33.119999999999997</v>
          </cell>
          <cell r="P205">
            <v>34.369999999999997</v>
          </cell>
          <cell r="Q205">
            <v>38.57</v>
          </cell>
          <cell r="R205">
            <v>37.14</v>
          </cell>
          <cell r="S205">
            <v>33.619999999999997</v>
          </cell>
          <cell r="T205">
            <v>24.62</v>
          </cell>
          <cell r="U205">
            <v>33.44</v>
          </cell>
          <cell r="V205">
            <v>35.765000000000001</v>
          </cell>
          <cell r="W205">
            <v>35.19</v>
          </cell>
          <cell r="X205">
            <v>35.615000000000002</v>
          </cell>
          <cell r="Y205">
            <v>33.44</v>
          </cell>
          <cell r="Z205">
            <v>35.94</v>
          </cell>
          <cell r="AA205">
            <v>35.69</v>
          </cell>
          <cell r="AB205">
            <v>37.506</v>
          </cell>
          <cell r="AC205">
            <v>40.356000000000002</v>
          </cell>
          <cell r="AD205">
            <v>39.006</v>
          </cell>
          <cell r="AE205">
            <v>37.506</v>
          </cell>
          <cell r="AF205">
            <v>40.006</v>
          </cell>
          <cell r="AG205">
            <v>4.3164999999999996</v>
          </cell>
        </row>
        <row r="206">
          <cell r="A206">
            <v>43191</v>
          </cell>
          <cell r="B206">
            <v>40</v>
          </cell>
          <cell r="C206">
            <v>40</v>
          </cell>
          <cell r="D206">
            <v>40</v>
          </cell>
          <cell r="E206">
            <v>40</v>
          </cell>
          <cell r="F206">
            <v>33</v>
          </cell>
          <cell r="G206">
            <v>36.5</v>
          </cell>
          <cell r="H206">
            <v>33</v>
          </cell>
          <cell r="I206">
            <v>34</v>
          </cell>
          <cell r="J206">
            <v>35</v>
          </cell>
          <cell r="K206">
            <v>43</v>
          </cell>
          <cell r="L206">
            <v>46</v>
          </cell>
          <cell r="M206">
            <v>34.06</v>
          </cell>
          <cell r="N206">
            <v>32.51</v>
          </cell>
          <cell r="O206">
            <v>33.56</v>
          </cell>
          <cell r="P206">
            <v>34.81</v>
          </cell>
          <cell r="Q206">
            <v>38.56</v>
          </cell>
          <cell r="R206">
            <v>37.58</v>
          </cell>
          <cell r="S206">
            <v>34.06</v>
          </cell>
          <cell r="T206">
            <v>25.06</v>
          </cell>
          <cell r="U206">
            <v>33.44</v>
          </cell>
          <cell r="V206">
            <v>35.765999999999998</v>
          </cell>
          <cell r="W206">
            <v>35.19</v>
          </cell>
          <cell r="X206">
            <v>35.616</v>
          </cell>
          <cell r="Y206">
            <v>33.44</v>
          </cell>
          <cell r="Z206">
            <v>35.94</v>
          </cell>
          <cell r="AA206">
            <v>35.69</v>
          </cell>
          <cell r="AB206">
            <v>38.29</v>
          </cell>
          <cell r="AC206">
            <v>41.14</v>
          </cell>
          <cell r="AD206">
            <v>40.29</v>
          </cell>
          <cell r="AE206">
            <v>38.29</v>
          </cell>
          <cell r="AF206">
            <v>40.79</v>
          </cell>
          <cell r="AG206">
            <v>4.1315</v>
          </cell>
        </row>
        <row r="207">
          <cell r="A207">
            <v>43221</v>
          </cell>
          <cell r="B207">
            <v>41.2</v>
          </cell>
          <cell r="C207">
            <v>41.2</v>
          </cell>
          <cell r="D207">
            <v>41.2</v>
          </cell>
          <cell r="E207">
            <v>41.2</v>
          </cell>
          <cell r="F207">
            <v>36.75</v>
          </cell>
          <cell r="G207">
            <v>40.25</v>
          </cell>
          <cell r="H207">
            <v>36.75</v>
          </cell>
          <cell r="I207">
            <v>37.75</v>
          </cell>
          <cell r="J207">
            <v>36</v>
          </cell>
          <cell r="K207">
            <v>46</v>
          </cell>
          <cell r="L207">
            <v>50</v>
          </cell>
          <cell r="M207">
            <v>41.08</v>
          </cell>
          <cell r="N207">
            <v>39.58</v>
          </cell>
          <cell r="O207">
            <v>40.58</v>
          </cell>
          <cell r="P207">
            <v>42.08</v>
          </cell>
          <cell r="Q207">
            <v>40.380000000000003</v>
          </cell>
          <cell r="R207">
            <v>46.4</v>
          </cell>
          <cell r="S207">
            <v>41.09</v>
          </cell>
          <cell r="T207">
            <v>35.17</v>
          </cell>
          <cell r="U207">
            <v>41.64</v>
          </cell>
          <cell r="V207">
            <v>43.621000000000002</v>
          </cell>
          <cell r="W207">
            <v>43.39</v>
          </cell>
          <cell r="X207">
            <v>43.871000000000002</v>
          </cell>
          <cell r="Y207">
            <v>41.64</v>
          </cell>
          <cell r="Z207">
            <v>44.64</v>
          </cell>
          <cell r="AA207">
            <v>44.89</v>
          </cell>
          <cell r="AB207">
            <v>40.25</v>
          </cell>
          <cell r="AC207">
            <v>44</v>
          </cell>
          <cell r="AD207">
            <v>42.25</v>
          </cell>
          <cell r="AE207">
            <v>40.25</v>
          </cell>
          <cell r="AF207">
            <v>43.5</v>
          </cell>
          <cell r="AG207">
            <v>4.1265000000000001</v>
          </cell>
        </row>
        <row r="208">
          <cell r="A208">
            <v>43252</v>
          </cell>
          <cell r="B208">
            <v>50.25</v>
          </cell>
          <cell r="C208">
            <v>50.25</v>
          </cell>
          <cell r="D208">
            <v>50.25</v>
          </cell>
          <cell r="E208">
            <v>50.25</v>
          </cell>
          <cell r="F208">
            <v>46.75</v>
          </cell>
          <cell r="G208">
            <v>54.75</v>
          </cell>
          <cell r="H208">
            <v>46.75</v>
          </cell>
          <cell r="I208">
            <v>47.75</v>
          </cell>
          <cell r="J208">
            <v>46</v>
          </cell>
          <cell r="K208">
            <v>56</v>
          </cell>
          <cell r="L208">
            <v>62.5</v>
          </cell>
          <cell r="M208">
            <v>55.77</v>
          </cell>
          <cell r="N208">
            <v>54.12</v>
          </cell>
          <cell r="O208">
            <v>55.27</v>
          </cell>
          <cell r="P208">
            <v>57.27</v>
          </cell>
          <cell r="Q208">
            <v>53.27</v>
          </cell>
          <cell r="R208">
            <v>60.09</v>
          </cell>
          <cell r="S208">
            <v>55.77</v>
          </cell>
          <cell r="T208">
            <v>48.48</v>
          </cell>
          <cell r="U208">
            <v>57.96</v>
          </cell>
          <cell r="V208">
            <v>60.414999999999999</v>
          </cell>
          <cell r="W208">
            <v>59.71</v>
          </cell>
          <cell r="X208">
            <v>59.965000000000003</v>
          </cell>
          <cell r="Y208">
            <v>57.96</v>
          </cell>
          <cell r="Z208">
            <v>61.21</v>
          </cell>
          <cell r="AA208">
            <v>63.21</v>
          </cell>
          <cell r="AB208">
            <v>45.3</v>
          </cell>
          <cell r="AC208">
            <v>50.55</v>
          </cell>
          <cell r="AD208">
            <v>46.05</v>
          </cell>
          <cell r="AE208">
            <v>45.3</v>
          </cell>
          <cell r="AF208">
            <v>49.8</v>
          </cell>
          <cell r="AG208">
            <v>4.1615000000000002</v>
          </cell>
        </row>
        <row r="209">
          <cell r="A209">
            <v>43282</v>
          </cell>
          <cell r="B209">
            <v>65</v>
          </cell>
          <cell r="C209">
            <v>65</v>
          </cell>
          <cell r="D209">
            <v>65</v>
          </cell>
          <cell r="E209">
            <v>65</v>
          </cell>
          <cell r="F209">
            <v>57</v>
          </cell>
          <cell r="G209">
            <v>70</v>
          </cell>
          <cell r="H209">
            <v>57</v>
          </cell>
          <cell r="I209">
            <v>58</v>
          </cell>
          <cell r="J209">
            <v>58</v>
          </cell>
          <cell r="K209">
            <v>76</v>
          </cell>
          <cell r="L209">
            <v>84.5</v>
          </cell>
          <cell r="M209">
            <v>69.72</v>
          </cell>
          <cell r="N209">
            <v>67.67</v>
          </cell>
          <cell r="O209">
            <v>69.22</v>
          </cell>
          <cell r="P209">
            <v>72.22</v>
          </cell>
          <cell r="Q209">
            <v>57.62</v>
          </cell>
          <cell r="R209">
            <v>69.97</v>
          </cell>
          <cell r="S209">
            <v>69.72</v>
          </cell>
          <cell r="T209">
            <v>56.64</v>
          </cell>
          <cell r="U209">
            <v>69.05</v>
          </cell>
          <cell r="V209">
            <v>72.872</v>
          </cell>
          <cell r="W209">
            <v>70.8</v>
          </cell>
          <cell r="X209">
            <v>71.762</v>
          </cell>
          <cell r="Y209">
            <v>69.05</v>
          </cell>
          <cell r="Z209">
            <v>72.3</v>
          </cell>
          <cell r="AA209">
            <v>74.3</v>
          </cell>
          <cell r="AB209">
            <v>55.85</v>
          </cell>
          <cell r="AC209">
            <v>66.3</v>
          </cell>
          <cell r="AD209">
            <v>58.7</v>
          </cell>
          <cell r="AE209">
            <v>55.85</v>
          </cell>
          <cell r="AF209">
            <v>63.85</v>
          </cell>
          <cell r="AG209">
            <v>4.2015000000000002</v>
          </cell>
        </row>
        <row r="210">
          <cell r="A210">
            <v>43313</v>
          </cell>
          <cell r="B210">
            <v>65</v>
          </cell>
          <cell r="C210">
            <v>65</v>
          </cell>
          <cell r="D210">
            <v>65</v>
          </cell>
          <cell r="E210">
            <v>65</v>
          </cell>
          <cell r="F210">
            <v>57</v>
          </cell>
          <cell r="G210">
            <v>70</v>
          </cell>
          <cell r="H210">
            <v>57</v>
          </cell>
          <cell r="I210">
            <v>58</v>
          </cell>
          <cell r="J210">
            <v>58</v>
          </cell>
          <cell r="K210">
            <v>76</v>
          </cell>
          <cell r="L210">
            <v>84.5</v>
          </cell>
          <cell r="M210">
            <v>68.53</v>
          </cell>
          <cell r="N210">
            <v>66.48</v>
          </cell>
          <cell r="O210">
            <v>68.03</v>
          </cell>
          <cell r="P210">
            <v>71.03</v>
          </cell>
          <cell r="Q210">
            <v>56.43</v>
          </cell>
          <cell r="R210">
            <v>69.78</v>
          </cell>
          <cell r="S210">
            <v>68.53</v>
          </cell>
          <cell r="T210">
            <v>55.45</v>
          </cell>
          <cell r="U210">
            <v>68.05</v>
          </cell>
          <cell r="V210">
            <v>73.122</v>
          </cell>
          <cell r="W210">
            <v>69.8</v>
          </cell>
          <cell r="X210">
            <v>71.111999999999995</v>
          </cell>
          <cell r="Y210">
            <v>68.05</v>
          </cell>
          <cell r="Z210">
            <v>71.3</v>
          </cell>
          <cell r="AA210">
            <v>73.3</v>
          </cell>
          <cell r="AB210">
            <v>55.45</v>
          </cell>
          <cell r="AC210">
            <v>65.900000000000006</v>
          </cell>
          <cell r="AD210">
            <v>58.7</v>
          </cell>
          <cell r="AE210">
            <v>55.45</v>
          </cell>
          <cell r="AF210">
            <v>63.45</v>
          </cell>
          <cell r="AG210">
            <v>4.2415000000000003</v>
          </cell>
        </row>
        <row r="211">
          <cell r="A211">
            <v>43344</v>
          </cell>
          <cell r="B211">
            <v>38.75</v>
          </cell>
          <cell r="C211">
            <v>38.75</v>
          </cell>
          <cell r="D211">
            <v>38.75</v>
          </cell>
          <cell r="E211">
            <v>38.75</v>
          </cell>
          <cell r="F211">
            <v>32.75</v>
          </cell>
          <cell r="G211">
            <v>36.25</v>
          </cell>
          <cell r="H211">
            <v>32.75</v>
          </cell>
          <cell r="I211">
            <v>33.75</v>
          </cell>
          <cell r="J211">
            <v>35.25</v>
          </cell>
          <cell r="K211">
            <v>44</v>
          </cell>
          <cell r="L211">
            <v>45.75</v>
          </cell>
          <cell r="M211">
            <v>30.06</v>
          </cell>
          <cell r="N211">
            <v>28.81</v>
          </cell>
          <cell r="O211">
            <v>29.56</v>
          </cell>
          <cell r="P211">
            <v>31.56</v>
          </cell>
          <cell r="Q211">
            <v>28.66</v>
          </cell>
          <cell r="R211">
            <v>32.74</v>
          </cell>
          <cell r="S211">
            <v>30.06</v>
          </cell>
          <cell r="T211">
            <v>24.05</v>
          </cell>
          <cell r="U211">
            <v>29.3</v>
          </cell>
          <cell r="V211">
            <v>29.841999999999999</v>
          </cell>
          <cell r="W211">
            <v>31.05</v>
          </cell>
          <cell r="X211">
            <v>29.391999999999999</v>
          </cell>
          <cell r="Y211">
            <v>29.3</v>
          </cell>
          <cell r="Z211">
            <v>32.049999999999997</v>
          </cell>
          <cell r="AA211">
            <v>33.549999999999997</v>
          </cell>
          <cell r="AB211">
            <v>41.2</v>
          </cell>
          <cell r="AC211">
            <v>43.1</v>
          </cell>
          <cell r="AD211">
            <v>45</v>
          </cell>
          <cell r="AE211">
            <v>41.2</v>
          </cell>
          <cell r="AF211">
            <v>47.6</v>
          </cell>
          <cell r="AG211">
            <v>4.2244999999999999</v>
          </cell>
        </row>
        <row r="212">
          <cell r="A212">
            <v>43374</v>
          </cell>
          <cell r="B212">
            <v>38.5</v>
          </cell>
          <cell r="C212">
            <v>38.5</v>
          </cell>
          <cell r="D212">
            <v>38.5</v>
          </cell>
          <cell r="E212">
            <v>38.5</v>
          </cell>
          <cell r="F212">
            <v>32.75</v>
          </cell>
          <cell r="G212">
            <v>36.25</v>
          </cell>
          <cell r="H212">
            <v>32.75</v>
          </cell>
          <cell r="I212">
            <v>33.75</v>
          </cell>
          <cell r="J212">
            <v>35.25</v>
          </cell>
          <cell r="K212">
            <v>44</v>
          </cell>
          <cell r="L212">
            <v>45.75</v>
          </cell>
          <cell r="M212">
            <v>33.96</v>
          </cell>
          <cell r="N212">
            <v>32.71</v>
          </cell>
          <cell r="O212">
            <v>33.46</v>
          </cell>
          <cell r="P212">
            <v>33.96</v>
          </cell>
          <cell r="Q212">
            <v>37.9</v>
          </cell>
          <cell r="R212">
            <v>35.61</v>
          </cell>
          <cell r="S212">
            <v>33.96</v>
          </cell>
          <cell r="T212">
            <v>24.46</v>
          </cell>
          <cell r="U212">
            <v>34.04</v>
          </cell>
          <cell r="V212">
            <v>34.491999999999997</v>
          </cell>
          <cell r="W212">
            <v>35.79</v>
          </cell>
          <cell r="X212">
            <v>34.091999999999999</v>
          </cell>
          <cell r="Y212">
            <v>34.04</v>
          </cell>
          <cell r="Z212">
            <v>36.54</v>
          </cell>
          <cell r="AA212">
            <v>36.29</v>
          </cell>
          <cell r="AB212">
            <v>39.42</v>
          </cell>
          <cell r="AC212">
            <v>41.37</v>
          </cell>
          <cell r="AD212">
            <v>41.42</v>
          </cell>
          <cell r="AE212">
            <v>39.42</v>
          </cell>
          <cell r="AF212">
            <v>42.53</v>
          </cell>
          <cell r="AG212">
            <v>4.2495000000000003</v>
          </cell>
        </row>
        <row r="213">
          <cell r="A213">
            <v>43405</v>
          </cell>
          <cell r="B213">
            <v>38.5</v>
          </cell>
          <cell r="C213">
            <v>38.5</v>
          </cell>
          <cell r="D213">
            <v>38.5</v>
          </cell>
          <cell r="E213">
            <v>38.5</v>
          </cell>
          <cell r="F213">
            <v>32.75</v>
          </cell>
          <cell r="G213">
            <v>36.25</v>
          </cell>
          <cell r="H213">
            <v>32.75</v>
          </cell>
          <cell r="I213">
            <v>33.75</v>
          </cell>
          <cell r="J213">
            <v>35.25</v>
          </cell>
          <cell r="K213">
            <v>44</v>
          </cell>
          <cell r="L213">
            <v>45.75</v>
          </cell>
          <cell r="M213">
            <v>34.299999999999997</v>
          </cell>
          <cell r="N213">
            <v>33.049999999999997</v>
          </cell>
          <cell r="O213">
            <v>33.799999999999997</v>
          </cell>
          <cell r="P213">
            <v>34.299999999999997</v>
          </cell>
          <cell r="Q213">
            <v>41.64</v>
          </cell>
          <cell r="R213">
            <v>35.950000000000003</v>
          </cell>
          <cell r="S213">
            <v>34.299999999999997</v>
          </cell>
          <cell r="T213">
            <v>24.8</v>
          </cell>
          <cell r="U213">
            <v>34.04</v>
          </cell>
          <cell r="V213">
            <v>34.591999999999999</v>
          </cell>
          <cell r="W213">
            <v>35.79</v>
          </cell>
          <cell r="X213">
            <v>34.192</v>
          </cell>
          <cell r="Y213">
            <v>34.04</v>
          </cell>
          <cell r="Z213">
            <v>36.54</v>
          </cell>
          <cell r="AA213">
            <v>36.29</v>
          </cell>
          <cell r="AB213">
            <v>38.42</v>
          </cell>
          <cell r="AC213">
            <v>40.119999999999997</v>
          </cell>
          <cell r="AD213">
            <v>40.42</v>
          </cell>
          <cell r="AE213">
            <v>38.42</v>
          </cell>
          <cell r="AF213">
            <v>41.53</v>
          </cell>
          <cell r="AG213">
            <v>4.4015000000000004</v>
          </cell>
        </row>
        <row r="214">
          <cell r="A214">
            <v>43435</v>
          </cell>
          <cell r="B214">
            <v>38.5</v>
          </cell>
          <cell r="C214">
            <v>38.5</v>
          </cell>
          <cell r="D214">
            <v>38.5</v>
          </cell>
          <cell r="E214">
            <v>38.5</v>
          </cell>
          <cell r="F214">
            <v>32.75</v>
          </cell>
          <cell r="G214">
            <v>36.25</v>
          </cell>
          <cell r="H214">
            <v>32.75</v>
          </cell>
          <cell r="I214">
            <v>33.75</v>
          </cell>
          <cell r="J214">
            <v>35.25</v>
          </cell>
          <cell r="K214">
            <v>44</v>
          </cell>
          <cell r="L214">
            <v>45.75</v>
          </cell>
          <cell r="M214">
            <v>34</v>
          </cell>
          <cell r="N214">
            <v>32.75</v>
          </cell>
          <cell r="O214">
            <v>33.5</v>
          </cell>
          <cell r="P214">
            <v>34</v>
          </cell>
          <cell r="Q214">
            <v>41.74</v>
          </cell>
          <cell r="R214">
            <v>35.65</v>
          </cell>
          <cell r="S214">
            <v>34</v>
          </cell>
          <cell r="T214">
            <v>24.5</v>
          </cell>
          <cell r="U214">
            <v>34.04</v>
          </cell>
          <cell r="V214">
            <v>34.692</v>
          </cell>
          <cell r="W214">
            <v>35.79</v>
          </cell>
          <cell r="X214">
            <v>34.292000000000002</v>
          </cell>
          <cell r="Y214">
            <v>34.04</v>
          </cell>
          <cell r="Z214">
            <v>36.54</v>
          </cell>
          <cell r="AA214">
            <v>36.29</v>
          </cell>
          <cell r="AB214">
            <v>39.32</v>
          </cell>
          <cell r="AC214">
            <v>41.67</v>
          </cell>
          <cell r="AD214">
            <v>41.17</v>
          </cell>
          <cell r="AE214">
            <v>39.32</v>
          </cell>
          <cell r="AF214">
            <v>42.93</v>
          </cell>
          <cell r="AG214">
            <v>4.5445000000000002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32.402049004708822</v>
          </cell>
          <cell r="C217">
            <v>34.956889528604464</v>
          </cell>
          <cell r="D217">
            <v>34.956889528604464</v>
          </cell>
          <cell r="E217">
            <v>34.956889528604464</v>
          </cell>
          <cell r="F217">
            <v>24.386618087603789</v>
          </cell>
          <cell r="G217">
            <v>28.797662703987498</v>
          </cell>
          <cell r="H217">
            <v>28.35001314939452</v>
          </cell>
          <cell r="I217">
            <v>28.439977511283661</v>
          </cell>
          <cell r="J217">
            <v>26.681988144769832</v>
          </cell>
          <cell r="K217">
            <v>33.130461679151672</v>
          </cell>
          <cell r="L217">
            <v>35.955656132556179</v>
          </cell>
          <cell r="M217">
            <v>22.516663803276096</v>
          </cell>
          <cell r="N217">
            <v>21.150185763341234</v>
          </cell>
          <cell r="O217">
            <v>22.333026535911859</v>
          </cell>
          <cell r="P217">
            <v>22.482105245005584</v>
          </cell>
          <cell r="Q217">
            <v>23.246914463649382</v>
          </cell>
          <cell r="R217">
            <v>21.811751853397659</v>
          </cell>
          <cell r="S217">
            <v>22.516663803276096</v>
          </cell>
          <cell r="T217">
            <v>17.516662595862542</v>
          </cell>
          <cell r="U217">
            <v>23.130736056604896</v>
          </cell>
          <cell r="V217">
            <v>19.402557118355293</v>
          </cell>
          <cell r="W217">
            <v>26.108736616104217</v>
          </cell>
          <cell r="X217">
            <v>15.20505213101753</v>
          </cell>
          <cell r="Y217">
            <v>23.630736056604896</v>
          </cell>
          <cell r="Z217">
            <v>26.115099350828565</v>
          </cell>
          <cell r="AA217">
            <v>25.622439880477231</v>
          </cell>
          <cell r="AB217">
            <v>19.567063893387818</v>
          </cell>
          <cell r="AC217">
            <v>20.898207166937912</v>
          </cell>
          <cell r="AD217">
            <v>18.862474453521948</v>
          </cell>
          <cell r="AE217">
            <v>19.573215799788496</v>
          </cell>
          <cell r="AF217">
            <v>18.636913024498675</v>
          </cell>
          <cell r="AG217">
            <v>2.4034999999999997</v>
          </cell>
        </row>
        <row r="218">
          <cell r="A218" t="str">
            <v>Cal-02</v>
          </cell>
          <cell r="B218">
            <v>37.528454855936445</v>
          </cell>
          <cell r="C218">
            <v>37.573068417455644</v>
          </cell>
          <cell r="D218">
            <v>37.573068417455644</v>
          </cell>
          <cell r="E218">
            <v>37.573068417455644</v>
          </cell>
          <cell r="F218">
            <v>32.739543244039105</v>
          </cell>
          <cell r="G218">
            <v>41.7205937475076</v>
          </cell>
          <cell r="H218">
            <v>33.309743286413301</v>
          </cell>
          <cell r="I218">
            <v>35.213520430364397</v>
          </cell>
          <cell r="J218">
            <v>32.315716707084299</v>
          </cell>
          <cell r="K218">
            <v>40.471419147849055</v>
          </cell>
          <cell r="L218">
            <v>45.961321133615463</v>
          </cell>
          <cell r="M218">
            <v>29.845744648433406</v>
          </cell>
          <cell r="N218">
            <v>27.489325545668631</v>
          </cell>
          <cell r="O218">
            <v>29.008266978203068</v>
          </cell>
          <cell r="P218">
            <v>29.983707912599826</v>
          </cell>
          <cell r="Q218">
            <v>31.432153145432849</v>
          </cell>
          <cell r="R218">
            <v>33.743593654533164</v>
          </cell>
          <cell r="S218">
            <v>29.845744648433406</v>
          </cell>
          <cell r="T218">
            <v>24.845744482028223</v>
          </cell>
          <cell r="U218">
            <v>31.201587794145695</v>
          </cell>
          <cell r="V218">
            <v>26.987215103753066</v>
          </cell>
          <cell r="W218">
            <v>33.038832033061418</v>
          </cell>
          <cell r="X218">
            <v>26.024300409392108</v>
          </cell>
          <cell r="Y218">
            <v>31.701587794145695</v>
          </cell>
          <cell r="Z218">
            <v>34.264304885647839</v>
          </cell>
          <cell r="AA218">
            <v>34.985858886916922</v>
          </cell>
          <cell r="AB218">
            <v>26.784534535127484</v>
          </cell>
          <cell r="AC218">
            <v>31.489477369900737</v>
          </cell>
          <cell r="AD218">
            <v>29.625171571820236</v>
          </cell>
          <cell r="AE218">
            <v>26.784653514831056</v>
          </cell>
          <cell r="AF218">
            <v>30.531023184123367</v>
          </cell>
          <cell r="AG218">
            <v>2.750531506849315</v>
          </cell>
        </row>
        <row r="219">
          <cell r="A219" t="str">
            <v>Cal-03</v>
          </cell>
          <cell r="B219">
            <v>36.976466193002494</v>
          </cell>
          <cell r="C219">
            <v>36.976466193002494</v>
          </cell>
          <cell r="D219">
            <v>36.976466193002494</v>
          </cell>
          <cell r="E219">
            <v>36.976466193002494</v>
          </cell>
          <cell r="F219">
            <v>33.7316255789191</v>
          </cell>
          <cell r="G219">
            <v>41.08307267334952</v>
          </cell>
          <cell r="H219">
            <v>34.2316255789191</v>
          </cell>
          <cell r="I219">
            <v>36.232898227695429</v>
          </cell>
          <cell r="J219">
            <v>33.566354417677566</v>
          </cell>
          <cell r="K219">
            <v>42.36890253291736</v>
          </cell>
          <cell r="L219">
            <v>47.536969030814682</v>
          </cell>
          <cell r="M219">
            <v>31.562665984663671</v>
          </cell>
          <cell r="N219">
            <v>29.743278641412576</v>
          </cell>
          <cell r="O219">
            <v>30.855654911620771</v>
          </cell>
          <cell r="P219">
            <v>32.523776370483901</v>
          </cell>
          <cell r="Q219">
            <v>32.315659566464497</v>
          </cell>
          <cell r="R219">
            <v>34.333907420372739</v>
          </cell>
          <cell r="S219">
            <v>31.562665984663671</v>
          </cell>
          <cell r="T219">
            <v>26.562665984663671</v>
          </cell>
          <cell r="U219">
            <v>31.358638717727992</v>
          </cell>
          <cell r="V219">
            <v>29.148573657048978</v>
          </cell>
          <cell r="W219">
            <v>33.108638717727992</v>
          </cell>
          <cell r="X219">
            <v>28.610280916608815</v>
          </cell>
          <cell r="Y219">
            <v>31.358638717727992</v>
          </cell>
          <cell r="Z219">
            <v>33.608447911093755</v>
          </cell>
          <cell r="AA219">
            <v>34.606568618527611</v>
          </cell>
          <cell r="AB219">
            <v>30.241314314734474</v>
          </cell>
          <cell r="AC219">
            <v>34.468106600137183</v>
          </cell>
          <cell r="AD219">
            <v>32.366301397898582</v>
          </cell>
          <cell r="AE219">
            <v>30.241314314734474</v>
          </cell>
          <cell r="AF219">
            <v>34.48759492865323</v>
          </cell>
          <cell r="AG219">
            <v>3.1213150684931512</v>
          </cell>
        </row>
        <row r="220">
          <cell r="A220" t="str">
            <v>Cal-04</v>
          </cell>
          <cell r="B220">
            <v>36.499780885907214</v>
          </cell>
          <cell r="C220">
            <v>36.499780885907214</v>
          </cell>
          <cell r="D220">
            <v>36.499780885907214</v>
          </cell>
          <cell r="E220">
            <v>36.499780885907214</v>
          </cell>
          <cell r="F220">
            <v>34.056264380459183</v>
          </cell>
          <cell r="G220">
            <v>41.132242411470266</v>
          </cell>
          <cell r="H220">
            <v>34.056264380459183</v>
          </cell>
          <cell r="I220">
            <v>36.561050372782205</v>
          </cell>
          <cell r="J220">
            <v>34.306576973547976</v>
          </cell>
          <cell r="K220">
            <v>43.337741335244651</v>
          </cell>
          <cell r="L220">
            <v>48.744681262376432</v>
          </cell>
          <cell r="M220">
            <v>31.748852717302707</v>
          </cell>
          <cell r="N220">
            <v>30.20936502131724</v>
          </cell>
          <cell r="O220">
            <v>31.248852717302707</v>
          </cell>
          <cell r="P220">
            <v>32.708450304099721</v>
          </cell>
          <cell r="Q220">
            <v>31.694213376539693</v>
          </cell>
          <cell r="R220">
            <v>33.531983265495015</v>
          </cell>
          <cell r="S220">
            <v>31.748852717302707</v>
          </cell>
          <cell r="T220">
            <v>26.142365755151584</v>
          </cell>
          <cell r="U220">
            <v>32.17968652444516</v>
          </cell>
          <cell r="V220">
            <v>30.746073125961523</v>
          </cell>
          <cell r="W220">
            <v>33.92968652444516</v>
          </cell>
          <cell r="X220">
            <v>30.205687949053257</v>
          </cell>
          <cell r="Y220">
            <v>32.17968652444516</v>
          </cell>
          <cell r="Z220">
            <v>34.428372076808522</v>
          </cell>
          <cell r="AA220">
            <v>35.42596373929279</v>
          </cell>
          <cell r="AB220">
            <v>30.352054594782853</v>
          </cell>
          <cell r="AC220">
            <v>34.443602681295765</v>
          </cell>
          <cell r="AD220">
            <v>32.467355823575467</v>
          </cell>
          <cell r="AE220">
            <v>30.352054594782853</v>
          </cell>
          <cell r="AF220">
            <v>34.62322891326582</v>
          </cell>
          <cell r="AG220">
            <v>3.19551912568306</v>
          </cell>
        </row>
        <row r="221">
          <cell r="A221" t="str">
            <v>Cal-05</v>
          </cell>
          <cell r="B221">
            <v>36.535782502517463</v>
          </cell>
          <cell r="C221">
            <v>36.535782502517463</v>
          </cell>
          <cell r="D221">
            <v>36.535782502517463</v>
          </cell>
          <cell r="E221">
            <v>36.535782502517463</v>
          </cell>
          <cell r="F221">
            <v>34.226898764341172</v>
          </cell>
          <cell r="G221">
            <v>40.928395770554864</v>
          </cell>
          <cell r="H221">
            <v>34.226898764341172</v>
          </cell>
          <cell r="I221">
            <v>36.735344965496481</v>
          </cell>
          <cell r="J221">
            <v>34.973688188923838</v>
          </cell>
          <cell r="K221">
            <v>44.097678046826907</v>
          </cell>
          <cell r="L221">
            <v>49.660042173670504</v>
          </cell>
          <cell r="M221">
            <v>31.998787133995815</v>
          </cell>
          <cell r="N221">
            <v>30.4571965150372</v>
          </cell>
          <cell r="O221">
            <v>31.498787133995815</v>
          </cell>
          <cell r="P221">
            <v>32.966682251084336</v>
          </cell>
          <cell r="Q221">
            <v>31.577114473451207</v>
          </cell>
          <cell r="R221">
            <v>33.923850903458131</v>
          </cell>
          <cell r="S221">
            <v>31.998787133995815</v>
          </cell>
          <cell r="T221">
            <v>26.043101491668551</v>
          </cell>
          <cell r="U221">
            <v>32.657530711299863</v>
          </cell>
          <cell r="V221">
            <v>31.601495513557598</v>
          </cell>
          <cell r="W221">
            <v>34.407530711299863</v>
          </cell>
          <cell r="X221">
            <v>31.058253406942736</v>
          </cell>
          <cell r="Y221">
            <v>32.657530711299863</v>
          </cell>
          <cell r="Z221">
            <v>34.9100176824561</v>
          </cell>
          <cell r="AA221">
            <v>35.915755940061935</v>
          </cell>
          <cell r="AB221">
            <v>30.94748204165656</v>
          </cell>
          <cell r="AC221">
            <v>35.055521118568251</v>
          </cell>
          <cell r="AD221">
            <v>33.065982828450572</v>
          </cell>
          <cell r="AE221">
            <v>30.94748204165656</v>
          </cell>
          <cell r="AF221">
            <v>35.225751424250262</v>
          </cell>
          <cell r="AG221">
            <v>3.2676493150684931</v>
          </cell>
        </row>
        <row r="222">
          <cell r="A222" t="str">
            <v>Cal-06</v>
          </cell>
          <cell r="B222">
            <v>38.112905727093477</v>
          </cell>
          <cell r="C222">
            <v>38.112905727093477</v>
          </cell>
          <cell r="D222">
            <v>38.112905727093477</v>
          </cell>
          <cell r="E222">
            <v>38.112905727093477</v>
          </cell>
          <cell r="F222">
            <v>34.690067021949069</v>
          </cell>
          <cell r="G222">
            <v>41.120355344229594</v>
          </cell>
          <cell r="H222">
            <v>34.690067021949069</v>
          </cell>
          <cell r="I222">
            <v>37.200521922383274</v>
          </cell>
          <cell r="J222">
            <v>35.476399055801814</v>
          </cell>
          <cell r="K222">
            <v>44.881633199497351</v>
          </cell>
          <cell r="L222">
            <v>50.37986695126154</v>
          </cell>
          <cell r="M222">
            <v>32.514524905207786</v>
          </cell>
          <cell r="N222">
            <v>30.971982796564106</v>
          </cell>
          <cell r="O222">
            <v>32.014524905207786</v>
          </cell>
          <cell r="P222">
            <v>33.481387752580765</v>
          </cell>
          <cell r="Q222">
            <v>31.691711776148292</v>
          </cell>
          <cell r="R222">
            <v>34.688037590665481</v>
          </cell>
          <cell r="S222">
            <v>32.514524905207786</v>
          </cell>
          <cell r="T222">
            <v>25.942610648080223</v>
          </cell>
          <cell r="U222">
            <v>32.96365539048589</v>
          </cell>
          <cell r="V222">
            <v>32.381828197735494</v>
          </cell>
          <cell r="W222">
            <v>34.71365539048589</v>
          </cell>
          <cell r="X222">
            <v>31.839818628246334</v>
          </cell>
          <cell r="Y222">
            <v>32.96365539048589</v>
          </cell>
          <cell r="Z222">
            <v>35.218153169989293</v>
          </cell>
          <cell r="AA222">
            <v>36.22204353637693</v>
          </cell>
          <cell r="AB222">
            <v>32.499222013973991</v>
          </cell>
          <cell r="AC222">
            <v>36.617993136506676</v>
          </cell>
          <cell r="AD222">
            <v>34.611733793076738</v>
          </cell>
          <cell r="AE222">
            <v>32.499222013973991</v>
          </cell>
          <cell r="AF222">
            <v>36.770304631716073</v>
          </cell>
          <cell r="AG222">
            <v>3.3426493150684937</v>
          </cell>
        </row>
        <row r="223">
          <cell r="A223" t="str">
            <v>Cal-07</v>
          </cell>
          <cell r="B223">
            <v>38.359352482045821</v>
          </cell>
          <cell r="C223">
            <v>38.359352482045821</v>
          </cell>
          <cell r="D223">
            <v>38.359352482045821</v>
          </cell>
          <cell r="E223">
            <v>38.359352482045821</v>
          </cell>
          <cell r="F223">
            <v>34.998456177643469</v>
          </cell>
          <cell r="G223">
            <v>41.18792471658503</v>
          </cell>
          <cell r="H223">
            <v>34.998456177643469</v>
          </cell>
          <cell r="I223">
            <v>37.488717078133881</v>
          </cell>
          <cell r="J223">
            <v>35.985465888557691</v>
          </cell>
          <cell r="K223">
            <v>45.622299795224073</v>
          </cell>
          <cell r="L223">
            <v>51.365187809361444</v>
          </cell>
          <cell r="M223">
            <v>33.062156932591648</v>
          </cell>
          <cell r="N223">
            <v>31.518020632140519</v>
          </cell>
          <cell r="O223">
            <v>32.562156932591648</v>
          </cell>
          <cell r="P223">
            <v>34.025222061308654</v>
          </cell>
          <cell r="Q223">
            <v>33.031453761643469</v>
          </cell>
          <cell r="R223">
            <v>35.693000667953598</v>
          </cell>
          <cell r="S223">
            <v>33.062156932591648</v>
          </cell>
          <cell r="T223">
            <v>26.395235424955967</v>
          </cell>
          <cell r="U223">
            <v>33.198133767376746</v>
          </cell>
          <cell r="V223">
            <v>32.601150853640874</v>
          </cell>
          <cell r="W223">
            <v>34.948133767376746</v>
          </cell>
          <cell r="X223">
            <v>32.056517067369825</v>
          </cell>
          <cell r="Y223">
            <v>33.198133767376746</v>
          </cell>
          <cell r="Z223">
            <v>35.950621092037316</v>
          </cell>
          <cell r="AA223">
            <v>36.444646678822835</v>
          </cell>
          <cell r="AB223">
            <v>33.423478791246495</v>
          </cell>
          <cell r="AC223">
            <v>37.557197791167894</v>
          </cell>
          <cell r="AD223">
            <v>35.538790330816362</v>
          </cell>
          <cell r="AE223">
            <v>33.423478791246495</v>
          </cell>
          <cell r="AF223">
            <v>37.691972229349787</v>
          </cell>
          <cell r="AG223">
            <v>3.417649315068493</v>
          </cell>
        </row>
        <row r="224">
          <cell r="A224" t="str">
            <v>Cal-08</v>
          </cell>
          <cell r="B224">
            <v>39.326625795277593</v>
          </cell>
          <cell r="C224">
            <v>39.326625795277593</v>
          </cell>
          <cell r="D224">
            <v>39.326625795277593</v>
          </cell>
          <cell r="E224">
            <v>39.326625795277593</v>
          </cell>
          <cell r="F224">
            <v>35.299066088743423</v>
          </cell>
          <cell r="G224">
            <v>41.678233151657857</v>
          </cell>
          <cell r="H224">
            <v>35.299066088743423</v>
          </cell>
          <cell r="I224">
            <v>37.797636878276904</v>
          </cell>
          <cell r="J224">
            <v>36.384993194566761</v>
          </cell>
          <cell r="K224">
            <v>46.071338765383949</v>
          </cell>
          <cell r="L224">
            <v>51.907668833270122</v>
          </cell>
          <cell r="M224">
            <v>33.326328818183271</v>
          </cell>
          <cell r="N224">
            <v>31.78609966100942</v>
          </cell>
          <cell r="O224">
            <v>32.826328818183271</v>
          </cell>
          <cell r="P224">
            <v>34.285710003753614</v>
          </cell>
          <cell r="Q224">
            <v>33.575424966128296</v>
          </cell>
          <cell r="R224">
            <v>36.007146284603934</v>
          </cell>
          <cell r="S224">
            <v>33.326328818183271</v>
          </cell>
          <cell r="T224">
            <v>26.914523456198882</v>
          </cell>
          <cell r="U224">
            <v>33.714163884977673</v>
          </cell>
          <cell r="V224">
            <v>33.575597240304468</v>
          </cell>
          <cell r="W224">
            <v>35.464163884977673</v>
          </cell>
          <cell r="X224">
            <v>33.037576340899427</v>
          </cell>
          <cell r="Y224">
            <v>33.714163884977673</v>
          </cell>
          <cell r="Z224">
            <v>36.462704951107611</v>
          </cell>
          <cell r="AA224">
            <v>36.956480164546093</v>
          </cell>
          <cell r="AB224">
            <v>34.278540376511074</v>
          </cell>
          <cell r="AC224">
            <v>38.371639265230755</v>
          </cell>
          <cell r="AD224">
            <v>36.399454721565569</v>
          </cell>
          <cell r="AE224">
            <v>34.278540376511074</v>
          </cell>
          <cell r="AF224">
            <v>38.551223919908175</v>
          </cell>
          <cell r="AG224">
            <v>3.495562841530055</v>
          </cell>
        </row>
        <row r="225">
          <cell r="A225" t="str">
            <v>Cal-09</v>
          </cell>
          <cell r="B225">
            <v>39.82813304600959</v>
          </cell>
          <cell r="C225">
            <v>39.82813304600959</v>
          </cell>
          <cell r="D225">
            <v>39.82813304600959</v>
          </cell>
          <cell r="E225">
            <v>39.82813304600959</v>
          </cell>
          <cell r="F225">
            <v>35.943642097911656</v>
          </cell>
          <cell r="G225">
            <v>41.880108960103705</v>
          </cell>
          <cell r="H225">
            <v>35.943642097911656</v>
          </cell>
          <cell r="I225">
            <v>38.457974541146847</v>
          </cell>
          <cell r="J225">
            <v>37.09703419163462</v>
          </cell>
          <cell r="K225">
            <v>46.652809749253265</v>
          </cell>
          <cell r="L225">
            <v>52.541094513533864</v>
          </cell>
          <cell r="M225">
            <v>33.883162245766052</v>
          </cell>
          <cell r="N225">
            <v>32.340456800193962</v>
          </cell>
          <cell r="O225">
            <v>33.383162245766052</v>
          </cell>
          <cell r="P225">
            <v>34.853317967865586</v>
          </cell>
          <cell r="Q225">
            <v>34.560740432735486</v>
          </cell>
          <cell r="R225">
            <v>36.834115477973434</v>
          </cell>
          <cell r="S225">
            <v>33.883162245766052</v>
          </cell>
          <cell r="T225">
            <v>27.388518505142226</v>
          </cell>
          <cell r="U225">
            <v>34.200314275419494</v>
          </cell>
          <cell r="V225">
            <v>34.547785792888682</v>
          </cell>
          <cell r="W225">
            <v>35.950314275419501</v>
          </cell>
          <cell r="X225">
            <v>34.006769496667104</v>
          </cell>
          <cell r="Y225">
            <v>34.200314275419494</v>
          </cell>
          <cell r="Z225">
            <v>36.952806259640319</v>
          </cell>
          <cell r="AA225">
            <v>37.460840076513819</v>
          </cell>
          <cell r="AB225">
            <v>35.239948973942575</v>
          </cell>
          <cell r="AC225">
            <v>39.368595330886215</v>
          </cell>
          <cell r="AD225">
            <v>37.359479181420525</v>
          </cell>
          <cell r="AE225">
            <v>35.239948973942575</v>
          </cell>
          <cell r="AF225">
            <v>39.533987291964387</v>
          </cell>
          <cell r="AG225">
            <v>3.5751493150684936</v>
          </cell>
        </row>
        <row r="226">
          <cell r="A226" t="str">
            <v>Cal-10</v>
          </cell>
          <cell r="B226">
            <v>40.246044791305515</v>
          </cell>
          <cell r="C226">
            <v>40.246044791305515</v>
          </cell>
          <cell r="D226">
            <v>40.246044791305515</v>
          </cell>
          <cell r="E226">
            <v>40.246044791305515</v>
          </cell>
          <cell r="F226">
            <v>36.02294184981502</v>
          </cell>
          <cell r="G226">
            <v>41.837482175663943</v>
          </cell>
          <cell r="H226">
            <v>36.02294184981502</v>
          </cell>
          <cell r="I226">
            <v>38.02294184981502</v>
          </cell>
          <cell r="J226">
            <v>37.459649095399655</v>
          </cell>
          <cell r="K226">
            <v>47.341501872841029</v>
          </cell>
          <cell r="L226">
            <v>52.921394586715358</v>
          </cell>
          <cell r="M226">
            <v>34.849429334784013</v>
          </cell>
          <cell r="N226">
            <v>33.309752240777321</v>
          </cell>
          <cell r="O226">
            <v>34.349429334784013</v>
          </cell>
          <cell r="P226">
            <v>35.810999683387152</v>
          </cell>
          <cell r="Q226">
            <v>35.864030223651547</v>
          </cell>
          <cell r="R226">
            <v>37.61468106944367</v>
          </cell>
          <cell r="S226">
            <v>34.849429334784013</v>
          </cell>
          <cell r="T226">
            <v>28.272901326333574</v>
          </cell>
          <cell r="U226">
            <v>35.118074625738707</v>
          </cell>
          <cell r="V226">
            <v>35.519556744393164</v>
          </cell>
          <cell r="W226">
            <v>36.868074625738707</v>
          </cell>
          <cell r="X226">
            <v>34.979668036227324</v>
          </cell>
          <cell r="Y226">
            <v>35.118074625738707</v>
          </cell>
          <cell r="Z226">
            <v>37.867658163313472</v>
          </cell>
          <cell r="AA226">
            <v>38.366826761346218</v>
          </cell>
          <cell r="AB226">
            <v>36.068372504490171</v>
          </cell>
          <cell r="AC226">
            <v>40.165043741274395</v>
          </cell>
          <cell r="AD226">
            <v>38.183406220002162</v>
          </cell>
          <cell r="AE226">
            <v>36.068372504490171</v>
          </cell>
          <cell r="AF226">
            <v>40.341388364220819</v>
          </cell>
          <cell r="AG226">
            <v>3.6551493150684933</v>
          </cell>
        </row>
        <row r="227">
          <cell r="A227" t="str">
            <v>Cal-11</v>
          </cell>
          <cell r="B227">
            <v>40.770809306950774</v>
          </cell>
          <cell r="C227">
            <v>40.770809306950774</v>
          </cell>
          <cell r="D227">
            <v>40.770809306950774</v>
          </cell>
          <cell r="E227">
            <v>40.770809306950774</v>
          </cell>
          <cell r="F227">
            <v>36.437462227020518</v>
          </cell>
          <cell r="G227">
            <v>41.919112160297978</v>
          </cell>
          <cell r="H227">
            <v>36.437462227020518</v>
          </cell>
          <cell r="I227">
            <v>38.437462227020518</v>
          </cell>
          <cell r="J227">
            <v>37.931040598619965</v>
          </cell>
          <cell r="K227">
            <v>47.979188692971825</v>
          </cell>
          <cell r="L227">
            <v>53.50016433348015</v>
          </cell>
          <cell r="M227">
            <v>35.842424518206492</v>
          </cell>
          <cell r="N227">
            <v>34.300653373417759</v>
          </cell>
          <cell r="O227">
            <v>35.342424518206492</v>
          </cell>
          <cell r="P227">
            <v>36.810435648409957</v>
          </cell>
          <cell r="Q227">
            <v>36.805026615245737</v>
          </cell>
          <cell r="R227">
            <v>38.626071300935564</v>
          </cell>
          <cell r="S227">
            <v>35.842424518206492</v>
          </cell>
          <cell r="T227">
            <v>29.036743858560513</v>
          </cell>
          <cell r="U227">
            <v>36.067852017468567</v>
          </cell>
          <cell r="V227">
            <v>36.772015274801554</v>
          </cell>
          <cell r="W227">
            <v>37.817852017468567</v>
          </cell>
          <cell r="X227">
            <v>36.22897035704073</v>
          </cell>
          <cell r="Y227">
            <v>36.067852017468567</v>
          </cell>
          <cell r="Z227">
            <v>38.820274374540801</v>
          </cell>
          <cell r="AA227">
            <v>39.325616246546076</v>
          </cell>
          <cell r="AB227">
            <v>37.085567152560095</v>
          </cell>
          <cell r="AC227">
            <v>41.193477710430535</v>
          </cell>
          <cell r="AD227">
            <v>39.203507687022586</v>
          </cell>
          <cell r="AE227">
            <v>37.085567152560095</v>
          </cell>
          <cell r="AF227">
            <v>41.362616160156449</v>
          </cell>
          <cell r="AG227">
            <v>3.7351493150684933</v>
          </cell>
        </row>
        <row r="228">
          <cell r="A228" t="str">
            <v>Cal-12</v>
          </cell>
          <cell r="B228">
            <v>41.3973791790931</v>
          </cell>
          <cell r="C228">
            <v>41.3973791790931</v>
          </cell>
          <cell r="D228">
            <v>41.3973791790931</v>
          </cell>
          <cell r="E228">
            <v>41.3973791790931</v>
          </cell>
          <cell r="F228">
            <v>36.987956995427062</v>
          </cell>
          <cell r="G228">
            <v>42.489462939201132</v>
          </cell>
          <cell r="H228">
            <v>36.987956995427062</v>
          </cell>
          <cell r="I228">
            <v>38.987956995427062</v>
          </cell>
          <cell r="J228">
            <v>38.490395345645034</v>
          </cell>
          <cell r="K228">
            <v>48.666376708491732</v>
          </cell>
          <cell r="L228">
            <v>54.000611610534968</v>
          </cell>
          <cell r="M228">
            <v>36.620400531200133</v>
          </cell>
          <cell r="N228">
            <v>35.076261358868443</v>
          </cell>
          <cell r="O228">
            <v>36.120400531200133</v>
          </cell>
          <cell r="P228">
            <v>37.583406324305592</v>
          </cell>
          <cell r="Q228">
            <v>37.56062850747557</v>
          </cell>
          <cell r="R228">
            <v>39.393404296541519</v>
          </cell>
          <cell r="S228">
            <v>36.620400531200133</v>
          </cell>
          <cell r="T228">
            <v>29.551066602271082</v>
          </cell>
          <cell r="U228">
            <v>37.065285000353811</v>
          </cell>
          <cell r="V228">
            <v>37.771176951515621</v>
          </cell>
          <cell r="W228">
            <v>38.815285000353811</v>
          </cell>
          <cell r="X228">
            <v>37.226573090627539</v>
          </cell>
          <cell r="Y228">
            <v>37.065285000353811</v>
          </cell>
          <cell r="Z228">
            <v>39.817736883930387</v>
          </cell>
          <cell r="AA228">
            <v>40.311640909750579</v>
          </cell>
          <cell r="AB228">
            <v>38.119913716332981</v>
          </cell>
          <cell r="AC228">
            <v>42.253417692254935</v>
          </cell>
          <cell r="AD228">
            <v>40.233135083772105</v>
          </cell>
          <cell r="AE228">
            <v>38.119913716332981</v>
          </cell>
          <cell r="AF228">
            <v>42.386561855960139</v>
          </cell>
          <cell r="AG228">
            <v>3.8155628415300544</v>
          </cell>
        </row>
        <row r="229">
          <cell r="A229" t="str">
            <v>Cal-13</v>
          </cell>
          <cell r="B229">
            <v>41.87080372421665</v>
          </cell>
          <cell r="C229">
            <v>41.87080372421665</v>
          </cell>
          <cell r="D229">
            <v>41.87080372421665</v>
          </cell>
          <cell r="E229">
            <v>41.87080372421665</v>
          </cell>
          <cell r="F229">
            <v>37.355550776586</v>
          </cell>
          <cell r="G229">
            <v>42.839624250647887</v>
          </cell>
          <cell r="H229">
            <v>37.355550776586</v>
          </cell>
          <cell r="I229">
            <v>39.355550776586</v>
          </cell>
          <cell r="J229">
            <v>39.064374559023129</v>
          </cell>
          <cell r="K229">
            <v>49.030839318510118</v>
          </cell>
          <cell r="L229">
            <v>54.020412715303777</v>
          </cell>
          <cell r="M229">
            <v>37.642079394655546</v>
          </cell>
          <cell r="N229">
            <v>36.099454414082778</v>
          </cell>
          <cell r="O229">
            <v>37.142079394655546</v>
          </cell>
          <cell r="P229">
            <v>38.605128470004743</v>
          </cell>
          <cell r="Q229">
            <v>38.582154973287835</v>
          </cell>
          <cell r="R229">
            <v>40.404612630514428</v>
          </cell>
          <cell r="S229">
            <v>37.642079394655546</v>
          </cell>
          <cell r="T229">
            <v>30.32568658824076</v>
          </cell>
          <cell r="U229">
            <v>37.902373967955022</v>
          </cell>
          <cell r="V229">
            <v>38.59336317863616</v>
          </cell>
          <cell r="W229">
            <v>39.652373967955022</v>
          </cell>
          <cell r="X229">
            <v>38.052254870381937</v>
          </cell>
          <cell r="Y229">
            <v>37.902373967955022</v>
          </cell>
          <cell r="Z229">
            <v>40.652875581612342</v>
          </cell>
          <cell r="AA229">
            <v>41.143206276618002</v>
          </cell>
          <cell r="AB229">
            <v>39.119108382608935</v>
          </cell>
          <cell r="AC229">
            <v>43.24226429904563</v>
          </cell>
          <cell r="AD229">
            <v>41.24605319944525</v>
          </cell>
          <cell r="AE229">
            <v>39.119108382608935</v>
          </cell>
          <cell r="AF229">
            <v>43.396604896953235</v>
          </cell>
          <cell r="AG229">
            <v>3.895149315068493</v>
          </cell>
        </row>
        <row r="230">
          <cell r="A230" t="str">
            <v>Cal-14</v>
          </cell>
          <cell r="B230">
            <v>42.737761536496642</v>
          </cell>
          <cell r="C230">
            <v>42.737761536496642</v>
          </cell>
          <cell r="D230">
            <v>42.737761536496642</v>
          </cell>
          <cell r="E230">
            <v>42.737761536496642</v>
          </cell>
          <cell r="F230">
            <v>37.852410209836982</v>
          </cell>
          <cell r="G230">
            <v>43.317235030961371</v>
          </cell>
          <cell r="H230">
            <v>37.852410209836982</v>
          </cell>
          <cell r="I230">
            <v>39.852410209836982</v>
          </cell>
          <cell r="J230">
            <v>39.602161401164274</v>
          </cell>
          <cell r="K230">
            <v>49.495094075171671</v>
          </cell>
          <cell r="L230">
            <v>54.298254617132145</v>
          </cell>
          <cell r="M230">
            <v>38.4715932144817</v>
          </cell>
          <cell r="N230">
            <v>36.931452887553021</v>
          </cell>
          <cell r="O230">
            <v>37.9715932144817</v>
          </cell>
          <cell r="P230">
            <v>39.432743588838967</v>
          </cell>
          <cell r="Q230">
            <v>39.447878187915713</v>
          </cell>
          <cell r="R230">
            <v>41.235964507856828</v>
          </cell>
          <cell r="S230">
            <v>38.4715932144817</v>
          </cell>
          <cell r="T230">
            <v>30.927523845939415</v>
          </cell>
          <cell r="U230">
            <v>38.727105915423195</v>
          </cell>
          <cell r="V230">
            <v>39.402749189800616</v>
          </cell>
          <cell r="W230">
            <v>40.477105915423195</v>
          </cell>
          <cell r="X230">
            <v>38.86495682867902</v>
          </cell>
          <cell r="Y230">
            <v>38.727105915423195</v>
          </cell>
          <cell r="Z230">
            <v>41.476638039243241</v>
          </cell>
          <cell r="AA230">
            <v>41.971856172858999</v>
          </cell>
          <cell r="AB230">
            <v>40.299715088458875</v>
          </cell>
          <cell r="AC230">
            <v>44.398083163273185</v>
          </cell>
          <cell r="AD230">
            <v>42.423214648347887</v>
          </cell>
          <cell r="AE230">
            <v>40.299715088458875</v>
          </cell>
          <cell r="AF230">
            <v>44.577657124383599</v>
          </cell>
          <cell r="AG230">
            <v>3.9751493150684931</v>
          </cell>
        </row>
        <row r="231">
          <cell r="A231" t="str">
            <v>Cal-15</v>
          </cell>
          <cell r="B231">
            <v>43.456314685154403</v>
          </cell>
          <cell r="C231">
            <v>43.456314685154403</v>
          </cell>
          <cell r="D231">
            <v>43.456314685154403</v>
          </cell>
          <cell r="E231">
            <v>43.456314685154403</v>
          </cell>
          <cell r="F231">
            <v>38.433218993258031</v>
          </cell>
          <cell r="G231">
            <v>43.945080723761684</v>
          </cell>
          <cell r="H231">
            <v>38.433218993258031</v>
          </cell>
          <cell r="I231">
            <v>40.027166486921764</v>
          </cell>
          <cell r="J231">
            <v>40.23657161185038</v>
          </cell>
          <cell r="K231">
            <v>50.148531051856942</v>
          </cell>
          <cell r="L231">
            <v>55.046537639243887</v>
          </cell>
          <cell r="M231">
            <v>39.499982700802079</v>
          </cell>
          <cell r="N231">
            <v>37.957237716904032</v>
          </cell>
          <cell r="O231">
            <v>38.999982700802079</v>
          </cell>
          <cell r="P231">
            <v>40.470139680804806</v>
          </cell>
          <cell r="Q231">
            <v>40.428199168143429</v>
          </cell>
          <cell r="R231">
            <v>42.250814143898829</v>
          </cell>
          <cell r="S231">
            <v>39.499982700802079</v>
          </cell>
          <cell r="T231">
            <v>31.679761324438168</v>
          </cell>
          <cell r="U231">
            <v>39.754616989719423</v>
          </cell>
          <cell r="V231">
            <v>40.451923301010048</v>
          </cell>
          <cell r="W231">
            <v>41.504616989719423</v>
          </cell>
          <cell r="X231">
            <v>39.910956655708652</v>
          </cell>
          <cell r="Y231">
            <v>39.754616989719423</v>
          </cell>
          <cell r="Z231">
            <v>42.50708130047277</v>
          </cell>
          <cell r="AA231">
            <v>43.016580151951707</v>
          </cell>
          <cell r="AB231">
            <v>41.567423351951788</v>
          </cell>
          <cell r="AC231">
            <v>45.695961373482454</v>
          </cell>
          <cell r="AD231">
            <v>43.686807722141225</v>
          </cell>
          <cell r="AE231">
            <v>41.567423351951788</v>
          </cell>
          <cell r="AF231">
            <v>45.861113843565342</v>
          </cell>
          <cell r="AG231">
            <v>4.0551493150684932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24.063829421997099</v>
          </cell>
          <cell r="K8">
            <v>25.220209121704102</v>
          </cell>
          <cell r="L8">
            <v>26.702127456665</v>
          </cell>
          <cell r="M8">
            <v>15.084918975830099</v>
          </cell>
          <cell r="N8">
            <v>13.0130863189697</v>
          </cell>
          <cell r="O8">
            <v>14.9683628082275</v>
          </cell>
          <cell r="P8">
            <v>15.038936614990201</v>
          </cell>
          <cell r="Q8">
            <v>14.023002624511699</v>
          </cell>
          <cell r="R8">
            <v>16.549465179443398</v>
          </cell>
          <cell r="S8">
            <v>16.472784042358398</v>
          </cell>
          <cell r="T8">
            <v>13.6383209228516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17.428535461425799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12.840742111206101</v>
          </cell>
          <cell r="AC8">
            <v>15.181170463561999</v>
          </cell>
          <cell r="AD8">
            <v>12.840742111206101</v>
          </cell>
          <cell r="AE8">
            <v>12.840742111206101</v>
          </cell>
          <cell r="AF8">
            <v>12.840742111206101</v>
          </cell>
          <cell r="AG8">
            <v>1.83</v>
          </cell>
        </row>
        <row r="9">
          <cell r="A9">
            <v>37196</v>
          </cell>
          <cell r="B9">
            <v>28.3666667938232</v>
          </cell>
          <cell r="C9">
            <v>29.7729167938232</v>
          </cell>
          <cell r="D9">
            <v>29.7729167938232</v>
          </cell>
          <cell r="E9">
            <v>29.7729167938232</v>
          </cell>
          <cell r="F9">
            <v>18.687084197998001</v>
          </cell>
          <cell r="G9">
            <v>20.562084197998001</v>
          </cell>
          <cell r="H9">
            <v>20.562084197998001</v>
          </cell>
          <cell r="I9">
            <v>20.562084197998001</v>
          </cell>
          <cell r="J9">
            <v>25.600000381469702</v>
          </cell>
          <cell r="K9">
            <v>34.40625</v>
          </cell>
          <cell r="L9">
            <v>35.606250762939503</v>
          </cell>
          <cell r="M9">
            <v>15.049501419067401</v>
          </cell>
          <cell r="N9">
            <v>13.4363765716553</v>
          </cell>
          <cell r="O9">
            <v>14.9290018081665</v>
          </cell>
          <cell r="P9">
            <v>17.080751419067401</v>
          </cell>
          <cell r="Q9">
            <v>15.455751419067401</v>
          </cell>
          <cell r="R9">
            <v>19.3388786315918</v>
          </cell>
          <cell r="S9">
            <v>15.768251419067401</v>
          </cell>
          <cell r="T9">
            <v>15.455751419067401</v>
          </cell>
          <cell r="U9">
            <v>19.59375</v>
          </cell>
          <cell r="V9">
            <v>14.6145830154419</v>
          </cell>
          <cell r="W9">
            <v>19.59375</v>
          </cell>
          <cell r="X9">
            <v>18.429374694824201</v>
          </cell>
          <cell r="Y9">
            <v>19.59375</v>
          </cell>
          <cell r="Z9">
            <v>21.09375</v>
          </cell>
          <cell r="AA9">
            <v>18.3125</v>
          </cell>
          <cell r="AB9">
            <v>16.418708801269499</v>
          </cell>
          <cell r="AC9">
            <v>17.887458801269499</v>
          </cell>
          <cell r="AD9">
            <v>16.418708801269499</v>
          </cell>
          <cell r="AE9">
            <v>16.418708801269499</v>
          </cell>
          <cell r="AF9">
            <v>16.418708801269499</v>
          </cell>
          <cell r="AG9">
            <v>2.2530000000000001</v>
          </cell>
        </row>
        <row r="10">
          <cell r="A10">
            <v>37226</v>
          </cell>
          <cell r="B10">
            <v>24.197830200195298</v>
          </cell>
          <cell r="C10">
            <v>27.947830200195298</v>
          </cell>
          <cell r="D10">
            <v>27.947830200195298</v>
          </cell>
          <cell r="E10">
            <v>27.947830200195298</v>
          </cell>
          <cell r="F10">
            <v>18.034910202026399</v>
          </cell>
          <cell r="G10">
            <v>20.525476455688501</v>
          </cell>
          <cell r="H10">
            <v>20.525476455688501</v>
          </cell>
          <cell r="I10">
            <v>21.402833938598601</v>
          </cell>
          <cell r="J10">
            <v>22.160566329956101</v>
          </cell>
          <cell r="K10">
            <v>26.932075500488299</v>
          </cell>
          <cell r="L10">
            <v>32.613208770752003</v>
          </cell>
          <cell r="M10">
            <v>17.339624404907202</v>
          </cell>
          <cell r="N10">
            <v>15.5828313827515</v>
          </cell>
          <cell r="O10">
            <v>16.499813079833999</v>
          </cell>
          <cell r="P10">
            <v>22.5335884094238</v>
          </cell>
          <cell r="Q10">
            <v>18.0877380371094</v>
          </cell>
          <cell r="R10">
            <v>20.2720737457275</v>
          </cell>
          <cell r="S10">
            <v>18.8135890960693</v>
          </cell>
          <cell r="T10">
            <v>15.644341468811</v>
          </cell>
          <cell r="U10">
            <v>19.6849060058594</v>
          </cell>
          <cell r="V10">
            <v>16.098117828369102</v>
          </cell>
          <cell r="W10">
            <v>20.826416015625</v>
          </cell>
          <cell r="X10">
            <v>16.476757049560501</v>
          </cell>
          <cell r="Y10">
            <v>19.892454147338899</v>
          </cell>
          <cell r="Z10">
            <v>22.6849040985107</v>
          </cell>
          <cell r="AA10">
            <v>20.241510391235401</v>
          </cell>
          <cell r="AB10">
            <v>16.584905624389599</v>
          </cell>
          <cell r="AC10">
            <v>18.8615112304688</v>
          </cell>
          <cell r="AD10">
            <v>16.598302841186499</v>
          </cell>
          <cell r="AE10">
            <v>16.598302841186499</v>
          </cell>
          <cell r="AF10">
            <v>16.598302841186499</v>
          </cell>
          <cell r="AG10">
            <v>2.3159999999999998</v>
          </cell>
        </row>
        <row r="11">
          <cell r="A11">
            <v>37257</v>
          </cell>
          <cell r="B11">
            <v>29.470087051391602</v>
          </cell>
          <cell r="C11">
            <v>31.230617523193398</v>
          </cell>
          <cell r="D11">
            <v>31.230617523193398</v>
          </cell>
          <cell r="E11">
            <v>31.230617523193398</v>
          </cell>
          <cell r="F11">
            <v>20.025516510009801</v>
          </cell>
          <cell r="G11">
            <v>22.2295951843262</v>
          </cell>
          <cell r="H11">
            <v>22.2295951843262</v>
          </cell>
          <cell r="I11">
            <v>23.178571701049801</v>
          </cell>
          <cell r="J11">
            <v>23.887754440307599</v>
          </cell>
          <cell r="K11">
            <v>28.3979587554932</v>
          </cell>
          <cell r="L11">
            <v>30.8061218261719</v>
          </cell>
          <cell r="M11">
            <v>19.490919113159201</v>
          </cell>
          <cell r="N11">
            <v>17.837245941162099</v>
          </cell>
          <cell r="O11">
            <v>19.176837921142599</v>
          </cell>
          <cell r="P11">
            <v>22.121532440185501</v>
          </cell>
          <cell r="Q11">
            <v>19.975620269775401</v>
          </cell>
          <cell r="R11">
            <v>22.850509643554702</v>
          </cell>
          <cell r="S11">
            <v>20.358272552490199</v>
          </cell>
          <cell r="T11">
            <v>19.493984222412099</v>
          </cell>
          <cell r="U11">
            <v>18.845506668090799</v>
          </cell>
          <cell r="V11">
            <v>15.4867353439331</v>
          </cell>
          <cell r="W11">
            <v>19.069995880126999</v>
          </cell>
          <cell r="X11">
            <v>22.4513854980469</v>
          </cell>
          <cell r="Y11">
            <v>18.8863220214844</v>
          </cell>
          <cell r="Z11">
            <v>20.7026462554932</v>
          </cell>
          <cell r="AA11">
            <v>17.937343597412099</v>
          </cell>
          <cell r="AB11">
            <v>17.8916339874268</v>
          </cell>
          <cell r="AC11">
            <v>20.851634979248001</v>
          </cell>
          <cell r="AD11">
            <v>17.895511627197301</v>
          </cell>
          <cell r="AE11">
            <v>17.895511627197301</v>
          </cell>
          <cell r="AF11">
            <v>18.664491653442401</v>
          </cell>
          <cell r="AG11">
            <v>2.4910000000000001</v>
          </cell>
        </row>
        <row r="12">
          <cell r="A12">
            <v>37288</v>
          </cell>
          <cell r="B12">
            <v>29.0370903015137</v>
          </cell>
          <cell r="C12">
            <v>30.146181106567401</v>
          </cell>
          <cell r="D12">
            <v>30.146181106567401</v>
          </cell>
          <cell r="E12">
            <v>30.146181106567401</v>
          </cell>
          <cell r="F12">
            <v>19.672727584838899</v>
          </cell>
          <cell r="G12">
            <v>22.899999618530298</v>
          </cell>
          <cell r="H12">
            <v>22.899999618530298</v>
          </cell>
          <cell r="I12">
            <v>23.854545593261701</v>
          </cell>
          <cell r="J12">
            <v>23.545454025268601</v>
          </cell>
          <cell r="K12">
            <v>27.681818008422901</v>
          </cell>
          <cell r="L12">
            <v>29.9090900421143</v>
          </cell>
          <cell r="M12">
            <v>18.910453796386701</v>
          </cell>
          <cell r="N12">
            <v>17.911363601684599</v>
          </cell>
          <cell r="O12">
            <v>18.9077262878418</v>
          </cell>
          <cell r="P12">
            <v>20.978635787963899</v>
          </cell>
          <cell r="Q12">
            <v>16.784999847412099</v>
          </cell>
          <cell r="R12">
            <v>21.4813632965088</v>
          </cell>
          <cell r="S12">
            <v>17.1031818389893</v>
          </cell>
          <cell r="T12">
            <v>16.784999847412099</v>
          </cell>
          <cell r="U12">
            <v>21.1132717132568</v>
          </cell>
          <cell r="V12">
            <v>13.849999427795399</v>
          </cell>
          <cell r="W12">
            <v>21.1132717132568</v>
          </cell>
          <cell r="X12">
            <v>19.4136352539063</v>
          </cell>
          <cell r="Y12">
            <v>21.1132717132568</v>
          </cell>
          <cell r="Z12">
            <v>22.818727493286101</v>
          </cell>
          <cell r="AA12">
            <v>24.136909484863299</v>
          </cell>
          <cell r="AB12">
            <v>17.048545837402301</v>
          </cell>
          <cell r="AC12">
            <v>19.2485466003418</v>
          </cell>
          <cell r="AD12">
            <v>17.048545837402301</v>
          </cell>
          <cell r="AE12">
            <v>17.048545837402301</v>
          </cell>
          <cell r="AF12">
            <v>20.644910812377901</v>
          </cell>
          <cell r="AG12">
            <v>2.6240000000000001</v>
          </cell>
        </row>
        <row r="13">
          <cell r="A13">
            <v>37316</v>
          </cell>
          <cell r="B13">
            <v>25.604902267456101</v>
          </cell>
          <cell r="C13">
            <v>25.5656852722168</v>
          </cell>
          <cell r="D13">
            <v>25.5656852722168</v>
          </cell>
          <cell r="E13">
            <v>25.5656852722168</v>
          </cell>
          <cell r="F13">
            <v>18.437253952026399</v>
          </cell>
          <cell r="G13">
            <v>19.731372833251999</v>
          </cell>
          <cell r="H13">
            <v>19.123529434204102</v>
          </cell>
          <cell r="I13">
            <v>20.035293579101602</v>
          </cell>
          <cell r="J13">
            <v>23.249803543090799</v>
          </cell>
          <cell r="K13">
            <v>24.746078491210898</v>
          </cell>
          <cell r="L13">
            <v>28.181373596191399</v>
          </cell>
          <cell r="M13">
            <v>18.018627166748001</v>
          </cell>
          <cell r="N13">
            <v>16.462549209594702</v>
          </cell>
          <cell r="O13">
            <v>18.0207843780518</v>
          </cell>
          <cell r="P13">
            <v>19.994117736816399</v>
          </cell>
          <cell r="Q13">
            <v>15.228627204895</v>
          </cell>
          <cell r="R13">
            <v>20.334510803222699</v>
          </cell>
          <cell r="S13">
            <v>15.532548904418899</v>
          </cell>
          <cell r="T13">
            <v>15.228627204895</v>
          </cell>
          <cell r="U13">
            <v>18.674705505371101</v>
          </cell>
          <cell r="V13">
            <v>14.136274337768601</v>
          </cell>
          <cell r="W13">
            <v>18.674705505371101</v>
          </cell>
          <cell r="X13">
            <v>16.283725738525401</v>
          </cell>
          <cell r="Y13">
            <v>18.674705505371101</v>
          </cell>
          <cell r="Z13">
            <v>20.957057952880898</v>
          </cell>
          <cell r="AA13">
            <v>22.182548522949201</v>
          </cell>
          <cell r="AB13">
            <v>16.880628585815401</v>
          </cell>
          <cell r="AC13">
            <v>18.761020660400401</v>
          </cell>
          <cell r="AD13">
            <v>16.880628585815401</v>
          </cell>
          <cell r="AE13">
            <v>16.880628585815401</v>
          </cell>
          <cell r="AF13">
            <v>20.029647827148398</v>
          </cell>
          <cell r="AG13">
            <v>2.6309999999999998</v>
          </cell>
        </row>
        <row r="14">
          <cell r="A14">
            <v>37347</v>
          </cell>
          <cell r="B14">
            <v>24.869564056396499</v>
          </cell>
          <cell r="C14">
            <v>24.5217380523682</v>
          </cell>
          <cell r="D14">
            <v>24.5217380523682</v>
          </cell>
          <cell r="E14">
            <v>24.5217380523682</v>
          </cell>
          <cell r="F14">
            <v>18.195652008056602</v>
          </cell>
          <cell r="G14">
            <v>18.413042068481399</v>
          </cell>
          <cell r="H14">
            <v>17.760869979858398</v>
          </cell>
          <cell r="I14">
            <v>18.739130020141602</v>
          </cell>
          <cell r="J14">
            <v>23.102521896362301</v>
          </cell>
          <cell r="K14">
            <v>24.2717380523682</v>
          </cell>
          <cell r="L14">
            <v>27.454347610473601</v>
          </cell>
          <cell r="M14">
            <v>16.71608543396</v>
          </cell>
          <cell r="N14">
            <v>15.046521186828601</v>
          </cell>
          <cell r="O14">
            <v>16.713912963867202</v>
          </cell>
          <cell r="P14">
            <v>18.835651397705099</v>
          </cell>
          <cell r="Q14">
            <v>14.700869560241699</v>
          </cell>
          <cell r="R14">
            <v>19.200870513916001</v>
          </cell>
          <cell r="S14">
            <v>15.0269565582275</v>
          </cell>
          <cell r="T14">
            <v>14.700869560241699</v>
          </cell>
          <cell r="U14">
            <v>18.608695983886701</v>
          </cell>
          <cell r="V14">
            <v>14.002174377441399</v>
          </cell>
          <cell r="W14">
            <v>18.608695983886701</v>
          </cell>
          <cell r="X14">
            <v>16.2030429840088</v>
          </cell>
          <cell r="Y14">
            <v>18.608695983886701</v>
          </cell>
          <cell r="Z14">
            <v>21.6356525421143</v>
          </cell>
          <cell r="AA14">
            <v>23.0052185058594</v>
          </cell>
          <cell r="AB14">
            <v>16.236261367797901</v>
          </cell>
          <cell r="AC14">
            <v>18.249303817748999</v>
          </cell>
          <cell r="AD14">
            <v>16.236261367797901</v>
          </cell>
          <cell r="AE14">
            <v>16.236261367797901</v>
          </cell>
          <cell r="AF14">
            <v>19.311826705932599</v>
          </cell>
          <cell r="AG14">
            <v>2.6120000000000001</v>
          </cell>
        </row>
        <row r="15">
          <cell r="A15">
            <v>37377</v>
          </cell>
          <cell r="B15">
            <v>25.4673461914063</v>
          </cell>
          <cell r="C15">
            <v>24.548978805541999</v>
          </cell>
          <cell r="D15">
            <v>24.548978805541999</v>
          </cell>
          <cell r="E15">
            <v>24.548978805541999</v>
          </cell>
          <cell r="F15">
            <v>17.675510406494102</v>
          </cell>
          <cell r="G15">
            <v>19.1346950531006</v>
          </cell>
          <cell r="H15">
            <v>18.502040863037099</v>
          </cell>
          <cell r="I15">
            <v>19.451021194458001</v>
          </cell>
          <cell r="J15">
            <v>21.373592376708999</v>
          </cell>
          <cell r="K15">
            <v>26.8785705566406</v>
          </cell>
          <cell r="L15">
            <v>29.141838073730501</v>
          </cell>
          <cell r="M15">
            <v>17.5026531219482</v>
          </cell>
          <cell r="N15">
            <v>15.9779596328735</v>
          </cell>
          <cell r="O15">
            <v>17.5</v>
          </cell>
          <cell r="P15">
            <v>19.558774948120099</v>
          </cell>
          <cell r="Q15">
            <v>13.6497964859009</v>
          </cell>
          <cell r="R15">
            <v>21.216325759887699</v>
          </cell>
          <cell r="S15">
            <v>13.966122627258301</v>
          </cell>
          <cell r="T15">
            <v>13.6497964859009</v>
          </cell>
          <cell r="U15">
            <v>18.645305633544901</v>
          </cell>
          <cell r="V15">
            <v>15.129590988159199</v>
          </cell>
          <cell r="W15">
            <v>18.645305633544901</v>
          </cell>
          <cell r="X15">
            <v>17.2895908355713</v>
          </cell>
          <cell r="Y15">
            <v>18.645305633544901</v>
          </cell>
          <cell r="Z15">
            <v>21.4869384765625</v>
          </cell>
          <cell r="AA15">
            <v>22.7930603027344</v>
          </cell>
          <cell r="AB15">
            <v>17.226243972778299</v>
          </cell>
          <cell r="AC15">
            <v>19.536449432373001</v>
          </cell>
          <cell r="AD15">
            <v>17.226243972778299</v>
          </cell>
          <cell r="AE15">
            <v>17.226243972778299</v>
          </cell>
          <cell r="AF15">
            <v>20.8614711761475</v>
          </cell>
          <cell r="AG15">
            <v>2.6539999999999999</v>
          </cell>
        </row>
        <row r="16">
          <cell r="A16">
            <v>37408</v>
          </cell>
          <cell r="B16">
            <v>25.637001037597699</v>
          </cell>
          <cell r="C16">
            <v>25.137001037597699</v>
          </cell>
          <cell r="D16">
            <v>25.137001037597699</v>
          </cell>
          <cell r="E16">
            <v>25.137001037597699</v>
          </cell>
          <cell r="F16">
            <v>19.100000381469702</v>
          </cell>
          <cell r="G16">
            <v>21.299999237060501</v>
          </cell>
          <cell r="H16">
            <v>20.700000762939499</v>
          </cell>
          <cell r="I16">
            <v>21.600000381469702</v>
          </cell>
          <cell r="J16">
            <v>23.200201034545898</v>
          </cell>
          <cell r="K16">
            <v>28.431999206543001</v>
          </cell>
          <cell r="L16">
            <v>33.312000274658203</v>
          </cell>
          <cell r="M16">
            <v>18.747999191284201</v>
          </cell>
          <cell r="N16">
            <v>17.553998947143601</v>
          </cell>
          <cell r="O16">
            <v>18.747999191284201</v>
          </cell>
          <cell r="P16">
            <v>20.697999954223601</v>
          </cell>
          <cell r="Q16">
            <v>12.9939994812012</v>
          </cell>
          <cell r="R16">
            <v>23.284000396728501</v>
          </cell>
          <cell r="S16">
            <v>13.293999671936</v>
          </cell>
          <cell r="T16">
            <v>12.9939994812012</v>
          </cell>
          <cell r="U16">
            <v>21.629999160766602</v>
          </cell>
          <cell r="V16">
            <v>18.695999145507798</v>
          </cell>
          <cell r="W16">
            <v>21.629999160766602</v>
          </cell>
          <cell r="X16">
            <v>22.697999954223601</v>
          </cell>
          <cell r="Y16">
            <v>21.629999160766602</v>
          </cell>
          <cell r="Z16">
            <v>23.895999908447301</v>
          </cell>
          <cell r="AA16">
            <v>25.096000671386701</v>
          </cell>
          <cell r="AB16">
            <v>18.9258003234863</v>
          </cell>
          <cell r="AC16">
            <v>21.815799713134801</v>
          </cell>
          <cell r="AD16">
            <v>18.9258003234863</v>
          </cell>
          <cell r="AE16">
            <v>18.9258003234863</v>
          </cell>
          <cell r="AF16">
            <v>24.091800689697301</v>
          </cell>
          <cell r="AG16">
            <v>2.7040000000000002</v>
          </cell>
        </row>
        <row r="17">
          <cell r="A17">
            <v>37438</v>
          </cell>
          <cell r="B17">
            <v>28.777551651001001</v>
          </cell>
          <cell r="C17">
            <v>28.593877792358398</v>
          </cell>
          <cell r="D17">
            <v>28.593877792358398</v>
          </cell>
          <cell r="E17">
            <v>28.593877792358398</v>
          </cell>
          <cell r="F17">
            <v>21.106122970581101</v>
          </cell>
          <cell r="G17">
            <v>26.208164215087901</v>
          </cell>
          <cell r="H17">
            <v>23.6775512695313</v>
          </cell>
          <cell r="I17">
            <v>24.626531600952099</v>
          </cell>
          <cell r="J17">
            <v>24.3909797668457</v>
          </cell>
          <cell r="K17">
            <v>31.694896697998001</v>
          </cell>
          <cell r="L17">
            <v>35.529590606689503</v>
          </cell>
          <cell r="M17">
            <v>19.4402046203613</v>
          </cell>
          <cell r="N17">
            <v>18.054693222045898</v>
          </cell>
          <cell r="O17">
            <v>19.4375514984131</v>
          </cell>
          <cell r="P17">
            <v>21.4963264465332</v>
          </cell>
          <cell r="Q17">
            <v>13.056735038757299</v>
          </cell>
          <cell r="R17">
            <v>24.849388122558601</v>
          </cell>
          <cell r="S17">
            <v>13.341428756713899</v>
          </cell>
          <cell r="T17">
            <v>13.056735038757299</v>
          </cell>
          <cell r="U17">
            <v>22.896121978759801</v>
          </cell>
          <cell r="V17">
            <v>23.643877029418899</v>
          </cell>
          <cell r="W17">
            <v>22.896121978759801</v>
          </cell>
          <cell r="X17">
            <v>25.881427764892599</v>
          </cell>
          <cell r="Y17">
            <v>22.896121978759801</v>
          </cell>
          <cell r="Z17">
            <v>26.370409011840799</v>
          </cell>
          <cell r="AA17">
            <v>27.676530838012699</v>
          </cell>
          <cell r="AB17">
            <v>22.897998809814499</v>
          </cell>
          <cell r="AC17">
            <v>26.667387008666999</v>
          </cell>
          <cell r="AD17">
            <v>22.897998809814499</v>
          </cell>
          <cell r="AE17">
            <v>22.897998809814499</v>
          </cell>
          <cell r="AF17">
            <v>31.3877983093262</v>
          </cell>
          <cell r="AG17">
            <v>2.7440000000000002</v>
          </cell>
        </row>
        <row r="18">
          <cell r="A18">
            <v>37469</v>
          </cell>
          <cell r="B18">
            <v>29.816326141357401</v>
          </cell>
          <cell r="C18">
            <v>29.632654190063501</v>
          </cell>
          <cell r="D18">
            <v>29.632654190063501</v>
          </cell>
          <cell r="E18">
            <v>29.632654190063501</v>
          </cell>
          <cell r="F18">
            <v>21.106122970581101</v>
          </cell>
          <cell r="G18">
            <v>26.208164215087901</v>
          </cell>
          <cell r="H18">
            <v>23.6775512695313</v>
          </cell>
          <cell r="I18">
            <v>24.626531600952099</v>
          </cell>
          <cell r="J18">
            <v>25.4444904327393</v>
          </cell>
          <cell r="K18">
            <v>31.6744899749756</v>
          </cell>
          <cell r="L18">
            <v>35.658164978027301</v>
          </cell>
          <cell r="M18">
            <v>20.052448272705099</v>
          </cell>
          <cell r="N18">
            <v>18.666938781738299</v>
          </cell>
          <cell r="O18">
            <v>20.049797058105501</v>
          </cell>
          <cell r="P18">
            <v>22.1085720062256</v>
          </cell>
          <cell r="Q18">
            <v>13.0363264083862</v>
          </cell>
          <cell r="R18">
            <v>25.461633682251001</v>
          </cell>
          <cell r="S18">
            <v>13.3210201263428</v>
          </cell>
          <cell r="T18">
            <v>13.0363264083862</v>
          </cell>
          <cell r="U18">
            <v>22.892040252685501</v>
          </cell>
          <cell r="V18">
            <v>23.694898605346701</v>
          </cell>
          <cell r="W18">
            <v>22.892040252685501</v>
          </cell>
          <cell r="X18">
            <v>25.861019134521499</v>
          </cell>
          <cell r="Y18">
            <v>22.892040252685501</v>
          </cell>
          <cell r="Z18">
            <v>26.616531372070298</v>
          </cell>
          <cell r="AA18">
            <v>27.922653198242202</v>
          </cell>
          <cell r="AB18">
            <v>22.662080764770501</v>
          </cell>
          <cell r="AC18">
            <v>26.584529876708999</v>
          </cell>
          <cell r="AD18">
            <v>22.662080764770501</v>
          </cell>
          <cell r="AE18">
            <v>22.662080764770501</v>
          </cell>
          <cell r="AF18">
            <v>31.274330139160199</v>
          </cell>
          <cell r="AG18">
            <v>2.7839999999999998</v>
          </cell>
        </row>
        <row r="19">
          <cell r="A19">
            <v>37500</v>
          </cell>
          <cell r="B19">
            <v>24.604000091552699</v>
          </cell>
          <cell r="C19">
            <v>25.403999328613299</v>
          </cell>
          <cell r="D19">
            <v>25.403999328613299</v>
          </cell>
          <cell r="E19">
            <v>25.403999328613299</v>
          </cell>
          <cell r="F19">
            <v>17.159999847412099</v>
          </cell>
          <cell r="G19">
            <v>18.620000839233398</v>
          </cell>
          <cell r="H19">
            <v>18.0200004577637</v>
          </cell>
          <cell r="I19">
            <v>18.920000076293899</v>
          </cell>
          <cell r="J19">
            <v>20.940000534057599</v>
          </cell>
          <cell r="K19">
            <v>24.129999160766602</v>
          </cell>
          <cell r="L19">
            <v>27.25</v>
          </cell>
          <cell r="M19">
            <v>17.248001098632798</v>
          </cell>
          <cell r="N19">
            <v>16.1079998016357</v>
          </cell>
          <cell r="O19">
            <v>17.247999191284201</v>
          </cell>
          <cell r="P19">
            <v>19.197999954223601</v>
          </cell>
          <cell r="Q19">
            <v>13.744000434875501</v>
          </cell>
          <cell r="R19">
            <v>21.052000045776399</v>
          </cell>
          <cell r="S19">
            <v>14.043999671936</v>
          </cell>
          <cell r="T19">
            <v>13.744000434875501</v>
          </cell>
          <cell r="U19">
            <v>19.708000183105501</v>
          </cell>
          <cell r="V19">
            <v>16.82200050354</v>
          </cell>
          <cell r="W19">
            <v>19.708000183105501</v>
          </cell>
          <cell r="X19">
            <v>18.077999114990199</v>
          </cell>
          <cell r="Y19">
            <v>19.708000183105501</v>
          </cell>
          <cell r="Z19">
            <v>22.9288005828857</v>
          </cell>
          <cell r="AA19">
            <v>24.128801345825199</v>
          </cell>
          <cell r="AB19">
            <v>17.629878997802699</v>
          </cell>
          <cell r="AC19">
            <v>19.899879455566399</v>
          </cell>
          <cell r="AD19">
            <v>17.629878997802699</v>
          </cell>
          <cell r="AE19">
            <v>17.629878997802699</v>
          </cell>
          <cell r="AF19">
            <v>23.398279190063501</v>
          </cell>
          <cell r="AG19">
            <v>2.7789999999999999</v>
          </cell>
        </row>
        <row r="20">
          <cell r="A20">
            <v>37530</v>
          </cell>
          <cell r="B20">
            <v>23.982978820800799</v>
          </cell>
          <cell r="C20">
            <v>24.9872341156006</v>
          </cell>
          <cell r="D20">
            <v>24.9872341156006</v>
          </cell>
          <cell r="E20">
            <v>24.9872341156006</v>
          </cell>
          <cell r="F20">
            <v>18.367021560668899</v>
          </cell>
          <cell r="G20">
            <v>19.962766647338899</v>
          </cell>
          <cell r="H20">
            <v>19.3031921386719</v>
          </cell>
          <cell r="I20">
            <v>20.292552947998001</v>
          </cell>
          <cell r="J20">
            <v>21.842554092407202</v>
          </cell>
          <cell r="K20">
            <v>24.577659606933601</v>
          </cell>
          <cell r="L20">
            <v>27.6265964508057</v>
          </cell>
          <cell r="M20">
            <v>16.590425491333001</v>
          </cell>
          <cell r="N20">
            <v>15.3306379318237</v>
          </cell>
          <cell r="O20">
            <v>16.584255218505898</v>
          </cell>
          <cell r="P20">
            <v>18.734043121337901</v>
          </cell>
          <cell r="Q20">
            <v>14.057660102844199</v>
          </cell>
          <cell r="R20">
            <v>19.4068088531494</v>
          </cell>
          <cell r="S20">
            <v>14.387447357177701</v>
          </cell>
          <cell r="T20">
            <v>14.057660102844199</v>
          </cell>
          <cell r="U20">
            <v>19.805871963501001</v>
          </cell>
          <cell r="V20">
            <v>15.273404121398899</v>
          </cell>
          <cell r="W20">
            <v>19.805871963501001</v>
          </cell>
          <cell r="X20">
            <v>16.189573287963899</v>
          </cell>
          <cell r="Y20">
            <v>19.805871963501001</v>
          </cell>
          <cell r="Z20">
            <v>23.515233993530298</v>
          </cell>
          <cell r="AA20">
            <v>24.908851623535199</v>
          </cell>
          <cell r="AB20">
            <v>16.7158508300781</v>
          </cell>
          <cell r="AC20">
            <v>18.499893188476602</v>
          </cell>
          <cell r="AD20">
            <v>16.7158508300781</v>
          </cell>
          <cell r="AE20">
            <v>16.7158508300781</v>
          </cell>
          <cell r="AF20">
            <v>19.740106582641602</v>
          </cell>
          <cell r="AG20">
            <v>2.7970000000000002</v>
          </cell>
        </row>
        <row r="21">
          <cell r="A21">
            <v>37561</v>
          </cell>
          <cell r="B21">
            <v>25.254999160766602</v>
          </cell>
          <cell r="C21">
            <v>26.074998855590799</v>
          </cell>
          <cell r="D21">
            <v>26.074998855590799</v>
          </cell>
          <cell r="E21">
            <v>26.074998855590799</v>
          </cell>
          <cell r="F21">
            <v>19</v>
          </cell>
          <cell r="G21">
            <v>20.299999237060501</v>
          </cell>
          <cell r="H21">
            <v>19.700000762939499</v>
          </cell>
          <cell r="I21">
            <v>20.600000381469702</v>
          </cell>
          <cell r="J21">
            <v>22.340000152587901</v>
          </cell>
          <cell r="K21">
            <v>25.8880004882813</v>
          </cell>
          <cell r="L21">
            <v>28.899999618530298</v>
          </cell>
          <cell r="M21">
            <v>16.9340000152588</v>
          </cell>
          <cell r="N21">
            <v>15.326000213623001</v>
          </cell>
          <cell r="O21">
            <v>16.9340000152588</v>
          </cell>
          <cell r="P21">
            <v>18.883998870849599</v>
          </cell>
          <cell r="Q21">
            <v>14.449999809265099</v>
          </cell>
          <cell r="R21">
            <v>19.981998443603501</v>
          </cell>
          <cell r="S21">
            <v>14.75</v>
          </cell>
          <cell r="T21">
            <v>14.449999809265099</v>
          </cell>
          <cell r="U21">
            <v>19.7399997711182</v>
          </cell>
          <cell r="V21">
            <v>16.629999160766602</v>
          </cell>
          <cell r="W21">
            <v>19.7399997711182</v>
          </cell>
          <cell r="X21">
            <v>17.298000335693398</v>
          </cell>
          <cell r="Y21">
            <v>19.7399997711182</v>
          </cell>
          <cell r="Z21">
            <v>23.205999374389599</v>
          </cell>
          <cell r="AA21">
            <v>24.406000137329102</v>
          </cell>
          <cell r="AB21">
            <v>17.2859992980957</v>
          </cell>
          <cell r="AC21">
            <v>18.775999069213899</v>
          </cell>
          <cell r="AD21">
            <v>17.2859992980957</v>
          </cell>
          <cell r="AE21">
            <v>17.2859992980957</v>
          </cell>
          <cell r="AF21">
            <v>20.402000427246101</v>
          </cell>
          <cell r="AG21">
            <v>2.996</v>
          </cell>
        </row>
        <row r="22">
          <cell r="A22">
            <v>37591</v>
          </cell>
          <cell r="B22">
            <v>24.149019241333001</v>
          </cell>
          <cell r="C22">
            <v>25.737255096435501</v>
          </cell>
          <cell r="D22">
            <v>25.737255096435501</v>
          </cell>
          <cell r="E22">
            <v>25.737255096435501</v>
          </cell>
          <cell r="F22">
            <v>19.2107849121094</v>
          </cell>
          <cell r="G22">
            <v>20.014705657958999</v>
          </cell>
          <cell r="H22">
            <v>19.406862258911101</v>
          </cell>
          <cell r="I22">
            <v>20.318628311157202</v>
          </cell>
          <cell r="J22">
            <v>24.333332061767599</v>
          </cell>
          <cell r="K22">
            <v>28.022548675537099</v>
          </cell>
          <cell r="L22">
            <v>30.7009792327881</v>
          </cell>
          <cell r="M22">
            <v>20.4139213562012</v>
          </cell>
          <cell r="N22">
            <v>18.7849006652832</v>
          </cell>
          <cell r="O22">
            <v>20.406078338623001</v>
          </cell>
          <cell r="P22">
            <v>22.389410018920898</v>
          </cell>
          <cell r="Q22">
            <v>16.712156295776399</v>
          </cell>
          <cell r="R22">
            <v>23.501764297485401</v>
          </cell>
          <cell r="S22">
            <v>17.016078948974599</v>
          </cell>
          <cell r="T22">
            <v>16.712156295776399</v>
          </cell>
          <cell r="U22">
            <v>19.741764068603501</v>
          </cell>
          <cell r="V22">
            <v>16.1068630218506</v>
          </cell>
          <cell r="W22">
            <v>19.741764068603501</v>
          </cell>
          <cell r="X22">
            <v>20.028823852539102</v>
          </cell>
          <cell r="Y22">
            <v>19.741764068603501</v>
          </cell>
          <cell r="Z22">
            <v>20.568038940429702</v>
          </cell>
          <cell r="AA22">
            <v>21.793529510498001</v>
          </cell>
          <cell r="AB22">
            <v>18.3668823242188</v>
          </cell>
          <cell r="AC22">
            <v>20.401195526123001</v>
          </cell>
          <cell r="AD22">
            <v>18.3668823242188</v>
          </cell>
          <cell r="AE22">
            <v>18.3668823242188</v>
          </cell>
          <cell r="AF22">
            <v>21.850019454956101</v>
          </cell>
          <cell r="AG22">
            <v>3.181</v>
          </cell>
        </row>
        <row r="23">
          <cell r="A23">
            <v>37622</v>
          </cell>
          <cell r="B23">
            <v>29.468816757202099</v>
          </cell>
          <cell r="C23">
            <v>30.387184143066399</v>
          </cell>
          <cell r="D23">
            <v>30.387184143066399</v>
          </cell>
          <cell r="E23">
            <v>30.387184143066399</v>
          </cell>
          <cell r="F23">
            <v>21.438776016235401</v>
          </cell>
          <cell r="G23">
            <v>24.469387054443398</v>
          </cell>
          <cell r="H23">
            <v>24.469387054443398</v>
          </cell>
          <cell r="I23">
            <v>25.4183673858643</v>
          </cell>
          <cell r="J23">
            <v>30.271877288818398</v>
          </cell>
          <cell r="K23">
            <v>30.1418361663818</v>
          </cell>
          <cell r="L23">
            <v>30.877550125122099</v>
          </cell>
          <cell r="M23">
            <v>23.074081420898398</v>
          </cell>
          <cell r="N23">
            <v>21.9669380187988</v>
          </cell>
          <cell r="O23">
            <v>23.076122283935501</v>
          </cell>
          <cell r="P23">
            <v>25.130203247070298</v>
          </cell>
          <cell r="Q23">
            <v>18.518980026245099</v>
          </cell>
          <cell r="R23">
            <v>26.3259181976318</v>
          </cell>
          <cell r="S23">
            <v>18.772041320800799</v>
          </cell>
          <cell r="T23">
            <v>18.518980026245099</v>
          </cell>
          <cell r="U23">
            <v>23.064489364623999</v>
          </cell>
          <cell r="V23">
            <v>16.3514289855957</v>
          </cell>
          <cell r="W23">
            <v>23.064489364623999</v>
          </cell>
          <cell r="X23">
            <v>25.862857818603501</v>
          </cell>
          <cell r="Y23">
            <v>23.064489364623999</v>
          </cell>
          <cell r="Z23">
            <v>23.768163681030298</v>
          </cell>
          <cell r="AA23">
            <v>25.074285507202099</v>
          </cell>
          <cell r="AB23">
            <v>20.789304733276399</v>
          </cell>
          <cell r="AC23">
            <v>23.2797145843506</v>
          </cell>
          <cell r="AD23">
            <v>20.789304733276399</v>
          </cell>
          <cell r="AE23">
            <v>20.789304733276399</v>
          </cell>
          <cell r="AF23">
            <v>24.225225448608398</v>
          </cell>
          <cell r="AG23">
            <v>3.274</v>
          </cell>
        </row>
        <row r="24">
          <cell r="A24">
            <v>37653</v>
          </cell>
          <cell r="B24">
            <v>29.306180953979499</v>
          </cell>
          <cell r="C24">
            <v>30.251636505126999</v>
          </cell>
          <cell r="D24">
            <v>30.251636505126999</v>
          </cell>
          <cell r="E24">
            <v>30.251636505126999</v>
          </cell>
          <cell r="F24">
            <v>21.409818649291999</v>
          </cell>
          <cell r="G24">
            <v>24.409818649291999</v>
          </cell>
          <cell r="H24">
            <v>24.409818649291999</v>
          </cell>
          <cell r="I24">
            <v>25.364364624023398</v>
          </cell>
          <cell r="J24">
            <v>27.807817459106399</v>
          </cell>
          <cell r="K24">
            <v>30.422727584838899</v>
          </cell>
          <cell r="L24">
            <v>31.227272033691399</v>
          </cell>
          <cell r="M24">
            <v>21.0299987792969</v>
          </cell>
          <cell r="N24">
            <v>19.9163627624512</v>
          </cell>
          <cell r="O24">
            <v>21.0272731781006</v>
          </cell>
          <cell r="P24">
            <v>23.098180770873999</v>
          </cell>
          <cell r="Q24">
            <v>17.33909034729</v>
          </cell>
          <cell r="R24">
            <v>24.300909042358398</v>
          </cell>
          <cell r="S24">
            <v>17.657272338867202</v>
          </cell>
          <cell r="T24">
            <v>17.33909034729</v>
          </cell>
          <cell r="U24">
            <v>21.809635162353501</v>
          </cell>
          <cell r="V24">
            <v>15.9663639068604</v>
          </cell>
          <cell r="W24">
            <v>21.809635162353501</v>
          </cell>
          <cell r="X24">
            <v>24.392726898193398</v>
          </cell>
          <cell r="Y24">
            <v>21.809635162353501</v>
          </cell>
          <cell r="Z24">
            <v>22.611454010009801</v>
          </cell>
          <cell r="AA24">
            <v>23.9296360015869</v>
          </cell>
          <cell r="AB24">
            <v>20.790363311767599</v>
          </cell>
          <cell r="AC24">
            <v>23.114910125732401</v>
          </cell>
          <cell r="AD24">
            <v>20.790363311767599</v>
          </cell>
          <cell r="AE24">
            <v>20.790363311767599</v>
          </cell>
          <cell r="AF24">
            <v>24.275819778442401</v>
          </cell>
          <cell r="AG24">
            <v>3.2090000000000001</v>
          </cell>
        </row>
        <row r="25">
          <cell r="A25">
            <v>37681</v>
          </cell>
          <cell r="B25">
            <v>27.5343132019043</v>
          </cell>
          <cell r="C25">
            <v>26.926469802856399</v>
          </cell>
          <cell r="D25">
            <v>26.926469802856399</v>
          </cell>
          <cell r="E25">
            <v>26.926469802856399</v>
          </cell>
          <cell r="F25">
            <v>19.2450981140137</v>
          </cell>
          <cell r="G25">
            <v>20.343137741088899</v>
          </cell>
          <cell r="H25">
            <v>19.735294342041001</v>
          </cell>
          <cell r="I25">
            <v>20.647058486938501</v>
          </cell>
          <cell r="J25">
            <v>23.303726196289102</v>
          </cell>
          <cell r="K25">
            <v>27.5470581054688</v>
          </cell>
          <cell r="L25">
            <v>28.362745285034201</v>
          </cell>
          <cell r="M25">
            <v>20.1531372070313</v>
          </cell>
          <cell r="N25">
            <v>19.089410781860401</v>
          </cell>
          <cell r="O25">
            <v>20.155294418335</v>
          </cell>
          <cell r="P25">
            <v>22.128627777099599</v>
          </cell>
          <cell r="Q25">
            <v>15.8678426742554</v>
          </cell>
          <cell r="R25">
            <v>23.277450561523398</v>
          </cell>
          <cell r="S25">
            <v>16.1717643737793</v>
          </cell>
          <cell r="T25">
            <v>15.8678426742554</v>
          </cell>
          <cell r="U25">
            <v>20.289411544799801</v>
          </cell>
          <cell r="V25">
            <v>15.898627281189</v>
          </cell>
          <cell r="W25">
            <v>20.289411544799801</v>
          </cell>
          <cell r="X25">
            <v>20.654314041137699</v>
          </cell>
          <cell r="Y25">
            <v>20.289411544799801</v>
          </cell>
          <cell r="Z25">
            <v>21.067842483520501</v>
          </cell>
          <cell r="AA25">
            <v>22.293333053588899</v>
          </cell>
          <cell r="AB25">
            <v>19.9259223937988</v>
          </cell>
          <cell r="AC25">
            <v>21.677293777465799</v>
          </cell>
          <cell r="AD25">
            <v>19.9259223937988</v>
          </cell>
          <cell r="AE25">
            <v>19.9259223937988</v>
          </cell>
          <cell r="AF25">
            <v>22.9494514465332</v>
          </cell>
          <cell r="AG25">
            <v>3.1190000000000002</v>
          </cell>
        </row>
        <row r="26">
          <cell r="A26">
            <v>37712</v>
          </cell>
          <cell r="B26">
            <v>25.247825622558601</v>
          </cell>
          <cell r="C26">
            <v>24.708696365356399</v>
          </cell>
          <cell r="D26">
            <v>24.708696365356399</v>
          </cell>
          <cell r="E26">
            <v>24.708696365356399</v>
          </cell>
          <cell r="F26">
            <v>18.934608459472699</v>
          </cell>
          <cell r="G26">
            <v>20.021564483642599</v>
          </cell>
          <cell r="H26">
            <v>19.369390487670898</v>
          </cell>
          <cell r="I26">
            <v>20.347652435302699</v>
          </cell>
          <cell r="J26">
            <v>23.1786079406738</v>
          </cell>
          <cell r="K26">
            <v>27.304347991943398</v>
          </cell>
          <cell r="L26">
            <v>27.813043594360401</v>
          </cell>
          <cell r="M26">
            <v>16.927391052246101</v>
          </cell>
          <cell r="N26">
            <v>15.7860870361328</v>
          </cell>
          <cell r="O26">
            <v>16.924781799316399</v>
          </cell>
          <cell r="P26">
            <v>19.046955108642599</v>
          </cell>
          <cell r="Q26">
            <v>13.960000038146999</v>
          </cell>
          <cell r="R26">
            <v>20.279565811157202</v>
          </cell>
          <cell r="S26">
            <v>14.2860870361328</v>
          </cell>
          <cell r="T26">
            <v>13.960000038146999</v>
          </cell>
          <cell r="U26">
            <v>19.033912658691399</v>
          </cell>
          <cell r="V26">
            <v>15.4386959075928</v>
          </cell>
          <cell r="W26">
            <v>19.033912658691399</v>
          </cell>
          <cell r="X26">
            <v>18.581304550170898</v>
          </cell>
          <cell r="Y26">
            <v>19.033912658691399</v>
          </cell>
          <cell r="Z26">
            <v>19.848695755004901</v>
          </cell>
          <cell r="AA26">
            <v>21.218259811401399</v>
          </cell>
          <cell r="AB26">
            <v>19.091913223266602</v>
          </cell>
          <cell r="AC26">
            <v>20.9814777374268</v>
          </cell>
          <cell r="AD26">
            <v>19.091913223266602</v>
          </cell>
          <cell r="AE26">
            <v>19.091913223266602</v>
          </cell>
          <cell r="AF26">
            <v>22.056175231933601</v>
          </cell>
          <cell r="AG26">
            <v>2.9740000000000002</v>
          </cell>
        </row>
        <row r="27">
          <cell r="A27">
            <v>37742</v>
          </cell>
          <cell r="B27">
            <v>25.8725490570068</v>
          </cell>
          <cell r="C27">
            <v>24.676469802856399</v>
          </cell>
          <cell r="D27">
            <v>24.676469802856399</v>
          </cell>
          <cell r="E27">
            <v>24.676469802856399</v>
          </cell>
          <cell r="F27">
            <v>19.637451171875</v>
          </cell>
          <cell r="G27">
            <v>19.8531379699707</v>
          </cell>
          <cell r="H27">
            <v>19.245294570922901</v>
          </cell>
          <cell r="I27">
            <v>20.157058715820298</v>
          </cell>
          <cell r="J27">
            <v>21.558235168456999</v>
          </cell>
          <cell r="K27">
            <v>29.5470581054688</v>
          </cell>
          <cell r="L27">
            <v>30.362745285034201</v>
          </cell>
          <cell r="M27">
            <v>17.214706420898398</v>
          </cell>
          <cell r="N27">
            <v>16.194118499755898</v>
          </cell>
          <cell r="O27">
            <v>17.2094116210938</v>
          </cell>
          <cell r="P27">
            <v>19.1901950836182</v>
          </cell>
          <cell r="Q27">
            <v>13.7913722991943</v>
          </cell>
          <cell r="R27">
            <v>20.3390197753906</v>
          </cell>
          <cell r="S27">
            <v>13.816863059997599</v>
          </cell>
          <cell r="T27">
            <v>13.7913722991943</v>
          </cell>
          <cell r="U27">
            <v>18.227645874023398</v>
          </cell>
          <cell r="V27">
            <v>17.094705581665</v>
          </cell>
          <cell r="W27">
            <v>18.227645874023398</v>
          </cell>
          <cell r="X27">
            <v>19.462352752685501</v>
          </cell>
          <cell r="Y27">
            <v>18.227645874023398</v>
          </cell>
          <cell r="Z27">
            <v>19.006078720092798</v>
          </cell>
          <cell r="AA27">
            <v>20.231569290161101</v>
          </cell>
          <cell r="AB27">
            <v>19.838861465454102</v>
          </cell>
          <cell r="AC27">
            <v>21.889255523681602</v>
          </cell>
          <cell r="AD27">
            <v>19.838861465454102</v>
          </cell>
          <cell r="AE27">
            <v>19.838861465454102</v>
          </cell>
          <cell r="AF27">
            <v>23.6122932434082</v>
          </cell>
          <cell r="AG27">
            <v>2.9740000000000002</v>
          </cell>
        </row>
        <row r="28">
          <cell r="A28">
            <v>37773</v>
          </cell>
          <cell r="B28">
            <v>26.7260417938232</v>
          </cell>
          <cell r="C28">
            <v>26.051042556762699</v>
          </cell>
          <cell r="D28">
            <v>26.051042556762699</v>
          </cell>
          <cell r="E28">
            <v>26.051042556762699</v>
          </cell>
          <cell r="F28">
            <v>20.625</v>
          </cell>
          <cell r="G28">
            <v>22.5</v>
          </cell>
          <cell r="H28">
            <v>20.625</v>
          </cell>
          <cell r="I28">
            <v>21.5625</v>
          </cell>
          <cell r="J28">
            <v>24.855833053588899</v>
          </cell>
          <cell r="K28">
            <v>30.262290954589801</v>
          </cell>
          <cell r="L28">
            <v>33.2143745422363</v>
          </cell>
          <cell r="M28">
            <v>20.487083435058601</v>
          </cell>
          <cell r="N28">
            <v>19.798334121704102</v>
          </cell>
          <cell r="O28">
            <v>20.487083435058601</v>
          </cell>
          <cell r="P28">
            <v>22.518333435058601</v>
          </cell>
          <cell r="Q28">
            <v>14.789166450500501</v>
          </cell>
          <cell r="R28">
            <v>24.168333053588899</v>
          </cell>
          <cell r="S28">
            <v>14.805832862854</v>
          </cell>
          <cell r="T28">
            <v>14.789166450500501</v>
          </cell>
          <cell r="U28">
            <v>21.5399990081787</v>
          </cell>
          <cell r="V28">
            <v>19.350833892822301</v>
          </cell>
          <cell r="W28">
            <v>21.5399990081787</v>
          </cell>
          <cell r="X28">
            <v>25.467082977294901</v>
          </cell>
          <cell r="Y28">
            <v>21.5399990081787</v>
          </cell>
          <cell r="Z28">
            <v>23.485416412353501</v>
          </cell>
          <cell r="AA28">
            <v>24.766666412353501</v>
          </cell>
          <cell r="AB28">
            <v>21.199165344238299</v>
          </cell>
          <cell r="AC28">
            <v>23.9170837402344</v>
          </cell>
          <cell r="AD28">
            <v>21.199165344238299</v>
          </cell>
          <cell r="AE28">
            <v>21.199165344238299</v>
          </cell>
          <cell r="AF28">
            <v>26.144168853759801</v>
          </cell>
          <cell r="AG28">
            <v>3.004</v>
          </cell>
        </row>
        <row r="29">
          <cell r="A29">
            <v>37803</v>
          </cell>
          <cell r="B29">
            <v>30.1510200500488</v>
          </cell>
          <cell r="C29">
            <v>29.765306472778299</v>
          </cell>
          <cell r="D29">
            <v>29.765306472778299</v>
          </cell>
          <cell r="E29">
            <v>29.765306472778299</v>
          </cell>
          <cell r="F29">
            <v>21.275510787963899</v>
          </cell>
          <cell r="G29">
            <v>24.438776016235401</v>
          </cell>
          <cell r="H29">
            <v>21.275510787963899</v>
          </cell>
          <cell r="I29">
            <v>22.224489212036101</v>
          </cell>
          <cell r="J29">
            <v>29.7867336273193</v>
          </cell>
          <cell r="K29">
            <v>33.222450256347699</v>
          </cell>
          <cell r="L29">
            <v>37.014286041259801</v>
          </cell>
          <cell r="M29">
            <v>22.987346649169901</v>
          </cell>
          <cell r="N29">
            <v>21.843469619751001</v>
          </cell>
          <cell r="O29">
            <v>22.9869384765625</v>
          </cell>
          <cell r="P29">
            <v>25.0434684753418</v>
          </cell>
          <cell r="Q29">
            <v>16.9018363952637</v>
          </cell>
          <cell r="R29">
            <v>26.713672637939499</v>
          </cell>
          <cell r="S29">
            <v>16.8885707855225</v>
          </cell>
          <cell r="T29">
            <v>16.9018363952637</v>
          </cell>
          <cell r="U29">
            <v>24.681224822998001</v>
          </cell>
          <cell r="V29">
            <v>24.432041168212901</v>
          </cell>
          <cell r="W29">
            <v>24.681224822998001</v>
          </cell>
          <cell r="X29">
            <v>29.382246017456101</v>
          </cell>
          <cell r="Y29">
            <v>24.681224822998001</v>
          </cell>
          <cell r="Z29">
            <v>27.915510177612301</v>
          </cell>
          <cell r="AA29">
            <v>29.221632003784201</v>
          </cell>
          <cell r="AB29">
            <v>24.662488937377901</v>
          </cell>
          <cell r="AC29">
            <v>28.463100433349599</v>
          </cell>
          <cell r="AD29">
            <v>24.662488937377901</v>
          </cell>
          <cell r="AE29">
            <v>24.662488937377901</v>
          </cell>
          <cell r="AF29">
            <v>33.098411560058601</v>
          </cell>
          <cell r="AG29">
            <v>3.044</v>
          </cell>
        </row>
        <row r="30">
          <cell r="A30">
            <v>37834</v>
          </cell>
          <cell r="B30">
            <v>30.529411315918001</v>
          </cell>
          <cell r="C30">
            <v>29.7058811187744</v>
          </cell>
          <cell r="D30">
            <v>29.7058811187744</v>
          </cell>
          <cell r="E30">
            <v>29.7058811187744</v>
          </cell>
          <cell r="F30">
            <v>21.598039627075199</v>
          </cell>
          <cell r="G30">
            <v>24.637254714965799</v>
          </cell>
          <cell r="H30">
            <v>21.598039627075199</v>
          </cell>
          <cell r="I30">
            <v>22.509803771972699</v>
          </cell>
          <cell r="J30">
            <v>25.640588760376001</v>
          </cell>
          <cell r="K30">
            <v>33.096080780029297</v>
          </cell>
          <cell r="L30">
            <v>36.539215087890597</v>
          </cell>
          <cell r="M30">
            <v>23.415685653686499</v>
          </cell>
          <cell r="N30">
            <v>21.222549438476602</v>
          </cell>
          <cell r="O30">
            <v>23.419803619384801</v>
          </cell>
          <cell r="P30">
            <v>25.391176223754901</v>
          </cell>
          <cell r="Q30">
            <v>16.960981369018601</v>
          </cell>
          <cell r="R30">
            <v>26.9958820343018</v>
          </cell>
          <cell r="S30">
            <v>16.948234558105501</v>
          </cell>
          <cell r="T30">
            <v>16.960981369018601</v>
          </cell>
          <cell r="U30">
            <v>24.471763610839801</v>
          </cell>
          <cell r="V30">
            <v>25.006471633911101</v>
          </cell>
          <cell r="W30">
            <v>24.471763610839801</v>
          </cell>
          <cell r="X30">
            <v>29.2492160797119</v>
          </cell>
          <cell r="Y30">
            <v>24.471763610839801</v>
          </cell>
          <cell r="Z30">
            <v>27.681568145751999</v>
          </cell>
          <cell r="AA30">
            <v>28.907058715820298</v>
          </cell>
          <cell r="AB30">
            <v>23.993568420410199</v>
          </cell>
          <cell r="AC30">
            <v>27.529254913330099</v>
          </cell>
          <cell r="AD30">
            <v>23.993568420410199</v>
          </cell>
          <cell r="AE30">
            <v>23.993568420410199</v>
          </cell>
          <cell r="AF30">
            <v>32.517101287841797</v>
          </cell>
          <cell r="AG30">
            <v>3.0790000000000002</v>
          </cell>
        </row>
        <row r="31">
          <cell r="A31">
            <v>37865</v>
          </cell>
          <cell r="B31">
            <v>24.639583587646499</v>
          </cell>
          <cell r="C31">
            <v>24.420833587646499</v>
          </cell>
          <cell r="D31">
            <v>24.420833587646499</v>
          </cell>
          <cell r="E31">
            <v>24.420833587646499</v>
          </cell>
          <cell r="F31">
            <v>18.3745822906494</v>
          </cell>
          <cell r="G31">
            <v>18.9995822906494</v>
          </cell>
          <cell r="H31">
            <v>18.3745822906494</v>
          </cell>
          <cell r="I31">
            <v>19.3120822906494</v>
          </cell>
          <cell r="J31">
            <v>24.016666412353501</v>
          </cell>
          <cell r="K31">
            <v>26.318750381469702</v>
          </cell>
          <cell r="L31">
            <v>27.9375</v>
          </cell>
          <cell r="M31">
            <v>16.570417404174801</v>
          </cell>
          <cell r="N31">
            <v>15.4991664886475</v>
          </cell>
          <cell r="O31">
            <v>16.570417404174801</v>
          </cell>
          <cell r="P31">
            <v>18.601667404174801</v>
          </cell>
          <cell r="Q31">
            <v>13.216249465942401</v>
          </cell>
          <cell r="R31">
            <v>20.407917022705099</v>
          </cell>
          <cell r="S31">
            <v>13.232916831970201</v>
          </cell>
          <cell r="T31">
            <v>13.216249465942401</v>
          </cell>
          <cell r="U31">
            <v>20.405208587646499</v>
          </cell>
          <cell r="V31">
            <v>17.777915954589801</v>
          </cell>
          <cell r="W31">
            <v>20.405208587646499</v>
          </cell>
          <cell r="X31">
            <v>19.944166183471701</v>
          </cell>
          <cell r="Y31">
            <v>20.405208587646499</v>
          </cell>
          <cell r="Z31">
            <v>22.3506259918213</v>
          </cell>
          <cell r="AA31">
            <v>23.6318759918213</v>
          </cell>
          <cell r="AB31">
            <v>18.422542572021499</v>
          </cell>
          <cell r="AC31">
            <v>20.774208068847699</v>
          </cell>
          <cell r="AD31">
            <v>18.726291656494102</v>
          </cell>
          <cell r="AE31">
            <v>18.422542572021499</v>
          </cell>
          <cell r="AF31">
            <v>24.920042037963899</v>
          </cell>
          <cell r="AG31">
            <v>3.0790000000000002</v>
          </cell>
        </row>
        <row r="32">
          <cell r="A32">
            <v>37895</v>
          </cell>
          <cell r="B32">
            <v>23.202127456665</v>
          </cell>
          <cell r="C32">
            <v>23.5255317687988</v>
          </cell>
          <cell r="D32">
            <v>23.5255317687988</v>
          </cell>
          <cell r="E32">
            <v>23.5255317687988</v>
          </cell>
          <cell r="F32">
            <v>18.882127761840799</v>
          </cell>
          <cell r="G32">
            <v>19.541702270507798</v>
          </cell>
          <cell r="H32">
            <v>18.882127761840799</v>
          </cell>
          <cell r="I32">
            <v>19.871488571166999</v>
          </cell>
          <cell r="J32">
            <v>23.097871780395501</v>
          </cell>
          <cell r="K32">
            <v>26.153190612793001</v>
          </cell>
          <cell r="L32">
            <v>28.759574890136701</v>
          </cell>
          <cell r="M32">
            <v>14.4746809005737</v>
          </cell>
          <cell r="N32">
            <v>14.042127609252899</v>
          </cell>
          <cell r="O32">
            <v>14.4751062393188</v>
          </cell>
          <cell r="P32">
            <v>16.6182975769043</v>
          </cell>
          <cell r="Q32">
            <v>12.183616638183601</v>
          </cell>
          <cell r="R32">
            <v>18.524467468261701</v>
          </cell>
          <cell r="S32">
            <v>12.2717018127441</v>
          </cell>
          <cell r="T32">
            <v>12.183616638183601</v>
          </cell>
          <cell r="U32">
            <v>20.026914596557599</v>
          </cell>
          <cell r="V32">
            <v>15.7448930740356</v>
          </cell>
          <cell r="W32">
            <v>20.026914596557599</v>
          </cell>
          <cell r="X32">
            <v>17.2374458312988</v>
          </cell>
          <cell r="Y32">
            <v>20.026914596557599</v>
          </cell>
          <cell r="Z32">
            <v>20.8477668762207</v>
          </cell>
          <cell r="AA32">
            <v>22.241382598876999</v>
          </cell>
          <cell r="AB32">
            <v>17.3022346496582</v>
          </cell>
          <cell r="AC32">
            <v>19.231382369995099</v>
          </cell>
          <cell r="AD32">
            <v>17.6781921386719</v>
          </cell>
          <cell r="AE32">
            <v>17.3022346496582</v>
          </cell>
          <cell r="AF32">
            <v>20.702873229980501</v>
          </cell>
          <cell r="AG32">
            <v>3.0990000000000002</v>
          </cell>
        </row>
        <row r="33">
          <cell r="A33">
            <v>37926</v>
          </cell>
          <cell r="B33">
            <v>24.827884674072301</v>
          </cell>
          <cell r="C33">
            <v>25.0586547851563</v>
          </cell>
          <cell r="D33">
            <v>25.0586547851563</v>
          </cell>
          <cell r="E33">
            <v>25.0586547851563</v>
          </cell>
          <cell r="F33">
            <v>20.172115325927699</v>
          </cell>
          <cell r="G33">
            <v>20.749038696289102</v>
          </cell>
          <cell r="H33">
            <v>20.172115325927699</v>
          </cell>
          <cell r="I33">
            <v>21.037500381469702</v>
          </cell>
          <cell r="J33">
            <v>23.830768585205099</v>
          </cell>
          <cell r="K33">
            <v>27.4413452148438</v>
          </cell>
          <cell r="L33">
            <v>29.822114944458001</v>
          </cell>
          <cell r="M33">
            <v>15.3850002288818</v>
          </cell>
          <cell r="N33">
            <v>14.933845520019499</v>
          </cell>
          <cell r="O33">
            <v>15.3819227218628</v>
          </cell>
          <cell r="P33">
            <v>17.2600002288818</v>
          </cell>
          <cell r="Q33">
            <v>13.3242301940918</v>
          </cell>
          <cell r="R33">
            <v>18.9273071289063</v>
          </cell>
          <cell r="S33">
            <v>13.2849998474121</v>
          </cell>
          <cell r="T33">
            <v>13.3242301940918</v>
          </cell>
          <cell r="U33">
            <v>19.277116775512699</v>
          </cell>
          <cell r="V33">
            <v>17.253076553344702</v>
          </cell>
          <cell r="W33">
            <v>19.277116775512699</v>
          </cell>
          <cell r="X33">
            <v>18.680385589599599</v>
          </cell>
          <cell r="Y33">
            <v>19.277116775512699</v>
          </cell>
          <cell r="Z33">
            <v>19.940576553344702</v>
          </cell>
          <cell r="AA33">
            <v>21.065576553344702</v>
          </cell>
          <cell r="AB33">
            <v>17.814384460449201</v>
          </cell>
          <cell r="AC33">
            <v>19.563613891601602</v>
          </cell>
          <cell r="AD33">
            <v>18.271306991577099</v>
          </cell>
          <cell r="AE33">
            <v>17.814384460449201</v>
          </cell>
          <cell r="AF33">
            <v>21.229385375976602</v>
          </cell>
          <cell r="AG33">
            <v>3.234</v>
          </cell>
        </row>
        <row r="34">
          <cell r="A34">
            <v>37956</v>
          </cell>
          <cell r="B34">
            <v>23.528572082519499</v>
          </cell>
          <cell r="C34">
            <v>24.140815734863299</v>
          </cell>
          <cell r="D34">
            <v>24.140815734863299</v>
          </cell>
          <cell r="E34">
            <v>24.140815734863299</v>
          </cell>
          <cell r="F34">
            <v>20.7032661437988</v>
          </cell>
          <cell r="G34">
            <v>21.3359184265137</v>
          </cell>
          <cell r="H34">
            <v>20.7032661437988</v>
          </cell>
          <cell r="I34">
            <v>21.652244567871101</v>
          </cell>
          <cell r="J34">
            <v>25.251020431518601</v>
          </cell>
          <cell r="K34">
            <v>29.328571319580099</v>
          </cell>
          <cell r="L34">
            <v>31.171428680419901</v>
          </cell>
          <cell r="M34">
            <v>19.007755279541001</v>
          </cell>
          <cell r="N34">
            <v>18.3855094909668</v>
          </cell>
          <cell r="O34">
            <v>19.007959365844702</v>
          </cell>
          <cell r="P34">
            <v>21.063877105712901</v>
          </cell>
          <cell r="Q34">
            <v>15.4446935653687</v>
          </cell>
          <cell r="R34">
            <v>22.8922443389893</v>
          </cell>
          <cell r="S34">
            <v>15.471224784851101</v>
          </cell>
          <cell r="T34">
            <v>15.4446935653687</v>
          </cell>
          <cell r="U34">
            <v>20.344490051269499</v>
          </cell>
          <cell r="V34">
            <v>16.2993869781494</v>
          </cell>
          <cell r="W34">
            <v>20.344490051269499</v>
          </cell>
          <cell r="X34">
            <v>21.508979797363299</v>
          </cell>
          <cell r="Y34">
            <v>20.344490051269499</v>
          </cell>
          <cell r="Z34">
            <v>21.048162460327099</v>
          </cell>
          <cell r="AA34">
            <v>22.354286193847699</v>
          </cell>
          <cell r="AB34">
            <v>18.771898269653299</v>
          </cell>
          <cell r="AC34">
            <v>21.0133266448975</v>
          </cell>
          <cell r="AD34">
            <v>19.182714462280298</v>
          </cell>
          <cell r="AE34">
            <v>18.771898269653299</v>
          </cell>
          <cell r="AF34">
            <v>22.639450073242202</v>
          </cell>
          <cell r="AG34">
            <v>3.3690000000000002</v>
          </cell>
        </row>
        <row r="35">
          <cell r="A35">
            <v>37987</v>
          </cell>
          <cell r="B35">
            <v>32.0654907226563</v>
          </cell>
          <cell r="C35">
            <v>32.555686950683601</v>
          </cell>
          <cell r="D35">
            <v>32.555686950683601</v>
          </cell>
          <cell r="E35">
            <v>32.555686950683601</v>
          </cell>
          <cell r="F35">
            <v>23.702548980712901</v>
          </cell>
          <cell r="G35">
            <v>24.3103923797607</v>
          </cell>
          <cell r="H35">
            <v>23.702548980712901</v>
          </cell>
          <cell r="I35">
            <v>24.614313125610401</v>
          </cell>
          <cell r="J35">
            <v>30.706274032592798</v>
          </cell>
          <cell r="K35">
            <v>30.729412078857401</v>
          </cell>
          <cell r="L35">
            <v>32.740196228027301</v>
          </cell>
          <cell r="M35">
            <v>22.435489654541001</v>
          </cell>
          <cell r="N35">
            <v>22.118822097778299</v>
          </cell>
          <cell r="O35">
            <v>18.812940597534201</v>
          </cell>
          <cell r="P35">
            <v>24.4109802246094</v>
          </cell>
          <cell r="Q35">
            <v>18.962940216064499</v>
          </cell>
          <cell r="R35">
            <v>26.9715690612793</v>
          </cell>
          <cell r="S35">
            <v>19.106077194213899</v>
          </cell>
          <cell r="T35">
            <v>18.962940216064499</v>
          </cell>
          <cell r="U35">
            <v>22.8168640136719</v>
          </cell>
          <cell r="V35">
            <v>19.192548751831101</v>
          </cell>
          <cell r="W35">
            <v>22.8168640136719</v>
          </cell>
          <cell r="X35">
            <v>24.694116592407202</v>
          </cell>
          <cell r="Y35">
            <v>22.8168640136719</v>
          </cell>
          <cell r="Z35">
            <v>23.220783233642599</v>
          </cell>
          <cell r="AA35">
            <v>24.446273803710898</v>
          </cell>
          <cell r="AB35">
            <v>21.078863143920898</v>
          </cell>
          <cell r="AC35">
            <v>23.580234527587901</v>
          </cell>
          <cell r="AD35">
            <v>21.078863143920898</v>
          </cell>
          <cell r="AE35">
            <v>21.078863143920898</v>
          </cell>
          <cell r="AF35">
            <v>24.934747695922901</v>
          </cell>
          <cell r="AG35">
            <v>3.4289999999999998</v>
          </cell>
        </row>
        <row r="36">
          <cell r="A36">
            <v>38018</v>
          </cell>
          <cell r="B36">
            <v>31.0836181640625</v>
          </cell>
          <cell r="C36">
            <v>31.6368083953857</v>
          </cell>
          <cell r="D36">
            <v>31.6368083953857</v>
          </cell>
          <cell r="E36">
            <v>31.6368083953857</v>
          </cell>
          <cell r="F36">
            <v>23.6431064605713</v>
          </cell>
          <cell r="G36">
            <v>24.260128021240199</v>
          </cell>
          <cell r="H36">
            <v>23.6431064605713</v>
          </cell>
          <cell r="I36">
            <v>24.568637847900401</v>
          </cell>
          <cell r="J36">
            <v>28.230596542358398</v>
          </cell>
          <cell r="K36">
            <v>31.000001907348601</v>
          </cell>
          <cell r="L36">
            <v>33.035106658935497</v>
          </cell>
          <cell r="M36">
            <v>21.209999084472699</v>
          </cell>
          <cell r="N36">
            <v>20.488510131835898</v>
          </cell>
          <cell r="O36">
            <v>19.577020645141602</v>
          </cell>
          <cell r="P36">
            <v>23.215318679809599</v>
          </cell>
          <cell r="Q36">
            <v>18.548297882080099</v>
          </cell>
          <cell r="R36">
            <v>24.8814888000488</v>
          </cell>
          <cell r="S36">
            <v>18.748296737670898</v>
          </cell>
          <cell r="T36">
            <v>18.548297882080099</v>
          </cell>
          <cell r="U36">
            <v>22.2697448730469</v>
          </cell>
          <cell r="V36">
            <v>19.088085174560501</v>
          </cell>
          <cell r="W36">
            <v>22.2697448730469</v>
          </cell>
          <cell r="X36">
            <v>23.723403930664102</v>
          </cell>
          <cell r="Y36">
            <v>22.2697448730469</v>
          </cell>
          <cell r="Z36">
            <v>22.597404479980501</v>
          </cell>
          <cell r="AA36">
            <v>23.8527221679688</v>
          </cell>
          <cell r="AB36">
            <v>21.1213188171387</v>
          </cell>
          <cell r="AC36">
            <v>23.4168510437012</v>
          </cell>
          <cell r="AD36">
            <v>21.1213188171387</v>
          </cell>
          <cell r="AE36">
            <v>21.1213188171387</v>
          </cell>
          <cell r="AF36">
            <v>24.626853942871101</v>
          </cell>
          <cell r="AG36">
            <v>3.3439999999999999</v>
          </cell>
        </row>
        <row r="37">
          <cell r="A37">
            <v>38047</v>
          </cell>
          <cell r="B37">
            <v>28.417020797729499</v>
          </cell>
          <cell r="C37">
            <v>28.153190612793001</v>
          </cell>
          <cell r="D37">
            <v>28.153190612793001</v>
          </cell>
          <cell r="E37">
            <v>28.153190612793001</v>
          </cell>
          <cell r="F37">
            <v>18.6961269378662</v>
          </cell>
          <cell r="G37">
            <v>19.3557014465332</v>
          </cell>
          <cell r="H37">
            <v>18.6961269378662</v>
          </cell>
          <cell r="I37">
            <v>19.685489654541001</v>
          </cell>
          <cell r="J37">
            <v>23.527488708496101</v>
          </cell>
          <cell r="K37">
            <v>27.5234050750732</v>
          </cell>
          <cell r="L37">
            <v>27.4287223815918</v>
          </cell>
          <cell r="M37">
            <v>20.1610622406006</v>
          </cell>
          <cell r="N37">
            <v>19.5255317687988</v>
          </cell>
          <cell r="O37">
            <v>19.091915130615199</v>
          </cell>
          <cell r="P37">
            <v>22.304679870605501</v>
          </cell>
          <cell r="Q37">
            <v>16.3834037780762</v>
          </cell>
          <cell r="R37">
            <v>24.051277160644499</v>
          </cell>
          <cell r="S37">
            <v>16.670639038085898</v>
          </cell>
          <cell r="T37">
            <v>16.3834037780762</v>
          </cell>
          <cell r="U37">
            <v>20.579999923706101</v>
          </cell>
          <cell r="V37">
            <v>17.094467163085898</v>
          </cell>
          <cell r="W37">
            <v>20.579999923706101</v>
          </cell>
          <cell r="X37">
            <v>19.5734043121338</v>
          </cell>
          <cell r="Y37">
            <v>20.579999923706101</v>
          </cell>
          <cell r="Z37">
            <v>21.0757446289063</v>
          </cell>
          <cell r="AA37">
            <v>22.4693603515625</v>
          </cell>
          <cell r="AB37">
            <v>19.763658523559599</v>
          </cell>
          <cell r="AC37">
            <v>21.524085998535199</v>
          </cell>
          <cell r="AD37">
            <v>19.763658523559599</v>
          </cell>
          <cell r="AE37">
            <v>19.763658523559599</v>
          </cell>
          <cell r="AF37">
            <v>22.769191741943398</v>
          </cell>
          <cell r="AG37">
            <v>3.214</v>
          </cell>
        </row>
        <row r="38">
          <cell r="A38">
            <v>38078</v>
          </cell>
          <cell r="B38">
            <v>26.545652389526399</v>
          </cell>
          <cell r="C38">
            <v>26.276086807251001</v>
          </cell>
          <cell r="D38">
            <v>26.276086807251001</v>
          </cell>
          <cell r="E38">
            <v>26.276086807251001</v>
          </cell>
          <cell r="F38">
            <v>18.728956222534201</v>
          </cell>
          <cell r="G38">
            <v>19.381130218505898</v>
          </cell>
          <cell r="H38">
            <v>18.728956222534201</v>
          </cell>
          <cell r="I38">
            <v>19.707218170166001</v>
          </cell>
          <cell r="J38">
            <v>23.617738723754901</v>
          </cell>
          <cell r="K38">
            <v>28.217391967773398</v>
          </cell>
          <cell r="L38">
            <v>27.476087570190401</v>
          </cell>
          <cell r="M38">
            <v>17.289129257202099</v>
          </cell>
          <cell r="N38">
            <v>16.200870513916001</v>
          </cell>
          <cell r="O38">
            <v>19.104347229003899</v>
          </cell>
          <cell r="P38">
            <v>19.408695220947301</v>
          </cell>
          <cell r="Q38">
            <v>15.1913042068481</v>
          </cell>
          <cell r="R38">
            <v>21.141304016113299</v>
          </cell>
          <cell r="S38">
            <v>15.473913192749</v>
          </cell>
          <cell r="T38">
            <v>15.1913042068481</v>
          </cell>
          <cell r="U38">
            <v>19.377391815185501</v>
          </cell>
          <cell r="V38">
            <v>17.111303329467798</v>
          </cell>
          <cell r="W38">
            <v>19.377391815185501</v>
          </cell>
          <cell r="X38">
            <v>17.743913650512699</v>
          </cell>
          <cell r="Y38">
            <v>19.377391815185501</v>
          </cell>
          <cell r="Z38">
            <v>19.859998703002901</v>
          </cell>
          <cell r="AA38">
            <v>21.229564666748001</v>
          </cell>
          <cell r="AB38">
            <v>19.324522018432599</v>
          </cell>
          <cell r="AC38">
            <v>21.214086532592798</v>
          </cell>
          <cell r="AD38">
            <v>19.324522018432599</v>
          </cell>
          <cell r="AE38">
            <v>19.324522018432599</v>
          </cell>
          <cell r="AF38">
            <v>22.340957641601602</v>
          </cell>
          <cell r="AG38">
            <v>3.0289999999999999</v>
          </cell>
        </row>
        <row r="39">
          <cell r="A39">
            <v>38108</v>
          </cell>
          <cell r="B39">
            <v>26.851886749267599</v>
          </cell>
          <cell r="C39">
            <v>26.161321640014599</v>
          </cell>
          <cell r="D39">
            <v>26.161321640014599</v>
          </cell>
          <cell r="E39">
            <v>26.161321640014599</v>
          </cell>
          <cell r="F39">
            <v>19.015623092651399</v>
          </cell>
          <cell r="G39">
            <v>19.600528717041001</v>
          </cell>
          <cell r="H39">
            <v>19.015623092651399</v>
          </cell>
          <cell r="I39">
            <v>19.892980575561499</v>
          </cell>
          <cell r="J39">
            <v>21.798112869262699</v>
          </cell>
          <cell r="K39">
            <v>29.945283889770501</v>
          </cell>
          <cell r="L39">
            <v>29.9066047668457</v>
          </cell>
          <cell r="M39">
            <v>17.468868255615199</v>
          </cell>
          <cell r="N39">
            <v>16.557735443115199</v>
          </cell>
          <cell r="O39">
            <v>20.431320190429702</v>
          </cell>
          <cell r="P39">
            <v>19.3698120117188</v>
          </cell>
          <cell r="Q39">
            <v>15.0796222686768</v>
          </cell>
          <cell r="R39">
            <v>20.975282669067401</v>
          </cell>
          <cell r="S39">
            <v>14.9916982650757</v>
          </cell>
          <cell r="T39">
            <v>15.0796222686768</v>
          </cell>
          <cell r="U39">
            <v>18.628301620483398</v>
          </cell>
          <cell r="V39">
            <v>18.448301315307599</v>
          </cell>
          <cell r="W39">
            <v>18.628301620483398</v>
          </cell>
          <cell r="X39">
            <v>18.5516967773438</v>
          </cell>
          <cell r="Y39">
            <v>18.628301620483398</v>
          </cell>
          <cell r="Z39">
            <v>18.9094333648682</v>
          </cell>
          <cell r="AA39">
            <v>20.060377120971701</v>
          </cell>
          <cell r="AB39">
            <v>20.2826042175293</v>
          </cell>
          <cell r="AC39">
            <v>22.312980651855501</v>
          </cell>
          <cell r="AD39">
            <v>20.2826042175293</v>
          </cell>
          <cell r="AE39">
            <v>20.2826042175293</v>
          </cell>
          <cell r="AF39">
            <v>24.092887878418001</v>
          </cell>
          <cell r="AG39">
            <v>3.024</v>
          </cell>
        </row>
        <row r="40">
          <cell r="A40">
            <v>38139</v>
          </cell>
          <cell r="B40">
            <v>27.766304016113299</v>
          </cell>
          <cell r="C40">
            <v>27.453260421752901</v>
          </cell>
          <cell r="D40">
            <v>27.453260421752901</v>
          </cell>
          <cell r="E40">
            <v>27.453260421752901</v>
          </cell>
          <cell r="F40">
            <v>20.1200866699219</v>
          </cell>
          <cell r="G40">
            <v>22.0766086578369</v>
          </cell>
          <cell r="H40">
            <v>20.1200866699219</v>
          </cell>
          <cell r="I40">
            <v>21.0983486175537</v>
          </cell>
          <cell r="J40">
            <v>23.862607955932599</v>
          </cell>
          <cell r="K40">
            <v>30.566957473754901</v>
          </cell>
          <cell r="L40">
            <v>31.608261108398398</v>
          </cell>
          <cell r="M40">
            <v>21.387392044067401</v>
          </cell>
          <cell r="N40">
            <v>20.779130935668899</v>
          </cell>
          <cell r="O40">
            <v>24.6191291809082</v>
          </cell>
          <cell r="P40">
            <v>23.506956100463899</v>
          </cell>
          <cell r="Q40">
            <v>16.251304626464801</v>
          </cell>
          <cell r="R40">
            <v>25.239564895629901</v>
          </cell>
          <cell r="S40">
            <v>16.2852172851563</v>
          </cell>
          <cell r="T40">
            <v>16.251304626464801</v>
          </cell>
          <cell r="U40">
            <v>22.359565734863299</v>
          </cell>
          <cell r="V40">
            <v>20.719999313354499</v>
          </cell>
          <cell r="W40">
            <v>22.359565734863299</v>
          </cell>
          <cell r="X40">
            <v>25.324783325195298</v>
          </cell>
          <cell r="Y40">
            <v>22.359565734863299</v>
          </cell>
          <cell r="Z40">
            <v>24.146520614623999</v>
          </cell>
          <cell r="AA40">
            <v>25.516086578369102</v>
          </cell>
          <cell r="AB40">
            <v>21.143131256103501</v>
          </cell>
          <cell r="AC40">
            <v>23.869651794433601</v>
          </cell>
          <cell r="AD40">
            <v>21.143131256103501</v>
          </cell>
          <cell r="AE40">
            <v>21.143131256103501</v>
          </cell>
          <cell r="AF40">
            <v>26.1596565246582</v>
          </cell>
          <cell r="AG40">
            <v>3.0590000000000002</v>
          </cell>
        </row>
        <row r="41">
          <cell r="A41">
            <v>38169</v>
          </cell>
          <cell r="B41">
            <v>31.4686279296875</v>
          </cell>
          <cell r="C41">
            <v>31.262744903564499</v>
          </cell>
          <cell r="D41">
            <v>31.262744903564499</v>
          </cell>
          <cell r="E41">
            <v>31.262744903564499</v>
          </cell>
          <cell r="F41">
            <v>23.230392456054702</v>
          </cell>
          <cell r="G41">
            <v>26.269607543945298</v>
          </cell>
          <cell r="H41">
            <v>23.230392456054702</v>
          </cell>
          <cell r="I41">
            <v>24.142156600952099</v>
          </cell>
          <cell r="J41">
            <v>30.0798034667969</v>
          </cell>
          <cell r="K41">
            <v>33.570587158203097</v>
          </cell>
          <cell r="L41">
            <v>37.269607543945298</v>
          </cell>
          <cell r="M41">
            <v>24.189216613769499</v>
          </cell>
          <cell r="N41">
            <v>23.200000762939499</v>
          </cell>
          <cell r="O41">
            <v>27.516862869262699</v>
          </cell>
          <cell r="P41">
            <v>26.1647052764893</v>
          </cell>
          <cell r="Q41">
            <v>19.201175689697301</v>
          </cell>
          <cell r="R41">
            <v>27.813529968261701</v>
          </cell>
          <cell r="S41">
            <v>19.133529663085898</v>
          </cell>
          <cell r="T41">
            <v>19.201175689697301</v>
          </cell>
          <cell r="U41">
            <v>25.719804763793899</v>
          </cell>
          <cell r="V41">
            <v>25.535686492919901</v>
          </cell>
          <cell r="W41">
            <v>25.719804763793899</v>
          </cell>
          <cell r="X41">
            <v>29.296861648559599</v>
          </cell>
          <cell r="Y41">
            <v>25.719804763793899</v>
          </cell>
          <cell r="Z41">
            <v>28.555097579956101</v>
          </cell>
          <cell r="AA41">
            <v>29.7805881500244</v>
          </cell>
          <cell r="AB41">
            <v>25.3563137054443</v>
          </cell>
          <cell r="AC41">
            <v>29.181215286254901</v>
          </cell>
          <cell r="AD41">
            <v>25.3563137054443</v>
          </cell>
          <cell r="AE41">
            <v>25.3563137054443</v>
          </cell>
          <cell r="AF41">
            <v>33.938671112060497</v>
          </cell>
          <cell r="AG41">
            <v>3.0990000000000002</v>
          </cell>
        </row>
        <row r="42">
          <cell r="A42">
            <v>38200</v>
          </cell>
          <cell r="B42">
            <v>31.2336730957031</v>
          </cell>
          <cell r="C42">
            <v>30.978570938110401</v>
          </cell>
          <cell r="D42">
            <v>30.978570938110401</v>
          </cell>
          <cell r="E42">
            <v>30.978570938110401</v>
          </cell>
          <cell r="F42">
            <v>22.8520412445068</v>
          </cell>
          <cell r="G42">
            <v>26.015306472778299</v>
          </cell>
          <cell r="H42">
            <v>22.8520412445068</v>
          </cell>
          <cell r="I42">
            <v>23.801019668579102</v>
          </cell>
          <cell r="J42">
            <v>25.517021179199201</v>
          </cell>
          <cell r="K42">
            <v>33.548976898193402</v>
          </cell>
          <cell r="L42">
            <v>37.403060913085902</v>
          </cell>
          <cell r="M42">
            <v>24.1051025390625</v>
          </cell>
          <cell r="N42">
            <v>21.8681640625</v>
          </cell>
          <cell r="O42">
            <v>27.468162536621101</v>
          </cell>
          <cell r="P42">
            <v>26.1612243652344</v>
          </cell>
          <cell r="Q42">
            <v>18.2604084014893</v>
          </cell>
          <cell r="R42">
            <v>27.856939315795898</v>
          </cell>
          <cell r="S42">
            <v>18.190000534057599</v>
          </cell>
          <cell r="T42">
            <v>18.2604084014893</v>
          </cell>
          <cell r="U42">
            <v>25.182245254516602</v>
          </cell>
          <cell r="V42">
            <v>25.211837768554702</v>
          </cell>
          <cell r="W42">
            <v>25.182245254516602</v>
          </cell>
          <cell r="X42">
            <v>28.6808166503906</v>
          </cell>
          <cell r="Y42">
            <v>25.182245254516602</v>
          </cell>
          <cell r="Z42">
            <v>28.0720405578613</v>
          </cell>
          <cell r="AA42">
            <v>29.3781623840332</v>
          </cell>
          <cell r="AB42">
            <v>23.886980056762699</v>
          </cell>
          <cell r="AC42">
            <v>27.341672897338899</v>
          </cell>
          <cell r="AD42">
            <v>23.886980056762699</v>
          </cell>
          <cell r="AE42">
            <v>23.886980056762699</v>
          </cell>
          <cell r="AF42">
            <v>32.371879577636697</v>
          </cell>
          <cell r="AG42">
            <v>3.1389999999999998</v>
          </cell>
        </row>
        <row r="43">
          <cell r="A43">
            <v>38231</v>
          </cell>
          <cell r="B43">
            <v>25.8979167938232</v>
          </cell>
          <cell r="C43">
            <v>26.095832824706999</v>
          </cell>
          <cell r="D43">
            <v>26.095832824706999</v>
          </cell>
          <cell r="E43">
            <v>26.095832824706999</v>
          </cell>
          <cell r="F43">
            <v>19.2200412750244</v>
          </cell>
          <cell r="G43">
            <v>19.8450412750244</v>
          </cell>
          <cell r="H43">
            <v>19.2200412750244</v>
          </cell>
          <cell r="I43">
            <v>20.1575412750244</v>
          </cell>
          <cell r="J43">
            <v>24.372917175293001</v>
          </cell>
          <cell r="K43">
            <v>26.100000381469702</v>
          </cell>
          <cell r="L43">
            <v>28.65625</v>
          </cell>
          <cell r="M43">
            <v>17.8208332061768</v>
          </cell>
          <cell r="N43">
            <v>16.5720825195313</v>
          </cell>
          <cell r="O43">
            <v>18.2808322906494</v>
          </cell>
          <cell r="P43">
            <v>19.8520832061768</v>
          </cell>
          <cell r="Q43">
            <v>15.3333330154419</v>
          </cell>
          <cell r="R43">
            <v>21.533332824706999</v>
          </cell>
          <cell r="S43">
            <v>15.2958335876465</v>
          </cell>
          <cell r="T43">
            <v>15.3333330154419</v>
          </cell>
          <cell r="U43">
            <v>21.392707824706999</v>
          </cell>
          <cell r="V43">
            <v>19.230415344238299</v>
          </cell>
          <cell r="W43">
            <v>21.392707824706999</v>
          </cell>
          <cell r="X43">
            <v>19.727500915527301</v>
          </cell>
          <cell r="Y43">
            <v>21.392707824706999</v>
          </cell>
          <cell r="Z43">
            <v>22.986457824706999</v>
          </cell>
          <cell r="AA43">
            <v>24.267707824706999</v>
          </cell>
          <cell r="AB43">
            <v>18.674625396728501</v>
          </cell>
          <cell r="AC43">
            <v>21.026290893554702</v>
          </cell>
          <cell r="AD43">
            <v>18.9783744812012</v>
          </cell>
          <cell r="AE43">
            <v>18.674625396728501</v>
          </cell>
          <cell r="AF43">
            <v>25.222124099731399</v>
          </cell>
          <cell r="AG43">
            <v>3.1219999999999999</v>
          </cell>
        </row>
        <row r="44">
          <cell r="A44">
            <v>38261</v>
          </cell>
          <cell r="B44">
            <v>24.413724899291999</v>
          </cell>
          <cell r="C44">
            <v>24.7862739562988</v>
          </cell>
          <cell r="D44">
            <v>24.7862739562988</v>
          </cell>
          <cell r="E44">
            <v>24.7862739562988</v>
          </cell>
          <cell r="F44">
            <v>19.700981140136701</v>
          </cell>
          <cell r="G44">
            <v>20.308822631835898</v>
          </cell>
          <cell r="H44">
            <v>19.700981140136701</v>
          </cell>
          <cell r="I44">
            <v>20.612745285034201</v>
          </cell>
          <cell r="J44">
            <v>23.8725490570068</v>
          </cell>
          <cell r="K44">
            <v>27.200000762939499</v>
          </cell>
          <cell r="L44">
            <v>29.014705657958999</v>
          </cell>
          <cell r="M44">
            <v>15.748039245605501</v>
          </cell>
          <cell r="N44">
            <v>15.335293769836399</v>
          </cell>
          <cell r="O44">
            <v>16.4580383300781</v>
          </cell>
          <cell r="P44">
            <v>17.7235298156738</v>
          </cell>
          <cell r="Q44">
            <v>14.547254562377899</v>
          </cell>
          <cell r="R44">
            <v>19.372352600097699</v>
          </cell>
          <cell r="S44">
            <v>14.521764755249</v>
          </cell>
          <cell r="T44">
            <v>14.547254562377899</v>
          </cell>
          <cell r="U44">
            <v>20.686647415161101</v>
          </cell>
          <cell r="V44">
            <v>17.751371383666999</v>
          </cell>
          <cell r="W44">
            <v>20.686647415161101</v>
          </cell>
          <cell r="X44">
            <v>17.5611763000488</v>
          </cell>
          <cell r="Y44">
            <v>20.686647415161101</v>
          </cell>
          <cell r="Z44">
            <v>21.090568542480501</v>
          </cell>
          <cell r="AA44">
            <v>22.3160591125488</v>
          </cell>
          <cell r="AB44">
            <v>17.908725738525401</v>
          </cell>
          <cell r="AC44">
            <v>19.904607772827099</v>
          </cell>
          <cell r="AD44">
            <v>18.328138351440401</v>
          </cell>
          <cell r="AE44">
            <v>17.908725738525401</v>
          </cell>
          <cell r="AF44">
            <v>21.409315109252901</v>
          </cell>
          <cell r="AG44">
            <v>3.1469999999999998</v>
          </cell>
        </row>
        <row r="45">
          <cell r="A45">
            <v>38292</v>
          </cell>
          <cell r="B45">
            <v>25.3229160308838</v>
          </cell>
          <cell r="C45">
            <v>25.53125</v>
          </cell>
          <cell r="D45">
            <v>25.53125</v>
          </cell>
          <cell r="E45">
            <v>25.53125</v>
          </cell>
          <cell r="F45">
            <v>20.4375</v>
          </cell>
          <cell r="G45">
            <v>21.0625</v>
          </cell>
          <cell r="H45">
            <v>20.4375</v>
          </cell>
          <cell r="I45">
            <v>21.375</v>
          </cell>
          <cell r="J45">
            <v>23.747917175293001</v>
          </cell>
          <cell r="K45">
            <v>28.521875381469702</v>
          </cell>
          <cell r="L45">
            <v>29.765625</v>
          </cell>
          <cell r="M45">
            <v>16.591667175293001</v>
          </cell>
          <cell r="N45">
            <v>15.815416336059601</v>
          </cell>
          <cell r="O45">
            <v>16.8225002288818</v>
          </cell>
          <cell r="P45">
            <v>18.622917175293001</v>
          </cell>
          <cell r="Q45">
            <v>15.1666660308838</v>
          </cell>
          <cell r="R45">
            <v>20.3041667938232</v>
          </cell>
          <cell r="S45">
            <v>15.1291666030884</v>
          </cell>
          <cell r="T45">
            <v>15.1666660308838</v>
          </cell>
          <cell r="U45">
            <v>20.488542556762699</v>
          </cell>
          <cell r="V45">
            <v>18.292915344238299</v>
          </cell>
          <cell r="W45">
            <v>20.488542556762699</v>
          </cell>
          <cell r="X45">
            <v>18.867082595825199</v>
          </cell>
          <cell r="Y45">
            <v>20.488542556762699</v>
          </cell>
          <cell r="Z45">
            <v>20.832292556762699</v>
          </cell>
          <cell r="AA45">
            <v>22.113542556762699</v>
          </cell>
          <cell r="AB45">
            <v>17.747041702270501</v>
          </cell>
          <cell r="AC45">
            <v>19.472875595092798</v>
          </cell>
          <cell r="AD45">
            <v>18.1645412445068</v>
          </cell>
          <cell r="AE45">
            <v>17.747041702270501</v>
          </cell>
          <cell r="AF45">
            <v>21.169542312622099</v>
          </cell>
          <cell r="AG45">
            <v>3.2989999999999999</v>
          </cell>
        </row>
        <row r="46">
          <cell r="A46">
            <v>38322</v>
          </cell>
          <cell r="B46">
            <v>24.686170578002901</v>
          </cell>
          <cell r="C46">
            <v>25.324468612670898</v>
          </cell>
          <cell r="D46">
            <v>25.324468612670898</v>
          </cell>
          <cell r="E46">
            <v>25.324468612670898</v>
          </cell>
          <cell r="F46">
            <v>21.378170013427699</v>
          </cell>
          <cell r="G46">
            <v>22.037744522094702</v>
          </cell>
          <cell r="H46">
            <v>21.378170013427699</v>
          </cell>
          <cell r="I46">
            <v>22.3675327301025</v>
          </cell>
          <cell r="J46">
            <v>25.304254531860401</v>
          </cell>
          <cell r="K46">
            <v>30.544681549072301</v>
          </cell>
          <cell r="L46">
            <v>31.203191757202099</v>
          </cell>
          <cell r="M46">
            <v>20.019149780273398</v>
          </cell>
          <cell r="N46">
            <v>19.168724060058601</v>
          </cell>
          <cell r="O46">
            <v>16.202552795410199</v>
          </cell>
          <cell r="P46">
            <v>22.162765502929702</v>
          </cell>
          <cell r="Q46">
            <v>17.189573287963899</v>
          </cell>
          <cell r="R46">
            <v>23.909360885620099</v>
          </cell>
          <cell r="S46">
            <v>17.161914825439499</v>
          </cell>
          <cell r="T46">
            <v>17.189573287963899</v>
          </cell>
          <cell r="U46">
            <v>21.263830184936499</v>
          </cell>
          <cell r="V46">
            <v>17.839147567748999</v>
          </cell>
          <cell r="W46">
            <v>21.263830184936499</v>
          </cell>
          <cell r="X46">
            <v>21.4651069641113</v>
          </cell>
          <cell r="Y46">
            <v>21.263830184936499</v>
          </cell>
          <cell r="Z46">
            <v>21.574466705322301</v>
          </cell>
          <cell r="AA46">
            <v>22.968084335327099</v>
          </cell>
          <cell r="AB46">
            <v>18.827680587768601</v>
          </cell>
          <cell r="AC46">
            <v>21.058958053588899</v>
          </cell>
          <cell r="AD46">
            <v>19.229169845581101</v>
          </cell>
          <cell r="AE46">
            <v>18.827680587768601</v>
          </cell>
          <cell r="AF46">
            <v>22.652999877929702</v>
          </cell>
          <cell r="AG46">
            <v>3.4420000000000002</v>
          </cell>
        </row>
        <row r="47">
          <cell r="A47">
            <v>38353</v>
          </cell>
          <cell r="B47">
            <v>32.385059356689503</v>
          </cell>
          <cell r="C47">
            <v>32.973293304443402</v>
          </cell>
          <cell r="D47">
            <v>32.973293304443402</v>
          </cell>
          <cell r="E47">
            <v>32.973293304443402</v>
          </cell>
          <cell r="F47">
            <v>24.147920608520501</v>
          </cell>
          <cell r="G47">
            <v>24.755764007568398</v>
          </cell>
          <cell r="H47">
            <v>24.147920608520501</v>
          </cell>
          <cell r="I47">
            <v>25.059686660766602</v>
          </cell>
          <cell r="J47">
            <v>30.319175720214801</v>
          </cell>
          <cell r="K47">
            <v>31.258825302123999</v>
          </cell>
          <cell r="L47">
            <v>32.6715698242188</v>
          </cell>
          <cell r="M47">
            <v>23.541175842285199</v>
          </cell>
          <cell r="N47">
            <v>22.881372451782202</v>
          </cell>
          <cell r="O47">
            <v>19.3205871582031</v>
          </cell>
          <cell r="P47">
            <v>25.516666412353501</v>
          </cell>
          <cell r="Q47">
            <v>20.128627777099599</v>
          </cell>
          <cell r="R47">
            <v>27.3539218902588</v>
          </cell>
          <cell r="S47">
            <v>20.211765289306602</v>
          </cell>
          <cell r="T47">
            <v>20.128627777099599</v>
          </cell>
          <cell r="U47">
            <v>23.771568298339801</v>
          </cell>
          <cell r="V47">
            <v>18.2970581054688</v>
          </cell>
          <cell r="W47">
            <v>23.771568298339801</v>
          </cell>
          <cell r="X47">
            <v>25.128431320190401</v>
          </cell>
          <cell r="Y47">
            <v>23.771568298339801</v>
          </cell>
          <cell r="Z47">
            <v>23.837646484375</v>
          </cell>
          <cell r="AA47">
            <v>25.063137054443398</v>
          </cell>
          <cell r="AB47">
            <v>21.881568908691399</v>
          </cell>
          <cell r="AC47">
            <v>24.353528976440401</v>
          </cell>
          <cell r="AD47">
            <v>21.881568908691399</v>
          </cell>
          <cell r="AE47">
            <v>21.881568908691399</v>
          </cell>
          <cell r="AF47">
            <v>25.688432693481399</v>
          </cell>
          <cell r="AG47">
            <v>3.4750000000000001</v>
          </cell>
        </row>
        <row r="48">
          <cell r="A48">
            <v>38384</v>
          </cell>
          <cell r="B48">
            <v>31.6334552764893</v>
          </cell>
          <cell r="C48">
            <v>32.1061820983887</v>
          </cell>
          <cell r="D48">
            <v>32.1061820983887</v>
          </cell>
          <cell r="E48">
            <v>32.1061820983887</v>
          </cell>
          <cell r="F48">
            <v>24.273454666137699</v>
          </cell>
          <cell r="G48">
            <v>24.909818649291999</v>
          </cell>
          <cell r="H48">
            <v>24.273454666137699</v>
          </cell>
          <cell r="I48">
            <v>25.228000640869102</v>
          </cell>
          <cell r="J48">
            <v>27.839635848998999</v>
          </cell>
          <cell r="K48">
            <v>31.472728729248001</v>
          </cell>
          <cell r="L48">
            <v>32.968181610107401</v>
          </cell>
          <cell r="M48">
            <v>21.4181823730469</v>
          </cell>
          <cell r="N48">
            <v>20.809999465942401</v>
          </cell>
          <cell r="O48">
            <v>19.713636398315401</v>
          </cell>
          <cell r="P48">
            <v>23.486362457275401</v>
          </cell>
          <cell r="Q48">
            <v>18.669090270996101</v>
          </cell>
          <cell r="R48">
            <v>25.3863639831543</v>
          </cell>
          <cell r="S48">
            <v>18.8636360168457</v>
          </cell>
          <cell r="T48">
            <v>18.669090270996101</v>
          </cell>
          <cell r="U48">
            <v>22.403272628784201</v>
          </cell>
          <cell r="V48">
            <v>18.240909576416001</v>
          </cell>
          <cell r="W48">
            <v>22.403272628784201</v>
          </cell>
          <cell r="X48">
            <v>23.670000076293899</v>
          </cell>
          <cell r="Y48">
            <v>22.403272628784201</v>
          </cell>
          <cell r="Z48">
            <v>22.642362594604499</v>
          </cell>
          <cell r="AA48">
            <v>23.960544586181602</v>
          </cell>
          <cell r="AB48">
            <v>21.887636184692401</v>
          </cell>
          <cell r="AC48">
            <v>24.212181091308601</v>
          </cell>
          <cell r="AD48">
            <v>21.887636184692401</v>
          </cell>
          <cell r="AE48">
            <v>21.887636184692401</v>
          </cell>
          <cell r="AF48">
            <v>25.5058193206787</v>
          </cell>
          <cell r="AG48">
            <v>3.419</v>
          </cell>
        </row>
        <row r="49">
          <cell r="A49">
            <v>38412</v>
          </cell>
          <cell r="B49">
            <v>28.9691486358643</v>
          </cell>
          <cell r="C49">
            <v>28.705320358276399</v>
          </cell>
          <cell r="D49">
            <v>28.705320358276399</v>
          </cell>
          <cell r="E49">
            <v>28.705320358276399</v>
          </cell>
          <cell r="F49">
            <v>19.086128234863299</v>
          </cell>
          <cell r="G49">
            <v>19.745702743530298</v>
          </cell>
          <cell r="H49">
            <v>19.086128234863299</v>
          </cell>
          <cell r="I49">
            <v>20.075489044189499</v>
          </cell>
          <cell r="J49">
            <v>23.175361633300799</v>
          </cell>
          <cell r="K49">
            <v>28.840425491333001</v>
          </cell>
          <cell r="L49">
            <v>27.435106277465799</v>
          </cell>
          <cell r="M49">
            <v>20.470212936401399</v>
          </cell>
          <cell r="N49">
            <v>19.852977752685501</v>
          </cell>
          <cell r="O49">
            <v>19.326595306396499</v>
          </cell>
          <cell r="P49">
            <v>22.613828659057599</v>
          </cell>
          <cell r="Q49">
            <v>16.707872390747099</v>
          </cell>
          <cell r="R49">
            <v>24.564893722534201</v>
          </cell>
          <cell r="S49">
            <v>16.9797878265381</v>
          </cell>
          <cell r="T49">
            <v>16.707872390747099</v>
          </cell>
          <cell r="U49">
            <v>20.807447433471701</v>
          </cell>
          <cell r="V49">
            <v>17.798934936523398</v>
          </cell>
          <cell r="W49">
            <v>20.807447433471701</v>
          </cell>
          <cell r="X49">
            <v>19.6765956878662</v>
          </cell>
          <cell r="Y49">
            <v>20.807447433471701</v>
          </cell>
          <cell r="Z49">
            <v>21.079149246215799</v>
          </cell>
          <cell r="AA49">
            <v>22.472764968872099</v>
          </cell>
          <cell r="AB49">
            <v>20.6113185882568</v>
          </cell>
          <cell r="AC49">
            <v>22.3717441558838</v>
          </cell>
          <cell r="AD49">
            <v>20.6113185882568</v>
          </cell>
          <cell r="AE49">
            <v>20.6113185882568</v>
          </cell>
          <cell r="AF49">
            <v>23.6900424957275</v>
          </cell>
          <cell r="AG49">
            <v>3.2890000000000001</v>
          </cell>
        </row>
        <row r="50">
          <cell r="A50">
            <v>38443</v>
          </cell>
          <cell r="B50">
            <v>26.862501144409201</v>
          </cell>
          <cell r="C50">
            <v>26.604167938232401</v>
          </cell>
          <cell r="D50">
            <v>26.604167938232401</v>
          </cell>
          <cell r="E50">
            <v>26.604167938232401</v>
          </cell>
          <cell r="F50">
            <v>19.092666625976602</v>
          </cell>
          <cell r="G50">
            <v>19.717666625976602</v>
          </cell>
          <cell r="H50">
            <v>19.092666625976602</v>
          </cell>
          <cell r="I50">
            <v>20.030166625976602</v>
          </cell>
          <cell r="J50">
            <v>23.309375762939499</v>
          </cell>
          <cell r="K50">
            <v>28.956249237060501</v>
          </cell>
          <cell r="L50">
            <v>27.606250762939499</v>
          </cell>
          <cell r="M50">
            <v>17.427082061767599</v>
          </cell>
          <cell r="N50">
            <v>16.856666564941399</v>
          </cell>
          <cell r="O50">
            <v>19.270832061767599</v>
          </cell>
          <cell r="P50">
            <v>19.458332061767599</v>
          </cell>
          <cell r="Q50">
            <v>15.4525003433228</v>
          </cell>
          <cell r="R50">
            <v>21.3333339691162</v>
          </cell>
          <cell r="S50">
            <v>15.7083339691162</v>
          </cell>
          <cell r="T50">
            <v>15.4525003433228</v>
          </cell>
          <cell r="U50">
            <v>19.567916870117202</v>
          </cell>
          <cell r="V50">
            <v>17.952083587646499</v>
          </cell>
          <cell r="W50">
            <v>19.567916870117202</v>
          </cell>
          <cell r="X50">
            <v>18.058750152587901</v>
          </cell>
          <cell r="Y50">
            <v>19.567916870117202</v>
          </cell>
          <cell r="Z50">
            <v>19.861665725708001</v>
          </cell>
          <cell r="AA50">
            <v>21.142915725708001</v>
          </cell>
          <cell r="AB50">
            <v>20.406791687011701</v>
          </cell>
          <cell r="AC50">
            <v>22.301792144775401</v>
          </cell>
          <cell r="AD50">
            <v>20.406791687011701</v>
          </cell>
          <cell r="AE50">
            <v>20.406791687011701</v>
          </cell>
          <cell r="AF50">
            <v>23.6150207519531</v>
          </cell>
          <cell r="AG50">
            <v>3.1040000000000001</v>
          </cell>
        </row>
        <row r="51">
          <cell r="A51">
            <v>38473</v>
          </cell>
          <cell r="B51">
            <v>27.043138504028299</v>
          </cell>
          <cell r="C51">
            <v>26.3254909515381</v>
          </cell>
          <cell r="D51">
            <v>26.3254909515381</v>
          </cell>
          <cell r="E51">
            <v>26.3254909515381</v>
          </cell>
          <cell r="F51">
            <v>19.4908237457275</v>
          </cell>
          <cell r="G51">
            <v>20.098667144775401</v>
          </cell>
          <cell r="H51">
            <v>19.4908237457275</v>
          </cell>
          <cell r="I51">
            <v>20.402587890625</v>
          </cell>
          <cell r="J51">
            <v>21.4997253417969</v>
          </cell>
          <cell r="K51">
            <v>29.798038482666001</v>
          </cell>
          <cell r="L51">
            <v>29.691177368164102</v>
          </cell>
          <cell r="M51">
            <v>17.505098342895501</v>
          </cell>
          <cell r="N51">
            <v>16.900196075439499</v>
          </cell>
          <cell r="O51">
            <v>20.418626785278299</v>
          </cell>
          <cell r="P51">
            <v>19.480588912963899</v>
          </cell>
          <cell r="Q51">
            <v>15.021372795105</v>
          </cell>
          <cell r="R51">
            <v>21.317842483520501</v>
          </cell>
          <cell r="S51">
            <v>14.911176681518601</v>
          </cell>
          <cell r="T51">
            <v>15.021372795105</v>
          </cell>
          <cell r="U51">
            <v>18.8276462554932</v>
          </cell>
          <cell r="V51">
            <v>19.120588302612301</v>
          </cell>
          <cell r="W51">
            <v>18.8276462554932</v>
          </cell>
          <cell r="X51">
            <v>18.457057952880898</v>
          </cell>
          <cell r="Y51">
            <v>18.8276462554932</v>
          </cell>
          <cell r="Z51">
            <v>18.893724441528299</v>
          </cell>
          <cell r="AA51">
            <v>20.119215011596701</v>
          </cell>
          <cell r="AB51">
            <v>20.972784042358398</v>
          </cell>
          <cell r="AC51">
            <v>22.983961105346701</v>
          </cell>
          <cell r="AD51">
            <v>20.972784042358398</v>
          </cell>
          <cell r="AE51">
            <v>20.972784042358398</v>
          </cell>
          <cell r="AF51">
            <v>24.756040573120099</v>
          </cell>
          <cell r="AG51">
            <v>3.0990000000000002</v>
          </cell>
        </row>
        <row r="52">
          <cell r="A52">
            <v>38504</v>
          </cell>
          <cell r="B52">
            <v>28.0597820281982</v>
          </cell>
          <cell r="C52">
            <v>27.746738433837901</v>
          </cell>
          <cell r="D52">
            <v>27.746738433837901</v>
          </cell>
          <cell r="E52">
            <v>27.746738433837901</v>
          </cell>
          <cell r="F52">
            <v>21.869043350219702</v>
          </cell>
          <cell r="G52">
            <v>23.825565338134801</v>
          </cell>
          <cell r="H52">
            <v>21.869043350219702</v>
          </cell>
          <cell r="I52">
            <v>22.847303390502901</v>
          </cell>
          <cell r="J52">
            <v>23.951738357543899</v>
          </cell>
          <cell r="K52">
            <v>29.736522674560501</v>
          </cell>
          <cell r="L52">
            <v>31.6039142608643</v>
          </cell>
          <cell r="M52">
            <v>21.544347763061499</v>
          </cell>
          <cell r="N52">
            <v>21.316087722778299</v>
          </cell>
          <cell r="O52">
            <v>24.710868835449201</v>
          </cell>
          <cell r="P52">
            <v>23.663913726806602</v>
          </cell>
          <cell r="Q52">
            <v>16.422174453735401</v>
          </cell>
          <cell r="R52">
            <v>25.598695755004901</v>
          </cell>
          <cell r="S52">
            <v>16.442174911498999</v>
          </cell>
          <cell r="T52">
            <v>16.422174453735401</v>
          </cell>
          <cell r="U52">
            <v>22.587825775146499</v>
          </cell>
          <cell r="V52">
            <v>21.4326076507568</v>
          </cell>
          <cell r="W52">
            <v>22.587825775146499</v>
          </cell>
          <cell r="X52">
            <v>25.4260864257813</v>
          </cell>
          <cell r="Y52">
            <v>22.587825775146499</v>
          </cell>
          <cell r="Z52">
            <v>24.153478622436499</v>
          </cell>
          <cell r="AA52">
            <v>25.523042678833001</v>
          </cell>
          <cell r="AB52">
            <v>21.993564605712901</v>
          </cell>
          <cell r="AC52">
            <v>24.720087051391602</v>
          </cell>
          <cell r="AD52">
            <v>21.993564605712901</v>
          </cell>
          <cell r="AE52">
            <v>21.993564605712901</v>
          </cell>
          <cell r="AF52">
            <v>27.084873199462901</v>
          </cell>
          <cell r="AG52">
            <v>3.1339999999999999</v>
          </cell>
        </row>
        <row r="53">
          <cell r="A53">
            <v>38534</v>
          </cell>
          <cell r="B53">
            <v>31.917924880981399</v>
          </cell>
          <cell r="C53">
            <v>31.680189132690401</v>
          </cell>
          <cell r="D53">
            <v>31.680189132690401</v>
          </cell>
          <cell r="E53">
            <v>31.680189132690401</v>
          </cell>
          <cell r="F53">
            <v>25.3301887512207</v>
          </cell>
          <cell r="G53">
            <v>27.6698112487793</v>
          </cell>
          <cell r="H53">
            <v>25.3301887512207</v>
          </cell>
          <cell r="I53">
            <v>26.207546234130898</v>
          </cell>
          <cell r="J53">
            <v>30.028566360473601</v>
          </cell>
          <cell r="K53">
            <v>33.618869781494098</v>
          </cell>
          <cell r="L53">
            <v>37.012264251708999</v>
          </cell>
          <cell r="M53">
            <v>24.387170791626001</v>
          </cell>
          <cell r="N53">
            <v>23.739810943603501</v>
          </cell>
          <cell r="O53">
            <v>27.946226119995099</v>
          </cell>
          <cell r="P53">
            <v>26.288112640380898</v>
          </cell>
          <cell r="Q53">
            <v>19.692264556884801</v>
          </cell>
          <cell r="R53">
            <v>28.074905395507798</v>
          </cell>
          <cell r="S53">
            <v>19.541131973266602</v>
          </cell>
          <cell r="T53">
            <v>19.692264556884801</v>
          </cell>
          <cell r="U53">
            <v>26.0354709625244</v>
          </cell>
          <cell r="V53">
            <v>26.574529647827099</v>
          </cell>
          <cell r="W53">
            <v>26.0354709625244</v>
          </cell>
          <cell r="X53">
            <v>29.2511310577393</v>
          </cell>
          <cell r="Y53">
            <v>26.0354709625244</v>
          </cell>
          <cell r="Z53">
            <v>28.4779243469238</v>
          </cell>
          <cell r="AA53">
            <v>29.628868103027301</v>
          </cell>
          <cell r="AB53">
            <v>26.670791625976602</v>
          </cell>
          <cell r="AC53">
            <v>30.503055572509801</v>
          </cell>
          <cell r="AD53">
            <v>26.670791625976602</v>
          </cell>
          <cell r="AE53">
            <v>26.670791625976602</v>
          </cell>
          <cell r="AF53">
            <v>35.312305450439503</v>
          </cell>
          <cell r="AG53">
            <v>3.1739999999999999</v>
          </cell>
        </row>
        <row r="54">
          <cell r="A54">
            <v>38565</v>
          </cell>
          <cell r="B54">
            <v>31.404254913330099</v>
          </cell>
          <cell r="C54">
            <v>31.191490173339801</v>
          </cell>
          <cell r="D54">
            <v>31.191490173339801</v>
          </cell>
          <cell r="E54">
            <v>31.191490173339801</v>
          </cell>
          <cell r="F54">
            <v>24.191490173339801</v>
          </cell>
          <cell r="G54">
            <v>26.829786300659201</v>
          </cell>
          <cell r="H54">
            <v>24.191490173339801</v>
          </cell>
          <cell r="I54">
            <v>25.180850982666001</v>
          </cell>
          <cell r="J54">
            <v>25.138170242309599</v>
          </cell>
          <cell r="K54">
            <v>33.7468070983887</v>
          </cell>
          <cell r="L54">
            <v>37.618083953857401</v>
          </cell>
          <cell r="M54">
            <v>24.2123413085938</v>
          </cell>
          <cell r="N54">
            <v>22.4546813964844</v>
          </cell>
          <cell r="O54">
            <v>27.2627658843994</v>
          </cell>
          <cell r="P54">
            <v>26.355958938598601</v>
          </cell>
          <cell r="Q54">
            <v>18.038936614990199</v>
          </cell>
          <cell r="R54">
            <v>28.307020187377901</v>
          </cell>
          <cell r="S54">
            <v>18.024255752563501</v>
          </cell>
          <cell r="T54">
            <v>18.038936614990199</v>
          </cell>
          <cell r="U54">
            <v>25.2625522613525</v>
          </cell>
          <cell r="V54">
            <v>25.618085861206101</v>
          </cell>
          <cell r="W54">
            <v>25.2625522613525</v>
          </cell>
          <cell r="X54">
            <v>28.907020568847699</v>
          </cell>
          <cell r="Y54">
            <v>25.2625522613525</v>
          </cell>
          <cell r="Z54">
            <v>28.172552108764599</v>
          </cell>
          <cell r="AA54">
            <v>29.566169738769499</v>
          </cell>
          <cell r="AB54">
            <v>24.333660125732401</v>
          </cell>
          <cell r="AC54">
            <v>27.774936676025401</v>
          </cell>
          <cell r="AD54">
            <v>24.333660125732401</v>
          </cell>
          <cell r="AE54">
            <v>24.333660125732401</v>
          </cell>
          <cell r="AF54">
            <v>32.912384033203097</v>
          </cell>
          <cell r="AG54">
            <v>3.214</v>
          </cell>
        </row>
        <row r="55">
          <cell r="A55">
            <v>38596</v>
          </cell>
          <cell r="B55">
            <v>26.075000762939499</v>
          </cell>
          <cell r="C55">
            <v>26.2729167938232</v>
          </cell>
          <cell r="D55">
            <v>26.2729167938232</v>
          </cell>
          <cell r="E55">
            <v>26.2729167938232</v>
          </cell>
          <cell r="F55">
            <v>18.719957351684599</v>
          </cell>
          <cell r="G55">
            <v>19.344957351684599</v>
          </cell>
          <cell r="H55">
            <v>18.719957351684599</v>
          </cell>
          <cell r="I55">
            <v>19.657457351684599</v>
          </cell>
          <cell r="J55">
            <v>24.0104160308838</v>
          </cell>
          <cell r="K55">
            <v>26.212499618530298</v>
          </cell>
          <cell r="L55">
            <v>29.174999237060501</v>
          </cell>
          <cell r="M55">
            <v>17.981666564941399</v>
          </cell>
          <cell r="N55">
            <v>17.097082138061499</v>
          </cell>
          <cell r="O55">
            <v>18.410415649414102</v>
          </cell>
          <cell r="P55">
            <v>20.012916564941399</v>
          </cell>
          <cell r="Q55">
            <v>15.5108337402344</v>
          </cell>
          <cell r="R55">
            <v>21.887916564941399</v>
          </cell>
          <cell r="S55">
            <v>15.456666946411101</v>
          </cell>
          <cell r="T55">
            <v>15.5108337402344</v>
          </cell>
          <cell r="U55">
            <v>21.590625762939499</v>
          </cell>
          <cell r="V55">
            <v>19.972915649414102</v>
          </cell>
          <cell r="W55">
            <v>21.590625762939499</v>
          </cell>
          <cell r="X55">
            <v>19.8245849609375</v>
          </cell>
          <cell r="Y55">
            <v>21.590625762939499</v>
          </cell>
          <cell r="Z55">
            <v>22.993125915527301</v>
          </cell>
          <cell r="AA55">
            <v>24.274375915527301</v>
          </cell>
          <cell r="AB55">
            <v>19.577957153320298</v>
          </cell>
          <cell r="AC55">
            <v>21.9296264648438</v>
          </cell>
          <cell r="AD55">
            <v>19.881708145141602</v>
          </cell>
          <cell r="AE55">
            <v>19.577957153320298</v>
          </cell>
          <cell r="AF55">
            <v>26.197126388549801</v>
          </cell>
          <cell r="AG55">
            <v>3.1970000000000001</v>
          </cell>
        </row>
        <row r="56">
          <cell r="A56">
            <v>38626</v>
          </cell>
          <cell r="B56">
            <v>24.8833332061768</v>
          </cell>
          <cell r="C56">
            <v>25.255882263183601</v>
          </cell>
          <cell r="D56">
            <v>25.255882263183601</v>
          </cell>
          <cell r="E56">
            <v>25.255882263183601</v>
          </cell>
          <cell r="F56">
            <v>19.881959915161101</v>
          </cell>
          <cell r="G56">
            <v>20.489803314208999</v>
          </cell>
          <cell r="H56">
            <v>19.881959915161101</v>
          </cell>
          <cell r="I56">
            <v>20.793725967407202</v>
          </cell>
          <cell r="J56">
            <v>23.5049018859863</v>
          </cell>
          <cell r="K56">
            <v>26.925491333007798</v>
          </cell>
          <cell r="L56">
            <v>29.5343132019043</v>
          </cell>
          <cell r="M56">
            <v>15.900784492492701</v>
          </cell>
          <cell r="N56">
            <v>15.852745056152299</v>
          </cell>
          <cell r="O56">
            <v>16.600980758666999</v>
          </cell>
          <cell r="P56">
            <v>17.876274108886701</v>
          </cell>
          <cell r="Q56">
            <v>14.7156867980957</v>
          </cell>
          <cell r="R56">
            <v>19.713529586791999</v>
          </cell>
          <cell r="S56">
            <v>14.6745100021362</v>
          </cell>
          <cell r="T56">
            <v>14.7156867980957</v>
          </cell>
          <cell r="U56">
            <v>20.9195880889893</v>
          </cell>
          <cell r="V56">
            <v>18.512744903564499</v>
          </cell>
          <cell r="W56">
            <v>20.9195880889893</v>
          </cell>
          <cell r="X56">
            <v>17.651176452636701</v>
          </cell>
          <cell r="Y56">
            <v>20.9195880889893</v>
          </cell>
          <cell r="Z56">
            <v>21.118608474731399</v>
          </cell>
          <cell r="AA56">
            <v>22.344099044799801</v>
          </cell>
          <cell r="AB56">
            <v>18.775785446166999</v>
          </cell>
          <cell r="AC56">
            <v>20.771665573120099</v>
          </cell>
          <cell r="AD56">
            <v>19.195196151733398</v>
          </cell>
          <cell r="AE56">
            <v>18.775785446166999</v>
          </cell>
          <cell r="AF56">
            <v>22.3606872558594</v>
          </cell>
          <cell r="AG56">
            <v>3.222</v>
          </cell>
        </row>
        <row r="57">
          <cell r="A57">
            <v>38657</v>
          </cell>
          <cell r="B57">
            <v>25.8125</v>
          </cell>
          <cell r="C57">
            <v>26.0208339691162</v>
          </cell>
          <cell r="D57">
            <v>26.0208339691162</v>
          </cell>
          <cell r="E57">
            <v>26.0208339691162</v>
          </cell>
          <cell r="F57">
            <v>20.3746662139893</v>
          </cell>
          <cell r="G57">
            <v>20.9996662139893</v>
          </cell>
          <cell r="H57">
            <v>20.3746662139893</v>
          </cell>
          <cell r="I57">
            <v>21.3121662139893</v>
          </cell>
          <cell r="J57">
            <v>23.3854160308838</v>
          </cell>
          <cell r="K57">
            <v>28.259374618530298</v>
          </cell>
          <cell r="L57">
            <v>30.284374237060501</v>
          </cell>
          <cell r="M57">
            <v>16.752500534057599</v>
          </cell>
          <cell r="N57">
            <v>16.340415954589801</v>
          </cell>
          <cell r="O57">
            <v>16.952083587646499</v>
          </cell>
          <cell r="P57">
            <v>18.783750534057599</v>
          </cell>
          <cell r="Q57">
            <v>15.3441667556763</v>
          </cell>
          <cell r="R57">
            <v>20.658750534057599</v>
          </cell>
          <cell r="S57">
            <v>15.289999961853001</v>
          </cell>
          <cell r="T57">
            <v>15.3441667556763</v>
          </cell>
          <cell r="U57">
            <v>20.686458587646499</v>
          </cell>
          <cell r="V57">
            <v>19.035415649414102</v>
          </cell>
          <cell r="W57">
            <v>20.686458587646499</v>
          </cell>
          <cell r="X57">
            <v>18.964166641235401</v>
          </cell>
          <cell r="Y57">
            <v>20.686458587646499</v>
          </cell>
          <cell r="Z57">
            <v>20.8389587402344</v>
          </cell>
          <cell r="AA57">
            <v>22.1202087402344</v>
          </cell>
          <cell r="AB57">
            <v>18.650375366210898</v>
          </cell>
          <cell r="AC57">
            <v>20.376207351684599</v>
          </cell>
          <cell r="AD57">
            <v>19.067874908447301</v>
          </cell>
          <cell r="AE57">
            <v>18.650375366210898</v>
          </cell>
          <cell r="AF57">
            <v>22.1445426940918</v>
          </cell>
          <cell r="AG57">
            <v>3.3740000000000001</v>
          </cell>
        </row>
        <row r="58">
          <cell r="A58">
            <v>38687</v>
          </cell>
          <cell r="B58">
            <v>25.198040008544901</v>
          </cell>
          <cell r="C58">
            <v>25.7862739562988</v>
          </cell>
          <cell r="D58">
            <v>25.7862739562988</v>
          </cell>
          <cell r="E58">
            <v>25.7862739562988</v>
          </cell>
          <cell r="F58">
            <v>20.9707851409912</v>
          </cell>
          <cell r="G58">
            <v>21.578626632690401</v>
          </cell>
          <cell r="H58">
            <v>20.9707851409912</v>
          </cell>
          <cell r="I58">
            <v>21.8825492858887</v>
          </cell>
          <cell r="J58">
            <v>25.563726425170898</v>
          </cell>
          <cell r="K58">
            <v>31.082353591918899</v>
          </cell>
          <cell r="L58">
            <v>31.867647171020501</v>
          </cell>
          <cell r="M58">
            <v>20.621372222900401</v>
          </cell>
          <cell r="N58">
            <v>20.259607315063501</v>
          </cell>
          <cell r="O58">
            <v>15.9147052764893</v>
          </cell>
          <cell r="P58">
            <v>22.5968627929688</v>
          </cell>
          <cell r="Q58">
            <v>18.068628311157202</v>
          </cell>
          <cell r="R58">
            <v>24.434118270873999</v>
          </cell>
          <cell r="S58">
            <v>18.027450561523398</v>
          </cell>
          <cell r="T58">
            <v>18.068628311157202</v>
          </cell>
          <cell r="U58">
            <v>21.722547531127901</v>
          </cell>
          <cell r="V58">
            <v>18.728431701660199</v>
          </cell>
          <cell r="W58">
            <v>21.722547531127901</v>
          </cell>
          <cell r="X58">
            <v>22.0982341766357</v>
          </cell>
          <cell r="Y58">
            <v>21.722547531127901</v>
          </cell>
          <cell r="Z58">
            <v>21.823530197143601</v>
          </cell>
          <cell r="AA58">
            <v>23.049018859863299</v>
          </cell>
          <cell r="AB58">
            <v>20.064020156860401</v>
          </cell>
          <cell r="AC58">
            <v>22.314804077148398</v>
          </cell>
          <cell r="AD58">
            <v>20.4834308624268</v>
          </cell>
          <cell r="AE58">
            <v>20.064020156860401</v>
          </cell>
          <cell r="AF58">
            <v>24.148921966552699</v>
          </cell>
          <cell r="AG58">
            <v>3.5169999999999999</v>
          </cell>
        </row>
        <row r="59">
          <cell r="A59">
            <v>38718</v>
          </cell>
          <cell r="B59">
            <v>32.787017822265597</v>
          </cell>
          <cell r="C59">
            <v>33.375251770019503</v>
          </cell>
          <cell r="D59">
            <v>33.375251770019503</v>
          </cell>
          <cell r="E59">
            <v>33.375251770019503</v>
          </cell>
          <cell r="F59">
            <v>23.2415676116943</v>
          </cell>
          <cell r="G59">
            <v>23.849411010742202</v>
          </cell>
          <cell r="H59">
            <v>23.2415676116943</v>
          </cell>
          <cell r="I59">
            <v>24.153333663940401</v>
          </cell>
          <cell r="J59">
            <v>30.488548278808601</v>
          </cell>
          <cell r="K59">
            <v>31.847059249877901</v>
          </cell>
          <cell r="L59">
            <v>32.882354736328097</v>
          </cell>
          <cell r="M59">
            <v>23.881959915161101</v>
          </cell>
          <cell r="N59">
            <v>23.538627624511701</v>
          </cell>
          <cell r="O59">
            <v>19.651567459106399</v>
          </cell>
          <cell r="P59">
            <v>25.857450485229499</v>
          </cell>
          <cell r="Q59">
            <v>20.867059707641602</v>
          </cell>
          <cell r="R59">
            <v>27.743333816528299</v>
          </cell>
          <cell r="S59">
            <v>20.552549362182599</v>
          </cell>
          <cell r="T59">
            <v>20.867059707641602</v>
          </cell>
          <cell r="U59">
            <v>24.217058181762699</v>
          </cell>
          <cell r="V59">
            <v>20.018037796020501</v>
          </cell>
          <cell r="W59">
            <v>24.217058181762699</v>
          </cell>
          <cell r="X59">
            <v>25.532646179199201</v>
          </cell>
          <cell r="Y59">
            <v>24.217058181762699</v>
          </cell>
          <cell r="Z59">
            <v>24.143529891967798</v>
          </cell>
          <cell r="AA59">
            <v>25.3690185546875</v>
          </cell>
          <cell r="AB59">
            <v>23.1031379699707</v>
          </cell>
          <cell r="AC59">
            <v>25.575098037719702</v>
          </cell>
          <cell r="AD59">
            <v>23.1031379699707</v>
          </cell>
          <cell r="AE59">
            <v>23.1031379699707</v>
          </cell>
          <cell r="AF59">
            <v>26.815883636474599</v>
          </cell>
          <cell r="AG59">
            <v>3.55</v>
          </cell>
        </row>
        <row r="60">
          <cell r="A60">
            <v>38749</v>
          </cell>
          <cell r="B60">
            <v>32.042545318603501</v>
          </cell>
          <cell r="C60">
            <v>32.515274047851598</v>
          </cell>
          <cell r="D60">
            <v>32.515274047851598</v>
          </cell>
          <cell r="E60">
            <v>32.515274047851598</v>
          </cell>
          <cell r="F60">
            <v>23.099817276001001</v>
          </cell>
          <cell r="G60">
            <v>23.736181259155298</v>
          </cell>
          <cell r="H60">
            <v>23.099817276001001</v>
          </cell>
          <cell r="I60">
            <v>24.054363250732401</v>
          </cell>
          <cell r="J60">
            <v>27.9123630523682</v>
          </cell>
          <cell r="K60">
            <v>32.090911865234403</v>
          </cell>
          <cell r="L60">
            <v>33.109088897705099</v>
          </cell>
          <cell r="M60">
            <v>21.761817932128899</v>
          </cell>
          <cell r="N60">
            <v>21.486364364623999</v>
          </cell>
          <cell r="O60">
            <v>20.011817932128899</v>
          </cell>
          <cell r="P60">
            <v>23.829999923706101</v>
          </cell>
          <cell r="Q60">
            <v>19.319999694824201</v>
          </cell>
          <cell r="R60">
            <v>25.780908584594702</v>
          </cell>
          <cell r="S60">
            <v>19.207273483276399</v>
          </cell>
          <cell r="T60">
            <v>19.319999694824201</v>
          </cell>
          <cell r="U60">
            <v>23.015998840331999</v>
          </cell>
          <cell r="V60">
            <v>19.885452270507798</v>
          </cell>
          <cell r="W60">
            <v>23.015998840331999</v>
          </cell>
          <cell r="X60">
            <v>24.091817855835</v>
          </cell>
          <cell r="Y60">
            <v>23.015998840331999</v>
          </cell>
          <cell r="Z60">
            <v>23.002363204956101</v>
          </cell>
          <cell r="AA60">
            <v>24.3205451965332</v>
          </cell>
          <cell r="AB60">
            <v>23.114910125732401</v>
          </cell>
          <cell r="AC60">
            <v>25.439455032348601</v>
          </cell>
          <cell r="AD60">
            <v>23.114910125732401</v>
          </cell>
          <cell r="AE60">
            <v>23.114910125732401</v>
          </cell>
          <cell r="AF60">
            <v>26.624002456665</v>
          </cell>
          <cell r="AG60">
            <v>3.4940000000000002</v>
          </cell>
        </row>
        <row r="61">
          <cell r="A61">
            <v>38777</v>
          </cell>
          <cell r="B61">
            <v>29.3840427398682</v>
          </cell>
          <cell r="C61">
            <v>29.120212554931602</v>
          </cell>
          <cell r="D61">
            <v>29.120212554931602</v>
          </cell>
          <cell r="E61">
            <v>29.120212554931602</v>
          </cell>
          <cell r="F61">
            <v>19.7946376800537</v>
          </cell>
          <cell r="G61">
            <v>20.4542121887207</v>
          </cell>
          <cell r="H61">
            <v>19.7946376800537</v>
          </cell>
          <cell r="I61">
            <v>20.784000396728501</v>
          </cell>
          <cell r="J61">
            <v>23.243446350097699</v>
          </cell>
          <cell r="K61">
            <v>28.8234043121338</v>
          </cell>
          <cell r="L61">
            <v>27.519149780273398</v>
          </cell>
          <cell r="M61">
            <v>20.818723678588899</v>
          </cell>
          <cell r="N61">
            <v>20.544893264770501</v>
          </cell>
          <cell r="O61">
            <v>19.6006374359131</v>
          </cell>
          <cell r="P61">
            <v>22.962339401245099</v>
          </cell>
          <cell r="Q61">
            <v>17.1993618011475</v>
          </cell>
          <cell r="R61">
            <v>24.966171264648398</v>
          </cell>
          <cell r="S61">
            <v>17.3282985687256</v>
          </cell>
          <cell r="T61">
            <v>17.1993618011475</v>
          </cell>
          <cell r="U61">
            <v>21.3759574890137</v>
          </cell>
          <cell r="V61">
            <v>19.381275177001999</v>
          </cell>
          <cell r="W61">
            <v>21.3759574890137</v>
          </cell>
          <cell r="X61">
            <v>20.1185111999512</v>
          </cell>
          <cell r="Y61">
            <v>21.3759574890137</v>
          </cell>
          <cell r="Z61">
            <v>21.411064147949201</v>
          </cell>
          <cell r="AA61">
            <v>22.804679870605501</v>
          </cell>
          <cell r="AB61">
            <v>21.843233108520501</v>
          </cell>
          <cell r="AC61">
            <v>23.6036586761475</v>
          </cell>
          <cell r="AD61">
            <v>21.843233108520501</v>
          </cell>
          <cell r="AE61">
            <v>21.843233108520501</v>
          </cell>
          <cell r="AF61">
            <v>24.819829940795898</v>
          </cell>
          <cell r="AG61">
            <v>3.3639999999999999</v>
          </cell>
        </row>
        <row r="62">
          <cell r="A62">
            <v>38808</v>
          </cell>
          <cell r="B62">
            <v>27.2600002288818</v>
          </cell>
          <cell r="C62">
            <v>26.950000762939499</v>
          </cell>
          <cell r="D62">
            <v>26.950000762939499</v>
          </cell>
          <cell r="E62">
            <v>26.950000762939499</v>
          </cell>
          <cell r="F62">
            <v>19.880800247192401</v>
          </cell>
          <cell r="G62">
            <v>20.480798721313501</v>
          </cell>
          <cell r="H62">
            <v>19.880800247192401</v>
          </cell>
          <cell r="I62">
            <v>20.780799865722699</v>
          </cell>
          <cell r="J62">
            <v>23.4204006195068</v>
          </cell>
          <cell r="K62">
            <v>29.0200004577637</v>
          </cell>
          <cell r="L62">
            <v>27.9600009918213</v>
          </cell>
          <cell r="M62">
            <v>17.705999374389599</v>
          </cell>
          <cell r="N62">
            <v>17.42799949646</v>
          </cell>
          <cell r="O62">
            <v>19.7560005187988</v>
          </cell>
          <cell r="P62">
            <v>19.656000137329102</v>
          </cell>
          <cell r="Q62">
            <v>16.012001037597699</v>
          </cell>
          <cell r="R62">
            <v>21.524000167846701</v>
          </cell>
          <cell r="S62">
            <v>16.076000213623001</v>
          </cell>
          <cell r="T62">
            <v>16.012001037597699</v>
          </cell>
          <cell r="U62">
            <v>20.2209987640381</v>
          </cell>
          <cell r="V62">
            <v>19.741998672485401</v>
          </cell>
          <cell r="W62">
            <v>20.2209987640381</v>
          </cell>
          <cell r="X62">
            <v>18.399000167846701</v>
          </cell>
          <cell r="Y62">
            <v>20.2209987640381</v>
          </cell>
          <cell r="Z62">
            <v>20.1310005187988</v>
          </cell>
          <cell r="AA62">
            <v>21.330999374389599</v>
          </cell>
          <cell r="AB62">
            <v>21.806400299072301</v>
          </cell>
          <cell r="AC62">
            <v>23.7063999176025</v>
          </cell>
          <cell r="AD62">
            <v>21.806400299072301</v>
          </cell>
          <cell r="AE62">
            <v>21.806400299072301</v>
          </cell>
          <cell r="AF62">
            <v>24.8663005828857</v>
          </cell>
          <cell r="AG62">
            <v>3.1789999999999998</v>
          </cell>
        </row>
        <row r="63">
          <cell r="A63">
            <v>38838</v>
          </cell>
          <cell r="B63">
            <v>27.41428565979</v>
          </cell>
          <cell r="C63">
            <v>26.7918376922607</v>
          </cell>
          <cell r="D63">
            <v>26.7918376922607</v>
          </cell>
          <cell r="E63">
            <v>26.7918376922607</v>
          </cell>
          <cell r="F63">
            <v>22.0168151855469</v>
          </cell>
          <cell r="G63">
            <v>22.649469375610401</v>
          </cell>
          <cell r="H63">
            <v>22.0168151855469</v>
          </cell>
          <cell r="I63">
            <v>22.965795516967798</v>
          </cell>
          <cell r="J63">
            <v>21.650121688842798</v>
          </cell>
          <cell r="K63">
            <v>29.646938323974599</v>
          </cell>
          <cell r="L63">
            <v>29.718368530273398</v>
          </cell>
          <cell r="M63">
            <v>17.837551116943398</v>
          </cell>
          <cell r="N63">
            <v>17.5789794921875</v>
          </cell>
          <cell r="O63">
            <v>20.4740810394287</v>
          </cell>
          <cell r="P63">
            <v>19.893674850463899</v>
          </cell>
          <cell r="Q63">
            <v>15.3336734771729</v>
          </cell>
          <cell r="R63">
            <v>21.836122512817401</v>
          </cell>
          <cell r="S63">
            <v>15.117346763610801</v>
          </cell>
          <cell r="T63">
            <v>15.3336734771729</v>
          </cell>
          <cell r="U63">
            <v>19.359998703002901</v>
          </cell>
          <cell r="V63">
            <v>20.702447891235401</v>
          </cell>
          <cell r="W63">
            <v>19.359998703002901</v>
          </cell>
          <cell r="X63">
            <v>18.990816116333001</v>
          </cell>
          <cell r="Y63">
            <v>19.359998703002901</v>
          </cell>
          <cell r="Z63">
            <v>19.3385715484619</v>
          </cell>
          <cell r="AA63">
            <v>20.6446933746338</v>
          </cell>
          <cell r="AB63">
            <v>21.945428848266602</v>
          </cell>
          <cell r="AC63">
            <v>23.9766540527344</v>
          </cell>
          <cell r="AD63">
            <v>21.945428848266602</v>
          </cell>
          <cell r="AE63">
            <v>21.945428848266602</v>
          </cell>
          <cell r="AF63">
            <v>25.652490615844702</v>
          </cell>
          <cell r="AG63">
            <v>3.1739999999999999</v>
          </cell>
        </row>
        <row r="64">
          <cell r="A64">
            <v>38869</v>
          </cell>
          <cell r="B64">
            <v>28.472826004028299</v>
          </cell>
          <cell r="C64">
            <v>28.159782409668001</v>
          </cell>
          <cell r="D64">
            <v>28.159782409668001</v>
          </cell>
          <cell r="E64">
            <v>28.159782409668001</v>
          </cell>
          <cell r="F64">
            <v>21.542608261108398</v>
          </cell>
          <cell r="G64">
            <v>23.499130249023398</v>
          </cell>
          <cell r="H64">
            <v>21.542608261108398</v>
          </cell>
          <cell r="I64">
            <v>22.520868301391602</v>
          </cell>
          <cell r="J64">
            <v>24.5082607269287</v>
          </cell>
          <cell r="K64">
            <v>29.849565505981399</v>
          </cell>
          <cell r="L64">
            <v>31.7060871124268</v>
          </cell>
          <cell r="M64">
            <v>21.804347991943398</v>
          </cell>
          <cell r="N64">
            <v>21.916088104248001</v>
          </cell>
          <cell r="O64">
            <v>24.9056510925293</v>
          </cell>
          <cell r="P64">
            <v>23.923913955688501</v>
          </cell>
          <cell r="Q64">
            <v>16.829999923706101</v>
          </cell>
          <cell r="R64">
            <v>25.9108695983887</v>
          </cell>
          <cell r="S64">
            <v>16.702175140380898</v>
          </cell>
          <cell r="T64">
            <v>16.829999923706101</v>
          </cell>
          <cell r="U64">
            <v>23.170434951782202</v>
          </cell>
          <cell r="V64">
            <v>23.0347805023193</v>
          </cell>
          <cell r="W64">
            <v>23.170434951782202</v>
          </cell>
          <cell r="X64">
            <v>25.863042831420898</v>
          </cell>
          <cell r="Y64">
            <v>23.170434951782202</v>
          </cell>
          <cell r="Z64">
            <v>24.494348526001001</v>
          </cell>
          <cell r="AA64">
            <v>25.8639125823975</v>
          </cell>
          <cell r="AB64">
            <v>23.2239990234375</v>
          </cell>
          <cell r="AC64">
            <v>25.9505214691162</v>
          </cell>
          <cell r="AD64">
            <v>23.2239990234375</v>
          </cell>
          <cell r="AE64">
            <v>23.2239990234375</v>
          </cell>
          <cell r="AF64">
            <v>28.210960388183601</v>
          </cell>
          <cell r="AG64">
            <v>3.2090000000000001</v>
          </cell>
        </row>
        <row r="65">
          <cell r="A65">
            <v>38899</v>
          </cell>
          <cell r="B65">
            <v>32.314151763916001</v>
          </cell>
          <cell r="C65">
            <v>32.076416015625</v>
          </cell>
          <cell r="D65">
            <v>32.076416015625</v>
          </cell>
          <cell r="E65">
            <v>32.076416015625</v>
          </cell>
          <cell r="F65">
            <v>25.920753479003899</v>
          </cell>
          <cell r="G65">
            <v>28.2603759765625</v>
          </cell>
          <cell r="H65">
            <v>25.920753479003899</v>
          </cell>
          <cell r="I65">
            <v>26.798112869262699</v>
          </cell>
          <cell r="J65">
            <v>30.2578125</v>
          </cell>
          <cell r="K65">
            <v>33.598114013671903</v>
          </cell>
          <cell r="L65">
            <v>37.279247283935497</v>
          </cell>
          <cell r="M65">
            <v>24.6177368164063</v>
          </cell>
          <cell r="N65">
            <v>24.277925491333001</v>
          </cell>
          <cell r="O65">
            <v>28.1956596374512</v>
          </cell>
          <cell r="P65">
            <v>26.518680572509801</v>
          </cell>
          <cell r="Q65">
            <v>20.131132125854499</v>
          </cell>
          <cell r="R65">
            <v>28.3522644042969</v>
          </cell>
          <cell r="S65">
            <v>19.7716979980469</v>
          </cell>
          <cell r="T65">
            <v>20.131132125854499</v>
          </cell>
          <cell r="U65">
            <v>26.639621734619102</v>
          </cell>
          <cell r="V65">
            <v>28.356979370117202</v>
          </cell>
          <cell r="W65">
            <v>26.639621734619102</v>
          </cell>
          <cell r="X65">
            <v>29.643018722534201</v>
          </cell>
          <cell r="Y65">
            <v>26.639621734619102</v>
          </cell>
          <cell r="Z65">
            <v>28.857547760009801</v>
          </cell>
          <cell r="AA65">
            <v>30.008489608764599</v>
          </cell>
          <cell r="AB65">
            <v>27.887773513793899</v>
          </cell>
          <cell r="AC65">
            <v>31.720037460327099</v>
          </cell>
          <cell r="AD65">
            <v>27.887773513793899</v>
          </cell>
          <cell r="AE65">
            <v>27.887773513793899</v>
          </cell>
          <cell r="AF65">
            <v>36.416080474853501</v>
          </cell>
          <cell r="AG65">
            <v>3.2490000000000001</v>
          </cell>
        </row>
        <row r="66">
          <cell r="A66">
            <v>38930</v>
          </cell>
          <cell r="B66">
            <v>31.819149017333999</v>
          </cell>
          <cell r="C66">
            <v>31.606382369995099</v>
          </cell>
          <cell r="D66">
            <v>31.606382369995099</v>
          </cell>
          <cell r="E66">
            <v>31.606382369995099</v>
          </cell>
          <cell r="F66">
            <v>24.729785919189499</v>
          </cell>
          <cell r="G66">
            <v>27.368083953857401</v>
          </cell>
          <cell r="H66">
            <v>24.729785919189499</v>
          </cell>
          <cell r="I66">
            <v>25.7191486358643</v>
          </cell>
          <cell r="J66">
            <v>25.2060852050781</v>
          </cell>
          <cell r="K66">
            <v>33.729789733886697</v>
          </cell>
          <cell r="L66">
            <v>37.7021293640137</v>
          </cell>
          <cell r="M66">
            <v>24.475746154785199</v>
          </cell>
          <cell r="N66">
            <v>23.061489105224599</v>
          </cell>
          <cell r="O66">
            <v>27.451702117919901</v>
          </cell>
          <cell r="P66">
            <v>26.619361877441399</v>
          </cell>
          <cell r="Q66">
            <v>18.458936691284201</v>
          </cell>
          <cell r="R66">
            <v>28.623191833496101</v>
          </cell>
          <cell r="S66">
            <v>18.287660598754901</v>
          </cell>
          <cell r="T66">
            <v>18.458936691284201</v>
          </cell>
          <cell r="U66">
            <v>25.831062316894499</v>
          </cell>
          <cell r="V66">
            <v>27.200424194335898</v>
          </cell>
          <cell r="W66">
            <v>25.831062316894499</v>
          </cell>
          <cell r="X66">
            <v>29.348936080932599</v>
          </cell>
          <cell r="Y66">
            <v>25.831062316894499</v>
          </cell>
          <cell r="Z66">
            <v>28.504467010498001</v>
          </cell>
          <cell r="AA66">
            <v>29.898084640502901</v>
          </cell>
          <cell r="AB66">
            <v>25.565574645996101</v>
          </cell>
          <cell r="AC66">
            <v>29.006851196289102</v>
          </cell>
          <cell r="AD66">
            <v>25.565574645996101</v>
          </cell>
          <cell r="AE66">
            <v>25.565574645996101</v>
          </cell>
          <cell r="AF66">
            <v>34.042171478271499</v>
          </cell>
          <cell r="AG66">
            <v>3.2890000000000001</v>
          </cell>
        </row>
        <row r="67">
          <cell r="A67">
            <v>38961</v>
          </cell>
          <cell r="B67">
            <v>26.485000610351602</v>
          </cell>
          <cell r="C67">
            <v>26.674999237060501</v>
          </cell>
          <cell r="D67">
            <v>26.674999237060501</v>
          </cell>
          <cell r="E67">
            <v>26.674999237060501</v>
          </cell>
          <cell r="F67">
            <v>18.479200363159201</v>
          </cell>
          <cell r="G67">
            <v>19.079198837280298</v>
          </cell>
          <cell r="H67">
            <v>18.479200363159201</v>
          </cell>
          <cell r="I67">
            <v>19.379199981689499</v>
          </cell>
          <cell r="J67">
            <v>24.2299995422363</v>
          </cell>
          <cell r="K67">
            <v>26.360000610351602</v>
          </cell>
          <cell r="L67">
            <v>28.899999618530298</v>
          </cell>
          <cell r="M67">
            <v>18.446001052856399</v>
          </cell>
          <cell r="N67">
            <v>17.903999328613299</v>
          </cell>
          <cell r="O67">
            <v>18.455999374389599</v>
          </cell>
          <cell r="P67">
            <v>20.395999908447301</v>
          </cell>
          <cell r="Q67">
            <v>16.263999938964801</v>
          </cell>
          <cell r="R67">
            <v>22.263999938964801</v>
          </cell>
          <cell r="S67">
            <v>16.041999816894499</v>
          </cell>
          <cell r="T67">
            <v>16.263999938964801</v>
          </cell>
          <cell r="U67">
            <v>22.288600921630898</v>
          </cell>
          <cell r="V67">
            <v>21.791997909545898</v>
          </cell>
          <cell r="W67">
            <v>22.288600921630898</v>
          </cell>
          <cell r="X67">
            <v>20.484001159668001</v>
          </cell>
          <cell r="Y67">
            <v>22.288600921630898</v>
          </cell>
          <cell r="Z67">
            <v>23.398601531982401</v>
          </cell>
          <cell r="AA67">
            <v>24.5986003875732</v>
          </cell>
          <cell r="AB67">
            <v>20.994800567626999</v>
          </cell>
          <cell r="AC67">
            <v>23.382799148559599</v>
          </cell>
          <cell r="AD67">
            <v>21.312801361083999</v>
          </cell>
          <cell r="AE67">
            <v>20.994800567626999</v>
          </cell>
          <cell r="AF67">
            <v>27.578800201416001</v>
          </cell>
          <cell r="AG67">
            <v>3.2719999999999998</v>
          </cell>
        </row>
        <row r="68">
          <cell r="A68">
            <v>38991</v>
          </cell>
          <cell r="B68">
            <v>25.3122444152832</v>
          </cell>
          <cell r="C68">
            <v>25.699998855590799</v>
          </cell>
          <cell r="D68">
            <v>25.699998855590799</v>
          </cell>
          <cell r="E68">
            <v>25.699998855590799</v>
          </cell>
          <cell r="F68">
            <v>19.6481628417969</v>
          </cell>
          <cell r="G68">
            <v>20.280815124511701</v>
          </cell>
          <cell r="H68">
            <v>19.6481628417969</v>
          </cell>
          <cell r="I68">
            <v>20.597143173217798</v>
          </cell>
          <cell r="J68">
            <v>23.415306091308601</v>
          </cell>
          <cell r="K68">
            <v>26.797960281372099</v>
          </cell>
          <cell r="L68">
            <v>29.083673477172901</v>
          </cell>
          <cell r="M68">
            <v>16.0395908355713</v>
          </cell>
          <cell r="N68">
            <v>16.2438774108887</v>
          </cell>
          <cell r="O68">
            <v>16.9740810394287</v>
          </cell>
          <cell r="P68">
            <v>18.0957145690918</v>
          </cell>
          <cell r="Q68">
            <v>14.9591836929321</v>
          </cell>
          <cell r="R68">
            <v>20.038162231445298</v>
          </cell>
          <cell r="S68">
            <v>14.7428579330444</v>
          </cell>
          <cell r="T68">
            <v>14.9591836929321</v>
          </cell>
          <cell r="U68">
            <v>21.584632873535199</v>
          </cell>
          <cell r="V68">
            <v>20.028978347778299</v>
          </cell>
          <cell r="W68">
            <v>21.584632873535199</v>
          </cell>
          <cell r="X68">
            <v>17.926387786865199</v>
          </cell>
          <cell r="Y68">
            <v>21.584632873535199</v>
          </cell>
          <cell r="Z68">
            <v>21.563203811645501</v>
          </cell>
          <cell r="AA68">
            <v>22.869327545166001</v>
          </cell>
          <cell r="AB68">
            <v>19.818021774291999</v>
          </cell>
          <cell r="AC68">
            <v>21.783939361572301</v>
          </cell>
          <cell r="AD68">
            <v>20.228837966918899</v>
          </cell>
          <cell r="AE68">
            <v>19.818021774291999</v>
          </cell>
          <cell r="AF68">
            <v>23.2067966461182</v>
          </cell>
          <cell r="AG68">
            <v>3.2970000000000002</v>
          </cell>
        </row>
        <row r="69">
          <cell r="A69">
            <v>39022</v>
          </cell>
          <cell r="B69">
            <v>26.21875</v>
          </cell>
          <cell r="C69">
            <v>26.4270839691162</v>
          </cell>
          <cell r="D69">
            <v>26.4270839691162</v>
          </cell>
          <cell r="E69">
            <v>26.4270839691162</v>
          </cell>
          <cell r="F69">
            <v>20.1866664886475</v>
          </cell>
          <cell r="G69">
            <v>20.8116664886475</v>
          </cell>
          <cell r="H69">
            <v>20.1866664886475</v>
          </cell>
          <cell r="I69">
            <v>21.1241664886475</v>
          </cell>
          <cell r="J69">
            <v>23.4604167938232</v>
          </cell>
          <cell r="K69">
            <v>28.240625381469702</v>
          </cell>
          <cell r="L69">
            <v>29.890625</v>
          </cell>
          <cell r="M69">
            <v>17.001667022705099</v>
          </cell>
          <cell r="N69">
            <v>16.9154167175293</v>
          </cell>
          <cell r="O69">
            <v>17.170000076293899</v>
          </cell>
          <cell r="P69">
            <v>19.032917022705099</v>
          </cell>
          <cell r="Q69">
            <v>15.770417213439901</v>
          </cell>
          <cell r="R69">
            <v>20.9579162597656</v>
          </cell>
          <cell r="S69">
            <v>15.539167404174799</v>
          </cell>
          <cell r="T69">
            <v>15.770417213439901</v>
          </cell>
          <cell r="U69">
            <v>21.203125</v>
          </cell>
          <cell r="V69">
            <v>20.710414886474599</v>
          </cell>
          <cell r="W69">
            <v>21.203125</v>
          </cell>
          <cell r="X69">
            <v>19.3829154968262</v>
          </cell>
          <cell r="Y69">
            <v>21.203125</v>
          </cell>
          <cell r="Z69">
            <v>21.165624618530298</v>
          </cell>
          <cell r="AA69">
            <v>22.446874618530298</v>
          </cell>
          <cell r="AB69">
            <v>19.8753757476807</v>
          </cell>
          <cell r="AC69">
            <v>21.601209640502901</v>
          </cell>
          <cell r="AD69">
            <v>20.292875289916999</v>
          </cell>
          <cell r="AE69">
            <v>19.8753757476807</v>
          </cell>
          <cell r="AF69">
            <v>23.2695426940918</v>
          </cell>
          <cell r="AG69">
            <v>3.4489999999999998</v>
          </cell>
        </row>
        <row r="70">
          <cell r="A70">
            <v>39052</v>
          </cell>
          <cell r="B70">
            <v>25.6339626312256</v>
          </cell>
          <cell r="C70">
            <v>26.313207626342798</v>
          </cell>
          <cell r="D70">
            <v>26.313207626342798</v>
          </cell>
          <cell r="E70">
            <v>26.313207626342798</v>
          </cell>
          <cell r="F70">
            <v>21.109245300293001</v>
          </cell>
          <cell r="G70">
            <v>21.694150924682599</v>
          </cell>
          <cell r="H70">
            <v>21.109245300293001</v>
          </cell>
          <cell r="I70">
            <v>21.9866027832031</v>
          </cell>
          <cell r="J70">
            <v>25.880189895629901</v>
          </cell>
          <cell r="K70">
            <v>29.943397521972699</v>
          </cell>
          <cell r="L70">
            <v>31.577358245849599</v>
          </cell>
          <cell r="M70">
            <v>20.886604309081999</v>
          </cell>
          <cell r="N70">
            <v>20.824905395507798</v>
          </cell>
          <cell r="O70">
            <v>16.365470886230501</v>
          </cell>
          <cell r="P70">
            <v>22.787548065185501</v>
          </cell>
          <cell r="Q70">
            <v>18.707923889160199</v>
          </cell>
          <cell r="R70">
            <v>24.621131896972699</v>
          </cell>
          <cell r="S70">
            <v>18.4094352722168</v>
          </cell>
          <cell r="T70">
            <v>18.707923889160199</v>
          </cell>
          <cell r="U70">
            <v>22.323583602905298</v>
          </cell>
          <cell r="V70">
            <v>20.5550937652588</v>
          </cell>
          <cell r="W70">
            <v>22.323583602905298</v>
          </cell>
          <cell r="X70">
            <v>22.478490829467798</v>
          </cell>
          <cell r="Y70">
            <v>22.323583602905298</v>
          </cell>
          <cell r="Z70">
            <v>22.201887130737301</v>
          </cell>
          <cell r="AA70">
            <v>23.352830886840799</v>
          </cell>
          <cell r="AB70">
            <v>21.4221305847168</v>
          </cell>
          <cell r="AC70">
            <v>23.6947727203369</v>
          </cell>
          <cell r="AD70">
            <v>21.8721313476563</v>
          </cell>
          <cell r="AE70">
            <v>21.4221305847168</v>
          </cell>
          <cell r="AF70">
            <v>25.3562831878662</v>
          </cell>
          <cell r="AG70">
            <v>3.5920000000000001</v>
          </cell>
        </row>
        <row r="71">
          <cell r="A71">
            <v>39083</v>
          </cell>
          <cell r="B71">
            <v>33.6781616210938</v>
          </cell>
          <cell r="C71">
            <v>34.188365936279297</v>
          </cell>
          <cell r="D71">
            <v>34.188365936279297</v>
          </cell>
          <cell r="E71">
            <v>34.188365936279297</v>
          </cell>
          <cell r="F71">
            <v>23.7069797515869</v>
          </cell>
          <cell r="G71">
            <v>24.3396320343018</v>
          </cell>
          <cell r="H71">
            <v>23.7069797515869</v>
          </cell>
          <cell r="I71">
            <v>24.655958175659201</v>
          </cell>
          <cell r="J71">
            <v>30.438203811645501</v>
          </cell>
          <cell r="K71">
            <v>31.510204315185501</v>
          </cell>
          <cell r="L71">
            <v>33.0653076171875</v>
          </cell>
          <cell r="M71">
            <v>24.152652740478501</v>
          </cell>
          <cell r="N71">
            <v>23.842653274536101</v>
          </cell>
          <cell r="O71">
            <v>19.708774566650401</v>
          </cell>
          <cell r="P71">
            <v>26.208774566650401</v>
          </cell>
          <cell r="Q71">
            <v>21.242448806762699</v>
          </cell>
          <cell r="R71">
            <v>28.1512241363525</v>
          </cell>
          <cell r="S71">
            <v>20.666938781738299</v>
          </cell>
          <cell r="T71">
            <v>21.242448806762699</v>
          </cell>
          <cell r="U71">
            <v>24.436120986938501</v>
          </cell>
          <cell r="V71">
            <v>20.284080505371101</v>
          </cell>
          <cell r="W71">
            <v>24.436120986938501</v>
          </cell>
          <cell r="X71">
            <v>25.860509872436499</v>
          </cell>
          <cell r="Y71">
            <v>24.436120986938501</v>
          </cell>
          <cell r="Z71">
            <v>24.4146938323975</v>
          </cell>
          <cell r="AA71">
            <v>25.7208156585693</v>
          </cell>
          <cell r="AB71">
            <v>23.3521633148193</v>
          </cell>
          <cell r="AC71">
            <v>25.842571258544901</v>
          </cell>
          <cell r="AD71">
            <v>23.3521633148193</v>
          </cell>
          <cell r="AE71">
            <v>23.3521633148193</v>
          </cell>
          <cell r="AF71">
            <v>27.094001770019499</v>
          </cell>
          <cell r="AG71">
            <v>3.625</v>
          </cell>
        </row>
        <row r="72">
          <cell r="A72">
            <v>39114</v>
          </cell>
          <cell r="B72">
            <v>32.860729217529297</v>
          </cell>
          <cell r="C72">
            <v>33.333454132080099</v>
          </cell>
          <cell r="D72">
            <v>33.333454132080099</v>
          </cell>
          <cell r="E72">
            <v>33.333454132080099</v>
          </cell>
          <cell r="F72">
            <v>23.687089920043899</v>
          </cell>
          <cell r="G72">
            <v>24.3234539031982</v>
          </cell>
          <cell r="H72">
            <v>23.687089920043899</v>
          </cell>
          <cell r="I72">
            <v>24.641635894775401</v>
          </cell>
          <cell r="J72">
            <v>27.985090255737301</v>
          </cell>
          <cell r="K72">
            <v>30.3590908050537</v>
          </cell>
          <cell r="L72">
            <v>33.345455169677699</v>
          </cell>
          <cell r="M72">
            <v>22.079999923706101</v>
          </cell>
          <cell r="N72">
            <v>21.8045444488525</v>
          </cell>
          <cell r="O72">
            <v>20.239089965820298</v>
          </cell>
          <cell r="P72">
            <v>24.1481819152832</v>
          </cell>
          <cell r="Q72">
            <v>19.9454555511475</v>
          </cell>
          <cell r="R72">
            <v>26.0990905761719</v>
          </cell>
          <cell r="S72">
            <v>19.525455474853501</v>
          </cell>
          <cell r="T72">
            <v>19.9454555511475</v>
          </cell>
          <cell r="U72">
            <v>23.334180831909201</v>
          </cell>
          <cell r="V72">
            <v>20.2945442199707</v>
          </cell>
          <cell r="W72">
            <v>23.334180831909201</v>
          </cell>
          <cell r="X72">
            <v>24.409999847412099</v>
          </cell>
          <cell r="Y72">
            <v>23.334180831909201</v>
          </cell>
          <cell r="Z72">
            <v>23.3205451965332</v>
          </cell>
          <cell r="AA72">
            <v>24.638727188110401</v>
          </cell>
          <cell r="AB72">
            <v>23.596727371215799</v>
          </cell>
          <cell r="AC72">
            <v>25.921272277831999</v>
          </cell>
          <cell r="AD72">
            <v>23.596727371215799</v>
          </cell>
          <cell r="AE72">
            <v>23.596727371215799</v>
          </cell>
          <cell r="AF72">
            <v>27.105819702148398</v>
          </cell>
          <cell r="AG72">
            <v>3.569</v>
          </cell>
        </row>
        <row r="73">
          <cell r="A73">
            <v>39142</v>
          </cell>
          <cell r="B73">
            <v>30.1285724639893</v>
          </cell>
          <cell r="C73">
            <v>29.875511169433601</v>
          </cell>
          <cell r="D73">
            <v>29.875511169433601</v>
          </cell>
          <cell r="E73">
            <v>29.875511169433601</v>
          </cell>
          <cell r="F73">
            <v>20.4410209655762</v>
          </cell>
          <cell r="G73">
            <v>21.073673248291001</v>
          </cell>
          <cell r="H73">
            <v>20.4410209655762</v>
          </cell>
          <cell r="I73">
            <v>21.389999389648398</v>
          </cell>
          <cell r="J73">
            <v>23.343101501464801</v>
          </cell>
          <cell r="K73">
            <v>28.1418361663818</v>
          </cell>
          <cell r="L73">
            <v>27.9571418762207</v>
          </cell>
          <cell r="M73">
            <v>21.257551193237301</v>
          </cell>
          <cell r="N73">
            <v>21.0161228179932</v>
          </cell>
          <cell r="O73">
            <v>20.640203475952099</v>
          </cell>
          <cell r="P73">
            <v>23.313673019409201</v>
          </cell>
          <cell r="Q73">
            <v>17.945102691650401</v>
          </cell>
          <cell r="R73">
            <v>25.2561225891113</v>
          </cell>
          <cell r="S73">
            <v>17.930000305175799</v>
          </cell>
          <cell r="T73">
            <v>17.945102691650401</v>
          </cell>
          <cell r="U73">
            <v>21.915714263916001</v>
          </cell>
          <cell r="V73">
            <v>19.988161087036101</v>
          </cell>
          <cell r="W73">
            <v>21.915714263916001</v>
          </cell>
          <cell r="X73">
            <v>20.6940822601318</v>
          </cell>
          <cell r="Y73">
            <v>21.915714263916001</v>
          </cell>
          <cell r="Z73">
            <v>21.894285202026399</v>
          </cell>
          <cell r="AA73">
            <v>23.2004070281982</v>
          </cell>
          <cell r="AB73">
            <v>22.562694549560501</v>
          </cell>
          <cell r="AC73">
            <v>24.303102493286101</v>
          </cell>
          <cell r="AD73">
            <v>22.562694549560501</v>
          </cell>
          <cell r="AE73">
            <v>22.562694549560501</v>
          </cell>
          <cell r="AF73">
            <v>25.6341228485107</v>
          </cell>
          <cell r="AG73">
            <v>3.4390000000000001</v>
          </cell>
        </row>
        <row r="74">
          <cell r="A74">
            <v>39173</v>
          </cell>
          <cell r="B74">
            <v>28.056249618530298</v>
          </cell>
          <cell r="C74">
            <v>27.733333587646499</v>
          </cell>
          <cell r="D74">
            <v>27.733333587646499</v>
          </cell>
          <cell r="E74">
            <v>27.733333587646499</v>
          </cell>
          <cell r="F74">
            <v>20.707166671752901</v>
          </cell>
          <cell r="G74">
            <v>21.332166671752901</v>
          </cell>
          <cell r="H74">
            <v>20.707166671752901</v>
          </cell>
          <cell r="I74">
            <v>21.644666671752901</v>
          </cell>
          <cell r="J74">
            <v>23.447624206543001</v>
          </cell>
          <cell r="K74">
            <v>27.712499618530298</v>
          </cell>
          <cell r="L74">
            <v>28.018749237060501</v>
          </cell>
          <cell r="M74">
            <v>17.909584045410199</v>
          </cell>
          <cell r="N74">
            <v>17.598333358764599</v>
          </cell>
          <cell r="O74">
            <v>20.399166107177699</v>
          </cell>
          <cell r="P74">
            <v>19.940834045410199</v>
          </cell>
          <cell r="Q74">
            <v>16.3012504577637</v>
          </cell>
          <cell r="R74">
            <v>21.8658332824707</v>
          </cell>
          <cell r="S74">
            <v>16.190834045410199</v>
          </cell>
          <cell r="T74">
            <v>16.3012504577637</v>
          </cell>
          <cell r="U74">
            <v>20.403123855590799</v>
          </cell>
          <cell r="V74">
            <v>19.960414886474599</v>
          </cell>
          <cell r="W74">
            <v>20.403123855590799</v>
          </cell>
          <cell r="X74">
            <v>18.521041870117202</v>
          </cell>
          <cell r="Y74">
            <v>20.403123855590799</v>
          </cell>
          <cell r="Z74">
            <v>20.365625381469702</v>
          </cell>
          <cell r="AA74">
            <v>21.646875381469702</v>
          </cell>
          <cell r="AB74">
            <v>22.065458297729499</v>
          </cell>
          <cell r="AC74">
            <v>23.9604587554932</v>
          </cell>
          <cell r="AD74">
            <v>22.065458297729499</v>
          </cell>
          <cell r="AE74">
            <v>22.065458297729499</v>
          </cell>
          <cell r="AF74">
            <v>25.032041549682599</v>
          </cell>
          <cell r="AG74">
            <v>3.254</v>
          </cell>
        </row>
        <row r="75">
          <cell r="A75">
            <v>39203</v>
          </cell>
          <cell r="B75">
            <v>28.230613708496101</v>
          </cell>
          <cell r="C75">
            <v>27.6081638336182</v>
          </cell>
          <cell r="D75">
            <v>27.6081638336182</v>
          </cell>
          <cell r="E75">
            <v>27.6081638336182</v>
          </cell>
          <cell r="F75">
            <v>20.7696723937988</v>
          </cell>
          <cell r="G75">
            <v>21.402326583862301</v>
          </cell>
          <cell r="H75">
            <v>20.7696723937988</v>
          </cell>
          <cell r="I75">
            <v>21.718652725219702</v>
          </cell>
          <cell r="J75">
            <v>21.723590850830099</v>
          </cell>
          <cell r="K75">
            <v>31.090816497802699</v>
          </cell>
          <cell r="L75">
            <v>29.9571418762207</v>
          </cell>
          <cell r="M75">
            <v>18.153877258300799</v>
          </cell>
          <cell r="N75">
            <v>17.895305633544901</v>
          </cell>
          <cell r="O75">
            <v>21.341428756713899</v>
          </cell>
          <cell r="P75">
            <v>20.2100009918213</v>
          </cell>
          <cell r="Q75">
            <v>15.821429252624499</v>
          </cell>
          <cell r="R75">
            <v>22.152448654174801</v>
          </cell>
          <cell r="S75">
            <v>15.433673858642599</v>
          </cell>
          <cell r="T75">
            <v>15.821429252624499</v>
          </cell>
          <cell r="U75">
            <v>19.676326751708999</v>
          </cell>
          <cell r="V75">
            <v>21.110610961914102</v>
          </cell>
          <cell r="W75">
            <v>19.676326751708999</v>
          </cell>
          <cell r="X75">
            <v>19.307142257690401</v>
          </cell>
          <cell r="Y75">
            <v>19.676326751708999</v>
          </cell>
          <cell r="Z75">
            <v>19.6548976898193</v>
          </cell>
          <cell r="AA75">
            <v>20.9610195159912</v>
          </cell>
          <cell r="AB75">
            <v>22.469917297363299</v>
          </cell>
          <cell r="AC75">
            <v>24.501142501831101</v>
          </cell>
          <cell r="AD75">
            <v>22.469917297363299</v>
          </cell>
          <cell r="AE75">
            <v>22.469917297363299</v>
          </cell>
          <cell r="AF75">
            <v>26.176979064941399</v>
          </cell>
          <cell r="AG75">
            <v>3.2490000000000001</v>
          </cell>
        </row>
        <row r="76">
          <cell r="A76">
            <v>39234</v>
          </cell>
          <cell r="B76">
            <v>29.3822917938232</v>
          </cell>
          <cell r="C76">
            <v>29.082290649414102</v>
          </cell>
          <cell r="D76">
            <v>29.082290649414102</v>
          </cell>
          <cell r="E76">
            <v>29.082290649414102</v>
          </cell>
          <cell r="F76">
            <v>22.1674995422363</v>
          </cell>
          <cell r="G76">
            <v>23.4174995422363</v>
          </cell>
          <cell r="H76">
            <v>22.1674995422363</v>
          </cell>
          <cell r="I76">
            <v>23.1049995422363</v>
          </cell>
          <cell r="J76">
            <v>24.7416667938232</v>
          </cell>
          <cell r="K76">
            <v>28.9643745422363</v>
          </cell>
          <cell r="L76">
            <v>32.083126068115199</v>
          </cell>
          <cell r="M76">
            <v>22.358751296997099</v>
          </cell>
          <cell r="N76">
            <v>22.533750534057599</v>
          </cell>
          <cell r="O76">
            <v>25.954166412353501</v>
          </cell>
          <cell r="P76">
            <v>24.390001296997099</v>
          </cell>
          <cell r="Q76">
            <v>17.752500534057599</v>
          </cell>
          <cell r="R76">
            <v>26.315000534057599</v>
          </cell>
          <cell r="S76">
            <v>17.4899997711182</v>
          </cell>
          <cell r="T76">
            <v>17.752500534057599</v>
          </cell>
          <cell r="U76">
            <v>23.794166564941399</v>
          </cell>
          <cell r="V76">
            <v>23.679164886474599</v>
          </cell>
          <cell r="W76">
            <v>23.794166564941399</v>
          </cell>
          <cell r="X76">
            <v>26.358749389648398</v>
          </cell>
          <cell r="Y76">
            <v>23.794166564941399</v>
          </cell>
          <cell r="Z76">
            <v>25.006666183471701</v>
          </cell>
          <cell r="AA76">
            <v>26.287916183471701</v>
          </cell>
          <cell r="AB76">
            <v>24.186750411987301</v>
          </cell>
          <cell r="AC76">
            <v>26.946332931518601</v>
          </cell>
          <cell r="AD76">
            <v>24.186750411987301</v>
          </cell>
          <cell r="AE76">
            <v>24.186750411987301</v>
          </cell>
          <cell r="AF76">
            <v>29.270088195800799</v>
          </cell>
          <cell r="AG76">
            <v>3.2839999999999998</v>
          </cell>
        </row>
        <row r="77">
          <cell r="A77">
            <v>39264</v>
          </cell>
          <cell r="B77">
            <v>32.9009819030762</v>
          </cell>
          <cell r="C77">
            <v>32.653923034667997</v>
          </cell>
          <cell r="D77">
            <v>32.653923034667997</v>
          </cell>
          <cell r="E77">
            <v>32.653923034667997</v>
          </cell>
          <cell r="F77">
            <v>24.277450561523398</v>
          </cell>
          <cell r="G77">
            <v>26.100980758666999</v>
          </cell>
          <cell r="H77">
            <v>24.277450561523398</v>
          </cell>
          <cell r="I77">
            <v>25.189214706420898</v>
          </cell>
          <cell r="J77">
            <v>29.680274963378899</v>
          </cell>
          <cell r="K77">
            <v>33.107845306396499</v>
          </cell>
          <cell r="L77">
            <v>37.705883026122997</v>
          </cell>
          <cell r="M77">
            <v>24.5690212249756</v>
          </cell>
          <cell r="N77">
            <v>24.198236465454102</v>
          </cell>
          <cell r="O77">
            <v>28.984901428222699</v>
          </cell>
          <cell r="P77">
            <v>26.544509887695298</v>
          </cell>
          <cell r="Q77">
            <v>20.105686187744102</v>
          </cell>
          <cell r="R77">
            <v>28.430391311645501</v>
          </cell>
          <cell r="S77">
            <v>19.513334274291999</v>
          </cell>
          <cell r="T77">
            <v>20.105686187744102</v>
          </cell>
          <cell r="U77">
            <v>26.5513725280762</v>
          </cell>
          <cell r="V77">
            <v>28.370979309081999</v>
          </cell>
          <cell r="W77">
            <v>26.5513725280762</v>
          </cell>
          <cell r="X77">
            <v>29.687450408935501</v>
          </cell>
          <cell r="Y77">
            <v>26.5513725280762</v>
          </cell>
          <cell r="Z77">
            <v>28.909215927123999</v>
          </cell>
          <cell r="AA77">
            <v>30.134706497192401</v>
          </cell>
          <cell r="AB77">
            <v>28.024549484252901</v>
          </cell>
          <cell r="AC77">
            <v>31.833765029907202</v>
          </cell>
          <cell r="AD77">
            <v>28.024549484252901</v>
          </cell>
          <cell r="AE77">
            <v>28.024549484252901</v>
          </cell>
          <cell r="AF77">
            <v>36.463768005371101</v>
          </cell>
          <cell r="AG77">
            <v>3.3239999999999998</v>
          </cell>
        </row>
        <row r="78">
          <cell r="A78">
            <v>39295</v>
          </cell>
          <cell r="B78">
            <v>32.648937225341797</v>
          </cell>
          <cell r="C78">
            <v>32.436168670654297</v>
          </cell>
          <cell r="D78">
            <v>32.436168670654297</v>
          </cell>
          <cell r="E78">
            <v>32.436168670654297</v>
          </cell>
          <cell r="F78">
            <v>23.769147872924801</v>
          </cell>
          <cell r="G78">
            <v>25.747871398925799</v>
          </cell>
          <cell r="H78">
            <v>23.769147872924801</v>
          </cell>
          <cell r="I78">
            <v>24.758510589599599</v>
          </cell>
          <cell r="J78">
            <v>25.274169921875</v>
          </cell>
          <cell r="K78">
            <v>33.2393608093262</v>
          </cell>
          <cell r="L78">
            <v>37.923404693603501</v>
          </cell>
          <cell r="M78">
            <v>24.8055324554443</v>
          </cell>
          <cell r="N78">
            <v>23.391277313232401</v>
          </cell>
          <cell r="O78">
            <v>28.324041366577099</v>
          </cell>
          <cell r="P78">
            <v>26.949150085449201</v>
          </cell>
          <cell r="Q78">
            <v>18.947021484375</v>
          </cell>
          <cell r="R78">
            <v>28.952978134155298</v>
          </cell>
          <cell r="S78">
            <v>18.617446899414102</v>
          </cell>
          <cell r="T78">
            <v>18.947021484375</v>
          </cell>
          <cell r="U78">
            <v>26.160850524902301</v>
          </cell>
          <cell r="V78">
            <v>27.615318298339801</v>
          </cell>
          <cell r="W78">
            <v>26.160850524902301</v>
          </cell>
          <cell r="X78">
            <v>29.6787223815918</v>
          </cell>
          <cell r="Y78">
            <v>26.160850524902301</v>
          </cell>
          <cell r="Z78">
            <v>28.834255218505898</v>
          </cell>
          <cell r="AA78">
            <v>30.2278728485107</v>
          </cell>
          <cell r="AB78">
            <v>26.1038722991943</v>
          </cell>
          <cell r="AC78">
            <v>29.545148849487301</v>
          </cell>
          <cell r="AD78">
            <v>26.1038722991943</v>
          </cell>
          <cell r="AE78">
            <v>26.1038722991943</v>
          </cell>
          <cell r="AF78">
            <v>34.580471038818402</v>
          </cell>
          <cell r="AG78">
            <v>3.3639999999999999</v>
          </cell>
        </row>
        <row r="79">
          <cell r="A79">
            <v>39326</v>
          </cell>
          <cell r="B79">
            <v>27.325962066650401</v>
          </cell>
          <cell r="C79">
            <v>27.545192718505898</v>
          </cell>
          <cell r="D79">
            <v>27.545192718505898</v>
          </cell>
          <cell r="E79">
            <v>27.545192718505898</v>
          </cell>
          <cell r="F79">
            <v>20.287693023681602</v>
          </cell>
          <cell r="G79">
            <v>20.8646144866943</v>
          </cell>
          <cell r="H79">
            <v>20.287693023681602</v>
          </cell>
          <cell r="I79">
            <v>21.153076171875</v>
          </cell>
          <cell r="J79">
            <v>24.409614562988299</v>
          </cell>
          <cell r="K79">
            <v>25.990385055541999</v>
          </cell>
          <cell r="L79">
            <v>29.2846164703369</v>
          </cell>
          <cell r="M79">
            <v>18.776538848876999</v>
          </cell>
          <cell r="N79">
            <v>18.1853847503662</v>
          </cell>
          <cell r="O79">
            <v>19.563461303710898</v>
          </cell>
          <cell r="P79">
            <v>20.651538848876999</v>
          </cell>
          <cell r="Q79">
            <v>16.9919242858887</v>
          </cell>
          <cell r="R79">
            <v>22.466922760009801</v>
          </cell>
          <cell r="S79">
            <v>16.4842319488525</v>
          </cell>
          <cell r="T79">
            <v>16.9919242858887</v>
          </cell>
          <cell r="U79">
            <v>22.532884597778299</v>
          </cell>
          <cell r="V79">
            <v>22.280767440795898</v>
          </cell>
          <cell r="W79">
            <v>22.532884597778299</v>
          </cell>
          <cell r="X79">
            <v>20.745769500732401</v>
          </cell>
          <cell r="Y79">
            <v>22.532884597778299</v>
          </cell>
          <cell r="Z79">
            <v>23.5482692718506</v>
          </cell>
          <cell r="AA79">
            <v>24.6732692718506</v>
          </cell>
          <cell r="AB79">
            <v>21.726768493652301</v>
          </cell>
          <cell r="AC79">
            <v>24.138692855835</v>
          </cell>
          <cell r="AD79">
            <v>22.0579223632813</v>
          </cell>
          <cell r="AE79">
            <v>21.726768493652301</v>
          </cell>
          <cell r="AF79">
            <v>28.262924194335898</v>
          </cell>
          <cell r="AG79">
            <v>3.347</v>
          </cell>
        </row>
        <row r="80">
          <cell r="A80">
            <v>39356</v>
          </cell>
          <cell r="B80">
            <v>26.117021560668899</v>
          </cell>
          <cell r="C80">
            <v>26.440423965454102</v>
          </cell>
          <cell r="D80">
            <v>26.440423965454102</v>
          </cell>
          <cell r="E80">
            <v>26.440423965454102</v>
          </cell>
          <cell r="F80">
            <v>20.876041412353501</v>
          </cell>
          <cell r="G80">
            <v>21.535615921020501</v>
          </cell>
          <cell r="H80">
            <v>20.876041412353501</v>
          </cell>
          <cell r="I80">
            <v>21.865404129028299</v>
          </cell>
          <cell r="J80">
            <v>23.3436164855957</v>
          </cell>
          <cell r="K80">
            <v>26.850000381469702</v>
          </cell>
          <cell r="L80">
            <v>29.225532531738299</v>
          </cell>
          <cell r="M80">
            <v>16.433191299438501</v>
          </cell>
          <cell r="N80">
            <v>16.635957717895501</v>
          </cell>
          <cell r="O80">
            <v>17.536808013916001</v>
          </cell>
          <cell r="P80">
            <v>18.576808929443398</v>
          </cell>
          <cell r="Q80">
            <v>15.317446708679199</v>
          </cell>
          <cell r="R80">
            <v>20.580638885498001</v>
          </cell>
          <cell r="S80">
            <v>15.060000419616699</v>
          </cell>
          <cell r="T80">
            <v>15.317446708679199</v>
          </cell>
          <cell r="U80">
            <v>22.146276473998999</v>
          </cell>
          <cell r="V80">
            <v>20.264253616333001</v>
          </cell>
          <cell r="W80">
            <v>22.146276473998999</v>
          </cell>
          <cell r="X80">
            <v>18.389787673950199</v>
          </cell>
          <cell r="Y80">
            <v>22.146276473998999</v>
          </cell>
          <cell r="Z80">
            <v>22.181383132934599</v>
          </cell>
          <cell r="AA80">
            <v>23.575000762939499</v>
          </cell>
          <cell r="AB80">
            <v>20.148828506469702</v>
          </cell>
          <cell r="AC80">
            <v>22.077978134155298</v>
          </cell>
          <cell r="AD80">
            <v>20.524787902831999</v>
          </cell>
          <cell r="AE80">
            <v>20.148828506469702</v>
          </cell>
          <cell r="AF80">
            <v>23.571598052978501</v>
          </cell>
          <cell r="AG80">
            <v>3.3719999999999999</v>
          </cell>
        </row>
        <row r="81">
          <cell r="A81">
            <v>39387</v>
          </cell>
          <cell r="B81">
            <v>27.03125</v>
          </cell>
          <cell r="C81">
            <v>27.2395839691162</v>
          </cell>
          <cell r="D81">
            <v>27.2395839691162</v>
          </cell>
          <cell r="E81">
            <v>27.2395839691162</v>
          </cell>
          <cell r="F81">
            <v>21.1567497253418</v>
          </cell>
          <cell r="G81">
            <v>21.7817497253418</v>
          </cell>
          <cell r="H81">
            <v>21.1567497253418</v>
          </cell>
          <cell r="I81">
            <v>22.0942497253418</v>
          </cell>
          <cell r="J81">
            <v>23.535415649414102</v>
          </cell>
          <cell r="K81">
            <v>27.640625</v>
          </cell>
          <cell r="L81">
            <v>30.134376525878899</v>
          </cell>
          <cell r="M81">
            <v>17.314167022705099</v>
          </cell>
          <cell r="N81">
            <v>17.2279167175293</v>
          </cell>
          <cell r="O81">
            <v>18.034584045410199</v>
          </cell>
          <cell r="P81">
            <v>19.345417022705099</v>
          </cell>
          <cell r="Q81">
            <v>16.257917404174801</v>
          </cell>
          <cell r="R81">
            <v>21.2704162597656</v>
          </cell>
          <cell r="S81">
            <v>15.851667404174799</v>
          </cell>
          <cell r="T81">
            <v>16.257917404174801</v>
          </cell>
          <cell r="U81">
            <v>21.515625</v>
          </cell>
          <cell r="V81">
            <v>21.116664886474599</v>
          </cell>
          <cell r="W81">
            <v>21.515625</v>
          </cell>
          <cell r="X81">
            <v>19.6954154968262</v>
          </cell>
          <cell r="Y81">
            <v>21.515625</v>
          </cell>
          <cell r="Z81">
            <v>21.478124618530298</v>
          </cell>
          <cell r="AA81">
            <v>22.759374618530298</v>
          </cell>
          <cell r="AB81">
            <v>20.3962078094482</v>
          </cell>
          <cell r="AC81">
            <v>22.122041702270501</v>
          </cell>
          <cell r="AD81">
            <v>20.8137092590332</v>
          </cell>
          <cell r="AE81">
            <v>20.3962078094482</v>
          </cell>
          <cell r="AF81">
            <v>23.790376663208001</v>
          </cell>
          <cell r="AG81">
            <v>3.524</v>
          </cell>
        </row>
        <row r="82">
          <cell r="A82">
            <v>39417</v>
          </cell>
          <cell r="B82">
            <v>26.426414489746101</v>
          </cell>
          <cell r="C82">
            <v>27.1056613922119</v>
          </cell>
          <cell r="D82">
            <v>27.1056613922119</v>
          </cell>
          <cell r="E82">
            <v>27.1056613922119</v>
          </cell>
          <cell r="F82">
            <v>22.1435852050781</v>
          </cell>
          <cell r="G82">
            <v>22.728490829467798</v>
          </cell>
          <cell r="H82">
            <v>22.1435852050781</v>
          </cell>
          <cell r="I82">
            <v>23.020942687988299</v>
          </cell>
          <cell r="J82">
            <v>25.963207244873001</v>
          </cell>
          <cell r="K82">
            <v>30.723585128784201</v>
          </cell>
          <cell r="L82">
            <v>31.847169876098601</v>
          </cell>
          <cell r="M82">
            <v>21.1790580749512</v>
          </cell>
          <cell r="N82">
            <v>21.117359161376999</v>
          </cell>
          <cell r="O82">
            <v>17.214527130126999</v>
          </cell>
          <cell r="P82">
            <v>23.079999923706101</v>
          </cell>
          <cell r="Q82">
            <v>19.190567016601602</v>
          </cell>
          <cell r="R82">
            <v>24.9135856628418</v>
          </cell>
          <cell r="S82">
            <v>18.701887130737301</v>
          </cell>
          <cell r="T82">
            <v>19.190567016601602</v>
          </cell>
          <cell r="U82">
            <v>22.6160373687744</v>
          </cell>
          <cell r="V82">
            <v>20.951318740844702</v>
          </cell>
          <cell r="W82">
            <v>22.6160373687744</v>
          </cell>
          <cell r="X82">
            <v>22.770942687988299</v>
          </cell>
          <cell r="Y82">
            <v>22.6160373687744</v>
          </cell>
          <cell r="Z82">
            <v>22.494338989257798</v>
          </cell>
          <cell r="AA82">
            <v>23.6452827453613</v>
          </cell>
          <cell r="AB82">
            <v>21.924018859863299</v>
          </cell>
          <cell r="AC82">
            <v>24.196660995483398</v>
          </cell>
          <cell r="AD82">
            <v>22.374019622802699</v>
          </cell>
          <cell r="AE82">
            <v>21.924018859863299</v>
          </cell>
          <cell r="AF82">
            <v>25.858169555664102</v>
          </cell>
          <cell r="AG82">
            <v>3.6669999999999998</v>
          </cell>
        </row>
        <row r="83">
          <cell r="A83">
            <v>39448</v>
          </cell>
          <cell r="B83">
            <v>34.1781616210938</v>
          </cell>
          <cell r="C83">
            <v>34.688365936279297</v>
          </cell>
          <cell r="D83">
            <v>34.688365936279297</v>
          </cell>
          <cell r="E83">
            <v>34.688365936279297</v>
          </cell>
          <cell r="F83">
            <v>23.499223709106399</v>
          </cell>
          <cell r="G83">
            <v>24.131877899169901</v>
          </cell>
          <cell r="H83">
            <v>23.499223709106399</v>
          </cell>
          <cell r="I83">
            <v>24.448204040527301</v>
          </cell>
          <cell r="J83">
            <v>30.511672973632798</v>
          </cell>
          <cell r="K83">
            <v>31.600000381469702</v>
          </cell>
          <cell r="L83">
            <v>33.304080963134801</v>
          </cell>
          <cell r="M83">
            <v>24.468978881835898</v>
          </cell>
          <cell r="N83">
            <v>24.158979415893601</v>
          </cell>
          <cell r="O83">
            <v>20.576122283935501</v>
          </cell>
          <cell r="P83">
            <v>26.525102615356399</v>
          </cell>
          <cell r="Q83">
            <v>21.903673171997099</v>
          </cell>
          <cell r="R83">
            <v>28.46755027771</v>
          </cell>
          <cell r="S83">
            <v>20.9832649230957</v>
          </cell>
          <cell r="T83">
            <v>21.903673171997099</v>
          </cell>
          <cell r="U83">
            <v>24.752449035644499</v>
          </cell>
          <cell r="V83">
            <v>20.692243576049801</v>
          </cell>
          <cell r="W83">
            <v>24.752449035644499</v>
          </cell>
          <cell r="X83">
            <v>26.176836013793899</v>
          </cell>
          <cell r="Y83">
            <v>24.752449035644499</v>
          </cell>
          <cell r="Z83">
            <v>24.731019973754901</v>
          </cell>
          <cell r="AA83">
            <v>26.0371417999268</v>
          </cell>
          <cell r="AB83">
            <v>23.9378776550293</v>
          </cell>
          <cell r="AC83">
            <v>26.428285598754901</v>
          </cell>
          <cell r="AD83">
            <v>23.9378776550293</v>
          </cell>
          <cell r="AE83">
            <v>23.9378776550293</v>
          </cell>
          <cell r="AF83">
            <v>27.679716110229499</v>
          </cell>
          <cell r="AG83">
            <v>3.7025000000000001</v>
          </cell>
        </row>
        <row r="84">
          <cell r="A84">
            <v>39479</v>
          </cell>
          <cell r="B84">
            <v>33.372711181640597</v>
          </cell>
          <cell r="C84">
            <v>33.834934234619098</v>
          </cell>
          <cell r="D84">
            <v>33.834934234619098</v>
          </cell>
          <cell r="E84">
            <v>33.834934234619098</v>
          </cell>
          <cell r="F84">
            <v>23.4466667175293</v>
          </cell>
          <cell r="G84">
            <v>24.091110229492202</v>
          </cell>
          <cell r="H84">
            <v>23.4466667175293</v>
          </cell>
          <cell r="I84">
            <v>24.413333892822301</v>
          </cell>
          <cell r="J84">
            <v>28.028755187988299</v>
          </cell>
          <cell r="K84">
            <v>30.405555725097699</v>
          </cell>
          <cell r="L84">
            <v>33.546665191650398</v>
          </cell>
          <cell r="M84">
            <v>22.3519992828369</v>
          </cell>
          <cell r="N84">
            <v>22.077110290527301</v>
          </cell>
          <cell r="O84">
            <v>21.068666458129901</v>
          </cell>
          <cell r="P84">
            <v>24.4464435577393</v>
          </cell>
          <cell r="Q84">
            <v>20.458667755126999</v>
          </cell>
          <cell r="R84">
            <v>26.415777206420898</v>
          </cell>
          <cell r="S84">
            <v>19.7586669921875</v>
          </cell>
          <cell r="T84">
            <v>20.458667755126999</v>
          </cell>
          <cell r="U84">
            <v>23.5927543640137</v>
          </cell>
          <cell r="V84">
            <v>20.6506652832031</v>
          </cell>
          <cell r="W84">
            <v>23.5927543640137</v>
          </cell>
          <cell r="X84">
            <v>24.693222045898398</v>
          </cell>
          <cell r="Y84">
            <v>23.5927543640137</v>
          </cell>
          <cell r="Z84">
            <v>23.5960884094238</v>
          </cell>
          <cell r="AA84">
            <v>24.9405326843262</v>
          </cell>
          <cell r="AB84">
            <v>24.1186218261719</v>
          </cell>
          <cell r="AC84">
            <v>26.448621749877901</v>
          </cell>
          <cell r="AD84">
            <v>24.1186218261719</v>
          </cell>
          <cell r="AE84">
            <v>24.1186218261719</v>
          </cell>
          <cell r="AF84">
            <v>27.616401672363299</v>
          </cell>
          <cell r="AG84">
            <v>3.6465000000000001</v>
          </cell>
        </row>
        <row r="85">
          <cell r="A85">
            <v>39508</v>
          </cell>
          <cell r="B85">
            <v>30.6019611358643</v>
          </cell>
          <cell r="C85">
            <v>30.298040390014599</v>
          </cell>
          <cell r="D85">
            <v>30.298040390014599</v>
          </cell>
          <cell r="E85">
            <v>30.298040390014599</v>
          </cell>
          <cell r="F85">
            <v>21.212940216064499</v>
          </cell>
          <cell r="G85">
            <v>21.820783615112301</v>
          </cell>
          <cell r="H85">
            <v>21.212940216064499</v>
          </cell>
          <cell r="I85">
            <v>22.124706268310501</v>
          </cell>
          <cell r="J85">
            <v>23.475294113159201</v>
          </cell>
          <cell r="K85">
            <v>28.3519611358643</v>
          </cell>
          <cell r="L85">
            <v>28.4117641448975</v>
          </cell>
          <cell r="M85">
            <v>21.5023517608643</v>
          </cell>
          <cell r="N85">
            <v>21.224901199340799</v>
          </cell>
          <cell r="O85">
            <v>21.007255554199201</v>
          </cell>
          <cell r="P85">
            <v>23.477842330932599</v>
          </cell>
          <cell r="Q85">
            <v>18.585685729980501</v>
          </cell>
          <cell r="R85">
            <v>25.363725662231399</v>
          </cell>
          <cell r="S85">
            <v>18.324901580810501</v>
          </cell>
          <cell r="T85">
            <v>18.585685729980501</v>
          </cell>
          <cell r="U85">
            <v>22.197450637817401</v>
          </cell>
          <cell r="V85">
            <v>20.498430252075199</v>
          </cell>
          <cell r="W85">
            <v>22.197450637817401</v>
          </cell>
          <cell r="X85">
            <v>20.9707851409912</v>
          </cell>
          <cell r="Y85">
            <v>22.197450637817401</v>
          </cell>
          <cell r="Z85">
            <v>22.1239204406738</v>
          </cell>
          <cell r="AA85">
            <v>23.349411010742202</v>
          </cell>
          <cell r="AB85">
            <v>23.307685852050799</v>
          </cell>
          <cell r="AC85">
            <v>25.059059143066399</v>
          </cell>
          <cell r="AD85">
            <v>23.307685852050799</v>
          </cell>
          <cell r="AE85">
            <v>23.307685852050799</v>
          </cell>
          <cell r="AF85">
            <v>26.356704711914102</v>
          </cell>
          <cell r="AG85">
            <v>3.5165000000000002</v>
          </cell>
        </row>
        <row r="86">
          <cell r="A86">
            <v>39539</v>
          </cell>
          <cell r="B86">
            <v>28.578260421752901</v>
          </cell>
          <cell r="C86">
            <v>28.3086967468262</v>
          </cell>
          <cell r="D86">
            <v>28.3086967468262</v>
          </cell>
          <cell r="E86">
            <v>28.3086967468262</v>
          </cell>
          <cell r="F86">
            <v>20.022434234619102</v>
          </cell>
          <cell r="G86">
            <v>20.674608230590799</v>
          </cell>
          <cell r="H86">
            <v>20.022434234619102</v>
          </cell>
          <cell r="I86">
            <v>21.000696182251001</v>
          </cell>
          <cell r="J86">
            <v>23.4720859527588</v>
          </cell>
          <cell r="K86">
            <v>27.6478271484375</v>
          </cell>
          <cell r="L86">
            <v>28.026086807251001</v>
          </cell>
          <cell r="M86">
            <v>18.307825088501001</v>
          </cell>
          <cell r="N86">
            <v>18.0334777832031</v>
          </cell>
          <cell r="O86">
            <v>20.427391052246101</v>
          </cell>
          <cell r="P86">
            <v>20.427391052246101</v>
          </cell>
          <cell r="Q86">
            <v>16.6673908233643</v>
          </cell>
          <cell r="R86">
            <v>22.414348602294901</v>
          </cell>
          <cell r="S86">
            <v>16.492609024047901</v>
          </cell>
          <cell r="T86">
            <v>16.6673908233643</v>
          </cell>
          <cell r="U86">
            <v>20.8404350280762</v>
          </cell>
          <cell r="V86">
            <v>20.252172470092798</v>
          </cell>
          <cell r="W86">
            <v>20.8404350280762</v>
          </cell>
          <cell r="X86">
            <v>18.935216903686499</v>
          </cell>
          <cell r="Y86">
            <v>20.8404350280762</v>
          </cell>
          <cell r="Z86">
            <v>20.860000610351602</v>
          </cell>
          <cell r="AA86">
            <v>22.229564666748001</v>
          </cell>
          <cell r="AB86">
            <v>22.4836521148682</v>
          </cell>
          <cell r="AC86">
            <v>24.373216629028299</v>
          </cell>
          <cell r="AD86">
            <v>22.4836521148682</v>
          </cell>
          <cell r="AE86">
            <v>22.4836521148682</v>
          </cell>
          <cell r="AF86">
            <v>25.470521926879901</v>
          </cell>
          <cell r="AG86">
            <v>3.3315000000000001</v>
          </cell>
        </row>
        <row r="87">
          <cell r="A87">
            <v>39569</v>
          </cell>
          <cell r="B87">
            <v>28.788236618041999</v>
          </cell>
          <cell r="C87">
            <v>28.1901969909668</v>
          </cell>
          <cell r="D87">
            <v>28.1901969909668</v>
          </cell>
          <cell r="E87">
            <v>28.1901969909668</v>
          </cell>
          <cell r="F87">
            <v>20.234704971313501</v>
          </cell>
          <cell r="G87">
            <v>20.8425483703613</v>
          </cell>
          <cell r="H87">
            <v>20.234704971313501</v>
          </cell>
          <cell r="I87">
            <v>21.146471023559599</v>
          </cell>
          <cell r="J87">
            <v>21.729804992675799</v>
          </cell>
          <cell r="K87">
            <v>31.263725280761701</v>
          </cell>
          <cell r="L87">
            <v>30.4117641448975</v>
          </cell>
          <cell r="M87">
            <v>18.554119110107401</v>
          </cell>
          <cell r="N87">
            <v>18.331569671630898</v>
          </cell>
          <cell r="O87">
            <v>21.791568756103501</v>
          </cell>
          <cell r="P87">
            <v>20.529607772827099</v>
          </cell>
          <cell r="Q87">
            <v>16.499412536621101</v>
          </cell>
          <cell r="R87">
            <v>22.415489196777301</v>
          </cell>
          <cell r="S87">
            <v>15.9601964950562</v>
          </cell>
          <cell r="T87">
            <v>16.499412536621101</v>
          </cell>
          <cell r="U87">
            <v>20.135684967041001</v>
          </cell>
          <cell r="V87">
            <v>21.694507598876999</v>
          </cell>
          <cell r="W87">
            <v>20.135684967041001</v>
          </cell>
          <cell r="X87">
            <v>19.766078948974599</v>
          </cell>
          <cell r="Y87">
            <v>20.135684967041001</v>
          </cell>
          <cell r="Z87">
            <v>20.062156677246101</v>
          </cell>
          <cell r="AA87">
            <v>21.287647247314499</v>
          </cell>
          <cell r="AB87">
            <v>23.318666458129901</v>
          </cell>
          <cell r="AC87">
            <v>25.3690586090088</v>
          </cell>
          <cell r="AD87">
            <v>23.318666458129901</v>
          </cell>
          <cell r="AE87">
            <v>23.318666458129901</v>
          </cell>
          <cell r="AF87">
            <v>27.117589950561499</v>
          </cell>
          <cell r="AG87">
            <v>3.3264999999999998</v>
          </cell>
        </row>
        <row r="88">
          <cell r="A88">
            <v>39600</v>
          </cell>
          <cell r="B88">
            <v>29.786457061767599</v>
          </cell>
          <cell r="C88">
            <v>29.411457061767599</v>
          </cell>
          <cell r="D88">
            <v>29.411457061767599</v>
          </cell>
          <cell r="E88">
            <v>29.411457061767599</v>
          </cell>
          <cell r="F88">
            <v>23.030208587646499</v>
          </cell>
          <cell r="G88">
            <v>23.655208587646499</v>
          </cell>
          <cell r="H88">
            <v>23.030208587646499</v>
          </cell>
          <cell r="I88">
            <v>23.967708587646499</v>
          </cell>
          <cell r="J88">
            <v>24.657917022705099</v>
          </cell>
          <cell r="K88">
            <v>29.051876068115199</v>
          </cell>
          <cell r="L88">
            <v>32.326873779296903</v>
          </cell>
          <cell r="M88">
            <v>22.3350009918213</v>
          </cell>
          <cell r="N88">
            <v>22.440000534057599</v>
          </cell>
          <cell r="O88">
            <v>26.180416107177699</v>
          </cell>
          <cell r="P88">
            <v>24.3662509918213</v>
          </cell>
          <cell r="Q88">
            <v>18.049583435058601</v>
          </cell>
          <cell r="R88">
            <v>26.2912502288818</v>
          </cell>
          <cell r="S88">
            <v>17.466251373291001</v>
          </cell>
          <cell r="T88">
            <v>18.049583435058601</v>
          </cell>
          <cell r="U88">
            <v>23.710832595825199</v>
          </cell>
          <cell r="V88">
            <v>24.033332824706999</v>
          </cell>
          <cell r="W88">
            <v>23.710832595825199</v>
          </cell>
          <cell r="X88">
            <v>26.235000610351602</v>
          </cell>
          <cell r="Y88">
            <v>23.710832595825199</v>
          </cell>
          <cell r="Z88">
            <v>24.923334121704102</v>
          </cell>
          <cell r="AA88">
            <v>26.204584121704102</v>
          </cell>
          <cell r="AB88">
            <v>25.048542022705099</v>
          </cell>
          <cell r="AC88">
            <v>27.7664585113525</v>
          </cell>
          <cell r="AD88">
            <v>25.048542022705099</v>
          </cell>
          <cell r="AE88">
            <v>25.048542022705099</v>
          </cell>
          <cell r="AF88">
            <v>30.015213012695298</v>
          </cell>
          <cell r="AG88">
            <v>3.3614999999999999</v>
          </cell>
        </row>
        <row r="89">
          <cell r="A89">
            <v>39630</v>
          </cell>
          <cell r="B89">
            <v>33.227550506591797</v>
          </cell>
          <cell r="C89">
            <v>33.013263702392599</v>
          </cell>
          <cell r="D89">
            <v>33.013263702392599</v>
          </cell>
          <cell r="E89">
            <v>33.013263702392599</v>
          </cell>
          <cell r="F89">
            <v>24.804080963134801</v>
          </cell>
          <cell r="G89">
            <v>26.0693874359131</v>
          </cell>
          <cell r="H89">
            <v>24.804080963134801</v>
          </cell>
          <cell r="I89">
            <v>25.7530612945557</v>
          </cell>
          <cell r="J89">
            <v>29.393877029418899</v>
          </cell>
          <cell r="K89">
            <v>33.206123352050803</v>
          </cell>
          <cell r="L89">
            <v>38.073471069335902</v>
          </cell>
          <cell r="M89">
            <v>24.8457145690918</v>
          </cell>
          <cell r="N89">
            <v>24.5100002288818</v>
          </cell>
          <cell r="O89">
            <v>28.902652740478501</v>
          </cell>
          <cell r="P89">
            <v>26.901838302612301</v>
          </cell>
          <cell r="Q89">
            <v>20.217348098754901</v>
          </cell>
          <cell r="R89">
            <v>28.844285964965799</v>
          </cell>
          <cell r="S89">
            <v>19.5632648468018</v>
          </cell>
          <cell r="T89">
            <v>20.217348098754901</v>
          </cell>
          <cell r="U89">
            <v>26.843673706054702</v>
          </cell>
          <cell r="V89">
            <v>28.416732788085898</v>
          </cell>
          <cell r="W89">
            <v>26.843673706054702</v>
          </cell>
          <cell r="X89">
            <v>30.162857055664102</v>
          </cell>
          <cell r="Y89">
            <v>26.843673706054702</v>
          </cell>
          <cell r="Z89">
            <v>29.352857589721701</v>
          </cell>
          <cell r="AA89">
            <v>30.658979415893601</v>
          </cell>
          <cell r="AB89">
            <v>28.197795867919901</v>
          </cell>
          <cell r="AC89">
            <v>31.998409271240199</v>
          </cell>
          <cell r="AD89">
            <v>28.197795867919901</v>
          </cell>
          <cell r="AE89">
            <v>28.197795867919901</v>
          </cell>
          <cell r="AF89">
            <v>36.654941558837898</v>
          </cell>
          <cell r="AG89">
            <v>3.4015</v>
          </cell>
        </row>
        <row r="90">
          <cell r="A90">
            <v>39661</v>
          </cell>
          <cell r="B90">
            <v>33.688236236572301</v>
          </cell>
          <cell r="C90">
            <v>33.443138122558601</v>
          </cell>
          <cell r="D90">
            <v>33.443138122558601</v>
          </cell>
          <cell r="E90">
            <v>33.443138122558601</v>
          </cell>
          <cell r="F90">
            <v>25.1352939605713</v>
          </cell>
          <cell r="G90">
            <v>26.350980758666999</v>
          </cell>
          <cell r="H90">
            <v>25.1352939605713</v>
          </cell>
          <cell r="I90">
            <v>26.0470581054688</v>
          </cell>
          <cell r="J90">
            <v>25.812156677246101</v>
          </cell>
          <cell r="K90">
            <v>33.244117736816399</v>
          </cell>
          <cell r="L90">
            <v>37.862743377685497</v>
          </cell>
          <cell r="M90">
            <v>25.405097961425799</v>
          </cell>
          <cell r="N90">
            <v>23.813922882080099</v>
          </cell>
          <cell r="O90">
            <v>28.987646102905298</v>
          </cell>
          <cell r="P90">
            <v>27.380588531494102</v>
          </cell>
          <cell r="Q90">
            <v>20.370000839233398</v>
          </cell>
          <cell r="R90">
            <v>29.2664699554443</v>
          </cell>
          <cell r="S90">
            <v>19.741569519043001</v>
          </cell>
          <cell r="T90">
            <v>20.370000839233398</v>
          </cell>
          <cell r="U90">
            <v>26.835685729980501</v>
          </cell>
          <cell r="V90">
            <v>28.821958541870099</v>
          </cell>
          <cell r="W90">
            <v>26.835685729980501</v>
          </cell>
          <cell r="X90">
            <v>30.009803771972699</v>
          </cell>
          <cell r="Y90">
            <v>26.835685729980501</v>
          </cell>
          <cell r="Z90">
            <v>29.193529129028299</v>
          </cell>
          <cell r="AA90">
            <v>30.419019699096701</v>
          </cell>
          <cell r="AB90">
            <v>27.473371505737301</v>
          </cell>
          <cell r="AC90">
            <v>31.009057998657202</v>
          </cell>
          <cell r="AD90">
            <v>27.473371505737301</v>
          </cell>
          <cell r="AE90">
            <v>27.473371505737301</v>
          </cell>
          <cell r="AF90">
            <v>36.022396087646499</v>
          </cell>
          <cell r="AG90">
            <v>3.4415</v>
          </cell>
        </row>
        <row r="91">
          <cell r="A91">
            <v>39692</v>
          </cell>
          <cell r="B91">
            <v>27.793750762939499</v>
          </cell>
          <cell r="C91">
            <v>27.9916667938232</v>
          </cell>
          <cell r="D91">
            <v>27.9916667938232</v>
          </cell>
          <cell r="E91">
            <v>27.9916667938232</v>
          </cell>
          <cell r="F91">
            <v>19.657375335693398</v>
          </cell>
          <cell r="G91">
            <v>20.282375335693398</v>
          </cell>
          <cell r="H91">
            <v>19.657375335693398</v>
          </cell>
          <cell r="I91">
            <v>20.594875335693398</v>
          </cell>
          <cell r="J91">
            <v>24.235416412353501</v>
          </cell>
          <cell r="K91">
            <v>25.681249618530298</v>
          </cell>
          <cell r="L91">
            <v>29.268749237060501</v>
          </cell>
          <cell r="M91">
            <v>18.8558349609375</v>
          </cell>
          <cell r="N91">
            <v>18.297082901001001</v>
          </cell>
          <cell r="O91">
            <v>19.732500076293899</v>
          </cell>
          <cell r="P91">
            <v>20.8870849609375</v>
          </cell>
          <cell r="Q91">
            <v>16.914167404174801</v>
          </cell>
          <cell r="R91">
            <v>22.812084197998001</v>
          </cell>
          <cell r="S91">
            <v>16.330833435058601</v>
          </cell>
          <cell r="T91">
            <v>16.914167404174801</v>
          </cell>
          <cell r="U91">
            <v>22.732292175293001</v>
          </cell>
          <cell r="V91">
            <v>22.460414886474599</v>
          </cell>
          <cell r="W91">
            <v>22.732292175293001</v>
          </cell>
          <cell r="X91">
            <v>20.868333816528299</v>
          </cell>
          <cell r="Y91">
            <v>22.732292175293001</v>
          </cell>
          <cell r="Z91">
            <v>23.9447917938232</v>
          </cell>
          <cell r="AA91">
            <v>25.2260417938232</v>
          </cell>
          <cell r="AB91">
            <v>21.95920753479</v>
          </cell>
          <cell r="AC91">
            <v>24.310874938964801</v>
          </cell>
          <cell r="AD91">
            <v>22.2629585266113</v>
          </cell>
          <cell r="AE91">
            <v>21.95920753479</v>
          </cell>
          <cell r="AF91">
            <v>28.4783744812012</v>
          </cell>
          <cell r="AG91">
            <v>3.4245000000000001</v>
          </cell>
        </row>
        <row r="92">
          <cell r="A92">
            <v>39722</v>
          </cell>
          <cell r="B92">
            <v>26.617021560668899</v>
          </cell>
          <cell r="C92">
            <v>26.940423965454102</v>
          </cell>
          <cell r="D92">
            <v>26.940423965454102</v>
          </cell>
          <cell r="E92">
            <v>26.940423965454102</v>
          </cell>
          <cell r="F92">
            <v>21.0404243469238</v>
          </cell>
          <cell r="G92">
            <v>21.699998855590799</v>
          </cell>
          <cell r="H92">
            <v>21.0404243469238</v>
          </cell>
          <cell r="I92">
            <v>22.029787063598601</v>
          </cell>
          <cell r="J92">
            <v>23.4117031097412</v>
          </cell>
          <cell r="K92">
            <v>26.947872161865199</v>
          </cell>
          <cell r="L92">
            <v>29.4468078613281</v>
          </cell>
          <cell r="M92">
            <v>16.7629795074463</v>
          </cell>
          <cell r="N92">
            <v>16.965745925903299</v>
          </cell>
          <cell r="O92">
            <v>17.749574661254901</v>
          </cell>
          <cell r="P92">
            <v>18.9065971374512</v>
          </cell>
          <cell r="Q92">
            <v>15.7919149398804</v>
          </cell>
          <cell r="R92">
            <v>20.910425186157202</v>
          </cell>
          <cell r="S92">
            <v>15.389787673950201</v>
          </cell>
          <cell r="T92">
            <v>15.7919149398804</v>
          </cell>
          <cell r="U92">
            <v>22.4760646820068</v>
          </cell>
          <cell r="V92">
            <v>20.6791477203369</v>
          </cell>
          <cell r="W92">
            <v>22.4760646820068</v>
          </cell>
          <cell r="X92">
            <v>18.7195739746094</v>
          </cell>
          <cell r="Y92">
            <v>22.4760646820068</v>
          </cell>
          <cell r="Z92">
            <v>22.511171340942401</v>
          </cell>
          <cell r="AA92">
            <v>23.904787063598601</v>
          </cell>
          <cell r="AB92">
            <v>20.780744552612301</v>
          </cell>
          <cell r="AC92">
            <v>22.709894180297901</v>
          </cell>
          <cell r="AD92">
            <v>21.156702041626001</v>
          </cell>
          <cell r="AE92">
            <v>20.780744552612301</v>
          </cell>
          <cell r="AF92">
            <v>24.2035121917725</v>
          </cell>
          <cell r="AG92">
            <v>3.4495</v>
          </cell>
        </row>
        <row r="93">
          <cell r="A93">
            <v>39753</v>
          </cell>
          <cell r="B93">
            <v>27.697114944458001</v>
          </cell>
          <cell r="C93">
            <v>27.927885055541999</v>
          </cell>
          <cell r="D93">
            <v>27.927885055541999</v>
          </cell>
          <cell r="E93">
            <v>27.927885055541999</v>
          </cell>
          <cell r="F93">
            <v>21.4615383148193</v>
          </cell>
          <cell r="G93">
            <v>22.0384616851807</v>
          </cell>
          <cell r="H93">
            <v>21.4615383148193</v>
          </cell>
          <cell r="I93">
            <v>22.3269233703613</v>
          </cell>
          <cell r="J93">
            <v>23.917308807373001</v>
          </cell>
          <cell r="K93">
            <v>27.924037933349599</v>
          </cell>
          <cell r="L93">
            <v>30.554807662963899</v>
          </cell>
          <cell r="M93">
            <v>17.6226921081543</v>
          </cell>
          <cell r="N93">
            <v>17.5646152496338</v>
          </cell>
          <cell r="O93">
            <v>18.448076248168899</v>
          </cell>
          <cell r="P93">
            <v>19.4976921081543</v>
          </cell>
          <cell r="Q93">
            <v>17.014999389648398</v>
          </cell>
          <cell r="R93">
            <v>21.313076019287099</v>
          </cell>
          <cell r="S93">
            <v>16.311153411865199</v>
          </cell>
          <cell r="T93">
            <v>17.014999389648398</v>
          </cell>
          <cell r="U93">
            <v>21.6790370941162</v>
          </cell>
          <cell r="V93">
            <v>21.809614181518601</v>
          </cell>
          <cell r="W93">
            <v>21.6790370941162</v>
          </cell>
          <cell r="X93">
            <v>19.932308197021499</v>
          </cell>
          <cell r="Y93">
            <v>21.6790370941162</v>
          </cell>
          <cell r="Z93">
            <v>21.540576934814499</v>
          </cell>
          <cell r="AA93">
            <v>22.665576934814499</v>
          </cell>
          <cell r="AB93">
            <v>21.347846984863299</v>
          </cell>
          <cell r="AC93">
            <v>23.0970764160156</v>
          </cell>
          <cell r="AD93">
            <v>21.8047695159912</v>
          </cell>
          <cell r="AE93">
            <v>21.347846984863299</v>
          </cell>
          <cell r="AF93">
            <v>24.787847518920898</v>
          </cell>
          <cell r="AG93">
            <v>3.6015000000000001</v>
          </cell>
        </row>
        <row r="94">
          <cell r="A94">
            <v>39783</v>
          </cell>
          <cell r="B94">
            <v>26.921428680419901</v>
          </cell>
          <cell r="C94">
            <v>27.533674240112301</v>
          </cell>
          <cell r="D94">
            <v>27.533674240112301</v>
          </cell>
          <cell r="E94">
            <v>27.533674240112301</v>
          </cell>
          <cell r="F94">
            <v>21.763917922973601</v>
          </cell>
          <cell r="G94">
            <v>22.396570205688501</v>
          </cell>
          <cell r="H94">
            <v>21.763917922973601</v>
          </cell>
          <cell r="I94">
            <v>22.712898254394499</v>
          </cell>
          <cell r="J94">
            <v>25.490816116333001</v>
          </cell>
          <cell r="K94">
            <v>30.643878936767599</v>
          </cell>
          <cell r="L94">
            <v>31.873468399047901</v>
          </cell>
          <cell r="M94">
            <v>21.299797058105501</v>
          </cell>
          <cell r="N94">
            <v>21.210205078125</v>
          </cell>
          <cell r="O94">
            <v>17.412857055664102</v>
          </cell>
          <cell r="P94">
            <v>23.355918884277301</v>
          </cell>
          <cell r="Q94">
            <v>19.1408176422119</v>
          </cell>
          <cell r="R94">
            <v>25.298366546630898</v>
          </cell>
          <cell r="S94">
            <v>18.579591751098601</v>
          </cell>
          <cell r="T94">
            <v>19.1408176422119</v>
          </cell>
          <cell r="U94">
            <v>22.665102005004901</v>
          </cell>
          <cell r="V94">
            <v>21.110610961914102</v>
          </cell>
          <cell r="W94">
            <v>22.665102005004901</v>
          </cell>
          <cell r="X94">
            <v>22.903264999389599</v>
          </cell>
          <cell r="Y94">
            <v>22.665102005004901</v>
          </cell>
          <cell r="Z94">
            <v>22.643672943115199</v>
          </cell>
          <cell r="AA94">
            <v>23.9497966766357</v>
          </cell>
          <cell r="AB94">
            <v>22.307205200195298</v>
          </cell>
          <cell r="AC94">
            <v>24.548633575439499</v>
          </cell>
          <cell r="AD94">
            <v>22.718019485473601</v>
          </cell>
          <cell r="AE94">
            <v>22.307205200195298</v>
          </cell>
          <cell r="AF94">
            <v>26.195980072021499</v>
          </cell>
          <cell r="AG94">
            <v>3.7444999999999999</v>
          </cell>
        </row>
        <row r="95">
          <cell r="A95">
            <v>39814</v>
          </cell>
          <cell r="B95">
            <v>34.685096740722699</v>
          </cell>
          <cell r="C95">
            <v>35.17529296875</v>
          </cell>
          <cell r="D95">
            <v>35.17529296875</v>
          </cell>
          <cell r="E95">
            <v>35.17529296875</v>
          </cell>
          <cell r="F95">
            <v>22.758823394775401</v>
          </cell>
          <cell r="G95">
            <v>23.3666667938232</v>
          </cell>
          <cell r="H95">
            <v>22.758823394775401</v>
          </cell>
          <cell r="I95">
            <v>23.670587539672901</v>
          </cell>
          <cell r="J95">
            <v>29.892549514770501</v>
          </cell>
          <cell r="K95">
            <v>31.9107856750488</v>
          </cell>
          <cell r="L95">
            <v>33.588233947753899</v>
          </cell>
          <cell r="M95">
            <v>25.149412155151399</v>
          </cell>
          <cell r="N95">
            <v>24.871961593627901</v>
          </cell>
          <cell r="O95">
            <v>21.036666870117202</v>
          </cell>
          <cell r="P95">
            <v>27.124900817871101</v>
          </cell>
          <cell r="Q95">
            <v>23.700393676757798</v>
          </cell>
          <cell r="R95">
            <v>29.010784149169901</v>
          </cell>
          <cell r="S95">
            <v>21.819999694824201</v>
          </cell>
          <cell r="T95">
            <v>23.700393676757798</v>
          </cell>
          <cell r="U95">
            <v>25.5405883789063</v>
          </cell>
          <cell r="V95">
            <v>21.292547225952099</v>
          </cell>
          <cell r="W95">
            <v>25.5405883789063</v>
          </cell>
          <cell r="X95">
            <v>26.894214630126999</v>
          </cell>
          <cell r="Y95">
            <v>25.5405883789063</v>
          </cell>
          <cell r="Z95">
            <v>25.467058181762699</v>
          </cell>
          <cell r="AA95">
            <v>26.692548751831101</v>
          </cell>
          <cell r="AB95">
            <v>24.8753337860107</v>
          </cell>
          <cell r="AC95">
            <v>27.376705169677699</v>
          </cell>
          <cell r="AD95">
            <v>24.8753337860107</v>
          </cell>
          <cell r="AE95">
            <v>24.8753337860107</v>
          </cell>
          <cell r="AF95">
            <v>28.697883605956999</v>
          </cell>
          <cell r="AG95">
            <v>3.7825000000000002</v>
          </cell>
        </row>
        <row r="96">
          <cell r="A96">
            <v>39845</v>
          </cell>
          <cell r="B96">
            <v>33.860729217529297</v>
          </cell>
          <cell r="C96">
            <v>34.333454132080099</v>
          </cell>
          <cell r="D96">
            <v>34.333454132080099</v>
          </cell>
          <cell r="E96">
            <v>34.333454132080099</v>
          </cell>
          <cell r="F96">
            <v>23.005271911621101</v>
          </cell>
          <cell r="G96">
            <v>23.641635894775401</v>
          </cell>
          <cell r="H96">
            <v>23.005271911621101</v>
          </cell>
          <cell r="I96">
            <v>23.9598178863525</v>
          </cell>
          <cell r="J96">
            <v>27.176000595092798</v>
          </cell>
          <cell r="K96">
            <v>30.700000762939499</v>
          </cell>
          <cell r="L96">
            <v>33.763637542724602</v>
          </cell>
          <cell r="M96">
            <v>22.716363906860401</v>
          </cell>
          <cell r="N96">
            <v>22.4409084320068</v>
          </cell>
          <cell r="O96">
            <v>21.329999923706101</v>
          </cell>
          <cell r="P96">
            <v>24.7845458984375</v>
          </cell>
          <cell r="Q96">
            <v>21.812726974487301</v>
          </cell>
          <cell r="R96">
            <v>26.7354545593262</v>
          </cell>
          <cell r="S96">
            <v>20.161817550659201</v>
          </cell>
          <cell r="T96">
            <v>21.812726974487301</v>
          </cell>
          <cell r="U96">
            <v>23.970544815063501</v>
          </cell>
          <cell r="V96">
            <v>21.112726211547901</v>
          </cell>
          <cell r="W96">
            <v>23.970544815063501</v>
          </cell>
          <cell r="X96">
            <v>25.046363830566399</v>
          </cell>
          <cell r="Y96">
            <v>23.970544815063501</v>
          </cell>
          <cell r="Z96">
            <v>23.9569091796875</v>
          </cell>
          <cell r="AA96">
            <v>25.275091171264599</v>
          </cell>
          <cell r="AB96">
            <v>24.851272583007798</v>
          </cell>
          <cell r="AC96">
            <v>27.175819396972699</v>
          </cell>
          <cell r="AD96">
            <v>24.851272583007798</v>
          </cell>
          <cell r="AE96">
            <v>24.851272583007798</v>
          </cell>
          <cell r="AF96">
            <v>28.360364913940401</v>
          </cell>
          <cell r="AG96">
            <v>3.7265000000000001</v>
          </cell>
        </row>
        <row r="97">
          <cell r="A97">
            <v>39873</v>
          </cell>
          <cell r="B97">
            <v>31.182653427123999</v>
          </cell>
          <cell r="C97">
            <v>30.866327285766602</v>
          </cell>
          <cell r="D97">
            <v>30.866327285766602</v>
          </cell>
          <cell r="E97">
            <v>30.866327285766602</v>
          </cell>
          <cell r="F97">
            <v>20.289958953857401</v>
          </cell>
          <cell r="G97">
            <v>20.922611236572301</v>
          </cell>
          <cell r="H97">
            <v>20.289958953857401</v>
          </cell>
          <cell r="I97">
            <v>21.238937377929702</v>
          </cell>
          <cell r="J97">
            <v>22.566734313964801</v>
          </cell>
          <cell r="K97">
            <v>28.481632232666001</v>
          </cell>
          <cell r="L97">
            <v>28.379592895507798</v>
          </cell>
          <cell r="M97">
            <v>21.7240810394287</v>
          </cell>
          <cell r="N97">
            <v>21.4140815734863</v>
          </cell>
          <cell r="O97">
            <v>21.076122283935501</v>
          </cell>
          <cell r="P97">
            <v>23.780204772949201</v>
          </cell>
          <cell r="Q97">
            <v>19.186326980590799</v>
          </cell>
          <cell r="R97">
            <v>25.722652435302699</v>
          </cell>
          <cell r="S97">
            <v>18.396530151367202</v>
          </cell>
          <cell r="T97">
            <v>19.186326980590799</v>
          </cell>
          <cell r="U97">
            <v>22.323877334594702</v>
          </cell>
          <cell r="V97">
            <v>20.733058929443398</v>
          </cell>
          <cell r="W97">
            <v>22.323877334594702</v>
          </cell>
          <cell r="X97">
            <v>21.0626525878906</v>
          </cell>
          <cell r="Y97">
            <v>22.323877334594702</v>
          </cell>
          <cell r="Z97">
            <v>22.302448272705099</v>
          </cell>
          <cell r="AA97">
            <v>23.608570098876999</v>
          </cell>
          <cell r="AB97">
            <v>23.780652999877901</v>
          </cell>
          <cell r="AC97">
            <v>25.551673889160199</v>
          </cell>
          <cell r="AD97">
            <v>23.780652999877901</v>
          </cell>
          <cell r="AE97">
            <v>23.780652999877901</v>
          </cell>
          <cell r="AF97">
            <v>26.737794876098601</v>
          </cell>
          <cell r="AG97">
            <v>3.5964999999999998</v>
          </cell>
        </row>
        <row r="98">
          <cell r="A98">
            <v>39904</v>
          </cell>
          <cell r="B98">
            <v>29.078260421752901</v>
          </cell>
          <cell r="C98">
            <v>28.8086967468262</v>
          </cell>
          <cell r="D98">
            <v>28.8086967468262</v>
          </cell>
          <cell r="E98">
            <v>28.8086967468262</v>
          </cell>
          <cell r="F98">
            <v>20.227216720581101</v>
          </cell>
          <cell r="G98">
            <v>20.879390716552699</v>
          </cell>
          <cell r="H98">
            <v>20.227216720581101</v>
          </cell>
          <cell r="I98">
            <v>21.205478668212901</v>
          </cell>
          <cell r="J98">
            <v>22.563390731811499</v>
          </cell>
          <cell r="K98">
            <v>27.8978271484375</v>
          </cell>
          <cell r="L98">
            <v>28.200000762939499</v>
          </cell>
          <cell r="M98">
            <v>18.633913040161101</v>
          </cell>
          <cell r="N98">
            <v>18.359565734863299</v>
          </cell>
          <cell r="O98">
            <v>20.644783020019499</v>
          </cell>
          <cell r="P98">
            <v>20.753477096557599</v>
          </cell>
          <cell r="Q98">
            <v>17.435216903686499</v>
          </cell>
          <cell r="R98">
            <v>22.740434646606399</v>
          </cell>
          <cell r="S98">
            <v>16.8186950683594</v>
          </cell>
          <cell r="T98">
            <v>17.435216903686499</v>
          </cell>
          <cell r="U98">
            <v>21.166521072387699</v>
          </cell>
          <cell r="V98">
            <v>20.665216445922901</v>
          </cell>
          <cell r="W98">
            <v>21.166521072387699</v>
          </cell>
          <cell r="X98">
            <v>19.261304855346701</v>
          </cell>
          <cell r="Y98">
            <v>21.166521072387699</v>
          </cell>
          <cell r="Z98">
            <v>21.1860866546631</v>
          </cell>
          <cell r="AA98">
            <v>22.5556526184082</v>
          </cell>
          <cell r="AB98">
            <v>23.157566070556602</v>
          </cell>
          <cell r="AC98">
            <v>25.0471305847168</v>
          </cell>
          <cell r="AD98">
            <v>23.157566070556602</v>
          </cell>
          <cell r="AE98">
            <v>23.157566070556602</v>
          </cell>
          <cell r="AF98">
            <v>26.144435882568398</v>
          </cell>
          <cell r="AG98">
            <v>3.4115000000000002</v>
          </cell>
        </row>
        <row r="99">
          <cell r="A99">
            <v>39934</v>
          </cell>
          <cell r="B99">
            <v>29.303773880004901</v>
          </cell>
          <cell r="C99">
            <v>28.613208770751999</v>
          </cell>
          <cell r="D99">
            <v>28.613208770751999</v>
          </cell>
          <cell r="E99">
            <v>28.613208770751999</v>
          </cell>
          <cell r="F99">
            <v>20.853357315063501</v>
          </cell>
          <cell r="G99">
            <v>21.4382648468018</v>
          </cell>
          <cell r="H99">
            <v>20.853357315063501</v>
          </cell>
          <cell r="I99">
            <v>21.730716705322301</v>
          </cell>
          <cell r="J99">
            <v>20.878301620483398</v>
          </cell>
          <cell r="K99">
            <v>31.5905666351318</v>
          </cell>
          <cell r="L99">
            <v>30.818868637085</v>
          </cell>
          <cell r="M99">
            <v>18.733207702636701</v>
          </cell>
          <cell r="N99">
            <v>18.480566024780298</v>
          </cell>
          <cell r="O99">
            <v>22.233396530151399</v>
          </cell>
          <cell r="P99">
            <v>20.634151458740199</v>
          </cell>
          <cell r="Q99">
            <v>17.512264251708999</v>
          </cell>
          <cell r="R99">
            <v>22.467735290527301</v>
          </cell>
          <cell r="S99">
            <v>16.256038665771499</v>
          </cell>
          <cell r="T99">
            <v>17.512264251708999</v>
          </cell>
          <cell r="U99">
            <v>20.315282821655298</v>
          </cell>
          <cell r="V99">
            <v>22.2060356140137</v>
          </cell>
          <cell r="W99">
            <v>20.315282821655298</v>
          </cell>
          <cell r="X99">
            <v>19.9086799621582</v>
          </cell>
          <cell r="Y99">
            <v>20.315282821655298</v>
          </cell>
          <cell r="Z99">
            <v>20.1935844421387</v>
          </cell>
          <cell r="AA99">
            <v>21.344528198242202</v>
          </cell>
          <cell r="AB99">
            <v>24.262981414794901</v>
          </cell>
          <cell r="AC99">
            <v>26.293359756469702</v>
          </cell>
          <cell r="AD99">
            <v>24.262981414794901</v>
          </cell>
          <cell r="AE99">
            <v>24.262981414794901</v>
          </cell>
          <cell r="AF99">
            <v>28.0411891937256</v>
          </cell>
          <cell r="AG99">
            <v>3.4064999999999999</v>
          </cell>
        </row>
        <row r="100">
          <cell r="A100">
            <v>39965</v>
          </cell>
          <cell r="B100">
            <v>30.298912048339801</v>
          </cell>
          <cell r="C100">
            <v>29.985868453979499</v>
          </cell>
          <cell r="D100">
            <v>29.985868453979499</v>
          </cell>
          <cell r="E100">
            <v>29.985868453979499</v>
          </cell>
          <cell r="F100">
            <v>20.749130249023398</v>
          </cell>
          <cell r="G100">
            <v>21.401304244995099</v>
          </cell>
          <cell r="H100">
            <v>20.749130249023398</v>
          </cell>
          <cell r="I100">
            <v>21.727390289306602</v>
          </cell>
          <cell r="J100">
            <v>23.797391891479499</v>
          </cell>
          <cell r="K100">
            <v>29.095218658447301</v>
          </cell>
          <cell r="L100">
            <v>32.332176208496101</v>
          </cell>
          <cell r="M100">
            <v>22.782609939575199</v>
          </cell>
          <cell r="N100">
            <v>22.8943481445313</v>
          </cell>
          <cell r="O100">
            <v>26.209999084472699</v>
          </cell>
          <cell r="P100">
            <v>24.902173995971701</v>
          </cell>
          <cell r="Q100">
            <v>18.5439128875732</v>
          </cell>
          <cell r="R100">
            <v>26.8891296386719</v>
          </cell>
          <cell r="S100">
            <v>17.680435180664102</v>
          </cell>
          <cell r="T100">
            <v>18.5439128875732</v>
          </cell>
          <cell r="U100">
            <v>24.148694992065401</v>
          </cell>
          <cell r="V100">
            <v>24.273912429809599</v>
          </cell>
          <cell r="W100">
            <v>24.148694992065401</v>
          </cell>
          <cell r="X100">
            <v>26.841304779052699</v>
          </cell>
          <cell r="Y100">
            <v>24.148694992065401</v>
          </cell>
          <cell r="Z100">
            <v>25.472608566284201</v>
          </cell>
          <cell r="AA100">
            <v>26.8421745300293</v>
          </cell>
          <cell r="AB100">
            <v>25.5413913726807</v>
          </cell>
          <cell r="AC100">
            <v>28.2679119110107</v>
          </cell>
          <cell r="AD100">
            <v>25.5413913726807</v>
          </cell>
          <cell r="AE100">
            <v>25.5413913726807</v>
          </cell>
          <cell r="AF100">
            <v>30.5283508300781</v>
          </cell>
          <cell r="AG100">
            <v>3.4415</v>
          </cell>
        </row>
        <row r="101">
          <cell r="A101">
            <v>39995</v>
          </cell>
          <cell r="B101">
            <v>33.488296508789098</v>
          </cell>
          <cell r="C101">
            <v>33.264892578125</v>
          </cell>
          <cell r="D101">
            <v>33.264892578125</v>
          </cell>
          <cell r="E101">
            <v>33.264892578125</v>
          </cell>
          <cell r="F101">
            <v>20.077659606933601</v>
          </cell>
          <cell r="G101">
            <v>20.7372341156006</v>
          </cell>
          <cell r="H101">
            <v>20.077659606933601</v>
          </cell>
          <cell r="I101">
            <v>21.067020416259801</v>
          </cell>
          <cell r="J101">
            <v>28.696382522583001</v>
          </cell>
          <cell r="K101">
            <v>33.515956878662102</v>
          </cell>
          <cell r="L101">
            <v>38.408512115478501</v>
          </cell>
          <cell r="M101">
            <v>24.802553176879901</v>
          </cell>
          <cell r="N101">
            <v>24.433404922485401</v>
          </cell>
          <cell r="O101">
            <v>29.033828735351602</v>
          </cell>
          <cell r="P101">
            <v>26.946170806884801</v>
          </cell>
          <cell r="Q101">
            <v>20.5453186035156</v>
          </cell>
          <cell r="R101">
            <v>28.950000762939499</v>
          </cell>
          <cell r="S101">
            <v>19.274042129516602</v>
          </cell>
          <cell r="T101">
            <v>20.5453186035156</v>
          </cell>
          <cell r="U101">
            <v>26.756595611572301</v>
          </cell>
          <cell r="V101">
            <v>28.391914367675799</v>
          </cell>
          <cell r="W101">
            <v>26.756595611572301</v>
          </cell>
          <cell r="X101">
            <v>30.233190536498999</v>
          </cell>
          <cell r="Y101">
            <v>26.756595611572301</v>
          </cell>
          <cell r="Z101">
            <v>29.430000305175799</v>
          </cell>
          <cell r="AA101">
            <v>30.823616027831999</v>
          </cell>
          <cell r="AB101">
            <v>28.531744003295898</v>
          </cell>
          <cell r="AC101">
            <v>32.305999755859403</v>
          </cell>
          <cell r="AD101">
            <v>28.531744003295898</v>
          </cell>
          <cell r="AE101">
            <v>28.531744003295898</v>
          </cell>
          <cell r="AF101">
            <v>36.889194488525398</v>
          </cell>
          <cell r="AG101">
            <v>3.4815</v>
          </cell>
        </row>
        <row r="102">
          <cell r="A102">
            <v>40026</v>
          </cell>
          <cell r="B102">
            <v>34.188236236572301</v>
          </cell>
          <cell r="C102">
            <v>33.943138122558601</v>
          </cell>
          <cell r="D102">
            <v>33.943138122558601</v>
          </cell>
          <cell r="E102">
            <v>33.943138122558601</v>
          </cell>
          <cell r="F102">
            <v>19.9735298156738</v>
          </cell>
          <cell r="G102">
            <v>20.581373214721701</v>
          </cell>
          <cell r="H102">
            <v>19.9735298156738</v>
          </cell>
          <cell r="I102">
            <v>20.8852939605713</v>
          </cell>
          <cell r="J102">
            <v>25.1309814453125</v>
          </cell>
          <cell r="K102">
            <v>33.494117736816399</v>
          </cell>
          <cell r="L102">
            <v>38.058822631835902</v>
          </cell>
          <cell r="M102">
            <v>25.709020614623999</v>
          </cell>
          <cell r="N102">
            <v>24.117843627929702</v>
          </cell>
          <cell r="O102">
            <v>29.232744216918899</v>
          </cell>
          <cell r="P102">
            <v>27.684511184692401</v>
          </cell>
          <cell r="Q102">
            <v>21.2170600891113</v>
          </cell>
          <cell r="R102">
            <v>29.570392608642599</v>
          </cell>
          <cell r="S102">
            <v>20.045490264892599</v>
          </cell>
          <cell r="T102">
            <v>21.2170600891113</v>
          </cell>
          <cell r="U102">
            <v>27.139606475830099</v>
          </cell>
          <cell r="V102">
            <v>29.223920822143601</v>
          </cell>
          <cell r="W102">
            <v>27.139606475830099</v>
          </cell>
          <cell r="X102">
            <v>30.313724517822301</v>
          </cell>
          <cell r="Y102">
            <v>27.139606475830099</v>
          </cell>
          <cell r="Z102">
            <v>29.497451782226602</v>
          </cell>
          <cell r="AA102">
            <v>30.7229404449463</v>
          </cell>
          <cell r="AB102">
            <v>28.242000579833999</v>
          </cell>
          <cell r="AC102">
            <v>31.777687072753899</v>
          </cell>
          <cell r="AD102">
            <v>28.242000579833999</v>
          </cell>
          <cell r="AE102">
            <v>28.242000579833999</v>
          </cell>
          <cell r="AF102">
            <v>36.791023254394503</v>
          </cell>
          <cell r="AG102">
            <v>3.5215000000000001</v>
          </cell>
        </row>
        <row r="103">
          <cell r="A103">
            <v>40057</v>
          </cell>
          <cell r="B103">
            <v>28.293750762939499</v>
          </cell>
          <cell r="C103">
            <v>28.4916667938232</v>
          </cell>
          <cell r="D103">
            <v>28.4916667938232</v>
          </cell>
          <cell r="E103">
            <v>28.4916667938232</v>
          </cell>
          <cell r="F103">
            <v>20.6866245269775</v>
          </cell>
          <cell r="G103">
            <v>21.3116245269775</v>
          </cell>
          <cell r="H103">
            <v>20.6866245269775</v>
          </cell>
          <cell r="I103">
            <v>21.6241245269775</v>
          </cell>
          <cell r="J103">
            <v>23.529167175293001</v>
          </cell>
          <cell r="K103">
            <v>25.931249618530298</v>
          </cell>
          <cell r="L103">
            <v>29.456249237060501</v>
          </cell>
          <cell r="M103">
            <v>19.1683349609375</v>
          </cell>
          <cell r="N103">
            <v>18.609582901001001</v>
          </cell>
          <cell r="O103">
            <v>19.972084045410199</v>
          </cell>
          <cell r="P103">
            <v>21.1995849609375</v>
          </cell>
          <cell r="Q103">
            <v>17.755832672119102</v>
          </cell>
          <cell r="R103">
            <v>23.124584197998001</v>
          </cell>
          <cell r="S103">
            <v>16.643333435058601</v>
          </cell>
          <cell r="T103">
            <v>17.755832672119102</v>
          </cell>
          <cell r="U103">
            <v>23.044792175293001</v>
          </cell>
          <cell r="V103">
            <v>22.866664886474599</v>
          </cell>
          <cell r="W103">
            <v>23.044792175293001</v>
          </cell>
          <cell r="X103">
            <v>21.180833816528299</v>
          </cell>
          <cell r="Y103">
            <v>23.044792175293001</v>
          </cell>
          <cell r="Z103">
            <v>24.2572917938232</v>
          </cell>
          <cell r="AA103">
            <v>25.5385417938232</v>
          </cell>
          <cell r="AB103">
            <v>22.7196254730225</v>
          </cell>
          <cell r="AC103">
            <v>25.071290969848601</v>
          </cell>
          <cell r="AD103">
            <v>23.023374557495099</v>
          </cell>
          <cell r="AE103">
            <v>22.7196254730225</v>
          </cell>
          <cell r="AF103">
            <v>29.238792419433601</v>
          </cell>
          <cell r="AG103">
            <v>3.5045000000000002</v>
          </cell>
        </row>
        <row r="104">
          <cell r="A104">
            <v>40087</v>
          </cell>
          <cell r="B104">
            <v>27.076530456543001</v>
          </cell>
          <cell r="C104">
            <v>27.386734008789102</v>
          </cell>
          <cell r="D104">
            <v>27.386734008789102</v>
          </cell>
          <cell r="E104">
            <v>27.386734008789102</v>
          </cell>
          <cell r="F104">
            <v>25.521835327148398</v>
          </cell>
          <cell r="G104">
            <v>26.1544895172119</v>
          </cell>
          <cell r="H104">
            <v>25.521835327148398</v>
          </cell>
          <cell r="I104">
            <v>26.4708156585693</v>
          </cell>
          <cell r="J104">
            <v>22.885713577270501</v>
          </cell>
          <cell r="K104">
            <v>27.316328048706101</v>
          </cell>
          <cell r="L104">
            <v>29.744897842407202</v>
          </cell>
          <cell r="M104">
            <v>17.1546936035156</v>
          </cell>
          <cell r="N104">
            <v>17.4275512695313</v>
          </cell>
          <cell r="O104">
            <v>17.834081649780298</v>
          </cell>
          <cell r="P104">
            <v>19.210817337036101</v>
          </cell>
          <cell r="Q104">
            <v>16.658367156982401</v>
          </cell>
          <cell r="R104">
            <v>21.153264999389599</v>
          </cell>
          <cell r="S104">
            <v>15.857959747314499</v>
          </cell>
          <cell r="T104">
            <v>16.658367156982401</v>
          </cell>
          <cell r="U104">
            <v>22.758102416992202</v>
          </cell>
          <cell r="V104">
            <v>21.294284820556602</v>
          </cell>
          <cell r="W104">
            <v>22.758102416992202</v>
          </cell>
          <cell r="X104">
            <v>19.139429092407202</v>
          </cell>
          <cell r="Y104">
            <v>22.758102416992202</v>
          </cell>
          <cell r="Z104">
            <v>22.7366733551025</v>
          </cell>
          <cell r="AA104">
            <v>24.0427951812744</v>
          </cell>
          <cell r="AB104">
            <v>21.717899322509801</v>
          </cell>
          <cell r="AC104">
            <v>23.679735183715799</v>
          </cell>
          <cell r="AD104">
            <v>22.104223251342798</v>
          </cell>
          <cell r="AE104">
            <v>21.717899322509801</v>
          </cell>
          <cell r="AF104">
            <v>25.220960617065401</v>
          </cell>
          <cell r="AG104">
            <v>3.5295000000000001</v>
          </cell>
        </row>
        <row r="105">
          <cell r="A105">
            <v>40118</v>
          </cell>
          <cell r="B105">
            <v>28.140001296997099</v>
          </cell>
          <cell r="C105">
            <v>28.380001068115199</v>
          </cell>
          <cell r="D105">
            <v>28.380001068115199</v>
          </cell>
          <cell r="E105">
            <v>28.380001068115199</v>
          </cell>
          <cell r="F105">
            <v>27.042079925537099</v>
          </cell>
          <cell r="G105">
            <v>27.6420783996582</v>
          </cell>
          <cell r="H105">
            <v>27.042079925537099</v>
          </cell>
          <cell r="I105">
            <v>27.942079544067401</v>
          </cell>
          <cell r="J105">
            <v>23.079999923706101</v>
          </cell>
          <cell r="K105">
            <v>28.079999923706101</v>
          </cell>
          <cell r="L105">
            <v>30.670000076293899</v>
          </cell>
          <cell r="M105">
            <v>17.803199768066399</v>
          </cell>
          <cell r="N105">
            <v>17.697999954223601</v>
          </cell>
          <cell r="O105">
            <v>18.8332004547119</v>
          </cell>
          <cell r="P105">
            <v>19.753200531005898</v>
          </cell>
          <cell r="Q105">
            <v>17.760799407958999</v>
          </cell>
          <cell r="R105">
            <v>21.621200561523398</v>
          </cell>
          <cell r="S105">
            <v>16.4192008972168</v>
          </cell>
          <cell r="T105">
            <v>17.760799407958999</v>
          </cell>
          <cell r="U105">
            <v>21.900598526001001</v>
          </cell>
          <cell r="V105">
            <v>22.051998138427699</v>
          </cell>
          <cell r="W105">
            <v>21.900598526001001</v>
          </cell>
          <cell r="X105">
            <v>20.099199295043899</v>
          </cell>
          <cell r="Y105">
            <v>21.900598526001001</v>
          </cell>
          <cell r="Z105">
            <v>21.810600280761701</v>
          </cell>
          <cell r="AA105">
            <v>23.0105991363525</v>
          </cell>
          <cell r="AB105">
            <v>21.956119537353501</v>
          </cell>
          <cell r="AC105">
            <v>23.726119995117202</v>
          </cell>
          <cell r="AD105">
            <v>22.406120300293001</v>
          </cell>
          <cell r="AE105">
            <v>21.956119537353501</v>
          </cell>
          <cell r="AF105">
            <v>25.318120956420898</v>
          </cell>
          <cell r="AG105">
            <v>3.6815000000000002</v>
          </cell>
        </row>
        <row r="106">
          <cell r="A106">
            <v>40148</v>
          </cell>
          <cell r="B106">
            <v>27.421428680419901</v>
          </cell>
          <cell r="C106">
            <v>28.033674240112301</v>
          </cell>
          <cell r="D106">
            <v>28.033674240112301</v>
          </cell>
          <cell r="E106">
            <v>28.033674240112301</v>
          </cell>
          <cell r="F106">
            <v>27.783632278442401</v>
          </cell>
          <cell r="G106">
            <v>28.416284561157202</v>
          </cell>
          <cell r="H106">
            <v>27.783632278442401</v>
          </cell>
          <cell r="I106">
            <v>28.732612609863299</v>
          </cell>
          <cell r="J106">
            <v>24.7734699249268</v>
          </cell>
          <cell r="K106">
            <v>30.893878936767599</v>
          </cell>
          <cell r="L106">
            <v>32.057144165039098</v>
          </cell>
          <cell r="M106">
            <v>21.616123199462901</v>
          </cell>
          <cell r="N106">
            <v>21.526531219482401</v>
          </cell>
          <cell r="O106">
            <v>17.6475505828857</v>
          </cell>
          <cell r="P106">
            <v>23.672245025634801</v>
          </cell>
          <cell r="Q106">
            <v>19.975509643554702</v>
          </cell>
          <cell r="R106">
            <v>25.6146945953369</v>
          </cell>
          <cell r="S106">
            <v>18.895919799804702</v>
          </cell>
          <cell r="T106">
            <v>19.975509643554702</v>
          </cell>
          <cell r="U106">
            <v>22.981428146362301</v>
          </cell>
          <cell r="V106">
            <v>21.518774032592798</v>
          </cell>
          <cell r="W106">
            <v>22.981428146362301</v>
          </cell>
          <cell r="X106">
            <v>23.219591140747099</v>
          </cell>
          <cell r="Y106">
            <v>22.981428146362301</v>
          </cell>
          <cell r="Z106">
            <v>22.959999084472699</v>
          </cell>
          <cell r="AA106">
            <v>24.2661228179932</v>
          </cell>
          <cell r="AB106">
            <v>23.0663871765137</v>
          </cell>
          <cell r="AC106">
            <v>25.307815551757798</v>
          </cell>
          <cell r="AD106">
            <v>23.4772033691406</v>
          </cell>
          <cell r="AE106">
            <v>23.0663871765137</v>
          </cell>
          <cell r="AF106">
            <v>26.955163955688501</v>
          </cell>
          <cell r="AG106">
            <v>3.8245</v>
          </cell>
        </row>
        <row r="107">
          <cell r="A107">
            <v>40179</v>
          </cell>
          <cell r="B107">
            <v>35.100902557372997</v>
          </cell>
          <cell r="C107">
            <v>35.666942596435497</v>
          </cell>
          <cell r="D107">
            <v>35.666942596435497</v>
          </cell>
          <cell r="E107">
            <v>35.666942596435497</v>
          </cell>
          <cell r="F107">
            <v>21.730718612670898</v>
          </cell>
          <cell r="G107">
            <v>22.315624237060501</v>
          </cell>
          <cell r="H107">
            <v>21.730718612670898</v>
          </cell>
          <cell r="I107">
            <v>22.608076095581101</v>
          </cell>
          <cell r="J107">
            <v>30.047660827636701</v>
          </cell>
          <cell r="K107">
            <v>32.466983795166001</v>
          </cell>
          <cell r="L107">
            <v>33.888679504394503</v>
          </cell>
          <cell r="M107">
            <v>25.436225891113299</v>
          </cell>
          <cell r="N107">
            <v>25.125471115112301</v>
          </cell>
          <cell r="O107">
            <v>21.4975471496582</v>
          </cell>
          <cell r="P107">
            <v>27.3371696472168</v>
          </cell>
          <cell r="Q107">
            <v>25.619623184204102</v>
          </cell>
          <cell r="R107">
            <v>29.1707553863525</v>
          </cell>
          <cell r="S107">
            <v>22.2513217926025</v>
          </cell>
          <cell r="T107">
            <v>25.619623184204102</v>
          </cell>
          <cell r="U107">
            <v>25.873018264770501</v>
          </cell>
          <cell r="V107">
            <v>21.800376892089801</v>
          </cell>
          <cell r="W107">
            <v>25.873018264770501</v>
          </cell>
          <cell r="X107">
            <v>27.1246223449707</v>
          </cell>
          <cell r="Y107">
            <v>25.873018264770501</v>
          </cell>
          <cell r="Z107">
            <v>25.751319885253899</v>
          </cell>
          <cell r="AA107">
            <v>26.902263641357401</v>
          </cell>
          <cell r="AB107">
            <v>25.801811218261701</v>
          </cell>
          <cell r="AC107">
            <v>28.285018920898398</v>
          </cell>
          <cell r="AD107">
            <v>25.801811218261701</v>
          </cell>
          <cell r="AE107">
            <v>25.801811218261701</v>
          </cell>
          <cell r="AF107">
            <v>29.5933227539063</v>
          </cell>
          <cell r="AG107">
            <v>3.8624999999999998</v>
          </cell>
        </row>
        <row r="108">
          <cell r="A108">
            <v>40210</v>
          </cell>
          <cell r="B108">
            <v>34.360729217529297</v>
          </cell>
          <cell r="C108">
            <v>34.833454132080099</v>
          </cell>
          <cell r="D108">
            <v>34.833454132080099</v>
          </cell>
          <cell r="E108">
            <v>34.833454132080099</v>
          </cell>
          <cell r="F108">
            <v>22.034364700317401</v>
          </cell>
          <cell r="G108">
            <v>22.670728683471701</v>
          </cell>
          <cell r="H108">
            <v>22.034364700317401</v>
          </cell>
          <cell r="I108">
            <v>22.988908767700199</v>
          </cell>
          <cell r="J108">
            <v>27.4078178405762</v>
          </cell>
          <cell r="K108">
            <v>31.200000762939499</v>
          </cell>
          <cell r="L108">
            <v>33.9454536437988</v>
          </cell>
          <cell r="M108">
            <v>23.0345458984375</v>
          </cell>
          <cell r="N108">
            <v>22.759090423583999</v>
          </cell>
          <cell r="O108">
            <v>21.5572719573975</v>
          </cell>
          <cell r="P108">
            <v>25.102727890014599</v>
          </cell>
          <cell r="Q108">
            <v>23.0545463562012</v>
          </cell>
          <cell r="R108">
            <v>27.053636550903299</v>
          </cell>
          <cell r="S108">
            <v>20.4799995422363</v>
          </cell>
          <cell r="T108">
            <v>23.0545463562012</v>
          </cell>
          <cell r="U108">
            <v>24.2887268066406</v>
          </cell>
          <cell r="V108">
            <v>21.521816253662099</v>
          </cell>
          <cell r="W108">
            <v>24.2887268066406</v>
          </cell>
          <cell r="X108">
            <v>25.364545822143601</v>
          </cell>
          <cell r="Y108">
            <v>24.2887268066406</v>
          </cell>
          <cell r="Z108">
            <v>24.275091171264599</v>
          </cell>
          <cell r="AA108">
            <v>25.5932731628418</v>
          </cell>
          <cell r="AB108">
            <v>25.601272583007798</v>
          </cell>
          <cell r="AC108">
            <v>27.925819396972699</v>
          </cell>
          <cell r="AD108">
            <v>25.601272583007798</v>
          </cell>
          <cell r="AE108">
            <v>25.601272583007798</v>
          </cell>
          <cell r="AF108">
            <v>29.110364913940401</v>
          </cell>
          <cell r="AG108">
            <v>3.8065000000000002</v>
          </cell>
        </row>
        <row r="109">
          <cell r="A109">
            <v>40238</v>
          </cell>
          <cell r="B109">
            <v>31.713830947876001</v>
          </cell>
          <cell r="C109">
            <v>31.450000762939499</v>
          </cell>
          <cell r="D109">
            <v>31.450000762939499</v>
          </cell>
          <cell r="E109">
            <v>31.450000762939499</v>
          </cell>
          <cell r="F109">
            <v>19.1108093261719</v>
          </cell>
          <cell r="G109">
            <v>19.770383834838899</v>
          </cell>
          <cell r="H109">
            <v>19.1108093261719</v>
          </cell>
          <cell r="I109">
            <v>20.100170135498001</v>
          </cell>
          <cell r="J109">
            <v>22.790254592895501</v>
          </cell>
          <cell r="K109">
            <v>28.8510646820068</v>
          </cell>
          <cell r="L109">
            <v>28.302127838134801</v>
          </cell>
          <cell r="M109">
            <v>22.137872695922901</v>
          </cell>
          <cell r="N109">
            <v>21.864042282104499</v>
          </cell>
          <cell r="O109">
            <v>21.1112766265869</v>
          </cell>
          <cell r="P109">
            <v>24.281488418579102</v>
          </cell>
          <cell r="Q109">
            <v>19.670850753784201</v>
          </cell>
          <cell r="R109">
            <v>26.285320281982401</v>
          </cell>
          <cell r="S109">
            <v>18.647447586059599</v>
          </cell>
          <cell r="T109">
            <v>19.670850753784201</v>
          </cell>
          <cell r="U109">
            <v>22.695106506347699</v>
          </cell>
          <cell r="V109">
            <v>21.040849685668899</v>
          </cell>
          <cell r="W109">
            <v>22.695106506347699</v>
          </cell>
          <cell r="X109">
            <v>21.437660217285199</v>
          </cell>
          <cell r="Y109">
            <v>22.695106506347699</v>
          </cell>
          <cell r="Z109">
            <v>22.7302131652832</v>
          </cell>
          <cell r="AA109">
            <v>24.123828887939499</v>
          </cell>
          <cell r="AB109">
            <v>24.352807998657202</v>
          </cell>
          <cell r="AC109">
            <v>26.113233566284201</v>
          </cell>
          <cell r="AD109">
            <v>24.352807998657202</v>
          </cell>
          <cell r="AE109">
            <v>24.352807998657202</v>
          </cell>
          <cell r="AF109">
            <v>27.329404830932599</v>
          </cell>
          <cell r="AG109">
            <v>3.6764999999999999</v>
          </cell>
        </row>
        <row r="110">
          <cell r="A110">
            <v>40269</v>
          </cell>
          <cell r="B110">
            <v>29.578260421752901</v>
          </cell>
          <cell r="C110">
            <v>29.3086967468262</v>
          </cell>
          <cell r="D110">
            <v>29.3086967468262</v>
          </cell>
          <cell r="E110">
            <v>29.3086967468262</v>
          </cell>
          <cell r="F110">
            <v>19.8824348449707</v>
          </cell>
          <cell r="G110">
            <v>20.534608840942401</v>
          </cell>
          <cell r="H110">
            <v>19.8824348449707</v>
          </cell>
          <cell r="I110">
            <v>20.8606967926025</v>
          </cell>
          <cell r="J110">
            <v>22.893825531005898</v>
          </cell>
          <cell r="K110">
            <v>28.3978271484375</v>
          </cell>
          <cell r="L110">
            <v>28.3739128112793</v>
          </cell>
          <cell r="M110">
            <v>18.959999084472699</v>
          </cell>
          <cell r="N110">
            <v>18.685651779174801</v>
          </cell>
          <cell r="O110">
            <v>20.8621730804443</v>
          </cell>
          <cell r="P110">
            <v>21.079565048217798</v>
          </cell>
          <cell r="Q110">
            <v>18.2013053894043</v>
          </cell>
          <cell r="R110">
            <v>23.066522598266602</v>
          </cell>
          <cell r="S110">
            <v>17.144783020019499</v>
          </cell>
          <cell r="T110">
            <v>18.2013053894043</v>
          </cell>
          <cell r="U110">
            <v>21.492609024047901</v>
          </cell>
          <cell r="V110">
            <v>21.0782585144043</v>
          </cell>
          <cell r="W110">
            <v>21.492609024047901</v>
          </cell>
          <cell r="X110">
            <v>19.5873908996582</v>
          </cell>
          <cell r="Y110">
            <v>21.492609024047901</v>
          </cell>
          <cell r="Z110">
            <v>21.512172698974599</v>
          </cell>
          <cell r="AA110">
            <v>22.881738662719702</v>
          </cell>
          <cell r="AB110">
            <v>23.907566070556602</v>
          </cell>
          <cell r="AC110">
            <v>25.7971305847168</v>
          </cell>
          <cell r="AD110">
            <v>23.907566070556602</v>
          </cell>
          <cell r="AE110">
            <v>23.907566070556602</v>
          </cell>
          <cell r="AF110">
            <v>26.894435882568398</v>
          </cell>
          <cell r="AG110">
            <v>3.4914999999999998</v>
          </cell>
        </row>
        <row r="111">
          <cell r="A111">
            <v>40299</v>
          </cell>
          <cell r="B111">
            <v>29.803773880004901</v>
          </cell>
          <cell r="C111">
            <v>29.113208770751999</v>
          </cell>
          <cell r="D111">
            <v>29.113208770751999</v>
          </cell>
          <cell r="E111">
            <v>29.113208770751999</v>
          </cell>
          <cell r="F111">
            <v>20.934303283691399</v>
          </cell>
          <cell r="G111">
            <v>21.519208908081101</v>
          </cell>
          <cell r="H111">
            <v>20.934303283691399</v>
          </cell>
          <cell r="I111">
            <v>21.811660766601602</v>
          </cell>
          <cell r="J111">
            <v>21.1952819824219</v>
          </cell>
          <cell r="K111">
            <v>32.090564727783203</v>
          </cell>
          <cell r="L111">
            <v>31.026414871215799</v>
          </cell>
          <cell r="M111">
            <v>19.1718864440918</v>
          </cell>
          <cell r="N111">
            <v>18.919244766235401</v>
          </cell>
          <cell r="O111">
            <v>22.643774032592798</v>
          </cell>
          <cell r="P111">
            <v>21.072830200195298</v>
          </cell>
          <cell r="Q111">
            <v>18.526039123535199</v>
          </cell>
          <cell r="R111">
            <v>22.906414031982401</v>
          </cell>
          <cell r="S111">
            <v>16.694717407226602</v>
          </cell>
          <cell r="T111">
            <v>18.526039123535199</v>
          </cell>
          <cell r="U111">
            <v>20.607734680175799</v>
          </cell>
          <cell r="V111">
            <v>22.6022624969482</v>
          </cell>
          <cell r="W111">
            <v>20.607734680175799</v>
          </cell>
          <cell r="X111">
            <v>20.2011318206787</v>
          </cell>
          <cell r="Y111">
            <v>20.607734680175799</v>
          </cell>
          <cell r="Z111">
            <v>20.486038208007798</v>
          </cell>
          <cell r="AA111">
            <v>21.636980056762699</v>
          </cell>
          <cell r="AB111">
            <v>25.012981414794901</v>
          </cell>
          <cell r="AC111">
            <v>27.043359756469702</v>
          </cell>
          <cell r="AD111">
            <v>25.012981414794901</v>
          </cell>
          <cell r="AE111">
            <v>25.012981414794901</v>
          </cell>
          <cell r="AF111">
            <v>28.7911891937256</v>
          </cell>
          <cell r="AG111">
            <v>3.4864999999999999</v>
          </cell>
        </row>
        <row r="112">
          <cell r="A112">
            <v>40330</v>
          </cell>
          <cell r="B112">
            <v>30.798912048339801</v>
          </cell>
          <cell r="C112">
            <v>30.485868453979499</v>
          </cell>
          <cell r="D112">
            <v>30.485868453979499</v>
          </cell>
          <cell r="E112">
            <v>30.485868453979499</v>
          </cell>
          <cell r="F112">
            <v>24.491304397583001</v>
          </cell>
          <cell r="G112">
            <v>25.143478393554702</v>
          </cell>
          <cell r="H112">
            <v>24.491304397583001</v>
          </cell>
          <cell r="I112">
            <v>25.469566345214801</v>
          </cell>
          <cell r="J112">
            <v>23.8321743011475</v>
          </cell>
          <cell r="K112">
            <v>29.595218658447301</v>
          </cell>
          <cell r="L112">
            <v>32.506088256835902</v>
          </cell>
          <cell r="M112">
            <v>23.2717399597168</v>
          </cell>
          <cell r="N112">
            <v>23.383478164672901</v>
          </cell>
          <cell r="O112">
            <v>26.5904350280762</v>
          </cell>
          <cell r="P112">
            <v>25.3913059234619</v>
          </cell>
          <cell r="Q112">
            <v>19.4747829437256</v>
          </cell>
          <cell r="R112">
            <v>27.378261566162099</v>
          </cell>
          <cell r="S112">
            <v>18.1695652008057</v>
          </cell>
          <cell r="T112">
            <v>19.4747829437256</v>
          </cell>
          <cell r="U112">
            <v>24.474781036376999</v>
          </cell>
          <cell r="V112">
            <v>24.686954498291001</v>
          </cell>
          <cell r="W112">
            <v>24.474781036376999</v>
          </cell>
          <cell r="X112">
            <v>27.1673908233643</v>
          </cell>
          <cell r="Y112">
            <v>24.474781036376999</v>
          </cell>
          <cell r="Z112">
            <v>25.7986946105957</v>
          </cell>
          <cell r="AA112">
            <v>27.168260574340799</v>
          </cell>
          <cell r="AB112">
            <v>26.552261352539102</v>
          </cell>
          <cell r="AC112">
            <v>29.278781890869102</v>
          </cell>
          <cell r="AD112">
            <v>26.552261352539102</v>
          </cell>
          <cell r="AE112">
            <v>26.552261352539102</v>
          </cell>
          <cell r="AF112">
            <v>31.539220809936499</v>
          </cell>
          <cell r="AG112">
            <v>3.5215000000000001</v>
          </cell>
        </row>
        <row r="113">
          <cell r="A113">
            <v>40360</v>
          </cell>
          <cell r="B113">
            <v>34.448040008544901</v>
          </cell>
          <cell r="C113">
            <v>34.242156982421903</v>
          </cell>
          <cell r="D113">
            <v>34.242156982421903</v>
          </cell>
          <cell r="E113">
            <v>34.242156982421903</v>
          </cell>
          <cell r="F113">
            <v>31.5490207672119</v>
          </cell>
          <cell r="G113">
            <v>32.156864166259801</v>
          </cell>
          <cell r="H113">
            <v>31.5490207672119</v>
          </cell>
          <cell r="I113">
            <v>32.156864166259801</v>
          </cell>
          <cell r="J113">
            <v>29.9523525238037</v>
          </cell>
          <cell r="K113">
            <v>33.9009819030762</v>
          </cell>
          <cell r="L113">
            <v>38.313724517822301</v>
          </cell>
          <cell r="M113">
            <v>25.949216842651399</v>
          </cell>
          <cell r="N113">
            <v>25.644313812255898</v>
          </cell>
          <cell r="O113">
            <v>29.629804611206101</v>
          </cell>
          <cell r="P113">
            <v>27.924707412719702</v>
          </cell>
          <cell r="Q113">
            <v>22.6082363128662</v>
          </cell>
          <cell r="R113">
            <v>29.810588836669901</v>
          </cell>
          <cell r="S113">
            <v>20.893529891967798</v>
          </cell>
          <cell r="T113">
            <v>22.6082363128662</v>
          </cell>
          <cell r="U113">
            <v>27.835685729980501</v>
          </cell>
          <cell r="V113">
            <v>29.625881195068398</v>
          </cell>
          <cell r="W113">
            <v>27.835685729980501</v>
          </cell>
          <cell r="X113">
            <v>31.009803771972699</v>
          </cell>
          <cell r="Y113">
            <v>27.835685729980501</v>
          </cell>
          <cell r="Z113">
            <v>30.193529129028299</v>
          </cell>
          <cell r="AA113">
            <v>31.419021606445298</v>
          </cell>
          <cell r="AB113">
            <v>30.049842834472699</v>
          </cell>
          <cell r="AC113">
            <v>33.874744415283203</v>
          </cell>
          <cell r="AD113">
            <v>30.049842834472699</v>
          </cell>
          <cell r="AE113">
            <v>30.049842834472699</v>
          </cell>
          <cell r="AF113">
            <v>38.598865509033203</v>
          </cell>
          <cell r="AG113">
            <v>3.5615000000000001</v>
          </cell>
        </row>
        <row r="114">
          <cell r="A114">
            <v>40391</v>
          </cell>
          <cell r="B114">
            <v>34.446937561035199</v>
          </cell>
          <cell r="C114">
            <v>34.191837310791001</v>
          </cell>
          <cell r="D114">
            <v>34.191837310791001</v>
          </cell>
          <cell r="E114">
            <v>34.191837310791001</v>
          </cell>
          <cell r="F114">
            <v>32.008571624755902</v>
          </cell>
          <cell r="G114">
            <v>32.641223907470703</v>
          </cell>
          <cell r="H114">
            <v>32.008571624755902</v>
          </cell>
          <cell r="I114">
            <v>32.641223907470703</v>
          </cell>
          <cell r="J114">
            <v>24.828245162963899</v>
          </cell>
          <cell r="K114">
            <v>34.038776397705099</v>
          </cell>
          <cell r="L114">
            <v>38.365306854247997</v>
          </cell>
          <cell r="M114">
            <v>25.942653656005898</v>
          </cell>
          <cell r="N114">
            <v>24.402042388916001</v>
          </cell>
          <cell r="O114">
            <v>29.530204772949201</v>
          </cell>
          <cell r="P114">
            <v>27.998775482177699</v>
          </cell>
          <cell r="Q114">
            <v>21.8122444152832</v>
          </cell>
          <cell r="R114">
            <v>29.941225051879901</v>
          </cell>
          <cell r="S114">
            <v>20.027551651001001</v>
          </cell>
          <cell r="T114">
            <v>21.8122444152832</v>
          </cell>
          <cell r="U114">
            <v>27.149795532226602</v>
          </cell>
          <cell r="V114">
            <v>29.233058929443398</v>
          </cell>
          <cell r="W114">
            <v>27.149795532226602</v>
          </cell>
          <cell r="X114">
            <v>30.468978881835898</v>
          </cell>
          <cell r="Y114">
            <v>27.149795532226602</v>
          </cell>
          <cell r="Z114">
            <v>29.658979415893601</v>
          </cell>
          <cell r="AA114">
            <v>30.965103149414102</v>
          </cell>
          <cell r="AB114">
            <v>28.642694473266602</v>
          </cell>
          <cell r="AC114">
            <v>32.097389221191399</v>
          </cell>
          <cell r="AD114">
            <v>28.642694473266602</v>
          </cell>
          <cell r="AE114">
            <v>28.642694473266602</v>
          </cell>
          <cell r="AF114">
            <v>37.099838256835902</v>
          </cell>
          <cell r="AG114">
            <v>3.6015000000000001</v>
          </cell>
        </row>
        <row r="115">
          <cell r="A115">
            <v>40422</v>
          </cell>
          <cell r="B115">
            <v>28.793750762939499</v>
          </cell>
          <cell r="C115">
            <v>28.9916667938232</v>
          </cell>
          <cell r="D115">
            <v>28.9916667938232</v>
          </cell>
          <cell r="E115">
            <v>28.9916667938232</v>
          </cell>
          <cell r="F115">
            <v>19.75612449646</v>
          </cell>
          <cell r="G115">
            <v>20.38112449646</v>
          </cell>
          <cell r="H115">
            <v>19.75612449646</v>
          </cell>
          <cell r="I115">
            <v>20.38112449646</v>
          </cell>
          <cell r="J115">
            <v>23.6979160308838</v>
          </cell>
          <cell r="K115">
            <v>26.431249618530298</v>
          </cell>
          <cell r="L115">
            <v>29.643749237060501</v>
          </cell>
          <cell r="M115">
            <v>19.6370849609375</v>
          </cell>
          <cell r="N115">
            <v>19.078332901001001</v>
          </cell>
          <cell r="O115">
            <v>20.367916107177699</v>
          </cell>
          <cell r="P115">
            <v>21.6683349609375</v>
          </cell>
          <cell r="Q115">
            <v>18.753749847412099</v>
          </cell>
          <cell r="R115">
            <v>23.593334197998001</v>
          </cell>
          <cell r="S115">
            <v>17.112083435058601</v>
          </cell>
          <cell r="T115">
            <v>18.753749847412099</v>
          </cell>
          <cell r="U115">
            <v>23.357292175293001</v>
          </cell>
          <cell r="V115">
            <v>23.272914886474599</v>
          </cell>
          <cell r="W115">
            <v>23.357292175293001</v>
          </cell>
          <cell r="X115">
            <v>21.493333816528299</v>
          </cell>
          <cell r="Y115">
            <v>23.357292175293001</v>
          </cell>
          <cell r="Z115">
            <v>24.5697917938232</v>
          </cell>
          <cell r="AA115">
            <v>25.8510417938232</v>
          </cell>
          <cell r="AB115">
            <v>23.4696254730225</v>
          </cell>
          <cell r="AC115">
            <v>25.821290969848601</v>
          </cell>
          <cell r="AD115">
            <v>23.773374557495099</v>
          </cell>
          <cell r="AE115">
            <v>23.4696254730225</v>
          </cell>
          <cell r="AF115">
            <v>29.988792419433601</v>
          </cell>
          <cell r="AG115">
            <v>3.5844999999999998</v>
          </cell>
        </row>
        <row r="116">
          <cell r="A116">
            <v>40452</v>
          </cell>
          <cell r="B116">
            <v>27.5892143249512</v>
          </cell>
          <cell r="C116">
            <v>27.961763381958001</v>
          </cell>
          <cell r="D116">
            <v>27.961763381958001</v>
          </cell>
          <cell r="E116">
            <v>27.961763381958001</v>
          </cell>
          <cell r="F116">
            <v>18.344118118286101</v>
          </cell>
          <cell r="G116">
            <v>18.951961517333999</v>
          </cell>
          <cell r="H116">
            <v>18.344118118286101</v>
          </cell>
          <cell r="I116">
            <v>18.951961517333999</v>
          </cell>
          <cell r="J116">
            <v>23.228431701660199</v>
          </cell>
          <cell r="K116">
            <v>27.925491333007798</v>
          </cell>
          <cell r="L116">
            <v>30.058822631835898</v>
          </cell>
          <cell r="M116">
            <v>17.508039474487301</v>
          </cell>
          <cell r="N116">
            <v>17.779607772827099</v>
          </cell>
          <cell r="O116">
            <v>18.570980072021499</v>
          </cell>
          <cell r="P116">
            <v>19.4835300445557</v>
          </cell>
          <cell r="Q116">
            <v>17.817058563232401</v>
          </cell>
          <cell r="R116">
            <v>21.369411468505898</v>
          </cell>
          <cell r="S116">
            <v>16.281764984130898</v>
          </cell>
          <cell r="T116">
            <v>17.817058563232401</v>
          </cell>
          <cell r="U116">
            <v>22.802333831787099</v>
          </cell>
          <cell r="V116">
            <v>21.841567993164102</v>
          </cell>
          <cell r="W116">
            <v>22.802333831787099</v>
          </cell>
          <cell r="X116">
            <v>19.272647857666001</v>
          </cell>
          <cell r="Y116">
            <v>22.802333831787099</v>
          </cell>
          <cell r="Z116">
            <v>22.728803634643601</v>
          </cell>
          <cell r="AA116">
            <v>23.9542942047119</v>
          </cell>
          <cell r="AB116">
            <v>22.6512756347656</v>
          </cell>
          <cell r="AC116">
            <v>24.647157669067401</v>
          </cell>
          <cell r="AD116">
            <v>23.070686340331999</v>
          </cell>
          <cell r="AE116">
            <v>22.6512756347656</v>
          </cell>
          <cell r="AF116">
            <v>26.1185302734375</v>
          </cell>
          <cell r="AG116">
            <v>3.6095000000000002</v>
          </cell>
        </row>
        <row r="117">
          <cell r="A117">
            <v>40483</v>
          </cell>
          <cell r="B117">
            <v>28.53125</v>
          </cell>
          <cell r="C117">
            <v>28.7395839691162</v>
          </cell>
          <cell r="D117">
            <v>28.7395839691162</v>
          </cell>
          <cell r="E117">
            <v>28.7395839691162</v>
          </cell>
          <cell r="F117">
            <v>18.441667556762699</v>
          </cell>
          <cell r="G117">
            <v>19.066667556762699</v>
          </cell>
          <cell r="H117">
            <v>18.441667556762699</v>
          </cell>
          <cell r="I117">
            <v>19.066667556762699</v>
          </cell>
          <cell r="J117">
            <v>23.0729160308838</v>
          </cell>
          <cell r="K117">
            <v>28.478124618530298</v>
          </cell>
          <cell r="L117">
            <v>30.753124237060501</v>
          </cell>
          <cell r="M117">
            <v>18.407917022705099</v>
          </cell>
          <cell r="N117">
            <v>18.3216667175293</v>
          </cell>
          <cell r="O117">
            <v>18.909584045410199</v>
          </cell>
          <cell r="P117">
            <v>20.439167022705099</v>
          </cell>
          <cell r="Q117">
            <v>18.587083816528299</v>
          </cell>
          <cell r="R117">
            <v>22.3641662597656</v>
          </cell>
          <cell r="S117">
            <v>16.9454154968262</v>
          </cell>
          <cell r="T117">
            <v>18.587083816528299</v>
          </cell>
          <cell r="U117">
            <v>22.453125</v>
          </cell>
          <cell r="V117">
            <v>22.335414886474599</v>
          </cell>
          <cell r="W117">
            <v>22.453125</v>
          </cell>
          <cell r="X117">
            <v>20.6329154968262</v>
          </cell>
          <cell r="Y117">
            <v>22.453125</v>
          </cell>
          <cell r="Z117">
            <v>22.415624618530298</v>
          </cell>
          <cell r="AA117">
            <v>23.696874618530298</v>
          </cell>
          <cell r="AB117">
            <v>22.542041778564499</v>
          </cell>
          <cell r="AC117">
            <v>24.267875671386701</v>
          </cell>
          <cell r="AD117">
            <v>22.959541320800799</v>
          </cell>
          <cell r="AE117">
            <v>22.542041778564499</v>
          </cell>
          <cell r="AF117">
            <v>25.9362087249756</v>
          </cell>
          <cell r="AG117">
            <v>3.7614999999999998</v>
          </cell>
        </row>
        <row r="118">
          <cell r="A118">
            <v>40513</v>
          </cell>
          <cell r="B118">
            <v>27.940425872802699</v>
          </cell>
          <cell r="C118">
            <v>28.5787239074707</v>
          </cell>
          <cell r="D118">
            <v>28.5787239074707</v>
          </cell>
          <cell r="E118">
            <v>28.5787239074707</v>
          </cell>
          <cell r="F118">
            <v>18.5947666168213</v>
          </cell>
          <cell r="G118">
            <v>19.254341125488299</v>
          </cell>
          <cell r="H118">
            <v>18.5947666168213</v>
          </cell>
          <cell r="I118">
            <v>19.254341125488299</v>
          </cell>
          <cell r="J118">
            <v>24.567020416259801</v>
          </cell>
          <cell r="K118">
            <v>31.306383132934599</v>
          </cell>
          <cell r="L118">
            <v>32.076595306396499</v>
          </cell>
          <cell r="M118">
            <v>21.940851211547901</v>
          </cell>
          <cell r="N118">
            <v>21.799787521362301</v>
          </cell>
          <cell r="O118">
            <v>18.2093620300293</v>
          </cell>
          <cell r="P118">
            <v>24.084468841552699</v>
          </cell>
          <cell r="Q118">
            <v>20.749574661254901</v>
          </cell>
          <cell r="R118">
            <v>26.0882968902588</v>
          </cell>
          <cell r="S118">
            <v>19.0836181640625</v>
          </cell>
          <cell r="T118">
            <v>20.749574661254901</v>
          </cell>
          <cell r="U118">
            <v>23.0704250335693</v>
          </cell>
          <cell r="V118">
            <v>21.785530090331999</v>
          </cell>
          <cell r="W118">
            <v>23.0704250335693</v>
          </cell>
          <cell r="X118">
            <v>23.334894180297901</v>
          </cell>
          <cell r="Y118">
            <v>23.0704250335693</v>
          </cell>
          <cell r="Z118">
            <v>23.105531692504901</v>
          </cell>
          <cell r="AA118">
            <v>24.499149322509801</v>
          </cell>
          <cell r="AB118">
            <v>23.682786941528299</v>
          </cell>
          <cell r="AC118">
            <v>25.914064407348601</v>
          </cell>
          <cell r="AD118">
            <v>24.084276199340799</v>
          </cell>
          <cell r="AE118">
            <v>23.682786941528299</v>
          </cell>
          <cell r="AF118">
            <v>27.486406326293899</v>
          </cell>
          <cell r="AG118">
            <v>3.9045000000000001</v>
          </cell>
        </row>
        <row r="119">
          <cell r="A119">
            <v>40544</v>
          </cell>
          <cell r="B119">
            <v>35.340938568115199</v>
          </cell>
          <cell r="C119">
            <v>35.929176330566399</v>
          </cell>
          <cell r="D119">
            <v>35.929176330566399</v>
          </cell>
          <cell r="E119">
            <v>35.929176330566399</v>
          </cell>
          <cell r="F119">
            <v>22.1866664886475</v>
          </cell>
          <cell r="G119">
            <v>22.794509887695298</v>
          </cell>
          <cell r="H119">
            <v>22.1866664886475</v>
          </cell>
          <cell r="I119">
            <v>22.794509887695298</v>
          </cell>
          <cell r="J119">
            <v>30.333646774291999</v>
          </cell>
          <cell r="K119">
            <v>32.6607856750488</v>
          </cell>
          <cell r="L119">
            <v>33.588233947753899</v>
          </cell>
          <cell r="M119">
            <v>25.553529739379901</v>
          </cell>
          <cell r="N119">
            <v>25.2101955413818</v>
          </cell>
          <cell r="O119">
            <v>24.4358825683594</v>
          </cell>
          <cell r="P119">
            <v>27.5290203094482</v>
          </cell>
          <cell r="Q119">
            <v>26.917451858520501</v>
          </cell>
          <cell r="R119">
            <v>29.414901733398398</v>
          </cell>
          <cell r="S119">
            <v>22.224117279052699</v>
          </cell>
          <cell r="T119">
            <v>26.917451858520501</v>
          </cell>
          <cell r="U119">
            <v>25.736665725708001</v>
          </cell>
          <cell r="V119">
            <v>22.419998168945298</v>
          </cell>
          <cell r="W119">
            <v>25.736665725708001</v>
          </cell>
          <cell r="X119">
            <v>63.522842407226598</v>
          </cell>
          <cell r="Y119">
            <v>25.736665725708001</v>
          </cell>
          <cell r="Z119">
            <v>25.6631374359131</v>
          </cell>
          <cell r="AA119">
            <v>26.888626098632798</v>
          </cell>
          <cell r="AB119">
            <v>26.2992153167725</v>
          </cell>
          <cell r="AC119">
            <v>28.771175384521499</v>
          </cell>
          <cell r="AD119">
            <v>26.2992153167725</v>
          </cell>
          <cell r="AE119">
            <v>26.2992153167725</v>
          </cell>
          <cell r="AF119">
            <v>30.011960983276399</v>
          </cell>
          <cell r="AG119">
            <v>3.9424999999999999</v>
          </cell>
        </row>
        <row r="120">
          <cell r="A120">
            <v>40575</v>
          </cell>
          <cell r="B120">
            <v>34.610729217529297</v>
          </cell>
          <cell r="C120">
            <v>35.083454132080099</v>
          </cell>
          <cell r="D120">
            <v>35.083454132080099</v>
          </cell>
          <cell r="E120">
            <v>35.083454132080099</v>
          </cell>
          <cell r="F120">
            <v>22.552545547485401</v>
          </cell>
          <cell r="G120">
            <v>23.188909530639599</v>
          </cell>
          <cell r="H120">
            <v>22.552545547485401</v>
          </cell>
          <cell r="I120">
            <v>23.188909530639599</v>
          </cell>
          <cell r="J120">
            <v>27.703273773193398</v>
          </cell>
          <cell r="K120">
            <v>31.450000762939499</v>
          </cell>
          <cell r="L120">
            <v>33.763637542724602</v>
          </cell>
          <cell r="M120">
            <v>23.511817932128899</v>
          </cell>
          <cell r="N120">
            <v>23.236364364623999</v>
          </cell>
          <cell r="O120">
            <v>24.6936359405518</v>
          </cell>
          <cell r="P120">
            <v>25.579999923706101</v>
          </cell>
          <cell r="Q120">
            <v>24.453636169433601</v>
          </cell>
          <cell r="R120">
            <v>27.530908584594702</v>
          </cell>
          <cell r="S120">
            <v>20.957273483276399</v>
          </cell>
          <cell r="T120">
            <v>24.453636169433601</v>
          </cell>
          <cell r="U120">
            <v>24.606908798217798</v>
          </cell>
          <cell r="V120">
            <v>22.2945442199707</v>
          </cell>
          <cell r="W120">
            <v>24.606908798217798</v>
          </cell>
          <cell r="X120">
            <v>63.864543914794901</v>
          </cell>
          <cell r="Y120">
            <v>24.606908798217798</v>
          </cell>
          <cell r="Z120">
            <v>24.5932731628418</v>
          </cell>
          <cell r="AA120">
            <v>25.911453247070298</v>
          </cell>
          <cell r="AB120">
            <v>26.351272583007798</v>
          </cell>
          <cell r="AC120">
            <v>28.675819396972699</v>
          </cell>
          <cell r="AD120">
            <v>26.351272583007798</v>
          </cell>
          <cell r="AE120">
            <v>26.351272583007798</v>
          </cell>
          <cell r="AF120">
            <v>29.860364913940401</v>
          </cell>
          <cell r="AG120">
            <v>3.8864999999999998</v>
          </cell>
        </row>
        <row r="121">
          <cell r="A121">
            <v>40603</v>
          </cell>
          <cell r="B121">
            <v>31.963830947876001</v>
          </cell>
          <cell r="C121">
            <v>31.700000762939499</v>
          </cell>
          <cell r="D121">
            <v>31.700000762939499</v>
          </cell>
          <cell r="E121">
            <v>31.700000762939499</v>
          </cell>
          <cell r="F121">
            <v>19.525701522827099</v>
          </cell>
          <cell r="G121">
            <v>20.185276031494102</v>
          </cell>
          <cell r="H121">
            <v>19.525701522827099</v>
          </cell>
          <cell r="I121">
            <v>20.185276031494102</v>
          </cell>
          <cell r="J121">
            <v>22.990255355835</v>
          </cell>
          <cell r="K121">
            <v>29.1010646820068</v>
          </cell>
          <cell r="L121">
            <v>28.131916046142599</v>
          </cell>
          <cell r="M121">
            <v>22.632553100585898</v>
          </cell>
          <cell r="N121">
            <v>22.358722686767599</v>
          </cell>
          <cell r="O121">
            <v>24.238935470581101</v>
          </cell>
          <cell r="P121">
            <v>24.776170730590799</v>
          </cell>
          <cell r="Q121">
            <v>20.597871780395501</v>
          </cell>
          <cell r="R121">
            <v>26.780000686645501</v>
          </cell>
          <cell r="S121">
            <v>19.142127990722699</v>
          </cell>
          <cell r="T121">
            <v>20.597871780395501</v>
          </cell>
          <cell r="U121">
            <v>23.0248928070068</v>
          </cell>
          <cell r="V121">
            <v>21.796169281005898</v>
          </cell>
          <cell r="W121">
            <v>23.0248928070068</v>
          </cell>
          <cell r="X121">
            <v>61.341911315917997</v>
          </cell>
          <cell r="Y121">
            <v>23.0248928070068</v>
          </cell>
          <cell r="Z121">
            <v>23.059999465942401</v>
          </cell>
          <cell r="AA121">
            <v>24.453617095947301</v>
          </cell>
          <cell r="AB121">
            <v>25.102807998657202</v>
          </cell>
          <cell r="AC121">
            <v>26.863233566284201</v>
          </cell>
          <cell r="AD121">
            <v>25.102807998657202</v>
          </cell>
          <cell r="AE121">
            <v>25.102807998657202</v>
          </cell>
          <cell r="AF121">
            <v>28.079404830932599</v>
          </cell>
          <cell r="AG121">
            <v>3.7565</v>
          </cell>
        </row>
        <row r="122">
          <cell r="A122">
            <v>40634</v>
          </cell>
          <cell r="B122">
            <v>29.831251144409201</v>
          </cell>
          <cell r="C122">
            <v>29.572917938232401</v>
          </cell>
          <cell r="D122">
            <v>29.572917938232401</v>
          </cell>
          <cell r="E122">
            <v>29.572917938232401</v>
          </cell>
          <cell r="F122">
            <v>20.3112087249756</v>
          </cell>
          <cell r="G122">
            <v>20.9362087249756</v>
          </cell>
          <cell r="H122">
            <v>20.3112087249756</v>
          </cell>
          <cell r="I122">
            <v>20.9362087249756</v>
          </cell>
          <cell r="J122">
            <v>23.196874618530298</v>
          </cell>
          <cell r="K122">
            <v>28.799999237060501</v>
          </cell>
          <cell r="L122">
            <v>28.450000762939499</v>
          </cell>
          <cell r="M122">
            <v>19.485416412353501</v>
          </cell>
          <cell r="N122">
            <v>19.244167327880898</v>
          </cell>
          <cell r="O122">
            <v>24.256250381469702</v>
          </cell>
          <cell r="P122">
            <v>21.516666412353501</v>
          </cell>
          <cell r="Q122">
            <v>19.202499389648398</v>
          </cell>
          <cell r="R122">
            <v>23.441667556762699</v>
          </cell>
          <cell r="S122">
            <v>17.766666412353501</v>
          </cell>
          <cell r="T122">
            <v>19.202499389648398</v>
          </cell>
          <cell r="U122">
            <v>21.882499694824201</v>
          </cell>
          <cell r="V122">
            <v>22.033332824706999</v>
          </cell>
          <cell r="W122">
            <v>21.882499694824201</v>
          </cell>
          <cell r="X122">
            <v>57.540828704833999</v>
          </cell>
          <cell r="Y122">
            <v>21.882499694824201</v>
          </cell>
          <cell r="Z122">
            <v>21.844999313354499</v>
          </cell>
          <cell r="AA122">
            <v>23.126249313354499</v>
          </cell>
          <cell r="AB122">
            <v>24.863042831420898</v>
          </cell>
          <cell r="AC122">
            <v>26.758041381835898</v>
          </cell>
          <cell r="AD122">
            <v>24.863042831420898</v>
          </cell>
          <cell r="AE122">
            <v>24.863042831420898</v>
          </cell>
          <cell r="AF122">
            <v>27.946271896362301</v>
          </cell>
          <cell r="AG122">
            <v>3.5714999999999999</v>
          </cell>
        </row>
        <row r="123">
          <cell r="A123">
            <v>40664</v>
          </cell>
          <cell r="B123">
            <v>29.999019622802699</v>
          </cell>
          <cell r="C123">
            <v>29.281373977661101</v>
          </cell>
          <cell r="D123">
            <v>29.281373977661101</v>
          </cell>
          <cell r="E123">
            <v>29.281373977661101</v>
          </cell>
          <cell r="F123">
            <v>21.648078918456999</v>
          </cell>
          <cell r="G123">
            <v>22.255922317504901</v>
          </cell>
          <cell r="H123">
            <v>21.648078918456999</v>
          </cell>
          <cell r="I123">
            <v>22.255922317504901</v>
          </cell>
          <cell r="J123">
            <v>21.423255920410199</v>
          </cell>
          <cell r="K123">
            <v>32.263725280761697</v>
          </cell>
          <cell r="L123">
            <v>30.607843399047901</v>
          </cell>
          <cell r="M123">
            <v>19.419412612915</v>
          </cell>
          <cell r="N123">
            <v>19.1309814453125</v>
          </cell>
          <cell r="O123">
            <v>25.4358825683594</v>
          </cell>
          <cell r="P123">
            <v>21.394903182983398</v>
          </cell>
          <cell r="Q123">
            <v>19.3262748718262</v>
          </cell>
          <cell r="R123">
            <v>23.280784606933601</v>
          </cell>
          <cell r="S123">
            <v>16.8254909515381</v>
          </cell>
          <cell r="T123">
            <v>19.3262748718262</v>
          </cell>
          <cell r="U123">
            <v>20.79274559021</v>
          </cell>
          <cell r="V123">
            <v>23.243528366088899</v>
          </cell>
          <cell r="W123">
            <v>20.79274559021</v>
          </cell>
          <cell r="X123">
            <v>56.855686187744098</v>
          </cell>
          <cell r="Y123">
            <v>20.79274559021</v>
          </cell>
          <cell r="Z123">
            <v>20.719215393066399</v>
          </cell>
          <cell r="AA123">
            <v>21.944705963134801</v>
          </cell>
          <cell r="AB123">
            <v>25.566902160644499</v>
          </cell>
          <cell r="AC123">
            <v>27.578079223632798</v>
          </cell>
          <cell r="AD123">
            <v>25.566902160644499</v>
          </cell>
          <cell r="AE123">
            <v>25.566902160644499</v>
          </cell>
          <cell r="AF123">
            <v>29.256038665771499</v>
          </cell>
          <cell r="AG123">
            <v>3.5665</v>
          </cell>
        </row>
        <row r="124">
          <cell r="A124">
            <v>40695</v>
          </cell>
          <cell r="B124">
            <v>31.048912048339801</v>
          </cell>
          <cell r="C124">
            <v>30.735868453979499</v>
          </cell>
          <cell r="D124">
            <v>30.735868453979499</v>
          </cell>
          <cell r="E124">
            <v>30.735868453979499</v>
          </cell>
          <cell r="F124">
            <v>25.0826091766357</v>
          </cell>
          <cell r="G124">
            <v>25.734783172607401</v>
          </cell>
          <cell r="H124">
            <v>25.0826091766357</v>
          </cell>
          <cell r="I124">
            <v>25.734783172607401</v>
          </cell>
          <cell r="J124">
            <v>23.866956710815401</v>
          </cell>
          <cell r="K124">
            <v>29.845218658447301</v>
          </cell>
          <cell r="L124">
            <v>32.332176208496101</v>
          </cell>
          <cell r="M124">
            <v>23.597826004028299</v>
          </cell>
          <cell r="N124">
            <v>23.709566116333001</v>
          </cell>
          <cell r="O124">
            <v>29.557825088501001</v>
          </cell>
          <cell r="P124">
            <v>25.717391967773398</v>
          </cell>
          <cell r="Q124">
            <v>20.242609024047901</v>
          </cell>
          <cell r="R124">
            <v>27.704347610473601</v>
          </cell>
          <cell r="S124">
            <v>18.495653152465799</v>
          </cell>
          <cell r="T124">
            <v>20.242609024047901</v>
          </cell>
          <cell r="U124">
            <v>24.800868988037099</v>
          </cell>
          <cell r="V124">
            <v>25.4478244781494</v>
          </cell>
          <cell r="W124">
            <v>24.800868988037099</v>
          </cell>
          <cell r="X124">
            <v>66.623908996582003</v>
          </cell>
          <cell r="Y124">
            <v>24.800868988037099</v>
          </cell>
          <cell r="Z124">
            <v>24.8204345703125</v>
          </cell>
          <cell r="AA124">
            <v>26.190000534057599</v>
          </cell>
          <cell r="AB124">
            <v>27.5631294250488</v>
          </cell>
          <cell r="AC124">
            <v>30.2896518707275</v>
          </cell>
          <cell r="AD124">
            <v>27.5631294250488</v>
          </cell>
          <cell r="AE124">
            <v>27.5631294250488</v>
          </cell>
          <cell r="AF124">
            <v>32.550090789794901</v>
          </cell>
          <cell r="AG124">
            <v>3.6015000000000001</v>
          </cell>
        </row>
        <row r="125">
          <cell r="A125">
            <v>40725</v>
          </cell>
          <cell r="B125">
            <v>34.856605529785199</v>
          </cell>
          <cell r="C125">
            <v>34.618865966796903</v>
          </cell>
          <cell r="D125">
            <v>34.618865966796903</v>
          </cell>
          <cell r="E125">
            <v>34.618865966796903</v>
          </cell>
          <cell r="F125">
            <v>33.773208618164098</v>
          </cell>
          <cell r="G125">
            <v>34.358112335205099</v>
          </cell>
          <cell r="H125">
            <v>33.773208618164098</v>
          </cell>
          <cell r="I125">
            <v>34.358112335205099</v>
          </cell>
          <cell r="J125">
            <v>30.3804531097412</v>
          </cell>
          <cell r="K125">
            <v>34.137737274169901</v>
          </cell>
          <cell r="L125">
            <v>38.026416778564503</v>
          </cell>
          <cell r="M125">
            <v>26.2262268066406</v>
          </cell>
          <cell r="N125">
            <v>25.886415481567401</v>
          </cell>
          <cell r="O125">
            <v>32.997547149658203</v>
          </cell>
          <cell r="P125">
            <v>28.127170562744102</v>
          </cell>
          <cell r="Q125">
            <v>24.040000915527301</v>
          </cell>
          <cell r="R125">
            <v>29.9607543945313</v>
          </cell>
          <cell r="S125">
            <v>21.380189895629901</v>
          </cell>
          <cell r="T125">
            <v>24.040000915527301</v>
          </cell>
          <cell r="U125">
            <v>28.101886749267599</v>
          </cell>
          <cell r="V125">
            <v>30.7532062530518</v>
          </cell>
          <cell r="W125">
            <v>28.101886749267599</v>
          </cell>
          <cell r="X125">
            <v>66.199623107910199</v>
          </cell>
          <cell r="Y125">
            <v>28.101886749267599</v>
          </cell>
          <cell r="Z125">
            <v>27.980188369751001</v>
          </cell>
          <cell r="AA125">
            <v>29.131132125854499</v>
          </cell>
          <cell r="AB125">
            <v>31.189661026001001</v>
          </cell>
          <cell r="AC125">
            <v>35.021923065185497</v>
          </cell>
          <cell r="AD125">
            <v>31.189661026001001</v>
          </cell>
          <cell r="AE125">
            <v>31.189661026001001</v>
          </cell>
          <cell r="AF125">
            <v>39.717967987060497</v>
          </cell>
          <cell r="AG125">
            <v>3.6415000000000002</v>
          </cell>
        </row>
        <row r="126">
          <cell r="A126">
            <v>40756</v>
          </cell>
          <cell r="B126">
            <v>34.398937225341797</v>
          </cell>
          <cell r="C126">
            <v>34.186168670654297</v>
          </cell>
          <cell r="D126">
            <v>34.186168670654297</v>
          </cell>
          <cell r="E126">
            <v>34.186168670654297</v>
          </cell>
          <cell r="F126">
            <v>31.912767410278299</v>
          </cell>
          <cell r="G126">
            <v>32.572341918945298</v>
          </cell>
          <cell r="H126">
            <v>31.912767410278299</v>
          </cell>
          <cell r="I126">
            <v>32.572341918945298</v>
          </cell>
          <cell r="J126">
            <v>24.952894210815401</v>
          </cell>
          <cell r="K126">
            <v>34.337234497070298</v>
          </cell>
          <cell r="L126">
            <v>38.314891815185497</v>
          </cell>
          <cell r="M126">
            <v>26.289575576782202</v>
          </cell>
          <cell r="N126">
            <v>24.875320434570298</v>
          </cell>
          <cell r="O126">
            <v>32.090000152587898</v>
          </cell>
          <cell r="P126">
            <v>28.433191299438501</v>
          </cell>
          <cell r="Q126">
            <v>22.002128601074201</v>
          </cell>
          <cell r="R126">
            <v>30.4370212554932</v>
          </cell>
          <cell r="S126">
            <v>20.101490020751999</v>
          </cell>
          <cell r="T126">
            <v>22.002128601074201</v>
          </cell>
          <cell r="U126">
            <v>27.4799995422363</v>
          </cell>
          <cell r="V126">
            <v>29.615318298339801</v>
          </cell>
          <cell r="W126">
            <v>27.4799995422363</v>
          </cell>
          <cell r="X126">
            <v>70.572341918945298</v>
          </cell>
          <cell r="Y126">
            <v>27.4799995422363</v>
          </cell>
          <cell r="Z126">
            <v>27.5151062011719</v>
          </cell>
          <cell r="AA126">
            <v>28.9087238311768</v>
          </cell>
          <cell r="AB126">
            <v>28.910255432128899</v>
          </cell>
          <cell r="AC126">
            <v>32.351531982421903</v>
          </cell>
          <cell r="AD126">
            <v>28.910255432128899</v>
          </cell>
          <cell r="AE126">
            <v>28.910255432128899</v>
          </cell>
          <cell r="AF126">
            <v>37.386856079101598</v>
          </cell>
          <cell r="AG126">
            <v>3.6815000000000002</v>
          </cell>
        </row>
        <row r="127">
          <cell r="A127">
            <v>40787</v>
          </cell>
          <cell r="B127">
            <v>29.043750762939499</v>
          </cell>
          <cell r="C127">
            <v>29.2416667938232</v>
          </cell>
          <cell r="D127">
            <v>29.2416667938232</v>
          </cell>
          <cell r="E127">
            <v>29.2416667938232</v>
          </cell>
          <cell r="F127">
            <v>20.351833343505898</v>
          </cell>
          <cell r="G127">
            <v>20.976833343505898</v>
          </cell>
          <cell r="H127">
            <v>20.351833343505898</v>
          </cell>
          <cell r="I127">
            <v>20.976833343505898</v>
          </cell>
          <cell r="J127">
            <v>23.8979167938232</v>
          </cell>
          <cell r="K127">
            <v>26.681249618530298</v>
          </cell>
          <cell r="L127">
            <v>29.456249237060501</v>
          </cell>
          <cell r="M127">
            <v>19.9495849609375</v>
          </cell>
          <cell r="N127">
            <v>19.390832901001001</v>
          </cell>
          <cell r="O127">
            <v>23.357500076293899</v>
          </cell>
          <cell r="P127">
            <v>21.9808349609375</v>
          </cell>
          <cell r="Q127">
            <v>19.595417022705099</v>
          </cell>
          <cell r="R127">
            <v>23.905834197998001</v>
          </cell>
          <cell r="S127">
            <v>17.424583435058601</v>
          </cell>
          <cell r="T127">
            <v>19.595417022705099</v>
          </cell>
          <cell r="U127">
            <v>23.669792175293001</v>
          </cell>
          <cell r="V127">
            <v>24.054164886474599</v>
          </cell>
          <cell r="W127">
            <v>23.669792175293001</v>
          </cell>
          <cell r="X127">
            <v>59.305835723877003</v>
          </cell>
          <cell r="Y127">
            <v>23.669792175293001</v>
          </cell>
          <cell r="Z127">
            <v>23.6322917938232</v>
          </cell>
          <cell r="AA127">
            <v>24.9135417938232</v>
          </cell>
          <cell r="AB127">
            <v>24.2196254730225</v>
          </cell>
          <cell r="AC127">
            <v>26.571290969848601</v>
          </cell>
          <cell r="AD127">
            <v>24.523374557495099</v>
          </cell>
          <cell r="AE127">
            <v>24.2196254730225</v>
          </cell>
          <cell r="AF127">
            <v>30.738792419433601</v>
          </cell>
          <cell r="AG127">
            <v>3.6644999999999999</v>
          </cell>
        </row>
        <row r="128">
          <cell r="A128">
            <v>40817</v>
          </cell>
          <cell r="B128">
            <v>27.8392143249512</v>
          </cell>
          <cell r="C128">
            <v>28.211763381958001</v>
          </cell>
          <cell r="D128">
            <v>28.211763381958001</v>
          </cell>
          <cell r="E128">
            <v>28.211763381958001</v>
          </cell>
          <cell r="F128">
            <v>17.98215675354</v>
          </cell>
          <cell r="G128">
            <v>18.590000152587901</v>
          </cell>
          <cell r="H128">
            <v>17.98215675354</v>
          </cell>
          <cell r="I128">
            <v>18.590000152587901</v>
          </cell>
          <cell r="J128">
            <v>23.428432464599599</v>
          </cell>
          <cell r="K128">
            <v>28.175491333007798</v>
          </cell>
          <cell r="L128">
            <v>29.862745285034201</v>
          </cell>
          <cell r="M128">
            <v>17.811962127685501</v>
          </cell>
          <cell r="N128">
            <v>18.083530426025401</v>
          </cell>
          <cell r="O128">
            <v>21.566078186035199</v>
          </cell>
          <cell r="P128">
            <v>19.787450790405298</v>
          </cell>
          <cell r="Q128">
            <v>18.619020462036101</v>
          </cell>
          <cell r="R128">
            <v>21.673332214355501</v>
          </cell>
          <cell r="S128">
            <v>16.585685729980501</v>
          </cell>
          <cell r="T128">
            <v>18.619020462036101</v>
          </cell>
          <cell r="U128">
            <v>23.106254577636701</v>
          </cell>
          <cell r="V128">
            <v>22.635684967041001</v>
          </cell>
          <cell r="W128">
            <v>23.106254577636701</v>
          </cell>
          <cell r="X128">
            <v>56.047157287597699</v>
          </cell>
          <cell r="Y128">
            <v>23.106254577636701</v>
          </cell>
          <cell r="Z128">
            <v>23.0327262878418</v>
          </cell>
          <cell r="AA128">
            <v>24.258214950561499</v>
          </cell>
          <cell r="AB128">
            <v>23.4012756347656</v>
          </cell>
          <cell r="AC128">
            <v>25.397157669067401</v>
          </cell>
          <cell r="AD128">
            <v>23.820686340331999</v>
          </cell>
          <cell r="AE128">
            <v>23.4012756347656</v>
          </cell>
          <cell r="AF128">
            <v>26.8685302734375</v>
          </cell>
          <cell r="AG128">
            <v>3.6894999999999998</v>
          </cell>
        </row>
        <row r="129">
          <cell r="A129">
            <v>40848</v>
          </cell>
          <cell r="B129">
            <v>28.78125</v>
          </cell>
          <cell r="C129">
            <v>28.9895839691162</v>
          </cell>
          <cell r="D129">
            <v>28.9895839691162</v>
          </cell>
          <cell r="E129">
            <v>28.9895839691162</v>
          </cell>
          <cell r="F129">
            <v>17.470750808715799</v>
          </cell>
          <cell r="G129">
            <v>18.095750808715799</v>
          </cell>
          <cell r="H129">
            <v>17.470750808715799</v>
          </cell>
          <cell r="I129">
            <v>18.095750808715799</v>
          </cell>
          <cell r="J129">
            <v>23.2729167938232</v>
          </cell>
          <cell r="K129">
            <v>28.728124618530298</v>
          </cell>
          <cell r="L129">
            <v>30.565624237060501</v>
          </cell>
          <cell r="M129">
            <v>18.720417022705099</v>
          </cell>
          <cell r="N129">
            <v>18.6341667175293</v>
          </cell>
          <cell r="O129">
            <v>21.899166107177699</v>
          </cell>
          <cell r="P129">
            <v>20.751667022705099</v>
          </cell>
          <cell r="Q129">
            <v>19.428749084472699</v>
          </cell>
          <cell r="R129">
            <v>22.6766662597656</v>
          </cell>
          <cell r="S129">
            <v>17.2579154968262</v>
          </cell>
          <cell r="T129">
            <v>19.428749084472699</v>
          </cell>
          <cell r="U129">
            <v>22.765625</v>
          </cell>
          <cell r="V129">
            <v>23.116664886474599</v>
          </cell>
          <cell r="W129">
            <v>22.765625</v>
          </cell>
          <cell r="X129">
            <v>58.445411682128899</v>
          </cell>
          <cell r="Y129">
            <v>22.765625</v>
          </cell>
          <cell r="Z129">
            <v>22.728124618530298</v>
          </cell>
          <cell r="AA129">
            <v>24.009374618530298</v>
          </cell>
          <cell r="AB129">
            <v>23.292041778564499</v>
          </cell>
          <cell r="AC129">
            <v>25.017875671386701</v>
          </cell>
          <cell r="AD129">
            <v>23.709541320800799</v>
          </cell>
          <cell r="AE129">
            <v>23.292041778564499</v>
          </cell>
          <cell r="AF129">
            <v>26.6862087249756</v>
          </cell>
          <cell r="AG129">
            <v>3.8414999999999999</v>
          </cell>
        </row>
        <row r="130">
          <cell r="A130">
            <v>40878</v>
          </cell>
          <cell r="B130">
            <v>30.4637260437012</v>
          </cell>
          <cell r="C130">
            <v>31.051959991455099</v>
          </cell>
          <cell r="D130">
            <v>31.051959991455099</v>
          </cell>
          <cell r="E130">
            <v>31.051959991455099</v>
          </cell>
          <cell r="F130">
            <v>18.848823547363299</v>
          </cell>
          <cell r="G130">
            <v>19.456666946411101</v>
          </cell>
          <cell r="H130">
            <v>18.848823547363299</v>
          </cell>
          <cell r="I130">
            <v>19.456666946411101</v>
          </cell>
          <cell r="J130">
            <v>25.487255096435501</v>
          </cell>
          <cell r="K130">
            <v>31.724510192871101</v>
          </cell>
          <cell r="L130">
            <v>32.196079254150398</v>
          </cell>
          <cell r="M130">
            <v>22.532548904418899</v>
          </cell>
          <cell r="N130">
            <v>22.490392684936499</v>
          </cell>
          <cell r="O130">
            <v>20.879804611206101</v>
          </cell>
          <cell r="P130">
            <v>24.508039474487301</v>
          </cell>
          <cell r="Q130">
            <v>21.971960067748999</v>
          </cell>
          <cell r="R130">
            <v>26.3939208984375</v>
          </cell>
          <cell r="S130">
            <v>19.938627243041999</v>
          </cell>
          <cell r="T130">
            <v>21.971960067748999</v>
          </cell>
          <cell r="U130">
            <v>23.8111763000488</v>
          </cell>
          <cell r="V130">
            <v>22.851371765136701</v>
          </cell>
          <cell r="W130">
            <v>23.8111763000488</v>
          </cell>
          <cell r="X130">
            <v>60.495685577392599</v>
          </cell>
          <cell r="Y130">
            <v>23.8111763000488</v>
          </cell>
          <cell r="Z130">
            <v>23.737646102905298</v>
          </cell>
          <cell r="AA130">
            <v>24.963136672973601</v>
          </cell>
          <cell r="AB130">
            <v>24.689510345458999</v>
          </cell>
          <cell r="AC130">
            <v>26.940294265747099</v>
          </cell>
          <cell r="AD130">
            <v>25.108921051025401</v>
          </cell>
          <cell r="AE130">
            <v>24.689510345458999</v>
          </cell>
          <cell r="AF130">
            <v>28.656766891479499</v>
          </cell>
          <cell r="AG130">
            <v>3.9845000000000002</v>
          </cell>
        </row>
        <row r="131">
          <cell r="A131">
            <v>40909</v>
          </cell>
          <cell r="B131">
            <v>35.590938568115199</v>
          </cell>
          <cell r="C131">
            <v>36.179176330566399</v>
          </cell>
          <cell r="D131">
            <v>36.179176330566399</v>
          </cell>
          <cell r="E131">
            <v>36.179176330566399</v>
          </cell>
          <cell r="F131">
            <v>21.882745742797901</v>
          </cell>
          <cell r="G131">
            <v>22.4905891418457</v>
          </cell>
          <cell r="H131">
            <v>21.882745742797901</v>
          </cell>
          <cell r="I131">
            <v>22.4905891418457</v>
          </cell>
          <cell r="J131">
            <v>30.533882141113299</v>
          </cell>
          <cell r="K131">
            <v>32.9107856750488</v>
          </cell>
          <cell r="L131">
            <v>33.686275482177699</v>
          </cell>
          <cell r="M131">
            <v>25.857450485229499</v>
          </cell>
          <cell r="N131">
            <v>25.514118194580099</v>
          </cell>
          <cell r="O131">
            <v>24.6907844543457</v>
          </cell>
          <cell r="P131">
            <v>27.832941055297901</v>
          </cell>
          <cell r="Q131">
            <v>28.416667938232401</v>
          </cell>
          <cell r="R131">
            <v>29.718824386596701</v>
          </cell>
          <cell r="S131">
            <v>22.528039932251001</v>
          </cell>
          <cell r="T131">
            <v>28.416667938232401</v>
          </cell>
          <cell r="U131">
            <v>26.0405883789063</v>
          </cell>
          <cell r="V131">
            <v>22.821958541870099</v>
          </cell>
          <cell r="W131">
            <v>26.0405883789063</v>
          </cell>
          <cell r="X131">
            <v>63.8267631530762</v>
          </cell>
          <cell r="Y131">
            <v>26.0405883789063</v>
          </cell>
          <cell r="Z131">
            <v>25.967058181762699</v>
          </cell>
          <cell r="AA131">
            <v>27.192548751831101</v>
          </cell>
          <cell r="AB131">
            <v>27.0492153167725</v>
          </cell>
          <cell r="AC131">
            <v>29.521175384521499</v>
          </cell>
          <cell r="AD131">
            <v>27.0492153167725</v>
          </cell>
          <cell r="AE131">
            <v>27.0492153167725</v>
          </cell>
          <cell r="AF131">
            <v>30.761960983276399</v>
          </cell>
          <cell r="AG131">
            <v>4.0225</v>
          </cell>
        </row>
        <row r="132">
          <cell r="A132">
            <v>40940</v>
          </cell>
          <cell r="B132">
            <v>34.872711181640597</v>
          </cell>
          <cell r="C132">
            <v>35.334934234619098</v>
          </cell>
          <cell r="D132">
            <v>35.334934234619098</v>
          </cell>
          <cell r="E132">
            <v>35.334934234619098</v>
          </cell>
          <cell r="F132">
            <v>22.175823211669901</v>
          </cell>
          <cell r="G132">
            <v>22.820266723632798</v>
          </cell>
          <cell r="H132">
            <v>22.175823211669901</v>
          </cell>
          <cell r="I132">
            <v>22.820266723632798</v>
          </cell>
          <cell r="J132">
            <v>27.862089157104499</v>
          </cell>
          <cell r="K132">
            <v>31.655555725097699</v>
          </cell>
          <cell r="L132">
            <v>33.813331604003899</v>
          </cell>
          <cell r="M132">
            <v>23.802000045776399</v>
          </cell>
          <cell r="N132">
            <v>23.5271110534668</v>
          </cell>
          <cell r="O132">
            <v>24.868665695190401</v>
          </cell>
          <cell r="P132">
            <v>25.8964443206787</v>
          </cell>
          <cell r="Q132">
            <v>25.519332885742202</v>
          </cell>
          <cell r="R132">
            <v>27.865777969360401</v>
          </cell>
          <cell r="S132">
            <v>21.208667755126999</v>
          </cell>
          <cell r="T132">
            <v>25.519332885742202</v>
          </cell>
          <cell r="U132">
            <v>24.8816432952881</v>
          </cell>
          <cell r="V132">
            <v>22.6506652832031</v>
          </cell>
          <cell r="W132">
            <v>24.8816432952881</v>
          </cell>
          <cell r="X132">
            <v>64.648773193359403</v>
          </cell>
          <cell r="Y132">
            <v>24.8816432952881</v>
          </cell>
          <cell r="Z132">
            <v>24.8849773406982</v>
          </cell>
          <cell r="AA132">
            <v>26.2294216156006</v>
          </cell>
          <cell r="AB132">
            <v>27.041955947876001</v>
          </cell>
          <cell r="AC132">
            <v>29.371955871581999</v>
          </cell>
          <cell r="AD132">
            <v>27.041955947876001</v>
          </cell>
          <cell r="AE132">
            <v>27.041955947876001</v>
          </cell>
          <cell r="AF132">
            <v>30.5397338867188</v>
          </cell>
          <cell r="AG132">
            <v>3.9664999999999999</v>
          </cell>
        </row>
        <row r="133">
          <cell r="A133">
            <v>40969</v>
          </cell>
          <cell r="B133">
            <v>32.128570556640597</v>
          </cell>
          <cell r="C133">
            <v>31.875511169433601</v>
          </cell>
          <cell r="D133">
            <v>31.875511169433601</v>
          </cell>
          <cell r="E133">
            <v>31.875511169433601</v>
          </cell>
          <cell r="F133">
            <v>19.215429306030298</v>
          </cell>
          <cell r="G133">
            <v>19.848081588745099</v>
          </cell>
          <cell r="H133">
            <v>19.215429306030298</v>
          </cell>
          <cell r="I133">
            <v>19.848081588745099</v>
          </cell>
          <cell r="J133">
            <v>23.267591476440401</v>
          </cell>
          <cell r="K133">
            <v>29.481632232666001</v>
          </cell>
          <cell r="L133">
            <v>28.471427917480501</v>
          </cell>
          <cell r="M133">
            <v>22.9973468780518</v>
          </cell>
          <cell r="N133">
            <v>22.755918502807599</v>
          </cell>
          <cell r="O133">
            <v>24.6708164215088</v>
          </cell>
          <cell r="P133">
            <v>25.053468704223601</v>
          </cell>
          <cell r="Q133">
            <v>21.4808158874512</v>
          </cell>
          <cell r="R133">
            <v>26.995918273925799</v>
          </cell>
          <cell r="S133">
            <v>19.669795989990199</v>
          </cell>
          <cell r="T133">
            <v>21.4808158874512</v>
          </cell>
          <cell r="U133">
            <v>23.4973468780518</v>
          </cell>
          <cell r="V133">
            <v>22.396326065063501</v>
          </cell>
          <cell r="W133">
            <v>23.4973468780518</v>
          </cell>
          <cell r="X133">
            <v>60.234893798828097</v>
          </cell>
          <cell r="Y133">
            <v>23.4973468780518</v>
          </cell>
          <cell r="Z133">
            <v>23.475917816162099</v>
          </cell>
          <cell r="AA133">
            <v>24.782039642333999</v>
          </cell>
          <cell r="AB133">
            <v>26.065753936767599</v>
          </cell>
          <cell r="AC133">
            <v>27.8061637878418</v>
          </cell>
          <cell r="AD133">
            <v>26.065753936767599</v>
          </cell>
          <cell r="AE133">
            <v>26.065753936767599</v>
          </cell>
          <cell r="AF133">
            <v>29.137184143066399</v>
          </cell>
          <cell r="AG133">
            <v>3.8365</v>
          </cell>
        </row>
        <row r="134">
          <cell r="A134">
            <v>41000</v>
          </cell>
          <cell r="B134">
            <v>30.056249618530298</v>
          </cell>
          <cell r="C134">
            <v>29.733333587646499</v>
          </cell>
          <cell r="D134">
            <v>29.733333587646499</v>
          </cell>
          <cell r="E134">
            <v>29.733333587646499</v>
          </cell>
          <cell r="F134">
            <v>20.072792053222699</v>
          </cell>
          <cell r="G134">
            <v>20.697792053222699</v>
          </cell>
          <cell r="H134">
            <v>20.072792053222699</v>
          </cell>
          <cell r="I134">
            <v>20.697792053222699</v>
          </cell>
          <cell r="J134">
            <v>23.385124206543001</v>
          </cell>
          <cell r="K134">
            <v>29.049999237060501</v>
          </cell>
          <cell r="L134">
            <v>28.543750762939499</v>
          </cell>
          <cell r="M134">
            <v>19.628334045410199</v>
          </cell>
          <cell r="N134">
            <v>19.317083358764599</v>
          </cell>
          <cell r="O134">
            <v>24.503334045410199</v>
          </cell>
          <cell r="P134">
            <v>21.659584045410199</v>
          </cell>
          <cell r="Q134">
            <v>20.3116664886475</v>
          </cell>
          <cell r="R134">
            <v>23.5845832824707</v>
          </cell>
          <cell r="S134">
            <v>17.909584045410199</v>
          </cell>
          <cell r="T134">
            <v>20.3116664886475</v>
          </cell>
          <cell r="U134">
            <v>21.965623855590799</v>
          </cell>
          <cell r="V134">
            <v>22.366664886474599</v>
          </cell>
          <cell r="W134">
            <v>21.965623855590799</v>
          </cell>
          <cell r="X134">
            <v>57.583538055419901</v>
          </cell>
          <cell r="Y134">
            <v>21.965623855590799</v>
          </cell>
          <cell r="Z134">
            <v>21.928125381469702</v>
          </cell>
          <cell r="AA134">
            <v>23.209375381469702</v>
          </cell>
          <cell r="AB134">
            <v>25.565458297729499</v>
          </cell>
          <cell r="AC134">
            <v>27.4604587554932</v>
          </cell>
          <cell r="AD134">
            <v>25.565458297729499</v>
          </cell>
          <cell r="AE134">
            <v>25.565458297729499</v>
          </cell>
          <cell r="AF134">
            <v>28.5320434570313</v>
          </cell>
          <cell r="AG134">
            <v>3.6515</v>
          </cell>
        </row>
        <row r="135">
          <cell r="A135">
            <v>41030</v>
          </cell>
          <cell r="B135">
            <v>30.230613708496101</v>
          </cell>
          <cell r="C135">
            <v>29.6081638336182</v>
          </cell>
          <cell r="D135">
            <v>29.6081638336182</v>
          </cell>
          <cell r="E135">
            <v>29.6081638336182</v>
          </cell>
          <cell r="F135">
            <v>21.165388107299801</v>
          </cell>
          <cell r="G135">
            <v>21.798042297363299</v>
          </cell>
          <cell r="H135">
            <v>21.165388107299801</v>
          </cell>
          <cell r="I135">
            <v>21.798042297363299</v>
          </cell>
          <cell r="J135">
            <v>21.6480808258057</v>
          </cell>
          <cell r="K135">
            <v>32.430610656738303</v>
          </cell>
          <cell r="L135">
            <v>30.471427917480501</v>
          </cell>
          <cell r="M135">
            <v>19.893674850463899</v>
          </cell>
          <cell r="N135">
            <v>19.635103225708001</v>
          </cell>
          <cell r="O135">
            <v>25.423061370849599</v>
          </cell>
          <cell r="P135">
            <v>21.9497966766357</v>
          </cell>
          <cell r="Q135">
            <v>19.806123733520501</v>
          </cell>
          <cell r="R135">
            <v>23.8922443389893</v>
          </cell>
          <cell r="S135">
            <v>17.173469543456999</v>
          </cell>
          <cell r="T135">
            <v>19.806123733520501</v>
          </cell>
          <cell r="U135">
            <v>21.257959365844702</v>
          </cell>
          <cell r="V135">
            <v>23.518774032592798</v>
          </cell>
          <cell r="W135">
            <v>21.257959365844702</v>
          </cell>
          <cell r="X135">
            <v>58.847957611083999</v>
          </cell>
          <cell r="Y135">
            <v>21.257959365844702</v>
          </cell>
          <cell r="Z135">
            <v>21.236530303955099</v>
          </cell>
          <cell r="AA135">
            <v>22.542652130126999</v>
          </cell>
          <cell r="AB135">
            <v>26.075019836425799</v>
          </cell>
          <cell r="AC135">
            <v>28.106245040893601</v>
          </cell>
          <cell r="AD135">
            <v>26.075019836425799</v>
          </cell>
          <cell r="AE135">
            <v>26.075019836425799</v>
          </cell>
          <cell r="AF135">
            <v>29.782081604003899</v>
          </cell>
          <cell r="AG135">
            <v>3.6465000000000001</v>
          </cell>
        </row>
        <row r="136">
          <cell r="A136">
            <v>41061</v>
          </cell>
          <cell r="B136">
            <v>31.3822917938232</v>
          </cell>
          <cell r="C136">
            <v>31.082290649414102</v>
          </cell>
          <cell r="D136">
            <v>31.082290649414102</v>
          </cell>
          <cell r="E136">
            <v>31.082290649414102</v>
          </cell>
          <cell r="F136">
            <v>25.036666870117202</v>
          </cell>
          <cell r="G136">
            <v>25.661666870117202</v>
          </cell>
          <cell r="H136">
            <v>25.036666870117202</v>
          </cell>
          <cell r="I136">
            <v>25.661666870117202</v>
          </cell>
          <cell r="J136">
            <v>24.481250762939499</v>
          </cell>
          <cell r="K136">
            <v>30.301876068115199</v>
          </cell>
          <cell r="L136">
            <v>32.608123779296903</v>
          </cell>
          <cell r="M136">
            <v>24.077501296997099</v>
          </cell>
          <cell r="N136">
            <v>24.252500534057599</v>
          </cell>
          <cell r="O136">
            <v>30.006250381469702</v>
          </cell>
          <cell r="P136">
            <v>26.108751296997099</v>
          </cell>
          <cell r="Q136">
            <v>21.3045845031738</v>
          </cell>
          <cell r="R136">
            <v>28.033750534057599</v>
          </cell>
          <cell r="S136">
            <v>19.2087497711182</v>
          </cell>
          <cell r="T136">
            <v>21.3045845031738</v>
          </cell>
          <cell r="U136">
            <v>25.356666564941399</v>
          </cell>
          <cell r="V136">
            <v>26.085414886474599</v>
          </cell>
          <cell r="W136">
            <v>25.356666564941399</v>
          </cell>
          <cell r="X136">
            <v>65.421249389648395</v>
          </cell>
          <cell r="Y136">
            <v>25.356666564941399</v>
          </cell>
          <cell r="Z136">
            <v>25.319166183471701</v>
          </cell>
          <cell r="AA136">
            <v>26.600416183471701</v>
          </cell>
          <cell r="AB136">
            <v>28.915916442871101</v>
          </cell>
          <cell r="AC136">
            <v>31.675498962402301</v>
          </cell>
          <cell r="AD136">
            <v>28.915916442871101</v>
          </cell>
          <cell r="AE136">
            <v>28.915916442871101</v>
          </cell>
          <cell r="AF136">
            <v>33.999256134033203</v>
          </cell>
          <cell r="AG136">
            <v>3.6815000000000002</v>
          </cell>
        </row>
        <row r="137">
          <cell r="A137">
            <v>41091</v>
          </cell>
          <cell r="B137">
            <v>34.9009819030762</v>
          </cell>
          <cell r="C137">
            <v>34.653923034667997</v>
          </cell>
          <cell r="D137">
            <v>34.653923034667997</v>
          </cell>
          <cell r="E137">
            <v>34.653923034667997</v>
          </cell>
          <cell r="F137">
            <v>33.563922882080099</v>
          </cell>
          <cell r="G137">
            <v>34.171764373779297</v>
          </cell>
          <cell r="H137">
            <v>33.563922882080099</v>
          </cell>
          <cell r="I137">
            <v>34.171764373779297</v>
          </cell>
          <cell r="J137">
            <v>29.9204711914063</v>
          </cell>
          <cell r="K137">
            <v>34.440196990966797</v>
          </cell>
          <cell r="L137">
            <v>38.2549018859863</v>
          </cell>
          <cell r="M137">
            <v>26.2405891418457</v>
          </cell>
          <cell r="N137">
            <v>25.869804382324201</v>
          </cell>
          <cell r="O137">
            <v>33.161373138427699</v>
          </cell>
          <cell r="P137">
            <v>28.216079711914102</v>
          </cell>
          <cell r="Q137">
            <v>24.600784301757798</v>
          </cell>
          <cell r="R137">
            <v>30.1019611358643</v>
          </cell>
          <cell r="S137">
            <v>21.184902191162099</v>
          </cell>
          <cell r="T137">
            <v>24.600784301757798</v>
          </cell>
          <cell r="U137">
            <v>28.070980072021499</v>
          </cell>
          <cell r="V137">
            <v>30.7729396820068</v>
          </cell>
          <cell r="W137">
            <v>28.070980072021499</v>
          </cell>
          <cell r="X137">
            <v>67.677650451660199</v>
          </cell>
          <cell r="Y137">
            <v>28.070980072021499</v>
          </cell>
          <cell r="Z137">
            <v>27.997451782226602</v>
          </cell>
          <cell r="AA137">
            <v>29.2229404449463</v>
          </cell>
          <cell r="AB137">
            <v>31.596117019653299</v>
          </cell>
          <cell r="AC137">
            <v>35.4053344726563</v>
          </cell>
          <cell r="AD137">
            <v>31.596117019653299</v>
          </cell>
          <cell r="AE137">
            <v>31.596117019653299</v>
          </cell>
          <cell r="AF137">
            <v>40.0353393554688</v>
          </cell>
          <cell r="AG137">
            <v>3.7214999999999998</v>
          </cell>
        </row>
        <row r="138">
          <cell r="A138">
            <v>41122</v>
          </cell>
          <cell r="B138">
            <v>34.648937225341797</v>
          </cell>
          <cell r="C138">
            <v>34.436168670654297</v>
          </cell>
          <cell r="D138">
            <v>34.436168670654297</v>
          </cell>
          <cell r="E138">
            <v>34.436168670654297</v>
          </cell>
          <cell r="F138">
            <v>32.127658843994098</v>
          </cell>
          <cell r="G138">
            <v>32.787235260009801</v>
          </cell>
          <cell r="H138">
            <v>32.127658843994098</v>
          </cell>
          <cell r="I138">
            <v>32.787235260009801</v>
          </cell>
          <cell r="J138">
            <v>25.1528930664063</v>
          </cell>
          <cell r="K138">
            <v>34.587234497070298</v>
          </cell>
          <cell r="L138">
            <v>38.400001525878899</v>
          </cell>
          <cell r="M138">
            <v>26.619361877441399</v>
          </cell>
          <cell r="N138">
            <v>25.205106735229499</v>
          </cell>
          <cell r="O138">
            <v>32.302764892578097</v>
          </cell>
          <cell r="P138">
            <v>28.7629795074463</v>
          </cell>
          <cell r="Q138">
            <v>22.8034057617188</v>
          </cell>
          <cell r="R138">
            <v>30.766807556152301</v>
          </cell>
          <cell r="S138">
            <v>20.431276321411101</v>
          </cell>
          <cell r="T138">
            <v>22.8034057617188</v>
          </cell>
          <cell r="U138">
            <v>27.809785842895501</v>
          </cell>
          <cell r="V138">
            <v>30.030210494995099</v>
          </cell>
          <cell r="W138">
            <v>27.809785842895501</v>
          </cell>
          <cell r="X138">
            <v>70.902130126953097</v>
          </cell>
          <cell r="Y138">
            <v>27.809785842895501</v>
          </cell>
          <cell r="Z138">
            <v>27.844894409179702</v>
          </cell>
          <cell r="AA138">
            <v>29.238510131835898</v>
          </cell>
          <cell r="AB138">
            <v>29.660255432128899</v>
          </cell>
          <cell r="AC138">
            <v>33.101531982421903</v>
          </cell>
          <cell r="AD138">
            <v>29.660255432128899</v>
          </cell>
          <cell r="AE138">
            <v>29.660255432128899</v>
          </cell>
          <cell r="AF138">
            <v>38.136856079101598</v>
          </cell>
          <cell r="AG138">
            <v>3.7614999999999998</v>
          </cell>
        </row>
        <row r="139">
          <cell r="A139">
            <v>41153</v>
          </cell>
          <cell r="B139">
            <v>29.325962066650401</v>
          </cell>
          <cell r="C139">
            <v>29.545192718505898</v>
          </cell>
          <cell r="D139">
            <v>29.545192718505898</v>
          </cell>
          <cell r="E139">
            <v>29.545192718505898</v>
          </cell>
          <cell r="F139">
            <v>20.1602687835693</v>
          </cell>
          <cell r="G139">
            <v>20.7371921539307</v>
          </cell>
          <cell r="H139">
            <v>20.1602687835693</v>
          </cell>
          <cell r="I139">
            <v>20.7371921539307</v>
          </cell>
          <cell r="J139">
            <v>24.428846359252901</v>
          </cell>
          <cell r="K139">
            <v>27.313461303710898</v>
          </cell>
          <cell r="L139">
            <v>29.8769226074219</v>
          </cell>
          <cell r="M139">
            <v>20.3630771636963</v>
          </cell>
          <cell r="N139">
            <v>19.771923065185501</v>
          </cell>
          <cell r="O139">
            <v>23.803846359252901</v>
          </cell>
          <cell r="P139">
            <v>22.2380771636963</v>
          </cell>
          <cell r="Q139">
            <v>21.1169242858887</v>
          </cell>
          <cell r="R139">
            <v>24.053461074829102</v>
          </cell>
          <cell r="S139">
            <v>18.0707702636719</v>
          </cell>
          <cell r="T139">
            <v>21.1169242858887</v>
          </cell>
          <cell r="U139">
            <v>23.975193023681602</v>
          </cell>
          <cell r="V139">
            <v>24.674999237060501</v>
          </cell>
          <cell r="W139">
            <v>23.975193023681602</v>
          </cell>
          <cell r="X139">
            <v>56.803462982177699</v>
          </cell>
          <cell r="Y139">
            <v>23.975193023681602</v>
          </cell>
          <cell r="Z139">
            <v>23.8367309570313</v>
          </cell>
          <cell r="AA139">
            <v>24.9617309570313</v>
          </cell>
          <cell r="AB139">
            <v>25.4286918640137</v>
          </cell>
          <cell r="AC139">
            <v>27.8406162261963</v>
          </cell>
          <cell r="AD139">
            <v>25.759845733642599</v>
          </cell>
          <cell r="AE139">
            <v>25.4286918640137</v>
          </cell>
          <cell r="AF139">
            <v>31.964847564697301</v>
          </cell>
          <cell r="AG139">
            <v>3.7444999999999999</v>
          </cell>
        </row>
        <row r="140">
          <cell r="A140">
            <v>41183</v>
          </cell>
          <cell r="B140">
            <v>28.117021560668899</v>
          </cell>
          <cell r="C140">
            <v>28.440423965454102</v>
          </cell>
          <cell r="D140">
            <v>28.440423965454102</v>
          </cell>
          <cell r="E140">
            <v>28.440423965454102</v>
          </cell>
          <cell r="F140">
            <v>18.805957794189499</v>
          </cell>
          <cell r="G140">
            <v>19.465532302856399</v>
          </cell>
          <cell r="H140">
            <v>18.805957794189499</v>
          </cell>
          <cell r="I140">
            <v>19.465532302856399</v>
          </cell>
          <cell r="J140">
            <v>23.222339630126999</v>
          </cell>
          <cell r="K140">
            <v>28.197872161865199</v>
          </cell>
          <cell r="L140">
            <v>29.702127456665</v>
          </cell>
          <cell r="M140">
            <v>18.247022628784201</v>
          </cell>
          <cell r="N140">
            <v>18.449787139892599</v>
          </cell>
          <cell r="O140">
            <v>21.515531539916999</v>
          </cell>
          <cell r="P140">
            <v>20.390638351440401</v>
          </cell>
          <cell r="Q140">
            <v>19.003618240356399</v>
          </cell>
          <cell r="R140">
            <v>22.394468307495099</v>
          </cell>
          <cell r="S140">
            <v>16.8738307952881</v>
          </cell>
          <cell r="T140">
            <v>19.003618240356399</v>
          </cell>
          <cell r="U140">
            <v>23.795213699340799</v>
          </cell>
          <cell r="V140">
            <v>22.6791477203369</v>
          </cell>
          <cell r="W140">
            <v>23.795213699340799</v>
          </cell>
          <cell r="X140">
            <v>59.613193511962898</v>
          </cell>
          <cell r="Y140">
            <v>23.795213699340799</v>
          </cell>
          <cell r="Z140">
            <v>23.830318450927699</v>
          </cell>
          <cell r="AA140">
            <v>25.223936080932599</v>
          </cell>
          <cell r="AB140">
            <v>23.832872390747099</v>
          </cell>
          <cell r="AC140">
            <v>25.762022018432599</v>
          </cell>
          <cell r="AD140">
            <v>24.2088298797607</v>
          </cell>
          <cell r="AE140">
            <v>23.832872390747099</v>
          </cell>
          <cell r="AF140">
            <v>27.255640029907202</v>
          </cell>
          <cell r="AG140">
            <v>3.7694999999999999</v>
          </cell>
        </row>
        <row r="141">
          <cell r="A141">
            <v>41214</v>
          </cell>
          <cell r="B141">
            <v>29.03125</v>
          </cell>
          <cell r="C141">
            <v>29.2395839691162</v>
          </cell>
          <cell r="D141">
            <v>29.2395839691162</v>
          </cell>
          <cell r="E141">
            <v>29.2395839691162</v>
          </cell>
          <cell r="F141">
            <v>18.65625</v>
          </cell>
          <cell r="G141">
            <v>19.28125</v>
          </cell>
          <cell r="H141">
            <v>18.65625</v>
          </cell>
          <cell r="I141">
            <v>19.28125</v>
          </cell>
          <cell r="J141">
            <v>23.472915649414102</v>
          </cell>
          <cell r="K141">
            <v>28.978124618530298</v>
          </cell>
          <cell r="L141">
            <v>30.659374237060501</v>
          </cell>
          <cell r="M141">
            <v>19.032917022705099</v>
          </cell>
          <cell r="N141">
            <v>18.9466667175293</v>
          </cell>
          <cell r="O141">
            <v>22.138750076293899</v>
          </cell>
          <cell r="P141">
            <v>21.064167022705099</v>
          </cell>
          <cell r="Q141">
            <v>20.268333435058601</v>
          </cell>
          <cell r="R141">
            <v>22.9891662597656</v>
          </cell>
          <cell r="S141">
            <v>17.5704154968262</v>
          </cell>
          <cell r="T141">
            <v>20.268333435058601</v>
          </cell>
          <cell r="U141">
            <v>23.078125</v>
          </cell>
          <cell r="V141">
            <v>23.522914886474599</v>
          </cell>
          <cell r="W141">
            <v>23.078125</v>
          </cell>
          <cell r="X141">
            <v>58.757911682128899</v>
          </cell>
          <cell r="Y141">
            <v>23.078125</v>
          </cell>
          <cell r="Z141">
            <v>23.040624618530298</v>
          </cell>
          <cell r="AA141">
            <v>24.321874618530298</v>
          </cell>
          <cell r="AB141">
            <v>24.094123840331999</v>
          </cell>
          <cell r="AC141">
            <v>25.8199577331543</v>
          </cell>
          <cell r="AD141">
            <v>24.511625289916999</v>
          </cell>
          <cell r="AE141">
            <v>24.094123840331999</v>
          </cell>
          <cell r="AF141">
            <v>27.4882926940918</v>
          </cell>
          <cell r="AG141">
            <v>3.9215</v>
          </cell>
        </row>
        <row r="142">
          <cell r="A142">
            <v>41244</v>
          </cell>
          <cell r="B142">
            <v>30.6490573883057</v>
          </cell>
          <cell r="C142">
            <v>31.328302383422901</v>
          </cell>
          <cell r="D142">
            <v>31.328302383422901</v>
          </cell>
          <cell r="E142">
            <v>31.328302383422901</v>
          </cell>
          <cell r="F142">
            <v>18.4435844421387</v>
          </cell>
          <cell r="G142">
            <v>19.028490066528299</v>
          </cell>
          <cell r="H142">
            <v>18.4435844421387</v>
          </cell>
          <cell r="I142">
            <v>19.028490066528299</v>
          </cell>
          <cell r="J142">
            <v>25.968868255615199</v>
          </cell>
          <cell r="K142">
            <v>32.049057006835902</v>
          </cell>
          <cell r="L142">
            <v>32.428302764892599</v>
          </cell>
          <cell r="M142">
            <v>22.787548065185501</v>
          </cell>
          <cell r="N142">
            <v>22.7258491516113</v>
          </cell>
          <cell r="O142">
            <v>21.4315090179443</v>
          </cell>
          <cell r="P142">
            <v>24.688491821289102</v>
          </cell>
          <cell r="Q142">
            <v>23.289623260498001</v>
          </cell>
          <cell r="R142">
            <v>26.5220756530762</v>
          </cell>
          <cell r="S142">
            <v>20.310377120971701</v>
          </cell>
          <cell r="T142">
            <v>23.289623260498001</v>
          </cell>
          <cell r="U142">
            <v>24.078300476074201</v>
          </cell>
          <cell r="V142">
            <v>23.3475456237793</v>
          </cell>
          <cell r="W142">
            <v>24.078300476074201</v>
          </cell>
          <cell r="X142">
            <v>59.327545166015597</v>
          </cell>
          <cell r="Y142">
            <v>24.078300476074201</v>
          </cell>
          <cell r="Z142">
            <v>23.9566040039063</v>
          </cell>
          <cell r="AA142">
            <v>25.107547760009801</v>
          </cell>
          <cell r="AB142">
            <v>25.624961853027301</v>
          </cell>
          <cell r="AC142">
            <v>27.8976039886475</v>
          </cell>
          <cell r="AD142">
            <v>26.0749626159668</v>
          </cell>
          <cell r="AE142">
            <v>25.624961853027301</v>
          </cell>
          <cell r="AF142">
            <v>29.5591144561768</v>
          </cell>
          <cell r="AG142">
            <v>4.0644999999999998</v>
          </cell>
        </row>
        <row r="143">
          <cell r="A143">
            <v>41275</v>
          </cell>
          <cell r="B143">
            <v>35.9281616210938</v>
          </cell>
          <cell r="C143">
            <v>36.438365936279297</v>
          </cell>
          <cell r="D143">
            <v>36.438365936279297</v>
          </cell>
          <cell r="E143">
            <v>36.438365936279297</v>
          </cell>
          <cell r="F143">
            <v>21.833103179931602</v>
          </cell>
          <cell r="G143">
            <v>22.465755462646499</v>
          </cell>
          <cell r="H143">
            <v>21.833103179931602</v>
          </cell>
          <cell r="I143">
            <v>21.833103179931602</v>
          </cell>
          <cell r="J143">
            <v>30.657590866088899</v>
          </cell>
          <cell r="K143">
            <v>32.941837310791001</v>
          </cell>
          <cell r="L143">
            <v>33.671428680419901</v>
          </cell>
          <cell r="M143">
            <v>26.208774566650401</v>
          </cell>
          <cell r="N143">
            <v>25.898775100708001</v>
          </cell>
          <cell r="O143">
            <v>24.6577548980713</v>
          </cell>
          <cell r="P143">
            <v>28.264898300170898</v>
          </cell>
          <cell r="Q143">
            <v>28.825101852416999</v>
          </cell>
          <cell r="R143">
            <v>30.207347869873001</v>
          </cell>
          <cell r="S143">
            <v>22.723060607910199</v>
          </cell>
          <cell r="T143">
            <v>28.825101852416999</v>
          </cell>
          <cell r="U143">
            <v>26.334081649780298</v>
          </cell>
          <cell r="V143">
            <v>23.100406646728501</v>
          </cell>
          <cell r="W143">
            <v>26.334081649780298</v>
          </cell>
          <cell r="X143">
            <v>65.7176513671875</v>
          </cell>
          <cell r="Y143">
            <v>26.334081649780298</v>
          </cell>
          <cell r="Z143">
            <v>26.3126525878906</v>
          </cell>
          <cell r="AA143">
            <v>27.6187744140625</v>
          </cell>
          <cell r="AB143">
            <v>27.605224609375</v>
          </cell>
          <cell r="AC143">
            <v>30.0956325531006</v>
          </cell>
          <cell r="AD143">
            <v>27.605224609375</v>
          </cell>
          <cell r="AE143">
            <v>27.605224609375</v>
          </cell>
          <cell r="AF143">
            <v>31.347061157226602</v>
          </cell>
          <cell r="AG143">
            <v>4.1025</v>
          </cell>
        </row>
        <row r="144">
          <cell r="A144">
            <v>41306</v>
          </cell>
          <cell r="B144">
            <v>35.110729217529297</v>
          </cell>
          <cell r="C144">
            <v>35.583454132080099</v>
          </cell>
          <cell r="D144">
            <v>35.583454132080099</v>
          </cell>
          <cell r="E144">
            <v>35.583454132080099</v>
          </cell>
          <cell r="F144">
            <v>22.2343635559082</v>
          </cell>
          <cell r="G144">
            <v>22.8707275390625</v>
          </cell>
          <cell r="H144">
            <v>22.2343635559082</v>
          </cell>
          <cell r="I144">
            <v>22.2343635559082</v>
          </cell>
          <cell r="J144">
            <v>28.103273391723601</v>
          </cell>
          <cell r="K144">
            <v>31.790910720825199</v>
          </cell>
          <cell r="L144">
            <v>33.9454536437988</v>
          </cell>
          <cell r="M144">
            <v>24.1481819152832</v>
          </cell>
          <cell r="N144">
            <v>23.872726440429702</v>
          </cell>
          <cell r="O144">
            <v>25.1481819152832</v>
          </cell>
          <cell r="P144">
            <v>26.216363906860401</v>
          </cell>
          <cell r="Q144">
            <v>26.937273025512699</v>
          </cell>
          <cell r="R144">
            <v>28.167272567748999</v>
          </cell>
          <cell r="S144">
            <v>21.5936374664307</v>
          </cell>
          <cell r="T144">
            <v>26.937273025512699</v>
          </cell>
          <cell r="U144">
            <v>25.243272781372099</v>
          </cell>
          <cell r="V144">
            <v>23.112726211547901</v>
          </cell>
          <cell r="W144">
            <v>25.243272781372099</v>
          </cell>
          <cell r="X144">
            <v>64.500907897949205</v>
          </cell>
          <cell r="Y144">
            <v>25.243272781372099</v>
          </cell>
          <cell r="Z144">
            <v>25.2296352386475</v>
          </cell>
          <cell r="AA144">
            <v>26.547817230224599</v>
          </cell>
          <cell r="AB144">
            <v>27.851272583007798</v>
          </cell>
          <cell r="AC144">
            <v>30.175819396972699</v>
          </cell>
          <cell r="AD144">
            <v>27.851272583007798</v>
          </cell>
          <cell r="AE144">
            <v>27.851272583007798</v>
          </cell>
          <cell r="AF144">
            <v>31.360364913940401</v>
          </cell>
          <cell r="AG144">
            <v>4.0465</v>
          </cell>
        </row>
        <row r="145">
          <cell r="A145">
            <v>41334</v>
          </cell>
          <cell r="B145">
            <v>32.351963043212898</v>
          </cell>
          <cell r="C145">
            <v>32.048038482666001</v>
          </cell>
          <cell r="D145">
            <v>32.048038482666001</v>
          </cell>
          <cell r="E145">
            <v>32.048038482666001</v>
          </cell>
          <cell r="F145">
            <v>19.1345100402832</v>
          </cell>
          <cell r="G145">
            <v>19.742353439331101</v>
          </cell>
          <cell r="H145">
            <v>19.1345100402832</v>
          </cell>
          <cell r="I145">
            <v>19.1345100402832</v>
          </cell>
          <cell r="J145">
            <v>23.563529968261701</v>
          </cell>
          <cell r="K145">
            <v>29.700000762939499</v>
          </cell>
          <cell r="L145">
            <v>28.8039226531982</v>
          </cell>
          <cell r="M145">
            <v>23.173921585083001</v>
          </cell>
          <cell r="N145">
            <v>22.896471023559599</v>
          </cell>
          <cell r="O145">
            <v>25.134706497192401</v>
          </cell>
          <cell r="P145">
            <v>25.149412155151399</v>
          </cell>
          <cell r="Q145">
            <v>22.745491027831999</v>
          </cell>
          <cell r="R145">
            <v>27.035293579101602</v>
          </cell>
          <cell r="S145">
            <v>19.9964714050293</v>
          </cell>
          <cell r="T145">
            <v>22.745491027831999</v>
          </cell>
          <cell r="U145">
            <v>23.717058181762699</v>
          </cell>
          <cell r="V145">
            <v>22.900390625</v>
          </cell>
          <cell r="W145">
            <v>23.717058181762699</v>
          </cell>
          <cell r="X145">
            <v>58.960975646972699</v>
          </cell>
          <cell r="Y145">
            <v>23.717058181762699</v>
          </cell>
          <cell r="Z145">
            <v>23.643529891967798</v>
          </cell>
          <cell r="AA145">
            <v>24.8690185546875</v>
          </cell>
          <cell r="AB145">
            <v>26.978273391723601</v>
          </cell>
          <cell r="AC145">
            <v>28.7296466827393</v>
          </cell>
          <cell r="AD145">
            <v>26.978273391723601</v>
          </cell>
          <cell r="AE145">
            <v>26.978273391723601</v>
          </cell>
          <cell r="AF145">
            <v>30.027294158935501</v>
          </cell>
          <cell r="AG145">
            <v>3.9165000000000001</v>
          </cell>
        </row>
        <row r="146">
          <cell r="A146">
            <v>41365</v>
          </cell>
          <cell r="B146">
            <v>30.328260421752901</v>
          </cell>
          <cell r="C146">
            <v>30.0586967468262</v>
          </cell>
          <cell r="D146">
            <v>30.0586967468262</v>
          </cell>
          <cell r="E146">
            <v>30.0586967468262</v>
          </cell>
          <cell r="F146">
            <v>20.004173278808601</v>
          </cell>
          <cell r="G146">
            <v>20.656347274780298</v>
          </cell>
          <cell r="H146">
            <v>20.004173278808601</v>
          </cell>
          <cell r="I146">
            <v>20.004173278808601</v>
          </cell>
          <cell r="J146">
            <v>23.4938259124756</v>
          </cell>
          <cell r="K146">
            <v>28.984783172607401</v>
          </cell>
          <cell r="L146">
            <v>28.3739128112793</v>
          </cell>
          <cell r="M146">
            <v>20.101305007934599</v>
          </cell>
          <cell r="N146">
            <v>19.8269557952881</v>
          </cell>
          <cell r="O146">
            <v>24.427391052246101</v>
          </cell>
          <cell r="P146">
            <v>22.220869064331101</v>
          </cell>
          <cell r="Q146">
            <v>20.6678256988525</v>
          </cell>
          <cell r="R146">
            <v>24.207826614379901</v>
          </cell>
          <cell r="S146">
            <v>18.286087036132798</v>
          </cell>
          <cell r="T146">
            <v>20.6678256988525</v>
          </cell>
          <cell r="U146">
            <v>22.470869064331101</v>
          </cell>
          <cell r="V146">
            <v>22.665216445922901</v>
          </cell>
          <cell r="W146">
            <v>22.470869064331101</v>
          </cell>
          <cell r="X146">
            <v>59.696083068847699</v>
          </cell>
          <cell r="Y146">
            <v>22.470869064331101</v>
          </cell>
          <cell r="Z146">
            <v>22.490434646606399</v>
          </cell>
          <cell r="AA146">
            <v>23.859998703002901</v>
          </cell>
          <cell r="AB146">
            <v>26.157566070556602</v>
          </cell>
          <cell r="AC146">
            <v>28.0471305847168</v>
          </cell>
          <cell r="AD146">
            <v>26.157566070556602</v>
          </cell>
          <cell r="AE146">
            <v>26.157566070556602</v>
          </cell>
          <cell r="AF146">
            <v>29.144435882568398</v>
          </cell>
          <cell r="AG146">
            <v>3.7315</v>
          </cell>
        </row>
        <row r="147">
          <cell r="A147">
            <v>41395</v>
          </cell>
          <cell r="B147">
            <v>30.480613708496101</v>
          </cell>
          <cell r="C147">
            <v>29.8581638336182</v>
          </cell>
          <cell r="D147">
            <v>29.8581638336182</v>
          </cell>
          <cell r="E147">
            <v>29.8581638336182</v>
          </cell>
          <cell r="F147">
            <v>21.165388107299801</v>
          </cell>
          <cell r="G147">
            <v>21.798042297363299</v>
          </cell>
          <cell r="H147">
            <v>21.165388107299801</v>
          </cell>
          <cell r="I147">
            <v>21.165388107299801</v>
          </cell>
          <cell r="J147">
            <v>21.848081588745099</v>
          </cell>
          <cell r="K147">
            <v>32.522449493408203</v>
          </cell>
          <cell r="L147">
            <v>30.5632648468018</v>
          </cell>
          <cell r="M147">
            <v>20.2100009918213</v>
          </cell>
          <cell r="N147">
            <v>19.951429367065401</v>
          </cell>
          <cell r="O147">
            <v>25.6577548980713</v>
          </cell>
          <cell r="P147">
            <v>22.2661228179932</v>
          </cell>
          <cell r="Q147">
            <v>20.6408176422119</v>
          </cell>
          <cell r="R147">
            <v>24.208570480346701</v>
          </cell>
          <cell r="S147">
            <v>17.489795684814499</v>
          </cell>
          <cell r="T147">
            <v>20.6408176422119</v>
          </cell>
          <cell r="U147">
            <v>21.574285507202099</v>
          </cell>
          <cell r="V147">
            <v>23.926937103271499</v>
          </cell>
          <cell r="W147">
            <v>21.574285507202099</v>
          </cell>
          <cell r="X147">
            <v>59.164283752441399</v>
          </cell>
          <cell r="Y147">
            <v>21.574285507202099</v>
          </cell>
          <cell r="Z147">
            <v>21.5528564453125</v>
          </cell>
          <cell r="AA147">
            <v>22.858980178833001</v>
          </cell>
          <cell r="AB147">
            <v>26.825019836425799</v>
          </cell>
          <cell r="AC147">
            <v>28.856245040893601</v>
          </cell>
          <cell r="AD147">
            <v>26.825019836425799</v>
          </cell>
          <cell r="AE147">
            <v>26.825019836425799</v>
          </cell>
          <cell r="AF147">
            <v>30.532081604003899</v>
          </cell>
          <cell r="AG147">
            <v>3.7265000000000001</v>
          </cell>
        </row>
        <row r="148">
          <cell r="A148">
            <v>41426</v>
          </cell>
          <cell r="B148">
            <v>31.616998672485401</v>
          </cell>
          <cell r="C148">
            <v>31.256999969482401</v>
          </cell>
          <cell r="D148">
            <v>31.256999969482401</v>
          </cell>
          <cell r="E148">
            <v>31.256999969482401</v>
          </cell>
          <cell r="F148">
            <v>25.860000610351602</v>
          </cell>
          <cell r="G148">
            <v>26.4600009918213</v>
          </cell>
          <cell r="H148">
            <v>25.860000610351602</v>
          </cell>
          <cell r="I148">
            <v>25.860000610351602</v>
          </cell>
          <cell r="J148">
            <v>24.752000808715799</v>
          </cell>
          <cell r="K148">
            <v>30.5920009613037</v>
          </cell>
          <cell r="L148">
            <v>32.881999969482401</v>
          </cell>
          <cell r="M148">
            <v>24.196001052856399</v>
          </cell>
          <cell r="N148">
            <v>24.3619995117188</v>
          </cell>
          <cell r="O148">
            <v>30.5060005187988</v>
          </cell>
          <cell r="P148">
            <v>26.145999908447301</v>
          </cell>
          <cell r="Q148">
            <v>22.639999389648398</v>
          </cell>
          <cell r="R148">
            <v>28.013999938964801</v>
          </cell>
          <cell r="S148">
            <v>19.541999816894499</v>
          </cell>
          <cell r="T148">
            <v>22.639999389648398</v>
          </cell>
          <cell r="U148">
            <v>25.487998962402301</v>
          </cell>
          <cell r="V148">
            <v>26.6419982910156</v>
          </cell>
          <cell r="W148">
            <v>25.487998962402301</v>
          </cell>
          <cell r="X148">
            <v>63.895999908447301</v>
          </cell>
          <cell r="Y148">
            <v>25.487998962402301</v>
          </cell>
          <cell r="Z148">
            <v>25.3980007171631</v>
          </cell>
          <cell r="AA148">
            <v>26.597999572753899</v>
          </cell>
          <cell r="AB148">
            <v>30.417798995971701</v>
          </cell>
          <cell r="AC148">
            <v>33.167800903320298</v>
          </cell>
          <cell r="AD148">
            <v>30.417798995971701</v>
          </cell>
          <cell r="AE148">
            <v>30.417798995971701</v>
          </cell>
          <cell r="AF148">
            <v>35.477806091308601</v>
          </cell>
          <cell r="AG148">
            <v>3.7614999999999998</v>
          </cell>
        </row>
        <row r="149">
          <cell r="A149">
            <v>41456</v>
          </cell>
          <cell r="B149">
            <v>34.977550506591797</v>
          </cell>
          <cell r="C149">
            <v>34.763263702392599</v>
          </cell>
          <cell r="D149">
            <v>34.763263702392599</v>
          </cell>
          <cell r="E149">
            <v>34.763263702392599</v>
          </cell>
          <cell r="F149">
            <v>33.043266296386697</v>
          </cell>
          <cell r="G149">
            <v>33.675918579101598</v>
          </cell>
          <cell r="H149">
            <v>33.043266296386697</v>
          </cell>
          <cell r="I149">
            <v>33.043266296386697</v>
          </cell>
          <cell r="J149">
            <v>29.6030597686768</v>
          </cell>
          <cell r="K149">
            <v>34.547958374023402</v>
          </cell>
          <cell r="L149">
            <v>38.4408149719238</v>
          </cell>
          <cell r="M149">
            <v>26.5855102539063</v>
          </cell>
          <cell r="N149">
            <v>26.2497959136963</v>
          </cell>
          <cell r="O149">
            <v>32.984287261962898</v>
          </cell>
          <cell r="P149">
            <v>28.6416339874268</v>
          </cell>
          <cell r="Q149">
            <v>24.783674240112301</v>
          </cell>
          <cell r="R149">
            <v>30.584081649780298</v>
          </cell>
          <cell r="S149">
            <v>21.3030605316162</v>
          </cell>
          <cell r="T149">
            <v>24.783674240112301</v>
          </cell>
          <cell r="U149">
            <v>28.425306320190401</v>
          </cell>
          <cell r="V149">
            <v>30.824895858764599</v>
          </cell>
          <cell r="W149">
            <v>28.425306320190401</v>
          </cell>
          <cell r="X149">
            <v>69.703674316406307</v>
          </cell>
          <cell r="Y149">
            <v>28.425306320190401</v>
          </cell>
          <cell r="Z149">
            <v>28.403877258300799</v>
          </cell>
          <cell r="AA149">
            <v>29.709999084472699</v>
          </cell>
          <cell r="AB149">
            <v>31.8753471374512</v>
          </cell>
          <cell r="AC149">
            <v>35.675960540771499</v>
          </cell>
          <cell r="AD149">
            <v>31.8753471374512</v>
          </cell>
          <cell r="AE149">
            <v>31.8753471374512</v>
          </cell>
          <cell r="AF149">
            <v>40.332492828369098</v>
          </cell>
          <cell r="AG149">
            <v>3.8014999999999999</v>
          </cell>
        </row>
        <row r="150">
          <cell r="A150">
            <v>41487</v>
          </cell>
          <cell r="B150">
            <v>35.162246704101598</v>
          </cell>
          <cell r="C150">
            <v>34.958164215087898</v>
          </cell>
          <cell r="D150">
            <v>34.958164215087898</v>
          </cell>
          <cell r="E150">
            <v>34.958164215087898</v>
          </cell>
          <cell r="F150">
            <v>33.492244720458999</v>
          </cell>
          <cell r="G150">
            <v>34.1248970031738</v>
          </cell>
          <cell r="H150">
            <v>33.492244720458999</v>
          </cell>
          <cell r="I150">
            <v>33.492244720458999</v>
          </cell>
          <cell r="J150">
            <v>25.847551345825199</v>
          </cell>
          <cell r="K150">
            <v>34.630611419677699</v>
          </cell>
          <cell r="L150">
            <v>38.365306854247997</v>
          </cell>
          <cell r="M150">
            <v>27.139389038085898</v>
          </cell>
          <cell r="N150">
            <v>25.6673469543457</v>
          </cell>
          <cell r="O150">
            <v>32.670814514160199</v>
          </cell>
          <cell r="P150">
            <v>29.195510864257798</v>
          </cell>
          <cell r="Q150">
            <v>23.951837539672901</v>
          </cell>
          <cell r="R150">
            <v>31.1379585266113</v>
          </cell>
          <cell r="S150">
            <v>21.224285125732401</v>
          </cell>
          <cell r="T150">
            <v>23.951837539672901</v>
          </cell>
          <cell r="U150">
            <v>28.4048976898193</v>
          </cell>
          <cell r="V150">
            <v>30.875917434692401</v>
          </cell>
          <cell r="W150">
            <v>28.4048976898193</v>
          </cell>
          <cell r="X150">
            <v>69.722854614257798</v>
          </cell>
          <cell r="Y150">
            <v>28.4048976898193</v>
          </cell>
          <cell r="Z150">
            <v>28.383468627929702</v>
          </cell>
          <cell r="AA150">
            <v>29.689592361450199</v>
          </cell>
          <cell r="AB150">
            <v>30.732286453247099</v>
          </cell>
          <cell r="AC150">
            <v>34.258407592773402</v>
          </cell>
          <cell r="AD150">
            <v>30.732286453247099</v>
          </cell>
          <cell r="AE150">
            <v>30.732286453247099</v>
          </cell>
          <cell r="AF150">
            <v>39.303718566894503</v>
          </cell>
          <cell r="AG150">
            <v>3.8414999999999999</v>
          </cell>
        </row>
        <row r="151">
          <cell r="A151">
            <v>41518</v>
          </cell>
          <cell r="B151">
            <v>29.586000442504901</v>
          </cell>
          <cell r="C151">
            <v>29.813999176025401</v>
          </cell>
          <cell r="D151">
            <v>29.813999176025401</v>
          </cell>
          <cell r="E151">
            <v>29.813999176025401</v>
          </cell>
          <cell r="F151">
            <v>20.26535987854</v>
          </cell>
          <cell r="G151">
            <v>20.865360260009801</v>
          </cell>
          <cell r="H151">
            <v>20.26535987854</v>
          </cell>
          <cell r="I151">
            <v>20.26535987854</v>
          </cell>
          <cell r="J151">
            <v>24.450000762939499</v>
          </cell>
          <cell r="K151">
            <v>27.230001449585</v>
          </cell>
          <cell r="L151">
            <v>29.819999694824201</v>
          </cell>
          <cell r="M151">
            <v>20.533201217651399</v>
          </cell>
          <cell r="N151">
            <v>19.923999786376999</v>
          </cell>
          <cell r="O151">
            <v>24.213199615478501</v>
          </cell>
          <cell r="P151">
            <v>22.483200073242202</v>
          </cell>
          <cell r="Q151">
            <v>21.9067993164063</v>
          </cell>
          <cell r="R151">
            <v>24.351200103759801</v>
          </cell>
          <cell r="S151">
            <v>18.129199981689499</v>
          </cell>
          <cell r="T151">
            <v>21.9067993164063</v>
          </cell>
          <cell r="U151">
            <v>24.1686000823975</v>
          </cell>
          <cell r="V151">
            <v>24.951997756958001</v>
          </cell>
          <cell r="W151">
            <v>24.1686000823975</v>
          </cell>
          <cell r="X151">
            <v>58.325199127197301</v>
          </cell>
          <cell r="Y151">
            <v>24.1686000823975</v>
          </cell>
          <cell r="Z151">
            <v>24.078599929809599</v>
          </cell>
          <cell r="AA151">
            <v>25.278600692748999</v>
          </cell>
          <cell r="AB151">
            <v>26.081880569458001</v>
          </cell>
          <cell r="AC151">
            <v>28.459880828857401</v>
          </cell>
          <cell r="AD151">
            <v>26.399879455566399</v>
          </cell>
          <cell r="AE151">
            <v>26.081880569458001</v>
          </cell>
          <cell r="AF151">
            <v>32.553882598877003</v>
          </cell>
          <cell r="AG151">
            <v>3.8245</v>
          </cell>
        </row>
        <row r="152">
          <cell r="A152">
            <v>41548</v>
          </cell>
          <cell r="B152">
            <v>28.367021560668899</v>
          </cell>
          <cell r="C152">
            <v>28.690423965454102</v>
          </cell>
          <cell r="D152">
            <v>28.690423965454102</v>
          </cell>
          <cell r="E152">
            <v>28.690423965454102</v>
          </cell>
          <cell r="F152">
            <v>18.805957794189499</v>
          </cell>
          <cell r="G152">
            <v>19.465532302856399</v>
          </cell>
          <cell r="H152">
            <v>18.805957794189499</v>
          </cell>
          <cell r="I152">
            <v>18.805957794189499</v>
          </cell>
          <cell r="J152">
            <v>23.422340393066399</v>
          </cell>
          <cell r="K152">
            <v>28.28297996521</v>
          </cell>
          <cell r="L152">
            <v>29.787233352661101</v>
          </cell>
          <cell r="M152">
            <v>18.576808929443398</v>
          </cell>
          <cell r="N152">
            <v>18.779575347900401</v>
          </cell>
          <cell r="O152">
            <v>21.728298187255898</v>
          </cell>
          <cell r="P152">
            <v>20.7204265594482</v>
          </cell>
          <cell r="Q152">
            <v>19.765745162963899</v>
          </cell>
          <cell r="R152">
            <v>22.7242546081543</v>
          </cell>
          <cell r="S152">
            <v>17.203617095947301</v>
          </cell>
          <cell r="T152">
            <v>19.765745162963899</v>
          </cell>
          <cell r="U152">
            <v>24.125</v>
          </cell>
          <cell r="V152">
            <v>23.094041824340799</v>
          </cell>
          <cell r="W152">
            <v>24.125</v>
          </cell>
          <cell r="X152">
            <v>59.942981719970703</v>
          </cell>
          <cell r="Y152">
            <v>24.125</v>
          </cell>
          <cell r="Z152">
            <v>24.160106658935501</v>
          </cell>
          <cell r="AA152">
            <v>25.553724288940401</v>
          </cell>
          <cell r="AB152">
            <v>24.625425338745099</v>
          </cell>
          <cell r="AC152">
            <v>26.5545749664307</v>
          </cell>
          <cell r="AD152">
            <v>25.0013828277588</v>
          </cell>
          <cell r="AE152">
            <v>24.625425338745099</v>
          </cell>
          <cell r="AF152">
            <v>28.048192977905298</v>
          </cell>
          <cell r="AG152">
            <v>3.8494999999999999</v>
          </cell>
        </row>
        <row r="153">
          <cell r="A153">
            <v>41579</v>
          </cell>
          <cell r="B153">
            <v>29.3450012207031</v>
          </cell>
          <cell r="C153">
            <v>29.545000076293899</v>
          </cell>
          <cell r="D153">
            <v>29.545000076293899</v>
          </cell>
          <cell r="E153">
            <v>29.545000076293899</v>
          </cell>
          <cell r="F153">
            <v>18.617000579833999</v>
          </cell>
          <cell r="G153">
            <v>19.216999053955099</v>
          </cell>
          <cell r="H153">
            <v>18.617000579833999</v>
          </cell>
          <cell r="I153">
            <v>18.617000579833999</v>
          </cell>
          <cell r="J153">
            <v>23.889999389648398</v>
          </cell>
          <cell r="K153">
            <v>29.180000305175799</v>
          </cell>
          <cell r="L153">
            <v>30.869998931884801</v>
          </cell>
          <cell r="M153">
            <v>19.395999908447301</v>
          </cell>
          <cell r="N153">
            <v>19.3579998016357</v>
          </cell>
          <cell r="O153">
            <v>22.3059997558594</v>
          </cell>
          <cell r="P153">
            <v>21.346000671386701</v>
          </cell>
          <cell r="Q153">
            <v>21.109998703002901</v>
          </cell>
          <cell r="R153">
            <v>23.2140007019043</v>
          </cell>
          <cell r="S153">
            <v>18.011999130248999</v>
          </cell>
          <cell r="T153">
            <v>21.109998703002901</v>
          </cell>
          <cell r="U153">
            <v>23.400598526001001</v>
          </cell>
          <cell r="V153">
            <v>24.091999053955099</v>
          </cell>
          <cell r="W153">
            <v>23.400598526001001</v>
          </cell>
          <cell r="X153">
            <v>57.637992858886697</v>
          </cell>
          <cell r="Y153">
            <v>23.400598526001001</v>
          </cell>
          <cell r="Z153">
            <v>23.310600280761701</v>
          </cell>
          <cell r="AA153">
            <v>24.5105991363525</v>
          </cell>
          <cell r="AB153">
            <v>25.0659999847412</v>
          </cell>
          <cell r="AC153">
            <v>26.771999359130898</v>
          </cell>
          <cell r="AD153">
            <v>25.492000579833999</v>
          </cell>
          <cell r="AE153">
            <v>25.0659999847412</v>
          </cell>
          <cell r="AF153">
            <v>28.540000915527301</v>
          </cell>
          <cell r="AG153">
            <v>4.0015000000000001</v>
          </cell>
        </row>
        <row r="154">
          <cell r="A154">
            <v>41609</v>
          </cell>
          <cell r="B154">
            <v>31.003923416137699</v>
          </cell>
          <cell r="C154">
            <v>31.709804534912099</v>
          </cell>
          <cell r="D154">
            <v>31.709804534912099</v>
          </cell>
          <cell r="E154">
            <v>31.709804534912099</v>
          </cell>
          <cell r="F154">
            <v>18.462589263916001</v>
          </cell>
          <cell r="G154">
            <v>19.070430755615199</v>
          </cell>
          <cell r="H154">
            <v>18.462589263916001</v>
          </cell>
          <cell r="I154">
            <v>18.462589263916001</v>
          </cell>
          <cell r="J154">
            <v>25.848037719726602</v>
          </cell>
          <cell r="K154">
            <v>32.072547912597699</v>
          </cell>
          <cell r="L154">
            <v>32.392154693603501</v>
          </cell>
          <cell r="M154">
            <v>22.980785369873001</v>
          </cell>
          <cell r="N154">
            <v>22.872745513916001</v>
          </cell>
          <cell r="O154">
            <v>21.828039169311499</v>
          </cell>
          <cell r="P154">
            <v>24.956275939941399</v>
          </cell>
          <cell r="Q154">
            <v>24.080587387085</v>
          </cell>
          <cell r="R154">
            <v>26.842157363891602</v>
          </cell>
          <cell r="S154">
            <v>20.386863708496101</v>
          </cell>
          <cell r="T154">
            <v>24.080587387085</v>
          </cell>
          <cell r="U154">
            <v>24.203332901001001</v>
          </cell>
          <cell r="V154">
            <v>23.6160774230957</v>
          </cell>
          <cell r="W154">
            <v>24.203332901001001</v>
          </cell>
          <cell r="X154">
            <v>60.849803924560497</v>
          </cell>
          <cell r="Y154">
            <v>24.203332901001001</v>
          </cell>
          <cell r="Z154">
            <v>24.129804611206101</v>
          </cell>
          <cell r="AA154">
            <v>25.355293273925799</v>
          </cell>
          <cell r="AB154">
            <v>26.3227653503418</v>
          </cell>
          <cell r="AC154">
            <v>28.587274551391602</v>
          </cell>
          <cell r="AD154">
            <v>26.765705108642599</v>
          </cell>
          <cell r="AE154">
            <v>26.3227653503418</v>
          </cell>
          <cell r="AF154">
            <v>30.180217742919901</v>
          </cell>
          <cell r="AG154">
            <v>4.1444999999999999</v>
          </cell>
        </row>
        <row r="155">
          <cell r="A155">
            <v>41640</v>
          </cell>
          <cell r="B155">
            <v>36.1781616210938</v>
          </cell>
          <cell r="C155">
            <v>36.688365936279297</v>
          </cell>
          <cell r="D155">
            <v>36.688365936279297</v>
          </cell>
          <cell r="E155">
            <v>36.688365936279297</v>
          </cell>
          <cell r="F155">
            <v>21.833103179931602</v>
          </cell>
          <cell r="G155">
            <v>22.465755462646499</v>
          </cell>
          <cell r="H155">
            <v>21.833103179931602</v>
          </cell>
          <cell r="I155">
            <v>21.833103179931602</v>
          </cell>
          <cell r="J155">
            <v>30.794326782226602</v>
          </cell>
          <cell r="K155">
            <v>33.191837310791001</v>
          </cell>
          <cell r="L155">
            <v>33.763263702392599</v>
          </cell>
          <cell r="M155">
            <v>26.525102615356399</v>
          </cell>
          <cell r="N155">
            <v>26.215101242065401</v>
          </cell>
          <cell r="O155">
            <v>24.892448425293001</v>
          </cell>
          <cell r="P155">
            <v>28.581224441528299</v>
          </cell>
          <cell r="Q155">
            <v>30.178163528442401</v>
          </cell>
          <cell r="R155">
            <v>30.523674011230501</v>
          </cell>
          <cell r="S155">
            <v>23.0393886566162</v>
          </cell>
          <cell r="T155">
            <v>30.178163528442401</v>
          </cell>
          <cell r="U155">
            <v>26.650407791137699</v>
          </cell>
          <cell r="V155">
            <v>23.508569717407202</v>
          </cell>
          <cell r="W155">
            <v>26.650407791137699</v>
          </cell>
          <cell r="X155">
            <v>66.033981323242202</v>
          </cell>
          <cell r="Y155">
            <v>26.650407791137699</v>
          </cell>
          <cell r="Z155">
            <v>26.628978729248001</v>
          </cell>
          <cell r="AA155">
            <v>27.935102462768601</v>
          </cell>
          <cell r="AB155">
            <v>28.4470615386963</v>
          </cell>
          <cell r="AC155">
            <v>30.9374694824219</v>
          </cell>
          <cell r="AD155">
            <v>28.4470615386963</v>
          </cell>
          <cell r="AE155">
            <v>28.4470615386963</v>
          </cell>
          <cell r="AF155">
            <v>32.188899993896499</v>
          </cell>
          <cell r="AG155">
            <v>4.1825000000000001</v>
          </cell>
        </row>
        <row r="156">
          <cell r="A156">
            <v>41671</v>
          </cell>
          <cell r="B156">
            <v>35.360729217529297</v>
          </cell>
          <cell r="C156">
            <v>35.833454132080099</v>
          </cell>
          <cell r="D156">
            <v>35.833454132080099</v>
          </cell>
          <cell r="E156">
            <v>35.833454132080099</v>
          </cell>
          <cell r="F156">
            <v>22.2343635559082</v>
          </cell>
          <cell r="G156">
            <v>22.8707275390625</v>
          </cell>
          <cell r="H156">
            <v>22.2343635559082</v>
          </cell>
          <cell r="I156">
            <v>22.2343635559082</v>
          </cell>
          <cell r="J156">
            <v>28.3032741546631</v>
          </cell>
          <cell r="K156">
            <v>32.040908813476598</v>
          </cell>
          <cell r="L156">
            <v>34.036361694335902</v>
          </cell>
          <cell r="M156">
            <v>24.466363906860401</v>
          </cell>
          <cell r="N156">
            <v>24.1909084320068</v>
          </cell>
          <cell r="O156">
            <v>25.375453948974599</v>
          </cell>
          <cell r="P156">
            <v>26.5345458984375</v>
          </cell>
          <cell r="Q156">
            <v>28.179090499877901</v>
          </cell>
          <cell r="R156">
            <v>28.4854545593262</v>
          </cell>
          <cell r="S156">
            <v>21.911817550659201</v>
          </cell>
          <cell r="T156">
            <v>28.179090499877901</v>
          </cell>
          <cell r="U156">
            <v>25.561454772949201</v>
          </cell>
          <cell r="V156">
            <v>23.521816253662099</v>
          </cell>
          <cell r="W156">
            <v>25.561454772949201</v>
          </cell>
          <cell r="X156">
            <v>64.819091796875</v>
          </cell>
          <cell r="Y156">
            <v>25.561454772949201</v>
          </cell>
          <cell r="Z156">
            <v>25.547817230224599</v>
          </cell>
          <cell r="AA156">
            <v>26.8659992218018</v>
          </cell>
          <cell r="AB156">
            <v>28.692180633544901</v>
          </cell>
          <cell r="AC156">
            <v>31.016727447509801</v>
          </cell>
          <cell r="AD156">
            <v>28.692180633544901</v>
          </cell>
          <cell r="AE156">
            <v>28.692180633544901</v>
          </cell>
          <cell r="AF156">
            <v>32.2012748718262</v>
          </cell>
          <cell r="AG156">
            <v>4.1265000000000001</v>
          </cell>
        </row>
        <row r="157">
          <cell r="A157">
            <v>41699</v>
          </cell>
          <cell r="B157">
            <v>32.601963043212898</v>
          </cell>
          <cell r="C157">
            <v>32.298038482666001</v>
          </cell>
          <cell r="D157">
            <v>32.298038482666001</v>
          </cell>
          <cell r="E157">
            <v>32.298038482666001</v>
          </cell>
          <cell r="F157">
            <v>19.1345100402832</v>
          </cell>
          <cell r="G157">
            <v>19.742353439331101</v>
          </cell>
          <cell r="H157">
            <v>19.1345100402832</v>
          </cell>
          <cell r="I157">
            <v>19.1345100402832</v>
          </cell>
          <cell r="J157">
            <v>23.7635307312012</v>
          </cell>
          <cell r="K157">
            <v>29.950000762939499</v>
          </cell>
          <cell r="L157">
            <v>28.901960372924801</v>
          </cell>
          <cell r="M157">
            <v>23.477842330932599</v>
          </cell>
          <cell r="N157">
            <v>23.200391769409201</v>
          </cell>
          <cell r="O157">
            <v>25.379804611206101</v>
          </cell>
          <cell r="P157">
            <v>25.453332901001001</v>
          </cell>
          <cell r="Q157">
            <v>23.547451019287099</v>
          </cell>
          <cell r="R157">
            <v>27.339216232299801</v>
          </cell>
          <cell r="S157">
            <v>20.300392150878899</v>
          </cell>
          <cell r="T157">
            <v>23.547451019287099</v>
          </cell>
          <cell r="U157">
            <v>24.020980834960898</v>
          </cell>
          <cell r="V157">
            <v>23.302350997924801</v>
          </cell>
          <cell r="W157">
            <v>24.020980834960898</v>
          </cell>
          <cell r="X157">
            <v>59.264900207519503</v>
          </cell>
          <cell r="Y157">
            <v>24.020980834960898</v>
          </cell>
          <cell r="Z157">
            <v>23.947450637817401</v>
          </cell>
          <cell r="AA157">
            <v>25.1729412078857</v>
          </cell>
          <cell r="AB157">
            <v>27.8263130187988</v>
          </cell>
          <cell r="AC157">
            <v>29.577686309814499</v>
          </cell>
          <cell r="AD157">
            <v>27.8263130187988</v>
          </cell>
          <cell r="AE157">
            <v>27.8263130187988</v>
          </cell>
          <cell r="AF157">
            <v>30.8753337860107</v>
          </cell>
          <cell r="AG157">
            <v>3.9965000000000002</v>
          </cell>
        </row>
        <row r="158">
          <cell r="A158">
            <v>41730</v>
          </cell>
          <cell r="B158">
            <v>30.578260421752901</v>
          </cell>
          <cell r="C158">
            <v>30.3086967468262</v>
          </cell>
          <cell r="D158">
            <v>30.3086967468262</v>
          </cell>
          <cell r="E158">
            <v>30.3086967468262</v>
          </cell>
          <cell r="F158">
            <v>20.004173278808601</v>
          </cell>
          <cell r="G158">
            <v>20.656347274780298</v>
          </cell>
          <cell r="H158">
            <v>20.004173278808601</v>
          </cell>
          <cell r="I158">
            <v>20.004173278808601</v>
          </cell>
          <cell r="J158">
            <v>23.693826675415</v>
          </cell>
          <cell r="K158">
            <v>29.234783172607401</v>
          </cell>
          <cell r="L158">
            <v>28.460870742797901</v>
          </cell>
          <cell r="M158">
            <v>20.427391052246101</v>
          </cell>
          <cell r="N158">
            <v>20.1530437469482</v>
          </cell>
          <cell r="O158">
            <v>24.644783020019499</v>
          </cell>
          <cell r="P158">
            <v>22.5469570159912</v>
          </cell>
          <cell r="Q158">
            <v>21.435651779174801</v>
          </cell>
          <cell r="R158">
            <v>24.533912658691399</v>
          </cell>
          <cell r="S158">
            <v>18.612174987793001</v>
          </cell>
          <cell r="T158">
            <v>21.435651779174801</v>
          </cell>
          <cell r="U158">
            <v>22.796955108642599</v>
          </cell>
          <cell r="V158">
            <v>23.0782585144043</v>
          </cell>
          <cell r="W158">
            <v>22.796955108642599</v>
          </cell>
          <cell r="X158">
            <v>60.022171020507798</v>
          </cell>
          <cell r="Y158">
            <v>22.796955108642599</v>
          </cell>
          <cell r="Z158">
            <v>22.816520690918001</v>
          </cell>
          <cell r="AA158">
            <v>24.1860866546631</v>
          </cell>
          <cell r="AB158">
            <v>26.994522094726602</v>
          </cell>
          <cell r="AC158">
            <v>28.884086608886701</v>
          </cell>
          <cell r="AD158">
            <v>26.994522094726602</v>
          </cell>
          <cell r="AE158">
            <v>26.994522094726602</v>
          </cell>
          <cell r="AF158">
            <v>29.981391906738299</v>
          </cell>
          <cell r="AG158">
            <v>3.8115000000000001</v>
          </cell>
        </row>
        <row r="159">
          <cell r="A159">
            <v>41760</v>
          </cell>
          <cell r="B159">
            <v>30.788236618041999</v>
          </cell>
          <cell r="C159">
            <v>30.1901969909668</v>
          </cell>
          <cell r="D159">
            <v>30.1901969909668</v>
          </cell>
          <cell r="E159">
            <v>30.1901969909668</v>
          </cell>
          <cell r="F159">
            <v>21.179803848266602</v>
          </cell>
          <cell r="G159">
            <v>21.787647247314499</v>
          </cell>
          <cell r="H159">
            <v>21.179803848266602</v>
          </cell>
          <cell r="I159">
            <v>21.179803848266602</v>
          </cell>
          <cell r="J159">
            <v>22.018039703369102</v>
          </cell>
          <cell r="K159">
            <v>32.861763000488303</v>
          </cell>
          <cell r="L159">
            <v>30.901960372924801</v>
          </cell>
          <cell r="M159">
            <v>20.529607772827099</v>
          </cell>
          <cell r="N159">
            <v>20.3070583343506</v>
          </cell>
          <cell r="O159">
            <v>26.164117813110401</v>
          </cell>
          <cell r="P159">
            <v>22.505098342895501</v>
          </cell>
          <cell r="Q159">
            <v>21.461177825927699</v>
          </cell>
          <cell r="R159">
            <v>24.3909797668457</v>
          </cell>
          <cell r="S159">
            <v>17.935686111450199</v>
          </cell>
          <cell r="T159">
            <v>21.461177825927699</v>
          </cell>
          <cell r="U159">
            <v>21.959215164184599</v>
          </cell>
          <cell r="V159">
            <v>24.498430252075199</v>
          </cell>
          <cell r="W159">
            <v>21.959215164184599</v>
          </cell>
          <cell r="X159">
            <v>58.060195922851598</v>
          </cell>
          <cell r="Y159">
            <v>21.959215164184599</v>
          </cell>
          <cell r="Z159">
            <v>21.885686874389599</v>
          </cell>
          <cell r="AA159">
            <v>23.1111755371094</v>
          </cell>
          <cell r="AB159">
            <v>27.8863124847412</v>
          </cell>
          <cell r="AC159">
            <v>29.9367065429688</v>
          </cell>
          <cell r="AD159">
            <v>27.8863124847412</v>
          </cell>
          <cell r="AE159">
            <v>27.8863124847412</v>
          </cell>
          <cell r="AF159">
            <v>31.685235977172901</v>
          </cell>
          <cell r="AG159">
            <v>3.8065000000000002</v>
          </cell>
        </row>
        <row r="160">
          <cell r="A160">
            <v>41791</v>
          </cell>
          <cell r="B160">
            <v>31.786457061767599</v>
          </cell>
          <cell r="C160">
            <v>31.411457061767599</v>
          </cell>
          <cell r="D160">
            <v>31.411457061767599</v>
          </cell>
          <cell r="E160">
            <v>31.411457061767599</v>
          </cell>
          <cell r="F160">
            <v>25.896875381469702</v>
          </cell>
          <cell r="G160">
            <v>26.521875381469702</v>
          </cell>
          <cell r="H160">
            <v>25.896875381469702</v>
          </cell>
          <cell r="I160">
            <v>25.896875381469702</v>
          </cell>
          <cell r="J160">
            <v>24.701665878295898</v>
          </cell>
          <cell r="K160">
            <v>30.645626068115199</v>
          </cell>
          <cell r="L160">
            <v>32.795623779296903</v>
          </cell>
          <cell r="M160">
            <v>24.3662509918213</v>
          </cell>
          <cell r="N160">
            <v>24.471250534057599</v>
          </cell>
          <cell r="O160">
            <v>30.524166107177699</v>
          </cell>
          <cell r="P160">
            <v>26.3975009918213</v>
          </cell>
          <cell r="Q160">
            <v>23.253749847412099</v>
          </cell>
          <cell r="R160">
            <v>28.3225002288818</v>
          </cell>
          <cell r="S160">
            <v>19.497501373291001</v>
          </cell>
          <cell r="T160">
            <v>23.253749847412099</v>
          </cell>
          <cell r="U160">
            <v>25.585832595825199</v>
          </cell>
          <cell r="V160">
            <v>26.845832824706999</v>
          </cell>
          <cell r="W160">
            <v>25.585832595825199</v>
          </cell>
          <cell r="X160">
            <v>65.610000610351605</v>
          </cell>
          <cell r="Y160">
            <v>25.585832595825199</v>
          </cell>
          <cell r="Z160">
            <v>25.548334121704102</v>
          </cell>
          <cell r="AA160">
            <v>26.829584121704102</v>
          </cell>
          <cell r="AB160">
            <v>31.121458053588899</v>
          </cell>
          <cell r="AC160">
            <v>33.8393745422363</v>
          </cell>
          <cell r="AD160">
            <v>31.121458053588899</v>
          </cell>
          <cell r="AE160">
            <v>31.121458053588899</v>
          </cell>
          <cell r="AF160">
            <v>36.088127136230497</v>
          </cell>
          <cell r="AG160">
            <v>3.8414999999999999</v>
          </cell>
        </row>
        <row r="161">
          <cell r="A161">
            <v>41821</v>
          </cell>
          <cell r="B161">
            <v>35.227550506591797</v>
          </cell>
          <cell r="C161">
            <v>35.013263702392599</v>
          </cell>
          <cell r="D161">
            <v>35.013263702392599</v>
          </cell>
          <cell r="E161">
            <v>35.013263702392599</v>
          </cell>
          <cell r="F161">
            <v>33.599998474121101</v>
          </cell>
          <cell r="G161">
            <v>34.232654571533203</v>
          </cell>
          <cell r="H161">
            <v>33.599998474121101</v>
          </cell>
          <cell r="I161">
            <v>33.599998474121101</v>
          </cell>
          <cell r="J161">
            <v>29.676530838012699</v>
          </cell>
          <cell r="K161">
            <v>34.797958374023402</v>
          </cell>
          <cell r="L161">
            <v>38.5326538085938</v>
          </cell>
          <cell r="M161">
            <v>26.901838302612301</v>
          </cell>
          <cell r="N161">
            <v>26.5661220550537</v>
          </cell>
          <cell r="O161">
            <v>33.218978881835902</v>
          </cell>
          <cell r="P161">
            <v>28.957960128784201</v>
          </cell>
          <cell r="Q161">
            <v>25.665306091308601</v>
          </cell>
          <cell r="R161">
            <v>30.900407791137699</v>
          </cell>
          <cell r="S161">
            <v>21.619386672973601</v>
          </cell>
          <cell r="T161">
            <v>25.665306091308601</v>
          </cell>
          <cell r="U161">
            <v>28.741632461547901</v>
          </cell>
          <cell r="V161">
            <v>31.233058929443398</v>
          </cell>
          <cell r="W161">
            <v>28.741632461547901</v>
          </cell>
          <cell r="X161">
            <v>70.019996643066406</v>
          </cell>
          <cell r="Y161">
            <v>28.741632461547901</v>
          </cell>
          <cell r="Z161">
            <v>28.7202033996582</v>
          </cell>
          <cell r="AA161">
            <v>30.0263271331787</v>
          </cell>
          <cell r="AB161">
            <v>32.666164398193402</v>
          </cell>
          <cell r="AC161">
            <v>36.466773986816399</v>
          </cell>
          <cell r="AD161">
            <v>32.666164398193402</v>
          </cell>
          <cell r="AE161">
            <v>32.666164398193402</v>
          </cell>
          <cell r="AF161">
            <v>41.1233100891113</v>
          </cell>
          <cell r="AG161">
            <v>3.8815</v>
          </cell>
        </row>
        <row r="162">
          <cell r="A162">
            <v>41852</v>
          </cell>
          <cell r="B162">
            <v>35.688236236572301</v>
          </cell>
          <cell r="C162">
            <v>35.443138122558601</v>
          </cell>
          <cell r="D162">
            <v>35.443138122558601</v>
          </cell>
          <cell r="E162">
            <v>35.443138122558601</v>
          </cell>
          <cell r="F162">
            <v>35.2862739562988</v>
          </cell>
          <cell r="G162">
            <v>35.894115447997997</v>
          </cell>
          <cell r="H162">
            <v>35.2862739562988</v>
          </cell>
          <cell r="I162">
            <v>35.2862739562988</v>
          </cell>
          <cell r="J162">
            <v>26.100589752197301</v>
          </cell>
          <cell r="K162">
            <v>34.842159271240199</v>
          </cell>
          <cell r="L162">
            <v>38.352939605712898</v>
          </cell>
          <cell r="M162">
            <v>27.380588531494102</v>
          </cell>
          <cell r="N162">
            <v>25.789411544799801</v>
          </cell>
          <cell r="O162">
            <v>33.360195159912102</v>
          </cell>
          <cell r="P162">
            <v>29.3560791015625</v>
          </cell>
          <cell r="Q162">
            <v>25.604312896728501</v>
          </cell>
          <cell r="R162">
            <v>31.241960525512699</v>
          </cell>
          <cell r="S162">
            <v>21.717058181762699</v>
          </cell>
          <cell r="T162">
            <v>25.604312896728501</v>
          </cell>
          <cell r="U162">
            <v>28.659215927123999</v>
          </cell>
          <cell r="V162">
            <v>31.625881195068398</v>
          </cell>
          <cell r="W162">
            <v>28.659215927123999</v>
          </cell>
          <cell r="X162">
            <v>68.303924560546903</v>
          </cell>
          <cell r="Y162">
            <v>28.659215927123999</v>
          </cell>
          <cell r="Z162">
            <v>28.585685729980501</v>
          </cell>
          <cell r="AA162">
            <v>29.8111763000488</v>
          </cell>
          <cell r="AB162">
            <v>31.942979812622099</v>
          </cell>
          <cell r="AC162">
            <v>35.478668212890597</v>
          </cell>
          <cell r="AD162">
            <v>31.942979812622099</v>
          </cell>
          <cell r="AE162">
            <v>31.942979812622099</v>
          </cell>
          <cell r="AF162">
            <v>40.4920043945313</v>
          </cell>
          <cell r="AG162">
            <v>3.9215</v>
          </cell>
        </row>
        <row r="163">
          <cell r="A163">
            <v>41883</v>
          </cell>
          <cell r="B163">
            <v>29.793750762939499</v>
          </cell>
          <cell r="C163">
            <v>29.9916667938232</v>
          </cell>
          <cell r="D163">
            <v>29.9916667938232</v>
          </cell>
          <cell r="E163">
            <v>29.9916667938232</v>
          </cell>
          <cell r="F163">
            <v>20.2448329925537</v>
          </cell>
          <cell r="G163">
            <v>20.8698329925537</v>
          </cell>
          <cell r="H163">
            <v>20.2448329925537</v>
          </cell>
          <cell r="I163">
            <v>20.2448329925537</v>
          </cell>
          <cell r="J163">
            <v>24.497917175293001</v>
          </cell>
          <cell r="K163">
            <v>27.275001525878899</v>
          </cell>
          <cell r="L163">
            <v>29.737499237060501</v>
          </cell>
          <cell r="M163">
            <v>20.8870849609375</v>
          </cell>
          <cell r="N163">
            <v>20.328332901001001</v>
          </cell>
          <cell r="O163">
            <v>24.076250076293899</v>
          </cell>
          <cell r="P163">
            <v>22.9183349609375</v>
          </cell>
          <cell r="Q163">
            <v>22.118333816528299</v>
          </cell>
          <cell r="R163">
            <v>24.843334197998001</v>
          </cell>
          <cell r="S163">
            <v>18.362083435058601</v>
          </cell>
          <cell r="T163">
            <v>22.118333816528299</v>
          </cell>
          <cell r="U163">
            <v>24.607292175293001</v>
          </cell>
          <cell r="V163">
            <v>25.272914886474599</v>
          </cell>
          <cell r="W163">
            <v>24.607292175293001</v>
          </cell>
          <cell r="X163">
            <v>60.243335723877003</v>
          </cell>
          <cell r="Y163">
            <v>24.607292175293001</v>
          </cell>
          <cell r="Z163">
            <v>24.5697917938232</v>
          </cell>
          <cell r="AA163">
            <v>25.8510417938232</v>
          </cell>
          <cell r="AB163">
            <v>26.667543411254901</v>
          </cell>
          <cell r="AC163">
            <v>29.019208908081101</v>
          </cell>
          <cell r="AD163">
            <v>26.971290588378899</v>
          </cell>
          <cell r="AE163">
            <v>26.667543411254901</v>
          </cell>
          <cell r="AF163">
            <v>33.186710357666001</v>
          </cell>
          <cell r="AG163">
            <v>3.9045000000000001</v>
          </cell>
        </row>
        <row r="164">
          <cell r="A164">
            <v>41913</v>
          </cell>
          <cell r="B164">
            <v>28.617021560668899</v>
          </cell>
          <cell r="C164">
            <v>28.940423965454102</v>
          </cell>
          <cell r="D164">
            <v>28.940423965454102</v>
          </cell>
          <cell r="E164">
            <v>28.940423965454102</v>
          </cell>
          <cell r="F164">
            <v>18.805957794189499</v>
          </cell>
          <cell r="G164">
            <v>19.465532302856399</v>
          </cell>
          <cell r="H164">
            <v>18.805957794189499</v>
          </cell>
          <cell r="I164">
            <v>18.805957794189499</v>
          </cell>
          <cell r="J164">
            <v>23.622341156005898</v>
          </cell>
          <cell r="K164">
            <v>28.53297996521</v>
          </cell>
          <cell r="L164">
            <v>29.872341156005898</v>
          </cell>
          <cell r="M164">
            <v>18.9065971374512</v>
          </cell>
          <cell r="N164">
            <v>19.109361648559599</v>
          </cell>
          <cell r="O164">
            <v>21.941062927246101</v>
          </cell>
          <cell r="P164">
            <v>21.050212860107401</v>
          </cell>
          <cell r="Q164">
            <v>20.5278720855713</v>
          </cell>
          <cell r="R164">
            <v>23.054042816162099</v>
          </cell>
          <cell r="S164">
            <v>17.533405303955099</v>
          </cell>
          <cell r="T164">
            <v>20.5278720855713</v>
          </cell>
          <cell r="U164">
            <v>24.454788208007798</v>
          </cell>
          <cell r="V164">
            <v>23.508934020996101</v>
          </cell>
          <cell r="W164">
            <v>24.454788208007798</v>
          </cell>
          <cell r="X164">
            <v>60.2727661132813</v>
          </cell>
          <cell r="Y164">
            <v>24.454788208007798</v>
          </cell>
          <cell r="Z164">
            <v>24.489892959594702</v>
          </cell>
          <cell r="AA164">
            <v>25.883510589599599</v>
          </cell>
          <cell r="AB164">
            <v>25.460533142089801</v>
          </cell>
          <cell r="AC164">
            <v>27.3896808624268</v>
          </cell>
          <cell r="AD164">
            <v>25.836488723754901</v>
          </cell>
          <cell r="AE164">
            <v>25.460533142089801</v>
          </cell>
          <cell r="AF164">
            <v>28.883298873901399</v>
          </cell>
          <cell r="AG164">
            <v>3.9295</v>
          </cell>
        </row>
        <row r="165">
          <cell r="A165">
            <v>41944</v>
          </cell>
          <cell r="B165">
            <v>29.697114944458001</v>
          </cell>
          <cell r="C165">
            <v>29.927885055541999</v>
          </cell>
          <cell r="D165">
            <v>29.927885055541999</v>
          </cell>
          <cell r="E165">
            <v>29.927885055541999</v>
          </cell>
          <cell r="F165">
            <v>18.510961532592798</v>
          </cell>
          <cell r="G165">
            <v>19.087884902954102</v>
          </cell>
          <cell r="H165">
            <v>18.510961532592798</v>
          </cell>
          <cell r="I165">
            <v>18.510961532592798</v>
          </cell>
          <cell r="J165">
            <v>24.2519226074219</v>
          </cell>
          <cell r="K165">
            <v>29.529808044433601</v>
          </cell>
          <cell r="L165">
            <v>31.083654403686499</v>
          </cell>
          <cell r="M165">
            <v>19.4976921081543</v>
          </cell>
          <cell r="N165">
            <v>19.4396152496338</v>
          </cell>
          <cell r="O165">
            <v>22.957691192626999</v>
          </cell>
          <cell r="P165">
            <v>21.3726921081543</v>
          </cell>
          <cell r="Q165">
            <v>22.404615402221701</v>
          </cell>
          <cell r="R165">
            <v>23.188076019287099</v>
          </cell>
          <cell r="S165">
            <v>18.186153411865199</v>
          </cell>
          <cell r="T165">
            <v>22.404615402221701</v>
          </cell>
          <cell r="U165">
            <v>23.409807205200199</v>
          </cell>
          <cell r="V165">
            <v>24.598075866699201</v>
          </cell>
          <cell r="W165">
            <v>23.409807205200199</v>
          </cell>
          <cell r="X165">
            <v>56.278453826904297</v>
          </cell>
          <cell r="Y165">
            <v>23.409807205200199</v>
          </cell>
          <cell r="Z165">
            <v>23.271345138549801</v>
          </cell>
          <cell r="AA165">
            <v>24.396345138549801</v>
          </cell>
          <cell r="AB165">
            <v>26.088230133056602</v>
          </cell>
          <cell r="AC165">
            <v>27.837461471557599</v>
          </cell>
          <cell r="AD165">
            <v>26.5451545715332</v>
          </cell>
          <cell r="AE165">
            <v>26.088230133056602</v>
          </cell>
          <cell r="AF165">
            <v>29.528232574462901</v>
          </cell>
          <cell r="AG165">
            <v>4.0815000000000001</v>
          </cell>
        </row>
        <row r="166">
          <cell r="A166">
            <v>41974</v>
          </cell>
          <cell r="B166">
            <v>31.325511932373001</v>
          </cell>
          <cell r="C166">
            <v>31.9377555847168</v>
          </cell>
          <cell r="D166">
            <v>31.9377555847168</v>
          </cell>
          <cell r="E166">
            <v>31.9377555847168</v>
          </cell>
          <cell r="F166">
            <v>18.5688171386719</v>
          </cell>
          <cell r="G166">
            <v>19.201469421386701</v>
          </cell>
          <cell r="H166">
            <v>18.5688171386719</v>
          </cell>
          <cell r="I166">
            <v>18.5688171386719</v>
          </cell>
          <cell r="J166">
            <v>25.741836547851602</v>
          </cell>
          <cell r="K166">
            <v>32.235713958740199</v>
          </cell>
          <cell r="L166">
            <v>32.332653045654297</v>
          </cell>
          <cell r="M166">
            <v>23.355918884277301</v>
          </cell>
          <cell r="N166">
            <v>23.2663269042969</v>
          </cell>
          <cell r="O166">
            <v>21.729183197021499</v>
          </cell>
          <cell r="P166">
            <v>25.412040710449201</v>
          </cell>
          <cell r="Q166">
            <v>24.305103302001999</v>
          </cell>
          <cell r="R166">
            <v>27.354490280151399</v>
          </cell>
          <cell r="S166">
            <v>20.635715484619102</v>
          </cell>
          <cell r="T166">
            <v>24.305103302001999</v>
          </cell>
          <cell r="U166">
            <v>24.563060760498001</v>
          </cell>
          <cell r="V166">
            <v>23.926937103271499</v>
          </cell>
          <cell r="W166">
            <v>24.563060760498001</v>
          </cell>
          <cell r="X166">
            <v>62.760406494140597</v>
          </cell>
          <cell r="Y166">
            <v>24.563060760498001</v>
          </cell>
          <cell r="Z166">
            <v>24.541631698608398</v>
          </cell>
          <cell r="AA166">
            <v>25.847755432128899</v>
          </cell>
          <cell r="AB166">
            <v>27.0102653503418</v>
          </cell>
          <cell r="AC166">
            <v>29.251693725585898</v>
          </cell>
          <cell r="AD166">
            <v>27.4210815429688</v>
          </cell>
          <cell r="AE166">
            <v>27.0102653503418</v>
          </cell>
          <cell r="AF166">
            <v>30.899042129516602</v>
          </cell>
          <cell r="AG166">
            <v>4.2244999999999999</v>
          </cell>
        </row>
        <row r="167">
          <cell r="A167">
            <v>42005</v>
          </cell>
          <cell r="B167">
            <v>36.435096740722699</v>
          </cell>
          <cell r="C167">
            <v>36.92529296875</v>
          </cell>
          <cell r="D167">
            <v>36.92529296875</v>
          </cell>
          <cell r="E167">
            <v>36.92529296875</v>
          </cell>
          <cell r="F167">
            <v>24.798627853393601</v>
          </cell>
          <cell r="G167">
            <v>25.406471252441399</v>
          </cell>
          <cell r="H167">
            <v>24.798627853393601</v>
          </cell>
          <cell r="I167">
            <v>24.798627853393601</v>
          </cell>
          <cell r="J167">
            <v>31.1533317565918</v>
          </cell>
          <cell r="K167">
            <v>33.508823394775398</v>
          </cell>
          <cell r="L167">
            <v>33.980392456054702</v>
          </cell>
          <cell r="M167">
            <v>27.124900817871101</v>
          </cell>
          <cell r="N167">
            <v>26.847450256347699</v>
          </cell>
          <cell r="O167">
            <v>25.409215927123999</v>
          </cell>
          <cell r="P167">
            <v>29.100391387939499</v>
          </cell>
          <cell r="Q167">
            <v>31.648431777954102</v>
          </cell>
          <cell r="R167">
            <v>30.986274719238299</v>
          </cell>
          <cell r="S167">
            <v>23.795490264892599</v>
          </cell>
          <cell r="T167">
            <v>31.648431777954102</v>
          </cell>
          <cell r="U167">
            <v>27.3641166687012</v>
          </cell>
          <cell r="V167">
            <v>24.096469879150401</v>
          </cell>
          <cell r="W167">
            <v>27.3641166687012</v>
          </cell>
          <cell r="X167">
            <v>65.188331604003906</v>
          </cell>
          <cell r="Y167">
            <v>27.3641166687012</v>
          </cell>
          <cell r="Z167">
            <v>27.2905883789063</v>
          </cell>
          <cell r="AA167">
            <v>28.516078948974599</v>
          </cell>
          <cell r="AB167">
            <v>29.5714111328125</v>
          </cell>
          <cell r="AC167">
            <v>32.072784423828097</v>
          </cell>
          <cell r="AD167">
            <v>29.5714111328125</v>
          </cell>
          <cell r="AE167">
            <v>29.5714111328125</v>
          </cell>
          <cell r="AF167">
            <v>33.393962860107401</v>
          </cell>
          <cell r="AG167">
            <v>4.2625000000000002</v>
          </cell>
        </row>
        <row r="168">
          <cell r="A168">
            <v>42036</v>
          </cell>
          <cell r="B168">
            <v>35.610729217529297</v>
          </cell>
          <cell r="C168">
            <v>36.083454132080099</v>
          </cell>
          <cell r="D168">
            <v>36.083454132080099</v>
          </cell>
          <cell r="E168">
            <v>36.083454132080099</v>
          </cell>
          <cell r="F168">
            <v>24.866182327270501</v>
          </cell>
          <cell r="G168">
            <v>25.502546310424801</v>
          </cell>
          <cell r="H168">
            <v>24.866182327270501</v>
          </cell>
          <cell r="I168">
            <v>24.866182327270501</v>
          </cell>
          <cell r="J168">
            <v>28.503273010253899</v>
          </cell>
          <cell r="K168">
            <v>32.290908813476598</v>
          </cell>
          <cell r="L168">
            <v>34.127273559570298</v>
          </cell>
          <cell r="M168">
            <v>24.7845458984375</v>
          </cell>
          <cell r="N168">
            <v>24.509090423583999</v>
          </cell>
          <cell r="O168">
            <v>25.602727890014599</v>
          </cell>
          <cell r="P168">
            <v>26.852727890014599</v>
          </cell>
          <cell r="Q168">
            <v>29.419092178344702</v>
          </cell>
          <cell r="R168">
            <v>28.803636550903299</v>
          </cell>
          <cell r="S168">
            <v>22.2299995422363</v>
          </cell>
          <cell r="T168">
            <v>29.419092178344702</v>
          </cell>
          <cell r="U168">
            <v>25.879636764526399</v>
          </cell>
          <cell r="V168">
            <v>23.930908203125</v>
          </cell>
          <cell r="W168">
            <v>25.879636764526399</v>
          </cell>
          <cell r="X168">
            <v>65.137268066406307</v>
          </cell>
          <cell r="Y168">
            <v>25.879636764526399</v>
          </cell>
          <cell r="Z168">
            <v>25.8659992218018</v>
          </cell>
          <cell r="AA168">
            <v>27.184181213378899</v>
          </cell>
          <cell r="AB168">
            <v>29.5330905914307</v>
          </cell>
          <cell r="AC168">
            <v>31.857637405395501</v>
          </cell>
          <cell r="AD168">
            <v>29.5330905914307</v>
          </cell>
          <cell r="AE168">
            <v>29.5330905914307</v>
          </cell>
          <cell r="AF168">
            <v>33.042182922363303</v>
          </cell>
          <cell r="AG168">
            <v>4.2065000000000001</v>
          </cell>
        </row>
        <row r="169">
          <cell r="A169">
            <v>42064</v>
          </cell>
          <cell r="B169">
            <v>32.932655334472699</v>
          </cell>
          <cell r="C169">
            <v>32.616325378417997</v>
          </cell>
          <cell r="D169">
            <v>32.616325378417997</v>
          </cell>
          <cell r="E169">
            <v>32.616325378417997</v>
          </cell>
          <cell r="F169">
            <v>21.731878280639599</v>
          </cell>
          <cell r="G169">
            <v>22.364530563354499</v>
          </cell>
          <cell r="H169">
            <v>21.731878280639599</v>
          </cell>
          <cell r="I169">
            <v>21.731878280639599</v>
          </cell>
          <cell r="J169">
            <v>23.893264770507798</v>
          </cell>
          <cell r="K169">
            <v>30.073469161987301</v>
          </cell>
          <cell r="L169">
            <v>28.7469387054443</v>
          </cell>
          <cell r="M169">
            <v>23.780204772949201</v>
          </cell>
          <cell r="N169">
            <v>23.4702033996582</v>
          </cell>
          <cell r="O169">
            <v>25.392448425293001</v>
          </cell>
          <cell r="P169">
            <v>25.836326599121101</v>
          </cell>
          <cell r="Q169">
            <v>24.350612640380898</v>
          </cell>
          <cell r="R169">
            <v>27.7787761688232</v>
          </cell>
          <cell r="S169">
            <v>20.452653884887699</v>
          </cell>
          <cell r="T169">
            <v>24.350612640380898</v>
          </cell>
          <cell r="U169">
            <v>24.221836090087901</v>
          </cell>
          <cell r="V169">
            <v>23.5493869781494</v>
          </cell>
          <cell r="W169">
            <v>24.221836090087901</v>
          </cell>
          <cell r="X169">
            <v>60.919792175292997</v>
          </cell>
          <cell r="Y169">
            <v>24.221836090087901</v>
          </cell>
          <cell r="Z169">
            <v>24.2004070281982</v>
          </cell>
          <cell r="AA169">
            <v>25.5065307617188</v>
          </cell>
          <cell r="AB169">
            <v>28.464326858520501</v>
          </cell>
          <cell r="AC169">
            <v>30.235345840454102</v>
          </cell>
          <cell r="AD169">
            <v>28.464326858520501</v>
          </cell>
          <cell r="AE169">
            <v>28.464326858520501</v>
          </cell>
          <cell r="AF169">
            <v>31.4214687347412</v>
          </cell>
          <cell r="AG169">
            <v>4.0765000000000002</v>
          </cell>
        </row>
        <row r="170">
          <cell r="A170">
            <v>42095</v>
          </cell>
          <cell r="B170">
            <v>30.828260421752901</v>
          </cell>
          <cell r="C170">
            <v>30.5586967468262</v>
          </cell>
          <cell r="D170">
            <v>30.5586967468262</v>
          </cell>
          <cell r="E170">
            <v>30.5586967468262</v>
          </cell>
          <cell r="F170">
            <v>20.895479202270501</v>
          </cell>
          <cell r="G170">
            <v>21.547653198242202</v>
          </cell>
          <cell r="H170">
            <v>20.895479202270501</v>
          </cell>
          <cell r="I170">
            <v>20.895479202270501</v>
          </cell>
          <cell r="J170">
            <v>23.893825531005898</v>
          </cell>
          <cell r="K170">
            <v>29.484783172607401</v>
          </cell>
          <cell r="L170">
            <v>28.547826766967798</v>
          </cell>
          <cell r="M170">
            <v>20.753477096557599</v>
          </cell>
          <cell r="N170">
            <v>20.479129791259801</v>
          </cell>
          <cell r="O170">
            <v>24.8621730804443</v>
          </cell>
          <cell r="P170">
            <v>22.873043060302699</v>
          </cell>
          <cell r="Q170">
            <v>22.203477859497099</v>
          </cell>
          <cell r="R170">
            <v>24.860000610351602</v>
          </cell>
          <cell r="S170">
            <v>18.938261032104499</v>
          </cell>
          <cell r="T170">
            <v>22.203477859497099</v>
          </cell>
          <cell r="U170">
            <v>23.123043060302699</v>
          </cell>
          <cell r="V170">
            <v>23.4913024902344</v>
          </cell>
          <cell r="W170">
            <v>23.123043060302699</v>
          </cell>
          <cell r="X170">
            <v>60.348258972167997</v>
          </cell>
          <cell r="Y170">
            <v>23.123043060302699</v>
          </cell>
          <cell r="Z170">
            <v>23.1426086425781</v>
          </cell>
          <cell r="AA170">
            <v>24.512172698974599</v>
          </cell>
          <cell r="AB170">
            <v>27.831478118896499</v>
          </cell>
          <cell r="AC170">
            <v>29.721044540405298</v>
          </cell>
          <cell r="AD170">
            <v>27.831478118896499</v>
          </cell>
          <cell r="AE170">
            <v>27.831478118896499</v>
          </cell>
          <cell r="AF170">
            <v>30.8183479309082</v>
          </cell>
          <cell r="AG170">
            <v>3.8915000000000002</v>
          </cell>
        </row>
        <row r="171">
          <cell r="A171">
            <v>42125</v>
          </cell>
          <cell r="B171">
            <v>31.053773880004901</v>
          </cell>
          <cell r="C171">
            <v>30.363208770751999</v>
          </cell>
          <cell r="D171">
            <v>30.363208770751999</v>
          </cell>
          <cell r="E171">
            <v>30.363208770751999</v>
          </cell>
          <cell r="F171">
            <v>22.202226638793899</v>
          </cell>
          <cell r="G171">
            <v>22.787132263183601</v>
          </cell>
          <cell r="H171">
            <v>22.202226638793899</v>
          </cell>
          <cell r="I171">
            <v>22.202226638793899</v>
          </cell>
          <cell r="J171">
            <v>22.1952819824219</v>
          </cell>
          <cell r="K171">
            <v>33.194339752197301</v>
          </cell>
          <cell r="L171">
            <v>31.233963012695298</v>
          </cell>
          <cell r="M171">
            <v>20.634151458740199</v>
          </cell>
          <cell r="N171">
            <v>20.3815097808838</v>
          </cell>
          <cell r="O171">
            <v>26.714527130126999</v>
          </cell>
          <cell r="P171">
            <v>22.5350952148438</v>
          </cell>
          <cell r="Q171">
            <v>22.861509323120099</v>
          </cell>
          <cell r="R171">
            <v>24.368679046630898</v>
          </cell>
          <cell r="S171">
            <v>18.156980514526399</v>
          </cell>
          <cell r="T171">
            <v>22.861509323120099</v>
          </cell>
          <cell r="U171">
            <v>22.069999694824201</v>
          </cell>
          <cell r="V171">
            <v>24.998489379882798</v>
          </cell>
          <cell r="W171">
            <v>22.069999694824201</v>
          </cell>
          <cell r="X171">
            <v>56.757736206054702</v>
          </cell>
          <cell r="Y171">
            <v>22.069999694824201</v>
          </cell>
          <cell r="Z171">
            <v>21.948301315307599</v>
          </cell>
          <cell r="AA171">
            <v>23.099245071411101</v>
          </cell>
          <cell r="AB171">
            <v>28.970527648925799</v>
          </cell>
          <cell r="AC171">
            <v>31.0009059906006</v>
          </cell>
          <cell r="AD171">
            <v>28.970527648925799</v>
          </cell>
          <cell r="AE171">
            <v>28.970527648925799</v>
          </cell>
          <cell r="AF171">
            <v>32.748737335205099</v>
          </cell>
          <cell r="AG171">
            <v>3.8864999999999998</v>
          </cell>
        </row>
        <row r="172">
          <cell r="A172">
            <v>42156</v>
          </cell>
          <cell r="B172">
            <v>32.048912048339801</v>
          </cell>
          <cell r="C172">
            <v>31.735868453979499</v>
          </cell>
          <cell r="D172">
            <v>31.735868453979499</v>
          </cell>
          <cell r="E172">
            <v>31.735868453979499</v>
          </cell>
          <cell r="F172">
            <v>26.221738815307599</v>
          </cell>
          <cell r="G172">
            <v>26.8739128112793</v>
          </cell>
          <cell r="H172">
            <v>26.221738815307599</v>
          </cell>
          <cell r="I172">
            <v>26.221738815307599</v>
          </cell>
          <cell r="J172">
            <v>24.658260345458999</v>
          </cell>
          <cell r="K172">
            <v>30.682174682617202</v>
          </cell>
          <cell r="L172">
            <v>32.680000305175803</v>
          </cell>
          <cell r="M172">
            <v>24.902173995971701</v>
          </cell>
          <cell r="N172">
            <v>25.013914108276399</v>
          </cell>
          <cell r="O172">
            <v>30.427391052246101</v>
          </cell>
          <cell r="P172">
            <v>27.0217399597168</v>
          </cell>
          <cell r="Q172">
            <v>23.3121738433838</v>
          </cell>
          <cell r="R172">
            <v>29.008695602416999</v>
          </cell>
          <cell r="S172">
            <v>19.800001144409201</v>
          </cell>
          <cell r="T172">
            <v>23.3121738433838</v>
          </cell>
          <cell r="U172">
            <v>26.105216979980501</v>
          </cell>
          <cell r="V172">
            <v>27.099998474121101</v>
          </cell>
          <cell r="W172">
            <v>26.105216979980501</v>
          </cell>
          <cell r="X172">
            <v>67.928260803222699</v>
          </cell>
          <cell r="Y172">
            <v>26.105216979980501</v>
          </cell>
          <cell r="Z172">
            <v>26.124782562255898</v>
          </cell>
          <cell r="AA172">
            <v>27.494348526001001</v>
          </cell>
          <cell r="AB172">
            <v>31.519651412963899</v>
          </cell>
          <cell r="AC172">
            <v>34.246173858642599</v>
          </cell>
          <cell r="AD172">
            <v>31.519651412963899</v>
          </cell>
          <cell r="AE172">
            <v>31.519651412963899</v>
          </cell>
          <cell r="AF172">
            <v>36.5066108703613</v>
          </cell>
          <cell r="AG172">
            <v>3.9215</v>
          </cell>
        </row>
        <row r="173">
          <cell r="A173">
            <v>42186</v>
          </cell>
          <cell r="B173">
            <v>35.238296508789098</v>
          </cell>
          <cell r="C173">
            <v>35.014892578125</v>
          </cell>
          <cell r="D173">
            <v>35.014892578125</v>
          </cell>
          <cell r="E173">
            <v>35.014892578125</v>
          </cell>
          <cell r="F173">
            <v>34.235321044921903</v>
          </cell>
          <cell r="G173">
            <v>34.894893646240199</v>
          </cell>
          <cell r="H173">
            <v>34.235321044921903</v>
          </cell>
          <cell r="I173">
            <v>34.235321044921903</v>
          </cell>
          <cell r="J173">
            <v>29.104892730712901</v>
          </cell>
          <cell r="K173">
            <v>35.101062774658203</v>
          </cell>
          <cell r="L173">
            <v>38.748935699462898</v>
          </cell>
          <cell r="M173">
            <v>26.946170806884801</v>
          </cell>
          <cell r="N173">
            <v>26.577022552490199</v>
          </cell>
          <cell r="O173">
            <v>33.289150238037102</v>
          </cell>
          <cell r="P173">
            <v>29.089788436889599</v>
          </cell>
          <cell r="Q173">
            <v>26.2251071929932</v>
          </cell>
          <cell r="R173">
            <v>31.0936164855957</v>
          </cell>
          <cell r="S173">
            <v>21.417659759521499</v>
          </cell>
          <cell r="T173">
            <v>26.2251071929932</v>
          </cell>
          <cell r="U173">
            <v>28.7353191375732</v>
          </cell>
          <cell r="V173">
            <v>31.221700668335</v>
          </cell>
          <cell r="W173">
            <v>28.7353191375732</v>
          </cell>
          <cell r="X173">
            <v>71.786384582519503</v>
          </cell>
          <cell r="Y173">
            <v>28.7353191375732</v>
          </cell>
          <cell r="Z173">
            <v>28.7704257965088</v>
          </cell>
          <cell r="AA173">
            <v>30.164041519165</v>
          </cell>
          <cell r="AB173">
            <v>32.999828338622997</v>
          </cell>
          <cell r="AC173">
            <v>36.774085998535199</v>
          </cell>
          <cell r="AD173">
            <v>32.999828338622997</v>
          </cell>
          <cell r="AE173">
            <v>32.999828338622997</v>
          </cell>
          <cell r="AF173">
            <v>41.3572807312012</v>
          </cell>
          <cell r="AG173">
            <v>3.9615</v>
          </cell>
        </row>
        <row r="174">
          <cell r="A174">
            <v>42217</v>
          </cell>
          <cell r="B174">
            <v>35.938236236572301</v>
          </cell>
          <cell r="C174">
            <v>35.693138122558601</v>
          </cell>
          <cell r="D174">
            <v>35.693138122558601</v>
          </cell>
          <cell r="E174">
            <v>35.693138122558601</v>
          </cell>
          <cell r="F174">
            <v>36.778430938720703</v>
          </cell>
          <cell r="G174">
            <v>37.386276245117202</v>
          </cell>
          <cell r="H174">
            <v>36.778430938720703</v>
          </cell>
          <cell r="I174">
            <v>36.778430938720703</v>
          </cell>
          <cell r="J174">
            <v>26.3005886077881</v>
          </cell>
          <cell r="K174">
            <v>35.092159271240199</v>
          </cell>
          <cell r="L174">
            <v>38.450981140136697</v>
          </cell>
          <cell r="M174">
            <v>27.684511184692401</v>
          </cell>
          <cell r="N174">
            <v>26.093334197998001</v>
          </cell>
          <cell r="O174">
            <v>33.605293273925803</v>
          </cell>
          <cell r="P174">
            <v>29.659999847412099</v>
          </cell>
          <cell r="Q174">
            <v>26.451372146606399</v>
          </cell>
          <cell r="R174">
            <v>31.545883178710898</v>
          </cell>
          <cell r="S174">
            <v>22.020980834960898</v>
          </cell>
          <cell r="T174">
            <v>26.451372146606399</v>
          </cell>
          <cell r="U174">
            <v>28.963136672973601</v>
          </cell>
          <cell r="V174">
            <v>32.027843475341797</v>
          </cell>
          <cell r="W174">
            <v>28.963136672973601</v>
          </cell>
          <cell r="X174">
            <v>68.607841491699205</v>
          </cell>
          <cell r="Y174">
            <v>28.963136672973601</v>
          </cell>
          <cell r="Z174">
            <v>28.8896083831787</v>
          </cell>
          <cell r="AA174">
            <v>30.115097045898398</v>
          </cell>
          <cell r="AB174">
            <v>32.742000579833999</v>
          </cell>
          <cell r="AC174">
            <v>36.277687072753899</v>
          </cell>
          <cell r="AD174">
            <v>32.742000579833999</v>
          </cell>
          <cell r="AE174">
            <v>32.742000579833999</v>
          </cell>
          <cell r="AF174">
            <v>41.291023254394503</v>
          </cell>
          <cell r="AG174">
            <v>4.0015000000000001</v>
          </cell>
        </row>
        <row r="175">
          <cell r="A175">
            <v>42248</v>
          </cell>
          <cell r="B175">
            <v>30.043750762939499</v>
          </cell>
          <cell r="C175">
            <v>30.2416667938232</v>
          </cell>
          <cell r="D175">
            <v>30.2416667938232</v>
          </cell>
          <cell r="E175">
            <v>30.2416667938232</v>
          </cell>
          <cell r="F175">
            <v>21.188083648681602</v>
          </cell>
          <cell r="G175">
            <v>21.813083648681602</v>
          </cell>
          <cell r="H175">
            <v>21.188083648681602</v>
          </cell>
          <cell r="I175">
            <v>21.188083648681602</v>
          </cell>
          <cell r="J175">
            <v>24.6979160308838</v>
          </cell>
          <cell r="K175">
            <v>27.525001525878899</v>
          </cell>
          <cell r="L175">
            <v>29.831249237060501</v>
          </cell>
          <cell r="M175">
            <v>21.1995849609375</v>
          </cell>
          <cell r="N175">
            <v>20.640832901001001</v>
          </cell>
          <cell r="O175">
            <v>24.315834045410199</v>
          </cell>
          <cell r="P175">
            <v>23.2308349609375</v>
          </cell>
          <cell r="Q175">
            <v>22.9600009918213</v>
          </cell>
          <cell r="R175">
            <v>25.155834197998001</v>
          </cell>
          <cell r="S175">
            <v>18.674583435058601</v>
          </cell>
          <cell r="T175">
            <v>22.9600009918213</v>
          </cell>
          <cell r="U175">
            <v>24.919792175293001</v>
          </cell>
          <cell r="V175">
            <v>25.679164886474599</v>
          </cell>
          <cell r="W175">
            <v>24.919792175293001</v>
          </cell>
          <cell r="X175">
            <v>60.555835723877003</v>
          </cell>
          <cell r="Y175">
            <v>24.919792175293001</v>
          </cell>
          <cell r="Z175">
            <v>24.8822917938232</v>
          </cell>
          <cell r="AA175">
            <v>26.1635417938232</v>
          </cell>
          <cell r="AB175">
            <v>27.5112915039063</v>
          </cell>
          <cell r="AC175">
            <v>29.862958908081101</v>
          </cell>
          <cell r="AD175">
            <v>27.815040588378899</v>
          </cell>
          <cell r="AE175">
            <v>27.5112915039063</v>
          </cell>
          <cell r="AF175">
            <v>34.030460357666001</v>
          </cell>
          <cell r="AG175">
            <v>3.9845000000000002</v>
          </cell>
        </row>
        <row r="176">
          <cell r="A176">
            <v>42278</v>
          </cell>
          <cell r="B176">
            <v>28.826530456543001</v>
          </cell>
          <cell r="C176">
            <v>29.136734008789102</v>
          </cell>
          <cell r="D176">
            <v>29.136734008789102</v>
          </cell>
          <cell r="E176">
            <v>29.136734008789102</v>
          </cell>
          <cell r="F176">
            <v>20.1546936035156</v>
          </cell>
          <cell r="G176">
            <v>20.787347793579102</v>
          </cell>
          <cell r="H176">
            <v>20.1546936035156</v>
          </cell>
          <cell r="I176">
            <v>20.1546936035156</v>
          </cell>
          <cell r="J176">
            <v>24.054080963134801</v>
          </cell>
          <cell r="K176">
            <v>28.9081630706787</v>
          </cell>
          <cell r="L176">
            <v>30.112245559692401</v>
          </cell>
          <cell r="M176">
            <v>19.210817337036101</v>
          </cell>
          <cell r="N176">
            <v>19.4836730957031</v>
          </cell>
          <cell r="O176">
            <v>22.089183807373001</v>
          </cell>
          <cell r="P176">
            <v>21.266939163208001</v>
          </cell>
          <cell r="Q176">
            <v>21.201021194458001</v>
          </cell>
          <cell r="R176">
            <v>23.209386825561499</v>
          </cell>
          <cell r="S176">
            <v>17.9140815734863</v>
          </cell>
          <cell r="T176">
            <v>21.201021194458001</v>
          </cell>
          <cell r="U176">
            <v>24.656061172485401</v>
          </cell>
          <cell r="V176">
            <v>24.110610961914102</v>
          </cell>
          <cell r="W176">
            <v>24.656061172485401</v>
          </cell>
          <cell r="X176">
            <v>58.996574401855497</v>
          </cell>
          <cell r="Y176">
            <v>24.656061172485401</v>
          </cell>
          <cell r="Z176">
            <v>24.6346321105957</v>
          </cell>
          <cell r="AA176">
            <v>25.9407558441162</v>
          </cell>
          <cell r="AB176">
            <v>26.483203887939499</v>
          </cell>
          <cell r="AC176">
            <v>28.445041656494102</v>
          </cell>
          <cell r="AD176">
            <v>26.869529724121101</v>
          </cell>
          <cell r="AE176">
            <v>26.483203887939499</v>
          </cell>
          <cell r="AF176">
            <v>29.9862670898438</v>
          </cell>
          <cell r="AG176">
            <v>4.0095000000000001</v>
          </cell>
        </row>
        <row r="177">
          <cell r="A177">
            <v>42309</v>
          </cell>
          <cell r="B177">
            <v>29.890001296997099</v>
          </cell>
          <cell r="C177">
            <v>30.130001068115199</v>
          </cell>
          <cell r="D177">
            <v>30.130001068115199</v>
          </cell>
          <cell r="E177">
            <v>30.130001068115199</v>
          </cell>
          <cell r="F177">
            <v>19.8544006347656</v>
          </cell>
          <cell r="G177">
            <v>20.454401016235401</v>
          </cell>
          <cell r="H177">
            <v>19.8544006347656</v>
          </cell>
          <cell r="I177">
            <v>19.8544006347656</v>
          </cell>
          <cell r="J177">
            <v>24.25</v>
          </cell>
          <cell r="K177">
            <v>29.680000305175799</v>
          </cell>
          <cell r="L177">
            <v>31.069999694824201</v>
          </cell>
          <cell r="M177">
            <v>19.753200531005898</v>
          </cell>
          <cell r="N177">
            <v>19.6480007171631</v>
          </cell>
          <cell r="O177">
            <v>23.293199539184599</v>
          </cell>
          <cell r="P177">
            <v>21.703201293945298</v>
          </cell>
          <cell r="Q177">
            <v>23.3659992218018</v>
          </cell>
          <cell r="R177">
            <v>23.5711994171143</v>
          </cell>
          <cell r="S177">
            <v>18.369199752807599</v>
          </cell>
          <cell r="T177">
            <v>23.3659992218018</v>
          </cell>
          <cell r="U177">
            <v>23.700599670410199</v>
          </cell>
          <cell r="V177">
            <v>24.8519992828369</v>
          </cell>
          <cell r="W177">
            <v>23.700599670410199</v>
          </cell>
          <cell r="X177">
            <v>57.899192810058601</v>
          </cell>
          <cell r="Y177">
            <v>23.700599670410199</v>
          </cell>
          <cell r="Z177">
            <v>23.610599517822301</v>
          </cell>
          <cell r="AA177">
            <v>24.810600280761701</v>
          </cell>
          <cell r="AB177">
            <v>26.776119232177699</v>
          </cell>
          <cell r="AC177">
            <v>28.546119689941399</v>
          </cell>
          <cell r="AD177">
            <v>27.226119995117202</v>
          </cell>
          <cell r="AE177">
            <v>26.776119232177699</v>
          </cell>
          <cell r="AF177">
            <v>30.138120651245099</v>
          </cell>
          <cell r="AG177">
            <v>4.1615000000000002</v>
          </cell>
        </row>
        <row r="178">
          <cell r="A178">
            <v>42339</v>
          </cell>
          <cell r="B178">
            <v>31.575511932373001</v>
          </cell>
          <cell r="C178">
            <v>32.187755584716797</v>
          </cell>
          <cell r="D178">
            <v>32.187755584716797</v>
          </cell>
          <cell r="E178">
            <v>32.187755584716797</v>
          </cell>
          <cell r="F178">
            <v>19.922899246215799</v>
          </cell>
          <cell r="G178">
            <v>20.5555515289307</v>
          </cell>
          <cell r="H178">
            <v>19.922899246215799</v>
          </cell>
          <cell r="I178">
            <v>19.922899246215799</v>
          </cell>
          <cell r="J178">
            <v>25.941837310791001</v>
          </cell>
          <cell r="K178">
            <v>32.485713958740199</v>
          </cell>
          <cell r="L178">
            <v>32.424488067627003</v>
          </cell>
          <cell r="M178">
            <v>23.672245025634801</v>
          </cell>
          <cell r="N178">
            <v>23.5826530456543</v>
          </cell>
          <cell r="O178">
            <v>21.9638767242432</v>
          </cell>
          <cell r="P178">
            <v>25.728368759155298</v>
          </cell>
          <cell r="Q178">
            <v>25.139797210693398</v>
          </cell>
          <cell r="R178">
            <v>27.6708164215088</v>
          </cell>
          <cell r="S178">
            <v>20.952041625976602</v>
          </cell>
          <cell r="T178">
            <v>25.139797210693398</v>
          </cell>
          <cell r="U178">
            <v>24.879386901855501</v>
          </cell>
          <cell r="V178">
            <v>24.335100173950199</v>
          </cell>
          <cell r="W178">
            <v>24.879386901855501</v>
          </cell>
          <cell r="X178">
            <v>63.076732635497997</v>
          </cell>
          <cell r="Y178">
            <v>24.879386901855501</v>
          </cell>
          <cell r="Z178">
            <v>24.857959747314499</v>
          </cell>
          <cell r="AA178">
            <v>26.1640815734863</v>
          </cell>
          <cell r="AB178">
            <v>27.8521022796631</v>
          </cell>
          <cell r="AC178">
            <v>30.093530654907202</v>
          </cell>
          <cell r="AD178">
            <v>28.26291847229</v>
          </cell>
          <cell r="AE178">
            <v>27.8521022796631</v>
          </cell>
          <cell r="AF178">
            <v>31.740879058837901</v>
          </cell>
          <cell r="AG178">
            <v>4.3045</v>
          </cell>
        </row>
        <row r="179">
          <cell r="A179">
            <v>42370</v>
          </cell>
          <cell r="B179">
            <v>36.600902557372997</v>
          </cell>
          <cell r="C179">
            <v>37.166942596435497</v>
          </cell>
          <cell r="D179">
            <v>37.166942596435497</v>
          </cell>
          <cell r="E179">
            <v>37.166942596435497</v>
          </cell>
          <cell r="F179">
            <v>24.753358840942401</v>
          </cell>
          <cell r="G179">
            <v>25.338264465331999</v>
          </cell>
          <cell r="H179">
            <v>24.753358840942401</v>
          </cell>
          <cell r="I179">
            <v>24.753358840942401</v>
          </cell>
          <cell r="J179">
            <v>31.422904968261701</v>
          </cell>
          <cell r="K179">
            <v>33.820755004882798</v>
          </cell>
          <cell r="L179">
            <v>34.200000762939503</v>
          </cell>
          <cell r="M179">
            <v>27.3371696472168</v>
          </cell>
          <cell r="N179">
            <v>27.026414871215799</v>
          </cell>
          <cell r="O179">
            <v>25.978679656982401</v>
          </cell>
          <cell r="P179">
            <v>29.238113403320298</v>
          </cell>
          <cell r="Q179">
            <v>34.417171478271499</v>
          </cell>
          <cell r="R179">
            <v>31.071697235107401</v>
          </cell>
          <cell r="S179">
            <v>24.152263641357401</v>
          </cell>
          <cell r="T179">
            <v>34.417171478271499</v>
          </cell>
          <cell r="U179">
            <v>27.627735137939499</v>
          </cell>
          <cell r="V179">
            <v>24.592828750610401</v>
          </cell>
          <cell r="W179">
            <v>27.627735137939499</v>
          </cell>
          <cell r="X179">
            <v>63.973678588867202</v>
          </cell>
          <cell r="Y179">
            <v>27.627735137939499</v>
          </cell>
          <cell r="Z179">
            <v>27.506036758422901</v>
          </cell>
          <cell r="AA179">
            <v>28.656980514526399</v>
          </cell>
          <cell r="AB179">
            <v>30.613132476806602</v>
          </cell>
          <cell r="AC179">
            <v>33.096340179443402</v>
          </cell>
          <cell r="AD179">
            <v>30.613132476806602</v>
          </cell>
          <cell r="AE179">
            <v>30.613132476806602</v>
          </cell>
          <cell r="AF179">
            <v>34.4046440124512</v>
          </cell>
          <cell r="AG179">
            <v>4.3425000000000002</v>
          </cell>
        </row>
        <row r="180">
          <cell r="A180">
            <v>42401</v>
          </cell>
          <cell r="B180">
            <v>35.872711181640597</v>
          </cell>
          <cell r="C180">
            <v>36.334934234619098</v>
          </cell>
          <cell r="D180">
            <v>36.334934234619098</v>
          </cell>
          <cell r="E180">
            <v>36.334934234619098</v>
          </cell>
          <cell r="F180">
            <v>24.834711074829102</v>
          </cell>
          <cell r="G180">
            <v>25.4791564941406</v>
          </cell>
          <cell r="H180">
            <v>24.834711074829102</v>
          </cell>
          <cell r="I180">
            <v>24.834711074829102</v>
          </cell>
          <cell r="J180">
            <v>28.662088394165</v>
          </cell>
          <cell r="K180">
            <v>32.4944458007813</v>
          </cell>
          <cell r="L180">
            <v>34.168888092041001</v>
          </cell>
          <cell r="M180">
            <v>25.090888977050799</v>
          </cell>
          <cell r="N180">
            <v>24.8159999847412</v>
          </cell>
          <cell r="O180">
            <v>25.757555007934599</v>
          </cell>
          <cell r="P180">
            <v>27.1853332519531</v>
          </cell>
          <cell r="Q180">
            <v>30.418889999389599</v>
          </cell>
          <cell r="R180">
            <v>29.154666900634801</v>
          </cell>
          <cell r="S180">
            <v>22.497556686401399</v>
          </cell>
          <cell r="T180">
            <v>30.418889999389599</v>
          </cell>
          <cell r="U180">
            <v>26.1705322265625</v>
          </cell>
          <cell r="V180">
            <v>24.295108795166001</v>
          </cell>
          <cell r="W180">
            <v>26.1705322265625</v>
          </cell>
          <cell r="X180">
            <v>65.937667846679702</v>
          </cell>
          <cell r="Y180">
            <v>26.1705322265625</v>
          </cell>
          <cell r="Z180">
            <v>26.173866271972699</v>
          </cell>
          <cell r="AA180">
            <v>27.518310546875</v>
          </cell>
          <cell r="AB180">
            <v>30.308620452880898</v>
          </cell>
          <cell r="AC180">
            <v>32.638622283935497</v>
          </cell>
          <cell r="AD180">
            <v>30.308620452880898</v>
          </cell>
          <cell r="AE180">
            <v>30.308620452880898</v>
          </cell>
          <cell r="AF180">
            <v>33.806400299072301</v>
          </cell>
          <cell r="AG180">
            <v>4.2865000000000002</v>
          </cell>
        </row>
        <row r="181">
          <cell r="A181">
            <v>42430</v>
          </cell>
          <cell r="B181">
            <v>33.213829040527301</v>
          </cell>
          <cell r="C181">
            <v>32.950000762939503</v>
          </cell>
          <cell r="D181">
            <v>32.950000762939503</v>
          </cell>
          <cell r="E181">
            <v>32.950000762939503</v>
          </cell>
          <cell r="F181">
            <v>21.905488967895501</v>
          </cell>
          <cell r="G181">
            <v>22.5650634765625</v>
          </cell>
          <cell r="H181">
            <v>21.905488967895501</v>
          </cell>
          <cell r="I181">
            <v>21.905488967895501</v>
          </cell>
          <cell r="J181">
            <v>23.990255355835</v>
          </cell>
          <cell r="K181">
            <v>30.186170578002901</v>
          </cell>
          <cell r="L181">
            <v>28.557447433471701</v>
          </cell>
          <cell r="M181">
            <v>24.281488418579102</v>
          </cell>
          <cell r="N181">
            <v>24.0076599121094</v>
          </cell>
          <cell r="O181">
            <v>25.3027648925781</v>
          </cell>
          <cell r="P181">
            <v>26.425106048583999</v>
          </cell>
          <cell r="Q181">
            <v>24.4068088531494</v>
          </cell>
          <cell r="R181">
            <v>28.4289360046387</v>
          </cell>
          <cell r="S181">
            <v>20.791063308715799</v>
          </cell>
          <cell r="T181">
            <v>24.4068088531494</v>
          </cell>
          <cell r="U181">
            <v>24.673830032348601</v>
          </cell>
          <cell r="V181">
            <v>23.8706359863281</v>
          </cell>
          <cell r="W181">
            <v>24.673830032348601</v>
          </cell>
          <cell r="X181">
            <v>62.990848541259801</v>
          </cell>
          <cell r="Y181">
            <v>24.673830032348601</v>
          </cell>
          <cell r="Z181">
            <v>24.708934783935501</v>
          </cell>
          <cell r="AA181">
            <v>26.102552413940401</v>
          </cell>
          <cell r="AB181">
            <v>29.108127593994102</v>
          </cell>
          <cell r="AC181">
            <v>30.868553161621101</v>
          </cell>
          <cell r="AD181">
            <v>29.108127593994102</v>
          </cell>
          <cell r="AE181">
            <v>29.108127593994102</v>
          </cell>
          <cell r="AF181">
            <v>32.084724426269503</v>
          </cell>
          <cell r="AG181">
            <v>4.1565000000000003</v>
          </cell>
        </row>
        <row r="182">
          <cell r="A182">
            <v>42461</v>
          </cell>
          <cell r="B182">
            <v>31.081251144409201</v>
          </cell>
          <cell r="C182">
            <v>30.822917938232401</v>
          </cell>
          <cell r="D182">
            <v>30.822917938232401</v>
          </cell>
          <cell r="E182">
            <v>30.822917938232401</v>
          </cell>
          <cell r="F182">
            <v>20.8737087249756</v>
          </cell>
          <cell r="G182">
            <v>21.4987087249756</v>
          </cell>
          <cell r="H182">
            <v>20.8737087249756</v>
          </cell>
          <cell r="I182">
            <v>20.8737087249756</v>
          </cell>
          <cell r="J182">
            <v>24.196874618530298</v>
          </cell>
          <cell r="K182">
            <v>29.893749237060501</v>
          </cell>
          <cell r="L182">
            <v>28.918750762939499</v>
          </cell>
          <cell r="M182">
            <v>21.047916412353501</v>
          </cell>
          <cell r="N182">
            <v>20.806667327880898</v>
          </cell>
          <cell r="O182">
            <v>25.402082443237301</v>
          </cell>
          <cell r="P182">
            <v>23.079166412353501</v>
          </cell>
          <cell r="Q182">
            <v>22.880001068115199</v>
          </cell>
          <cell r="R182">
            <v>25.004167556762699</v>
          </cell>
          <cell r="S182">
            <v>19.329166412353501</v>
          </cell>
          <cell r="T182">
            <v>22.880001068115199</v>
          </cell>
          <cell r="U182">
            <v>23.444999694824201</v>
          </cell>
          <cell r="V182">
            <v>24.064582824706999</v>
          </cell>
          <cell r="W182">
            <v>23.444999694824201</v>
          </cell>
          <cell r="X182">
            <v>59.103328704833999</v>
          </cell>
          <cell r="Y182">
            <v>23.444999694824201</v>
          </cell>
          <cell r="Z182">
            <v>23.407499313354499</v>
          </cell>
          <cell r="AA182">
            <v>24.688749313354499</v>
          </cell>
          <cell r="AB182">
            <v>28.894292831420898</v>
          </cell>
          <cell r="AC182">
            <v>30.789291381835898</v>
          </cell>
          <cell r="AD182">
            <v>28.894292831420898</v>
          </cell>
          <cell r="AE182">
            <v>28.894292831420898</v>
          </cell>
          <cell r="AF182">
            <v>31.977521896362301</v>
          </cell>
          <cell r="AG182">
            <v>3.9714999999999998</v>
          </cell>
        </row>
        <row r="183">
          <cell r="A183">
            <v>42491</v>
          </cell>
          <cell r="B183">
            <v>31.249019622802699</v>
          </cell>
          <cell r="C183">
            <v>30.531373977661101</v>
          </cell>
          <cell r="D183">
            <v>30.531373977661101</v>
          </cell>
          <cell r="E183">
            <v>30.531373977661101</v>
          </cell>
          <cell r="F183">
            <v>22.208864212036101</v>
          </cell>
          <cell r="G183">
            <v>22.816707611083999</v>
          </cell>
          <cell r="H183">
            <v>22.208864212036101</v>
          </cell>
          <cell r="I183">
            <v>22.208864212036101</v>
          </cell>
          <cell r="J183">
            <v>22.423255920410199</v>
          </cell>
          <cell r="K183">
            <v>33.361763000488303</v>
          </cell>
          <cell r="L183">
            <v>31.098039627075199</v>
          </cell>
          <cell r="M183">
            <v>20.939020156860401</v>
          </cell>
          <cell r="N183">
            <v>20.650588989257798</v>
          </cell>
          <cell r="O183">
            <v>26.710391998291001</v>
          </cell>
          <cell r="P183">
            <v>22.9145107269287</v>
          </cell>
          <cell r="Q183">
            <v>23.831764221191399</v>
          </cell>
          <cell r="R183">
            <v>24.800392150878899</v>
          </cell>
          <cell r="S183">
            <v>18.345098495483398</v>
          </cell>
          <cell r="T183">
            <v>23.831764221191399</v>
          </cell>
          <cell r="U183">
            <v>22.312353134155298</v>
          </cell>
          <cell r="V183">
            <v>25.253332138061499</v>
          </cell>
          <cell r="W183">
            <v>22.312353134155298</v>
          </cell>
          <cell r="X183">
            <v>58.375293731689503</v>
          </cell>
          <cell r="Y183">
            <v>22.312353134155298</v>
          </cell>
          <cell r="Z183">
            <v>22.238822937011701</v>
          </cell>
          <cell r="AA183">
            <v>23.464313507080099</v>
          </cell>
          <cell r="AB183">
            <v>29.611019134521499</v>
          </cell>
          <cell r="AC183">
            <v>31.622196197509801</v>
          </cell>
          <cell r="AD183">
            <v>29.611019134521499</v>
          </cell>
          <cell r="AE183">
            <v>29.611019134521499</v>
          </cell>
          <cell r="AF183">
            <v>33.300155639648402</v>
          </cell>
          <cell r="AG183">
            <v>3.9664999999999999</v>
          </cell>
        </row>
        <row r="184">
          <cell r="A184">
            <v>42522</v>
          </cell>
          <cell r="B184">
            <v>32.298912048339801</v>
          </cell>
          <cell r="C184">
            <v>31.985868453979499</v>
          </cell>
          <cell r="D184">
            <v>31.985868453979499</v>
          </cell>
          <cell r="E184">
            <v>31.985868453979499</v>
          </cell>
          <cell r="F184">
            <v>26.365219116210898</v>
          </cell>
          <cell r="G184">
            <v>27.017393112182599</v>
          </cell>
          <cell r="H184">
            <v>26.365219116210898</v>
          </cell>
          <cell r="I184">
            <v>26.365219116210898</v>
          </cell>
          <cell r="J184">
            <v>24.693042755126999</v>
          </cell>
          <cell r="K184">
            <v>30.932174682617202</v>
          </cell>
          <cell r="L184">
            <v>32.766956329345703</v>
          </cell>
          <cell r="M184">
            <v>25.2282619476318</v>
          </cell>
          <cell r="N184">
            <v>25.340000152587901</v>
          </cell>
          <cell r="O184">
            <v>30.644783020019499</v>
          </cell>
          <cell r="P184">
            <v>27.347826004028299</v>
          </cell>
          <cell r="Q184">
            <v>24.079999923706101</v>
          </cell>
          <cell r="R184">
            <v>29.334781646728501</v>
          </cell>
          <cell r="S184">
            <v>20.1260871887207</v>
          </cell>
          <cell r="T184">
            <v>24.079999923706101</v>
          </cell>
          <cell r="U184">
            <v>26.431303024291999</v>
          </cell>
          <cell r="V184">
            <v>27.5130424499512</v>
          </cell>
          <cell r="W184">
            <v>26.431303024291999</v>
          </cell>
          <cell r="X184">
            <v>68.254348754882798</v>
          </cell>
          <cell r="Y184">
            <v>26.431303024291999</v>
          </cell>
          <cell r="Z184">
            <v>26.450868606567401</v>
          </cell>
          <cell r="AA184">
            <v>27.8204345703125</v>
          </cell>
          <cell r="AB184">
            <v>32.443565368652301</v>
          </cell>
          <cell r="AC184">
            <v>35.170085906982401</v>
          </cell>
          <cell r="AD184">
            <v>32.443565368652301</v>
          </cell>
          <cell r="AE184">
            <v>32.443565368652301</v>
          </cell>
          <cell r="AF184">
            <v>37.430526733398402</v>
          </cell>
          <cell r="AG184">
            <v>4.0015000000000001</v>
          </cell>
        </row>
        <row r="185">
          <cell r="A185">
            <v>42552</v>
          </cell>
          <cell r="B185">
            <v>36.106601715087898</v>
          </cell>
          <cell r="C185">
            <v>35.868865966796903</v>
          </cell>
          <cell r="D185">
            <v>35.868865966796903</v>
          </cell>
          <cell r="E185">
            <v>35.868865966796903</v>
          </cell>
          <cell r="F185">
            <v>37.486415863037102</v>
          </cell>
          <cell r="G185">
            <v>38.071319580078097</v>
          </cell>
          <cell r="H185">
            <v>37.486415863037102</v>
          </cell>
          <cell r="I185">
            <v>37.486415863037102</v>
          </cell>
          <cell r="J185">
            <v>30.795547485351602</v>
          </cell>
          <cell r="K185">
            <v>35.241508483886697</v>
          </cell>
          <cell r="L185">
            <v>38.545284271240199</v>
          </cell>
          <cell r="M185">
            <v>27.688491821289102</v>
          </cell>
          <cell r="N185">
            <v>27.348680496215799</v>
          </cell>
          <cell r="O185">
            <v>34.318302154541001</v>
          </cell>
          <cell r="P185">
            <v>29.589435577392599</v>
          </cell>
          <cell r="Q185">
            <v>28.635848999023398</v>
          </cell>
          <cell r="R185">
            <v>31.423019409179702</v>
          </cell>
          <cell r="S185">
            <v>22.842453002929702</v>
          </cell>
          <cell r="T185">
            <v>28.635848999023398</v>
          </cell>
          <cell r="U185">
            <v>29.564149856567401</v>
          </cell>
          <cell r="V185">
            <v>32.734336853027301</v>
          </cell>
          <cell r="W185">
            <v>29.564149856567401</v>
          </cell>
          <cell r="X185">
            <v>67.661888122558594</v>
          </cell>
          <cell r="Y185">
            <v>29.564149856567401</v>
          </cell>
          <cell r="Z185">
            <v>29.4424533843994</v>
          </cell>
          <cell r="AA185">
            <v>30.593397140502901</v>
          </cell>
          <cell r="AB185">
            <v>35.043434143066399</v>
          </cell>
          <cell r="AC185">
            <v>38.875698089599602</v>
          </cell>
          <cell r="AD185">
            <v>35.043434143066399</v>
          </cell>
          <cell r="AE185">
            <v>35.043434143066399</v>
          </cell>
          <cell r="AF185">
            <v>43.571743011474602</v>
          </cell>
          <cell r="AG185">
            <v>4.0415000000000001</v>
          </cell>
        </row>
        <row r="186">
          <cell r="A186">
            <v>42583</v>
          </cell>
          <cell r="B186">
            <v>35.648933410644503</v>
          </cell>
          <cell r="C186">
            <v>35.436168670654297</v>
          </cell>
          <cell r="D186">
            <v>35.436168670654297</v>
          </cell>
          <cell r="E186">
            <v>35.436168670654297</v>
          </cell>
          <cell r="F186">
            <v>35.2021293640137</v>
          </cell>
          <cell r="G186">
            <v>35.861701965332003</v>
          </cell>
          <cell r="H186">
            <v>35.2021293640137</v>
          </cell>
          <cell r="I186">
            <v>35.2021293640137</v>
          </cell>
          <cell r="J186">
            <v>25.952894210815401</v>
          </cell>
          <cell r="K186">
            <v>35.422340393066399</v>
          </cell>
          <cell r="L186">
            <v>38.740425109863303</v>
          </cell>
          <cell r="M186">
            <v>27.938510894775401</v>
          </cell>
          <cell r="N186">
            <v>26.524255752563501</v>
          </cell>
          <cell r="O186">
            <v>33.1538276672363</v>
          </cell>
          <cell r="P186">
            <v>30.082128524780298</v>
          </cell>
          <cell r="Q186">
            <v>26.006809234619102</v>
          </cell>
          <cell r="R186">
            <v>32.0859565734863</v>
          </cell>
          <cell r="S186">
            <v>21.750425338745099</v>
          </cell>
          <cell r="T186">
            <v>26.006809234619102</v>
          </cell>
          <cell r="U186">
            <v>29.128934860229499</v>
          </cell>
          <cell r="V186">
            <v>31.689785003662099</v>
          </cell>
          <cell r="W186">
            <v>29.128934860229499</v>
          </cell>
          <cell r="X186">
            <v>72.221275329589801</v>
          </cell>
          <cell r="Y186">
            <v>29.128934860229499</v>
          </cell>
          <cell r="Z186">
            <v>29.164041519165</v>
          </cell>
          <cell r="AA186">
            <v>30.557659149169901</v>
          </cell>
          <cell r="AB186">
            <v>32.830467224121101</v>
          </cell>
          <cell r="AC186">
            <v>36.271743774414098</v>
          </cell>
          <cell r="AD186">
            <v>32.830467224121101</v>
          </cell>
          <cell r="AE186">
            <v>32.830467224121101</v>
          </cell>
          <cell r="AF186">
            <v>41.3070678710938</v>
          </cell>
          <cell r="AG186">
            <v>4.0815000000000001</v>
          </cell>
        </row>
        <row r="187">
          <cell r="A187">
            <v>42614</v>
          </cell>
          <cell r="B187">
            <v>30.293750762939499</v>
          </cell>
          <cell r="C187">
            <v>30.4916667938232</v>
          </cell>
          <cell r="D187">
            <v>30.4916667938232</v>
          </cell>
          <cell r="E187">
            <v>30.4916667938232</v>
          </cell>
          <cell r="F187">
            <v>21.2565002441406</v>
          </cell>
          <cell r="G187">
            <v>21.8815002441406</v>
          </cell>
          <cell r="H187">
            <v>21.2565002441406</v>
          </cell>
          <cell r="I187">
            <v>21.2565002441406</v>
          </cell>
          <cell r="J187">
            <v>24.8979167938232</v>
          </cell>
          <cell r="K187">
            <v>27.775001525878899</v>
          </cell>
          <cell r="L187">
            <v>29.924999237060501</v>
          </cell>
          <cell r="M187">
            <v>21.5120849609375</v>
          </cell>
          <cell r="N187">
            <v>20.953332901001001</v>
          </cell>
          <cell r="O187">
            <v>24.555416107177699</v>
          </cell>
          <cell r="P187">
            <v>23.5433349609375</v>
          </cell>
          <cell r="Q187">
            <v>23.8016681671143</v>
          </cell>
          <cell r="R187">
            <v>25.468334197998001</v>
          </cell>
          <cell r="S187">
            <v>18.987083435058601</v>
          </cell>
          <cell r="T187">
            <v>23.8016681671143</v>
          </cell>
          <cell r="U187">
            <v>25.232292175293001</v>
          </cell>
          <cell r="V187">
            <v>26.085414886474599</v>
          </cell>
          <cell r="W187">
            <v>25.232292175293001</v>
          </cell>
          <cell r="X187">
            <v>60.868335723877003</v>
          </cell>
          <cell r="Y187">
            <v>25.232292175293001</v>
          </cell>
          <cell r="Z187">
            <v>25.1947917938232</v>
          </cell>
          <cell r="AA187">
            <v>26.4760417938232</v>
          </cell>
          <cell r="AB187">
            <v>28.3550415039063</v>
          </cell>
          <cell r="AC187">
            <v>30.706708908081101</v>
          </cell>
          <cell r="AD187">
            <v>28.658790588378899</v>
          </cell>
          <cell r="AE187">
            <v>28.3550415039063</v>
          </cell>
          <cell r="AF187">
            <v>34.874210357666001</v>
          </cell>
          <cell r="AG187">
            <v>4.0644999999999998</v>
          </cell>
        </row>
        <row r="188">
          <cell r="A188">
            <v>42644</v>
          </cell>
          <cell r="B188">
            <v>29.0892143249512</v>
          </cell>
          <cell r="C188">
            <v>29.461763381958001</v>
          </cell>
          <cell r="D188">
            <v>29.461763381958001</v>
          </cell>
          <cell r="E188">
            <v>29.461763381958001</v>
          </cell>
          <cell r="F188">
            <v>20.005882263183601</v>
          </cell>
          <cell r="G188">
            <v>20.613725662231399</v>
          </cell>
          <cell r="H188">
            <v>20.005882263183601</v>
          </cell>
          <cell r="I188">
            <v>20.005882263183601</v>
          </cell>
          <cell r="J188">
            <v>24.428432464599599</v>
          </cell>
          <cell r="K188">
            <v>29.2735290527344</v>
          </cell>
          <cell r="L188">
            <v>30.352941513061499</v>
          </cell>
          <cell r="M188">
            <v>19.331569671630898</v>
          </cell>
          <cell r="N188">
            <v>19.6031379699707</v>
          </cell>
          <cell r="O188">
            <v>22.791568756103501</v>
          </cell>
          <cell r="P188">
            <v>21.307060241699201</v>
          </cell>
          <cell r="Q188">
            <v>22.6268634796143</v>
          </cell>
          <cell r="R188">
            <v>23.1929416656494</v>
          </cell>
          <cell r="S188">
            <v>18.1052951812744</v>
          </cell>
          <cell r="T188">
            <v>22.6268634796143</v>
          </cell>
          <cell r="U188">
            <v>24.625862121581999</v>
          </cell>
          <cell r="V188">
            <v>24.6454887390137</v>
          </cell>
          <cell r="W188">
            <v>24.625862121581999</v>
          </cell>
          <cell r="X188">
            <v>57.566764831542997</v>
          </cell>
          <cell r="Y188">
            <v>24.625862121581999</v>
          </cell>
          <cell r="Z188">
            <v>24.552333831787099</v>
          </cell>
          <cell r="AA188">
            <v>25.777824401855501</v>
          </cell>
          <cell r="AB188">
            <v>27.543432235717798</v>
          </cell>
          <cell r="AC188">
            <v>29.539314270019499</v>
          </cell>
          <cell r="AD188">
            <v>27.962842941284201</v>
          </cell>
          <cell r="AE188">
            <v>27.543432235717798</v>
          </cell>
          <cell r="AF188">
            <v>31.010686874389599</v>
          </cell>
          <cell r="AG188">
            <v>4.0895000000000001</v>
          </cell>
        </row>
        <row r="189">
          <cell r="A189">
            <v>42675</v>
          </cell>
          <cell r="B189">
            <v>30.03125</v>
          </cell>
          <cell r="C189">
            <v>30.2395839691162</v>
          </cell>
          <cell r="D189">
            <v>30.2395839691162</v>
          </cell>
          <cell r="E189">
            <v>30.2395839691162</v>
          </cell>
          <cell r="F189">
            <v>20</v>
          </cell>
          <cell r="G189">
            <v>20.625</v>
          </cell>
          <cell r="H189">
            <v>20</v>
          </cell>
          <cell r="I189">
            <v>20</v>
          </cell>
          <cell r="J189">
            <v>24.2729167938232</v>
          </cell>
          <cell r="K189">
            <v>29.821876525878899</v>
          </cell>
          <cell r="L189">
            <v>31.034374237060501</v>
          </cell>
          <cell r="M189">
            <v>20.282917022705099</v>
          </cell>
          <cell r="N189">
            <v>20.1966667175293</v>
          </cell>
          <cell r="O189">
            <v>23.097084045410199</v>
          </cell>
          <cell r="P189">
            <v>22.314167022705099</v>
          </cell>
          <cell r="Q189">
            <v>23.6350002288818</v>
          </cell>
          <cell r="R189">
            <v>24.2391662597656</v>
          </cell>
          <cell r="S189">
            <v>18.8204154968262</v>
          </cell>
          <cell r="T189">
            <v>23.6350002288818</v>
          </cell>
          <cell r="U189">
            <v>24.328125</v>
          </cell>
          <cell r="V189">
            <v>25.147914886474599</v>
          </cell>
          <cell r="W189">
            <v>24.328125</v>
          </cell>
          <cell r="X189">
            <v>60.007911682128899</v>
          </cell>
          <cell r="Y189">
            <v>24.328125</v>
          </cell>
          <cell r="Z189">
            <v>24.290624618530298</v>
          </cell>
          <cell r="AA189">
            <v>25.571874618530298</v>
          </cell>
          <cell r="AB189">
            <v>27.4274578094482</v>
          </cell>
          <cell r="AC189">
            <v>29.1532897949219</v>
          </cell>
          <cell r="AD189">
            <v>27.844957351684599</v>
          </cell>
          <cell r="AE189">
            <v>27.4274578094482</v>
          </cell>
          <cell r="AF189">
            <v>30.821626663208001</v>
          </cell>
          <cell r="AG189">
            <v>4.2415000000000003</v>
          </cell>
        </row>
        <row r="190">
          <cell r="A190">
            <v>42705</v>
          </cell>
          <cell r="B190">
            <v>31.7137260437012</v>
          </cell>
          <cell r="C190">
            <v>32.301959991455099</v>
          </cell>
          <cell r="D190">
            <v>32.301959991455099</v>
          </cell>
          <cell r="E190">
            <v>32.301959991455099</v>
          </cell>
          <cell r="F190">
            <v>19.8654899597168</v>
          </cell>
          <cell r="G190">
            <v>20.473333358764599</v>
          </cell>
          <cell r="H190">
            <v>19.8654899597168</v>
          </cell>
          <cell r="I190">
            <v>19.8654899597168</v>
          </cell>
          <cell r="J190">
            <v>26.487255096435501</v>
          </cell>
          <cell r="K190">
            <v>32.822547912597699</v>
          </cell>
          <cell r="L190">
            <v>32.686275482177699</v>
          </cell>
          <cell r="M190">
            <v>24.052158355712901</v>
          </cell>
          <cell r="N190">
            <v>24.0100002288818</v>
          </cell>
          <cell r="O190">
            <v>22.105293273925799</v>
          </cell>
          <cell r="P190">
            <v>26.027647018432599</v>
          </cell>
          <cell r="Q190">
            <v>25.979804992675799</v>
          </cell>
          <cell r="R190">
            <v>27.913528442382798</v>
          </cell>
          <cell r="S190">
            <v>21.458236694335898</v>
          </cell>
          <cell r="T190">
            <v>25.979804992675799</v>
          </cell>
          <cell r="U190">
            <v>25.330783843994102</v>
          </cell>
          <cell r="V190">
            <v>24.8611755371094</v>
          </cell>
          <cell r="W190">
            <v>25.330783843994102</v>
          </cell>
          <cell r="X190">
            <v>62.015293121337898</v>
          </cell>
          <cell r="Y190">
            <v>25.330783843994102</v>
          </cell>
          <cell r="Z190">
            <v>25.257255554199201</v>
          </cell>
          <cell r="AA190">
            <v>26.482744216918899</v>
          </cell>
          <cell r="AB190">
            <v>28.831666946411101</v>
          </cell>
          <cell r="AC190">
            <v>31.082450866699201</v>
          </cell>
          <cell r="AD190">
            <v>29.2510776519775</v>
          </cell>
          <cell r="AE190">
            <v>28.831666946411101</v>
          </cell>
          <cell r="AF190">
            <v>32.798923492431598</v>
          </cell>
          <cell r="AG190">
            <v>4.3845000000000001</v>
          </cell>
        </row>
        <row r="191">
          <cell r="A191">
            <v>42736</v>
          </cell>
          <cell r="B191">
            <v>36.790782928466797</v>
          </cell>
          <cell r="C191">
            <v>37.379020690917997</v>
          </cell>
          <cell r="D191">
            <v>37.379020690917997</v>
          </cell>
          <cell r="E191">
            <v>37.379020690917997</v>
          </cell>
          <cell r="F191">
            <v>25.057254791259801</v>
          </cell>
          <cell r="G191">
            <v>25.665098190307599</v>
          </cell>
          <cell r="H191">
            <v>25.057254791259801</v>
          </cell>
          <cell r="I191">
            <v>25.057254791259801</v>
          </cell>
          <cell r="J191">
            <v>31.533882141113299</v>
          </cell>
          <cell r="K191">
            <v>33.958824157714801</v>
          </cell>
          <cell r="L191">
            <v>34.156864166259801</v>
          </cell>
          <cell r="M191">
            <v>27.377058029174801</v>
          </cell>
          <cell r="N191">
            <v>27.033725738525401</v>
          </cell>
          <cell r="O191">
            <v>25.965293884277301</v>
          </cell>
          <cell r="P191">
            <v>29.3525485992432</v>
          </cell>
          <cell r="Q191">
            <v>35.910392761230497</v>
          </cell>
          <cell r="R191">
            <v>31.238430023193398</v>
          </cell>
          <cell r="S191">
            <v>24.0476474761963</v>
          </cell>
          <cell r="T191">
            <v>35.910392761230497</v>
          </cell>
          <cell r="U191">
            <v>27.560195922851602</v>
          </cell>
          <cell r="V191">
            <v>24.831764221191399</v>
          </cell>
          <cell r="W191">
            <v>27.560195922851602</v>
          </cell>
          <cell r="X191">
            <v>65.346374511718807</v>
          </cell>
          <cell r="Y191">
            <v>27.560195922851602</v>
          </cell>
          <cell r="Z191">
            <v>27.486665725708001</v>
          </cell>
          <cell r="AA191">
            <v>28.712156295776399</v>
          </cell>
          <cell r="AB191">
            <v>31.191371917724599</v>
          </cell>
          <cell r="AC191">
            <v>33.663333892822301</v>
          </cell>
          <cell r="AD191">
            <v>31.191371917724599</v>
          </cell>
          <cell r="AE191">
            <v>31.191371917724599</v>
          </cell>
          <cell r="AF191">
            <v>34.904117584228501</v>
          </cell>
          <cell r="AG191">
            <v>4.4225000000000003</v>
          </cell>
        </row>
        <row r="192">
          <cell r="A192">
            <v>42767</v>
          </cell>
          <cell r="B192">
            <v>36.060543060302699</v>
          </cell>
          <cell r="C192">
            <v>36.533271789550803</v>
          </cell>
          <cell r="D192">
            <v>36.533271789550803</v>
          </cell>
          <cell r="E192">
            <v>36.533271789550803</v>
          </cell>
          <cell r="F192">
            <v>25.375272750854499</v>
          </cell>
          <cell r="G192">
            <v>26.0116367340088</v>
          </cell>
          <cell r="H192">
            <v>25.375272750854499</v>
          </cell>
          <cell r="I192">
            <v>25.375272750854499</v>
          </cell>
          <cell r="J192">
            <v>28.903272628784201</v>
          </cell>
          <cell r="K192">
            <v>32.740909576416001</v>
          </cell>
          <cell r="L192">
            <v>34.290908813476598</v>
          </cell>
          <cell r="M192">
            <v>25.4209079742432</v>
          </cell>
          <cell r="N192">
            <v>25.145454406738299</v>
          </cell>
          <cell r="O192">
            <v>26.0572719573975</v>
          </cell>
          <cell r="P192">
            <v>27.489089965820298</v>
          </cell>
          <cell r="Q192">
            <v>31.902727127075199</v>
          </cell>
          <cell r="R192">
            <v>29.440000534057599</v>
          </cell>
          <cell r="S192">
            <v>22.8663635253906</v>
          </cell>
          <cell r="T192">
            <v>31.902727127075199</v>
          </cell>
          <cell r="U192">
            <v>26.515998840331999</v>
          </cell>
          <cell r="V192">
            <v>24.749090194702099</v>
          </cell>
          <cell r="W192">
            <v>26.515998840331999</v>
          </cell>
          <cell r="X192">
            <v>65.773635864257798</v>
          </cell>
          <cell r="Y192">
            <v>26.515998840331999</v>
          </cell>
          <cell r="Z192">
            <v>26.502363204956101</v>
          </cell>
          <cell r="AA192">
            <v>27.8205451965332</v>
          </cell>
          <cell r="AB192">
            <v>31.214908599853501</v>
          </cell>
          <cell r="AC192">
            <v>33.539455413818402</v>
          </cell>
          <cell r="AD192">
            <v>31.214908599853501</v>
          </cell>
          <cell r="AE192">
            <v>31.214908599853501</v>
          </cell>
          <cell r="AF192">
            <v>34.724002838134801</v>
          </cell>
          <cell r="AG192">
            <v>4.3665000000000003</v>
          </cell>
        </row>
        <row r="193">
          <cell r="A193">
            <v>42795</v>
          </cell>
          <cell r="B193">
            <v>33.413829803466797</v>
          </cell>
          <cell r="C193">
            <v>33.150001525878899</v>
          </cell>
          <cell r="D193">
            <v>33.150001525878899</v>
          </cell>
          <cell r="E193">
            <v>33.150001525878899</v>
          </cell>
          <cell r="F193">
            <v>22.433149337768601</v>
          </cell>
          <cell r="G193">
            <v>23.092723846435501</v>
          </cell>
          <cell r="H193">
            <v>22.433149337768601</v>
          </cell>
          <cell r="I193">
            <v>22.433149337768601</v>
          </cell>
          <cell r="J193">
            <v>24.190254211425799</v>
          </cell>
          <cell r="K193">
            <v>30.3861694335938</v>
          </cell>
          <cell r="L193">
            <v>28.625532150268601</v>
          </cell>
          <cell r="M193">
            <v>24.6112766265869</v>
          </cell>
          <cell r="N193">
            <v>24.337446212768601</v>
          </cell>
          <cell r="O193">
            <v>25.515531539916999</v>
          </cell>
          <cell r="P193">
            <v>26.7548942565918</v>
          </cell>
          <cell r="Q193">
            <v>25.1689357757568</v>
          </cell>
          <cell r="R193">
            <v>28.758722305297901</v>
          </cell>
          <cell r="S193">
            <v>21.120851516723601</v>
          </cell>
          <cell r="T193">
            <v>25.1689357757568</v>
          </cell>
          <cell r="U193">
            <v>25.003616333007798</v>
          </cell>
          <cell r="V193">
            <v>24.285530090331999</v>
          </cell>
          <cell r="W193">
            <v>25.003616333007798</v>
          </cell>
          <cell r="X193">
            <v>63.320632934570298</v>
          </cell>
          <cell r="Y193">
            <v>25.003616333007798</v>
          </cell>
          <cell r="Z193">
            <v>25.038722991943398</v>
          </cell>
          <cell r="AA193">
            <v>26.4323406219482</v>
          </cell>
          <cell r="AB193">
            <v>29.943233489990199</v>
          </cell>
          <cell r="AC193">
            <v>31.703659057617202</v>
          </cell>
          <cell r="AD193">
            <v>29.943233489990199</v>
          </cell>
          <cell r="AE193">
            <v>29.943233489990199</v>
          </cell>
          <cell r="AF193">
            <v>32.919830322265597</v>
          </cell>
          <cell r="AG193">
            <v>4.2365000000000004</v>
          </cell>
        </row>
        <row r="194">
          <cell r="A194">
            <v>42826</v>
          </cell>
          <cell r="B194">
            <v>31.2600002288818</v>
          </cell>
          <cell r="C194">
            <v>30.950000762939499</v>
          </cell>
          <cell r="D194">
            <v>30.950000762939499</v>
          </cell>
          <cell r="E194">
            <v>30.950000762939499</v>
          </cell>
          <cell r="F194">
            <v>21.404800415039102</v>
          </cell>
          <cell r="G194">
            <v>22.004798889160199</v>
          </cell>
          <cell r="H194">
            <v>21.404800415039102</v>
          </cell>
          <cell r="I194">
            <v>21.404800415039102</v>
          </cell>
          <cell r="J194">
            <v>24.480400085449201</v>
          </cell>
          <cell r="K194">
            <v>30.2399997711182</v>
          </cell>
          <cell r="L194">
            <v>29.2600002288818</v>
          </cell>
          <cell r="M194">
            <v>21.156000137329102</v>
          </cell>
          <cell r="N194">
            <v>20.8780002593994</v>
          </cell>
          <cell r="O194">
            <v>26.0060005187988</v>
          </cell>
          <cell r="P194">
            <v>23.105998992919901</v>
          </cell>
          <cell r="Q194">
            <v>24.370000839233398</v>
          </cell>
          <cell r="R194">
            <v>24.974000930786101</v>
          </cell>
          <cell r="S194">
            <v>19.5260009765625</v>
          </cell>
          <cell r="T194">
            <v>24.370000839233398</v>
          </cell>
          <cell r="U194">
            <v>23.520999908447301</v>
          </cell>
          <cell r="V194">
            <v>24.541997909545898</v>
          </cell>
          <cell r="W194">
            <v>23.520999908447301</v>
          </cell>
          <cell r="X194">
            <v>57.698997497558601</v>
          </cell>
          <cell r="Y194">
            <v>23.520999908447301</v>
          </cell>
          <cell r="Z194">
            <v>23.4309997558594</v>
          </cell>
          <cell r="AA194">
            <v>24.6310005187988</v>
          </cell>
          <cell r="AB194">
            <v>29.906400680541999</v>
          </cell>
          <cell r="AC194">
            <v>31.806400299072301</v>
          </cell>
          <cell r="AD194">
            <v>29.906400680541999</v>
          </cell>
          <cell r="AE194">
            <v>29.906400680541999</v>
          </cell>
          <cell r="AF194">
            <v>32.966300964355497</v>
          </cell>
          <cell r="AG194">
            <v>4.0514999999999999</v>
          </cell>
        </row>
        <row r="195">
          <cell r="A195">
            <v>42856</v>
          </cell>
          <cell r="B195">
            <v>31.4306125640869</v>
          </cell>
          <cell r="C195">
            <v>30.808162689208999</v>
          </cell>
          <cell r="D195">
            <v>30.808162689208999</v>
          </cell>
          <cell r="E195">
            <v>30.808162689208999</v>
          </cell>
          <cell r="F195">
            <v>22.551101684570298</v>
          </cell>
          <cell r="G195">
            <v>23.1837558746338</v>
          </cell>
          <cell r="H195">
            <v>22.551101684570298</v>
          </cell>
          <cell r="I195">
            <v>22.551101684570298</v>
          </cell>
          <cell r="J195">
            <v>22.6480808258057</v>
          </cell>
          <cell r="K195">
            <v>33.472450256347699</v>
          </cell>
          <cell r="L195">
            <v>30.912244796752901</v>
          </cell>
          <cell r="M195">
            <v>21.475307464599599</v>
          </cell>
          <cell r="N195">
            <v>21.2167358398438</v>
          </cell>
          <cell r="O195">
            <v>26.596530914306602</v>
          </cell>
          <cell r="P195">
            <v>23.531429290771499</v>
          </cell>
          <cell r="Q195">
            <v>23.9795932769775</v>
          </cell>
          <cell r="R195">
            <v>25.473876953125</v>
          </cell>
          <cell r="S195">
            <v>18.755102157592798</v>
          </cell>
          <cell r="T195">
            <v>23.9795932769775</v>
          </cell>
          <cell r="U195">
            <v>22.839591979980501</v>
          </cell>
          <cell r="V195">
            <v>25.559591293335</v>
          </cell>
          <cell r="W195">
            <v>22.839591979980501</v>
          </cell>
          <cell r="X195">
            <v>60.429592132568402</v>
          </cell>
          <cell r="Y195">
            <v>22.839591979980501</v>
          </cell>
          <cell r="Z195">
            <v>22.818162918090799</v>
          </cell>
          <cell r="AA195">
            <v>24.124284744262699</v>
          </cell>
          <cell r="AB195">
            <v>30.192367553710898</v>
          </cell>
          <cell r="AC195">
            <v>32.223590850830099</v>
          </cell>
          <cell r="AD195">
            <v>30.192367553710898</v>
          </cell>
          <cell r="AE195">
            <v>30.192367553710898</v>
          </cell>
          <cell r="AF195">
            <v>33.899429321289098</v>
          </cell>
          <cell r="AG195">
            <v>4.0465</v>
          </cell>
        </row>
        <row r="196">
          <cell r="A196">
            <v>42887</v>
          </cell>
          <cell r="B196">
            <v>32.498912811279297</v>
          </cell>
          <cell r="C196">
            <v>32.185867309570298</v>
          </cell>
          <cell r="D196">
            <v>32.185867309570298</v>
          </cell>
          <cell r="E196">
            <v>32.185867309570298</v>
          </cell>
          <cell r="F196">
            <v>27.0304355621338</v>
          </cell>
          <cell r="G196">
            <v>27.6826076507568</v>
          </cell>
          <cell r="H196">
            <v>27.0304355621338</v>
          </cell>
          <cell r="I196">
            <v>27.0304355621338</v>
          </cell>
          <cell r="J196">
            <v>24.727825164794901</v>
          </cell>
          <cell r="K196">
            <v>31.132173538208001</v>
          </cell>
          <cell r="L196">
            <v>32.836521148681598</v>
          </cell>
          <cell r="M196">
            <v>25.554347991943398</v>
          </cell>
          <cell r="N196">
            <v>25.666088104248001</v>
          </cell>
          <cell r="O196">
            <v>30.8621730804443</v>
          </cell>
          <cell r="P196">
            <v>27.673913955688501</v>
          </cell>
          <cell r="Q196">
            <v>24.847826004028299</v>
          </cell>
          <cell r="R196">
            <v>29.6608695983887</v>
          </cell>
          <cell r="S196">
            <v>20.452175140380898</v>
          </cell>
          <cell r="T196">
            <v>24.847826004028299</v>
          </cell>
          <cell r="U196">
            <v>26.757390975952099</v>
          </cell>
          <cell r="V196">
            <v>27.9260864257813</v>
          </cell>
          <cell r="W196">
            <v>26.757390975952099</v>
          </cell>
          <cell r="X196">
            <v>68.580436706542997</v>
          </cell>
          <cell r="Y196">
            <v>26.757390975952099</v>
          </cell>
          <cell r="Z196">
            <v>26.7769565582275</v>
          </cell>
          <cell r="AA196">
            <v>28.146522521972699</v>
          </cell>
          <cell r="AB196">
            <v>33.367477416992202</v>
          </cell>
          <cell r="AC196">
            <v>36.093997955322301</v>
          </cell>
          <cell r="AD196">
            <v>33.367477416992202</v>
          </cell>
          <cell r="AE196">
            <v>33.367477416992202</v>
          </cell>
          <cell r="AF196">
            <v>38.354438781738303</v>
          </cell>
          <cell r="AG196">
            <v>4.0815000000000001</v>
          </cell>
        </row>
        <row r="197">
          <cell r="A197">
            <v>42917</v>
          </cell>
          <cell r="B197">
            <v>36.306602478027301</v>
          </cell>
          <cell r="C197">
            <v>36.0688667297363</v>
          </cell>
          <cell r="D197">
            <v>36.0688667297363</v>
          </cell>
          <cell r="E197">
            <v>36.0688667297363</v>
          </cell>
          <cell r="F197">
            <v>38.585281372070298</v>
          </cell>
          <cell r="G197">
            <v>39.170188903808601</v>
          </cell>
          <cell r="H197">
            <v>38.585281372070298</v>
          </cell>
          <cell r="I197">
            <v>38.585281372070298</v>
          </cell>
          <cell r="J197">
            <v>30.878566741943398</v>
          </cell>
          <cell r="K197">
            <v>35.4415092468262</v>
          </cell>
          <cell r="L197">
            <v>38.628303527832003</v>
          </cell>
          <cell r="M197">
            <v>27.980943679809599</v>
          </cell>
          <cell r="N197">
            <v>27.6411323547363</v>
          </cell>
          <cell r="O197">
            <v>34.582450866699197</v>
          </cell>
          <cell r="P197">
            <v>29.8818874359131</v>
          </cell>
          <cell r="Q197">
            <v>29.555473327636701</v>
          </cell>
          <cell r="R197">
            <v>31.715471267700199</v>
          </cell>
          <cell r="S197">
            <v>23.134904861450199</v>
          </cell>
          <cell r="T197">
            <v>29.555473327636701</v>
          </cell>
          <cell r="U197">
            <v>29.856603622436499</v>
          </cell>
          <cell r="V197">
            <v>33.130565643310497</v>
          </cell>
          <cell r="W197">
            <v>29.856603622436499</v>
          </cell>
          <cell r="X197">
            <v>67.954338073730497</v>
          </cell>
          <cell r="Y197">
            <v>29.856603622436499</v>
          </cell>
          <cell r="Z197">
            <v>29.734905242919901</v>
          </cell>
          <cell r="AA197">
            <v>30.885848999023398</v>
          </cell>
          <cell r="AB197">
            <v>35.8500366210938</v>
          </cell>
          <cell r="AC197">
            <v>39.682304382324197</v>
          </cell>
          <cell r="AD197">
            <v>35.8500366210938</v>
          </cell>
          <cell r="AE197">
            <v>35.8500366210938</v>
          </cell>
          <cell r="AF197">
            <v>44.378345489502003</v>
          </cell>
          <cell r="AG197">
            <v>4.1215000000000002</v>
          </cell>
        </row>
        <row r="198">
          <cell r="A198">
            <v>42948</v>
          </cell>
          <cell r="B198">
            <v>35.848934173583999</v>
          </cell>
          <cell r="C198">
            <v>35.6361694335938</v>
          </cell>
          <cell r="D198">
            <v>35.6361694335938</v>
          </cell>
          <cell r="E198">
            <v>35.6361694335938</v>
          </cell>
          <cell r="F198">
            <v>36.274467468261697</v>
          </cell>
          <cell r="G198">
            <v>36.934043884277301</v>
          </cell>
          <cell r="H198">
            <v>36.274467468261697</v>
          </cell>
          <cell r="I198">
            <v>36.274467468261697</v>
          </cell>
          <cell r="J198">
            <v>26.1528930664063</v>
          </cell>
          <cell r="K198">
            <v>35.622341156005902</v>
          </cell>
          <cell r="L198">
            <v>38.808509826660199</v>
          </cell>
          <cell r="M198">
            <v>28.2682991027832</v>
          </cell>
          <cell r="N198">
            <v>26.8540439605713</v>
          </cell>
          <cell r="O198">
            <v>33.3665962219238</v>
          </cell>
          <cell r="P198">
            <v>30.411914825439499</v>
          </cell>
          <cell r="Q198">
            <v>26.8080863952637</v>
          </cell>
          <cell r="R198">
            <v>32.415744781494098</v>
          </cell>
          <cell r="S198">
            <v>22.0802116394043</v>
          </cell>
          <cell r="T198">
            <v>26.8080863952637</v>
          </cell>
          <cell r="U198">
            <v>29.458723068237301</v>
          </cell>
          <cell r="V198">
            <v>32.104679107666001</v>
          </cell>
          <cell r="W198">
            <v>29.458723068237301</v>
          </cell>
          <cell r="X198">
            <v>72.551063537597699</v>
          </cell>
          <cell r="Y198">
            <v>29.458723068237301</v>
          </cell>
          <cell r="Z198">
            <v>29.493829727172901</v>
          </cell>
          <cell r="AA198">
            <v>30.887447357177699</v>
          </cell>
          <cell r="AB198">
            <v>33.665573120117202</v>
          </cell>
          <cell r="AC198">
            <v>37.106849670410199</v>
          </cell>
          <cell r="AD198">
            <v>33.665573120117202</v>
          </cell>
          <cell r="AE198">
            <v>33.665573120117202</v>
          </cell>
          <cell r="AF198">
            <v>42.142173767089801</v>
          </cell>
          <cell r="AG198">
            <v>4.1615000000000002</v>
          </cell>
        </row>
        <row r="199">
          <cell r="A199">
            <v>42979</v>
          </cell>
          <cell r="B199">
            <v>30.485000610351602</v>
          </cell>
          <cell r="C199">
            <v>30.675001144409201</v>
          </cell>
          <cell r="D199">
            <v>30.675001144409201</v>
          </cell>
          <cell r="E199">
            <v>30.675001144409201</v>
          </cell>
          <cell r="F199">
            <v>21.7872009277344</v>
          </cell>
          <cell r="G199">
            <v>22.387199401855501</v>
          </cell>
          <cell r="H199">
            <v>21.7872009277344</v>
          </cell>
          <cell r="I199">
            <v>21.7872009277344</v>
          </cell>
          <cell r="J199">
            <v>25.2899990081787</v>
          </cell>
          <cell r="K199">
            <v>28.179998397827099</v>
          </cell>
          <cell r="L199">
            <v>30.200000762939499</v>
          </cell>
          <cell r="M199">
            <v>21.895999908447301</v>
          </cell>
          <cell r="N199">
            <v>21.354000091552699</v>
          </cell>
          <cell r="O199">
            <v>24.705999374389599</v>
          </cell>
          <cell r="P199">
            <v>23.846000671386701</v>
          </cell>
          <cell r="Q199">
            <v>24.6219997406006</v>
          </cell>
          <cell r="R199">
            <v>25.7140007019043</v>
          </cell>
          <cell r="S199">
            <v>19.492000579833999</v>
          </cell>
          <cell r="T199">
            <v>24.6219997406006</v>
          </cell>
          <cell r="U199">
            <v>25.588600158691399</v>
          </cell>
          <cell r="V199">
            <v>26.591999053955099</v>
          </cell>
          <cell r="W199">
            <v>25.588600158691399</v>
          </cell>
          <cell r="X199">
            <v>59.784000396728501</v>
          </cell>
          <cell r="Y199">
            <v>25.588600158691399</v>
          </cell>
          <cell r="Z199">
            <v>25.498600006103501</v>
          </cell>
          <cell r="AA199">
            <v>26.698600769043001</v>
          </cell>
          <cell r="AB199">
            <v>29.394800186157202</v>
          </cell>
          <cell r="AC199">
            <v>31.782800674438501</v>
          </cell>
          <cell r="AD199">
            <v>29.7127990722656</v>
          </cell>
          <cell r="AE199">
            <v>29.394800186157202</v>
          </cell>
          <cell r="AF199">
            <v>35.978801727294901</v>
          </cell>
          <cell r="AG199">
            <v>4.1444999999999999</v>
          </cell>
        </row>
        <row r="200">
          <cell r="A200">
            <v>43009</v>
          </cell>
          <cell r="B200">
            <v>29.328571319580099</v>
          </cell>
          <cell r="C200">
            <v>29.716325759887699</v>
          </cell>
          <cell r="D200">
            <v>29.716325759887699</v>
          </cell>
          <cell r="E200">
            <v>29.716325759887699</v>
          </cell>
          <cell r="F200">
            <v>20.5459175109863</v>
          </cell>
          <cell r="G200">
            <v>21.178571701049801</v>
          </cell>
          <cell r="H200">
            <v>20.5459175109863</v>
          </cell>
          <cell r="I200">
            <v>20.5459175109863</v>
          </cell>
          <cell r="J200">
            <v>24.413265228271499</v>
          </cell>
          <cell r="K200">
            <v>29.358161926269499</v>
          </cell>
          <cell r="L200">
            <v>30.277551651001001</v>
          </cell>
          <cell r="M200">
            <v>19.6773471832275</v>
          </cell>
          <cell r="N200">
            <v>19.881633758544901</v>
          </cell>
          <cell r="O200">
            <v>23.096530914306602</v>
          </cell>
          <cell r="P200">
            <v>21.7334690093994</v>
          </cell>
          <cell r="Q200">
            <v>23.6051025390625</v>
          </cell>
          <cell r="R200">
            <v>23.675918579101602</v>
          </cell>
          <cell r="S200">
            <v>18.380613327026399</v>
          </cell>
          <cell r="T200">
            <v>23.6051025390625</v>
          </cell>
          <cell r="U200">
            <v>25.064224243164102</v>
          </cell>
          <cell r="V200">
            <v>24.886121749877901</v>
          </cell>
          <cell r="W200">
            <v>25.064224243164102</v>
          </cell>
          <cell r="X200">
            <v>59.365165710449197</v>
          </cell>
          <cell r="Y200">
            <v>25.064224243164102</v>
          </cell>
          <cell r="Z200">
            <v>25.042797088623001</v>
          </cell>
          <cell r="AA200">
            <v>26.3489170074463</v>
          </cell>
          <cell r="AB200">
            <v>28.207817077636701</v>
          </cell>
          <cell r="AC200">
            <v>30.173734664916999</v>
          </cell>
          <cell r="AD200">
            <v>28.618631362915</v>
          </cell>
          <cell r="AE200">
            <v>28.207817077636701</v>
          </cell>
          <cell r="AF200">
            <v>31.596593856811499</v>
          </cell>
          <cell r="AG200">
            <v>4.1695000000000002</v>
          </cell>
        </row>
        <row r="201">
          <cell r="A201">
            <v>43040</v>
          </cell>
          <cell r="B201">
            <v>30.231250762939499</v>
          </cell>
          <cell r="C201">
            <v>30.439582824706999</v>
          </cell>
          <cell r="D201">
            <v>30.439582824706999</v>
          </cell>
          <cell r="E201">
            <v>30.439582824706999</v>
          </cell>
          <cell r="F201">
            <v>20.78125</v>
          </cell>
          <cell r="G201">
            <v>21.40625</v>
          </cell>
          <cell r="H201">
            <v>20.78125</v>
          </cell>
          <cell r="I201">
            <v>20.78125</v>
          </cell>
          <cell r="J201">
            <v>24.472915649414102</v>
          </cell>
          <cell r="K201">
            <v>30.021873474121101</v>
          </cell>
          <cell r="L201">
            <v>30.796875</v>
          </cell>
          <cell r="M201">
            <v>20.595417022705099</v>
          </cell>
          <cell r="N201">
            <v>20.5091667175293</v>
          </cell>
          <cell r="O201">
            <v>23.336666107177699</v>
          </cell>
          <cell r="P201">
            <v>22.626667022705099</v>
          </cell>
          <cell r="Q201">
            <v>24.4766654968262</v>
          </cell>
          <cell r="R201">
            <v>24.5516662597656</v>
          </cell>
          <cell r="S201">
            <v>19.1329154968262</v>
          </cell>
          <cell r="T201">
            <v>24.4766654968262</v>
          </cell>
          <cell r="U201">
            <v>24.640625</v>
          </cell>
          <cell r="V201">
            <v>25.554164886474599</v>
          </cell>
          <cell r="W201">
            <v>24.640625</v>
          </cell>
          <cell r="X201">
            <v>60.320411682128899</v>
          </cell>
          <cell r="Y201">
            <v>24.640625</v>
          </cell>
          <cell r="Z201">
            <v>24.603124618530298</v>
          </cell>
          <cell r="AA201">
            <v>25.884374618530298</v>
          </cell>
          <cell r="AB201">
            <v>28.2712078094482</v>
          </cell>
          <cell r="AC201">
            <v>29.9970397949219</v>
          </cell>
          <cell r="AD201">
            <v>28.688707351684599</v>
          </cell>
          <cell r="AE201">
            <v>28.2712078094482</v>
          </cell>
          <cell r="AF201">
            <v>31.665376663208001</v>
          </cell>
          <cell r="AG201">
            <v>4.3215000000000003</v>
          </cell>
        </row>
        <row r="202">
          <cell r="A202">
            <v>43070</v>
          </cell>
          <cell r="B202">
            <v>31.849056243896499</v>
          </cell>
          <cell r="C202">
            <v>32.5283012390137</v>
          </cell>
          <cell r="D202">
            <v>32.5283012390137</v>
          </cell>
          <cell r="E202">
            <v>32.5283012390137</v>
          </cell>
          <cell r="F202">
            <v>20.512453079223601</v>
          </cell>
          <cell r="G202">
            <v>21.097358703613299</v>
          </cell>
          <cell r="H202">
            <v>20.512453079223601</v>
          </cell>
          <cell r="I202">
            <v>20.512453079223601</v>
          </cell>
          <cell r="J202">
            <v>27.176414489746101</v>
          </cell>
          <cell r="K202">
            <v>33.102828979492202</v>
          </cell>
          <cell r="L202">
            <v>32.633960723877003</v>
          </cell>
          <cell r="M202">
            <v>24.249811172485401</v>
          </cell>
          <cell r="N202">
            <v>24.188114166259801</v>
          </cell>
          <cell r="O202">
            <v>22.752264022827099</v>
          </cell>
          <cell r="P202">
            <v>26.150754928588899</v>
          </cell>
          <cell r="Q202">
            <v>27.6273593902588</v>
          </cell>
          <cell r="R202">
            <v>27.984338760376001</v>
          </cell>
          <cell r="S202">
            <v>21.772642135620099</v>
          </cell>
          <cell r="T202">
            <v>27.6273593902588</v>
          </cell>
          <cell r="U202">
            <v>25.540565490722699</v>
          </cell>
          <cell r="V202">
            <v>25.328678131103501</v>
          </cell>
          <cell r="W202">
            <v>25.540565490722699</v>
          </cell>
          <cell r="X202">
            <v>60.789810180664098</v>
          </cell>
          <cell r="Y202">
            <v>25.540565490722699</v>
          </cell>
          <cell r="Z202">
            <v>25.418867111206101</v>
          </cell>
          <cell r="AA202">
            <v>26.569810867309599</v>
          </cell>
          <cell r="AB202">
            <v>29.8466606140137</v>
          </cell>
          <cell r="AC202">
            <v>32.119300842285199</v>
          </cell>
          <cell r="AD202">
            <v>30.296659469604499</v>
          </cell>
          <cell r="AE202">
            <v>29.8466606140137</v>
          </cell>
          <cell r="AF202">
            <v>33.780811309814503</v>
          </cell>
          <cell r="AG202">
            <v>4.4645000000000001</v>
          </cell>
        </row>
        <row r="203">
          <cell r="A203">
            <v>43101</v>
          </cell>
          <cell r="B203">
            <v>37.078163146972699</v>
          </cell>
          <cell r="C203">
            <v>37.588367462158203</v>
          </cell>
          <cell r="D203">
            <v>37.588367462158203</v>
          </cell>
          <cell r="E203">
            <v>37.588367462158203</v>
          </cell>
          <cell r="F203">
            <v>25.645347595214801</v>
          </cell>
          <cell r="G203">
            <v>26.277999877929702</v>
          </cell>
          <cell r="H203">
            <v>25.645347595214801</v>
          </cell>
          <cell r="I203">
            <v>25.645347595214801</v>
          </cell>
          <cell r="J203">
            <v>31.841264724731399</v>
          </cell>
          <cell r="K203">
            <v>34.091835021972699</v>
          </cell>
          <cell r="L203">
            <v>33.777549743652301</v>
          </cell>
          <cell r="M203">
            <v>27.790407180786101</v>
          </cell>
          <cell r="N203">
            <v>27.4804077148438</v>
          </cell>
          <cell r="O203">
            <v>25.831224441528299</v>
          </cell>
          <cell r="P203">
            <v>29.846530914306602</v>
          </cell>
          <cell r="Q203">
            <v>35.586326599121101</v>
          </cell>
          <cell r="R203">
            <v>31.788978576660199</v>
          </cell>
          <cell r="S203">
            <v>24.304693222045898</v>
          </cell>
          <cell r="T203">
            <v>35.586326599121101</v>
          </cell>
          <cell r="U203">
            <v>27.915714263916001</v>
          </cell>
          <cell r="V203">
            <v>25.1412239074707</v>
          </cell>
          <cell r="W203">
            <v>27.915714263916001</v>
          </cell>
          <cell r="X203">
            <v>67.299285888671903</v>
          </cell>
          <cell r="Y203">
            <v>27.915714263916001</v>
          </cell>
          <cell r="Z203">
            <v>27.894285202026399</v>
          </cell>
          <cell r="AA203">
            <v>29.2004070281982</v>
          </cell>
          <cell r="AB203">
            <v>31.814407348632798</v>
          </cell>
          <cell r="AC203">
            <v>34.304817199707003</v>
          </cell>
          <cell r="AD203">
            <v>31.814407348632798</v>
          </cell>
          <cell r="AE203">
            <v>31.814407348632798</v>
          </cell>
          <cell r="AF203">
            <v>35.556243896484403</v>
          </cell>
          <cell r="AG203">
            <v>4.5025000000000004</v>
          </cell>
        </row>
        <row r="204">
          <cell r="A204">
            <v>43132</v>
          </cell>
          <cell r="B204">
            <v>36.260726928710902</v>
          </cell>
          <cell r="C204">
            <v>36.733455657958999</v>
          </cell>
          <cell r="D204">
            <v>36.733455657958999</v>
          </cell>
          <cell r="E204">
            <v>36.733455657958999</v>
          </cell>
          <cell r="F204">
            <v>25.902545928955099</v>
          </cell>
          <cell r="G204">
            <v>26.5389099121094</v>
          </cell>
          <cell r="H204">
            <v>25.902545928955099</v>
          </cell>
          <cell r="I204">
            <v>25.902545928955099</v>
          </cell>
          <cell r="J204">
            <v>29.285091400146499</v>
          </cell>
          <cell r="K204">
            <v>32.940910339355497</v>
          </cell>
          <cell r="L204">
            <v>34.045455932617202</v>
          </cell>
          <cell r="M204">
            <v>25.739089965820298</v>
          </cell>
          <cell r="N204">
            <v>25.463636398315401</v>
          </cell>
          <cell r="O204">
            <v>26.2845458984375</v>
          </cell>
          <cell r="P204">
            <v>27.8072719573975</v>
          </cell>
          <cell r="Q204">
            <v>33.142726898193402</v>
          </cell>
          <cell r="R204">
            <v>29.758182525634801</v>
          </cell>
          <cell r="S204">
            <v>23.184545516967798</v>
          </cell>
          <cell r="T204">
            <v>33.142726898193402</v>
          </cell>
          <cell r="U204">
            <v>26.834180831909201</v>
          </cell>
          <cell r="V204">
            <v>25.158180236816399</v>
          </cell>
          <cell r="W204">
            <v>26.834180831909201</v>
          </cell>
          <cell r="X204">
            <v>66.091819763183594</v>
          </cell>
          <cell r="Y204">
            <v>26.834180831909201</v>
          </cell>
          <cell r="Z204">
            <v>26.8205451965332</v>
          </cell>
          <cell r="AA204">
            <v>28.138727188110401</v>
          </cell>
          <cell r="AB204">
            <v>32.055816650390597</v>
          </cell>
          <cell r="AC204">
            <v>34.380363464355497</v>
          </cell>
          <cell r="AD204">
            <v>32.055816650390597</v>
          </cell>
          <cell r="AE204">
            <v>32.055816650390597</v>
          </cell>
          <cell r="AF204">
            <v>35.564910888671903</v>
          </cell>
          <cell r="AG204">
            <v>4.4465000000000003</v>
          </cell>
        </row>
        <row r="205">
          <cell r="A205">
            <v>43160</v>
          </cell>
          <cell r="B205">
            <v>33.528568267822301</v>
          </cell>
          <cell r="C205">
            <v>33.275508880615199</v>
          </cell>
          <cell r="D205">
            <v>33.275508880615199</v>
          </cell>
          <cell r="E205">
            <v>33.275508880615199</v>
          </cell>
          <cell r="F205">
            <v>22.869510650634801</v>
          </cell>
          <cell r="G205">
            <v>23.502162933349599</v>
          </cell>
          <cell r="H205">
            <v>22.869510650634801</v>
          </cell>
          <cell r="I205">
            <v>22.869510650634801</v>
          </cell>
          <cell r="J205">
            <v>24.6512660980225</v>
          </cell>
          <cell r="K205">
            <v>30.7234706878662</v>
          </cell>
          <cell r="L205">
            <v>28.669387817382798</v>
          </cell>
          <cell r="M205">
            <v>24.895305633544901</v>
          </cell>
          <cell r="N205">
            <v>24.653877258300799</v>
          </cell>
          <cell r="O205">
            <v>26.017755508422901</v>
          </cell>
          <cell r="P205">
            <v>26.9514274597168</v>
          </cell>
          <cell r="Q205">
            <v>25.865306854248001</v>
          </cell>
          <cell r="R205">
            <v>28.893877029418899</v>
          </cell>
          <cell r="S205">
            <v>21.567754745483398</v>
          </cell>
          <cell r="T205">
            <v>25.865306854248001</v>
          </cell>
          <cell r="U205">
            <v>25.395305633544901</v>
          </cell>
          <cell r="V205">
            <v>24.8453044891357</v>
          </cell>
          <cell r="W205">
            <v>25.395305633544901</v>
          </cell>
          <cell r="X205">
            <v>62.132854461669901</v>
          </cell>
          <cell r="Y205">
            <v>25.395305633544901</v>
          </cell>
          <cell r="Z205">
            <v>25.373876571655298</v>
          </cell>
          <cell r="AA205">
            <v>26.680000305175799</v>
          </cell>
          <cell r="AB205">
            <v>31.024938583373999</v>
          </cell>
          <cell r="AC205">
            <v>32.765346527099602</v>
          </cell>
          <cell r="AD205">
            <v>31.024938583373999</v>
          </cell>
          <cell r="AE205">
            <v>31.024938583373999</v>
          </cell>
          <cell r="AF205">
            <v>34.096366882324197</v>
          </cell>
          <cell r="AG205">
            <v>4.3164999999999996</v>
          </cell>
        </row>
        <row r="206">
          <cell r="A206">
            <v>43191</v>
          </cell>
          <cell r="B206">
            <v>31.456251144409201</v>
          </cell>
          <cell r="C206">
            <v>31.1333332061768</v>
          </cell>
          <cell r="D206">
            <v>31.1333332061768</v>
          </cell>
          <cell r="E206">
            <v>31.1333332061768</v>
          </cell>
          <cell r="F206">
            <v>21.979042053222699</v>
          </cell>
          <cell r="G206">
            <v>22.604042053222699</v>
          </cell>
          <cell r="H206">
            <v>21.979042053222699</v>
          </cell>
          <cell r="I206">
            <v>21.979042053222699</v>
          </cell>
          <cell r="J206">
            <v>24.772624969482401</v>
          </cell>
          <cell r="K206">
            <v>30.293750762939499</v>
          </cell>
          <cell r="L206">
            <v>28.756248474121101</v>
          </cell>
          <cell r="M206">
            <v>21.503334045410199</v>
          </cell>
          <cell r="N206">
            <v>21.192083358764599</v>
          </cell>
          <cell r="O206">
            <v>25.940834045410199</v>
          </cell>
          <cell r="P206">
            <v>23.534584045410199</v>
          </cell>
          <cell r="Q206">
            <v>25.359582901001001</v>
          </cell>
          <cell r="R206">
            <v>25.4595832824707</v>
          </cell>
          <cell r="S206">
            <v>19.784584045410199</v>
          </cell>
          <cell r="T206">
            <v>25.359582901001001</v>
          </cell>
          <cell r="U206">
            <v>23.840623855590799</v>
          </cell>
          <cell r="V206">
            <v>24.804164886474599</v>
          </cell>
          <cell r="W206">
            <v>23.840623855590799</v>
          </cell>
          <cell r="X206">
            <v>59.458538055419901</v>
          </cell>
          <cell r="Y206">
            <v>23.840623855590799</v>
          </cell>
          <cell r="Z206">
            <v>23.803125381469702</v>
          </cell>
          <cell r="AA206">
            <v>25.084375381469702</v>
          </cell>
          <cell r="AB206">
            <v>30.534208297729499</v>
          </cell>
          <cell r="AC206">
            <v>32.429206848144503</v>
          </cell>
          <cell r="AD206">
            <v>30.534208297729499</v>
          </cell>
          <cell r="AE206">
            <v>30.534208297729499</v>
          </cell>
          <cell r="AF206">
            <v>33.5007934570313</v>
          </cell>
          <cell r="AG206">
            <v>4.1315</v>
          </cell>
        </row>
        <row r="207">
          <cell r="A207">
            <v>43221</v>
          </cell>
          <cell r="B207">
            <v>31.630611419677699</v>
          </cell>
          <cell r="C207">
            <v>31.008163452148398</v>
          </cell>
          <cell r="D207">
            <v>31.008163452148398</v>
          </cell>
          <cell r="E207">
            <v>31.008163452148398</v>
          </cell>
          <cell r="F207">
            <v>23.079673767089801</v>
          </cell>
          <cell r="G207">
            <v>23.712326049804702</v>
          </cell>
          <cell r="H207">
            <v>23.079673767089801</v>
          </cell>
          <cell r="I207">
            <v>23.079673767089801</v>
          </cell>
          <cell r="J207">
            <v>23.031755447387699</v>
          </cell>
          <cell r="K207">
            <v>33.672447204589801</v>
          </cell>
          <cell r="L207">
            <v>30.669387817382798</v>
          </cell>
          <cell r="M207">
            <v>21.791633605956999</v>
          </cell>
          <cell r="N207">
            <v>21.5330619812012</v>
          </cell>
          <cell r="O207">
            <v>26.831224441528299</v>
          </cell>
          <cell r="P207">
            <v>23.847755432128899</v>
          </cell>
          <cell r="Q207">
            <v>24.8122444152832</v>
          </cell>
          <cell r="R207">
            <v>25.790203094482401</v>
          </cell>
          <cell r="S207">
            <v>19.071428298950199</v>
          </cell>
          <cell r="T207">
            <v>24.8122444152832</v>
          </cell>
          <cell r="U207">
            <v>23.155918121337901</v>
          </cell>
          <cell r="V207">
            <v>25.9677543640137</v>
          </cell>
          <cell r="W207">
            <v>23.155918121337901</v>
          </cell>
          <cell r="X207">
            <v>60.745918273925803</v>
          </cell>
          <cell r="Y207">
            <v>23.155918121337901</v>
          </cell>
          <cell r="Z207">
            <v>23.1344890594482</v>
          </cell>
          <cell r="AA207">
            <v>24.4406127929688</v>
          </cell>
          <cell r="AB207">
            <v>31.034204483032202</v>
          </cell>
          <cell r="AC207">
            <v>33.0654296875</v>
          </cell>
          <cell r="AD207">
            <v>31.034204483032202</v>
          </cell>
          <cell r="AE207">
            <v>31.034204483032202</v>
          </cell>
          <cell r="AF207">
            <v>34.741264343261697</v>
          </cell>
          <cell r="AG207">
            <v>4.1265000000000001</v>
          </cell>
        </row>
        <row r="208">
          <cell r="A208">
            <v>43252</v>
          </cell>
          <cell r="B208">
            <v>32.782291412353501</v>
          </cell>
          <cell r="C208">
            <v>32.482292175292997</v>
          </cell>
          <cell r="D208">
            <v>32.482292175292997</v>
          </cell>
          <cell r="E208">
            <v>32.482292175292997</v>
          </cell>
          <cell r="F208">
            <v>27.8829154968262</v>
          </cell>
          <cell r="G208">
            <v>28.5079154968262</v>
          </cell>
          <cell r="H208">
            <v>27.8829154968262</v>
          </cell>
          <cell r="I208">
            <v>27.8829154968262</v>
          </cell>
          <cell r="J208">
            <v>25.231248855590799</v>
          </cell>
          <cell r="K208">
            <v>32.108127593994098</v>
          </cell>
          <cell r="L208">
            <v>32.820625305175803</v>
          </cell>
          <cell r="M208">
            <v>25.952501296997099</v>
          </cell>
          <cell r="N208">
            <v>26.127500534057599</v>
          </cell>
          <cell r="O208">
            <v>31.381250381469702</v>
          </cell>
          <cell r="P208">
            <v>27.983751296997099</v>
          </cell>
          <cell r="Q208">
            <v>25.7179164886475</v>
          </cell>
          <cell r="R208">
            <v>29.908750534057599</v>
          </cell>
          <cell r="S208">
            <v>21.0837497711182</v>
          </cell>
          <cell r="T208">
            <v>25.7179164886475</v>
          </cell>
          <cell r="U208">
            <v>27.231666564941399</v>
          </cell>
          <cell r="V208">
            <v>28.522914886474599</v>
          </cell>
          <cell r="W208">
            <v>27.231666564941399</v>
          </cell>
          <cell r="X208">
            <v>67.296249389648395</v>
          </cell>
          <cell r="Y208">
            <v>27.231666564941399</v>
          </cell>
          <cell r="Z208">
            <v>27.194166183471701</v>
          </cell>
          <cell r="AA208">
            <v>28.475416183471701</v>
          </cell>
          <cell r="AB208">
            <v>34.770084381103501</v>
          </cell>
          <cell r="AC208">
            <v>37.529666900634801</v>
          </cell>
          <cell r="AD208">
            <v>34.770084381103501</v>
          </cell>
          <cell r="AE208">
            <v>34.770084381103501</v>
          </cell>
          <cell r="AF208">
            <v>39.853424072265597</v>
          </cell>
          <cell r="AG208">
            <v>4.1615000000000002</v>
          </cell>
        </row>
        <row r="209">
          <cell r="A209">
            <v>43282</v>
          </cell>
          <cell r="B209">
            <v>36.300979614257798</v>
          </cell>
          <cell r="C209">
            <v>36.053920745849602</v>
          </cell>
          <cell r="D209">
            <v>36.053920745849602</v>
          </cell>
          <cell r="E209">
            <v>36.053920745849602</v>
          </cell>
          <cell r="F209">
            <v>41.428627014160199</v>
          </cell>
          <cell r="G209">
            <v>42.036472320556598</v>
          </cell>
          <cell r="H209">
            <v>41.428627014160199</v>
          </cell>
          <cell r="I209">
            <v>41.428627014160199</v>
          </cell>
          <cell r="J209">
            <v>30.58713722229</v>
          </cell>
          <cell r="K209">
            <v>36.2764701843262</v>
          </cell>
          <cell r="L209">
            <v>38.5</v>
          </cell>
          <cell r="M209">
            <v>28.0641174316406</v>
          </cell>
          <cell r="N209">
            <v>27.693334579467798</v>
          </cell>
          <cell r="O209">
            <v>34.690784454345703</v>
          </cell>
          <cell r="P209">
            <v>30.039608001708999</v>
          </cell>
          <cell r="Q209">
            <v>30.3325500488281</v>
          </cell>
          <cell r="R209">
            <v>31.925489425659201</v>
          </cell>
          <cell r="S209">
            <v>23.008430480956999</v>
          </cell>
          <cell r="T209">
            <v>30.3325500488281</v>
          </cell>
          <cell r="U209">
            <v>29.894508361816399</v>
          </cell>
          <cell r="V209">
            <v>33.184703826904297</v>
          </cell>
          <cell r="W209">
            <v>29.894508361816399</v>
          </cell>
          <cell r="X209">
            <v>69.501174926757798</v>
          </cell>
          <cell r="Y209">
            <v>29.894508361816399</v>
          </cell>
          <cell r="Z209">
            <v>29.820980072021499</v>
          </cell>
          <cell r="AA209">
            <v>31.046472549438501</v>
          </cell>
          <cell r="AB209">
            <v>36.311805725097699</v>
          </cell>
          <cell r="AC209">
            <v>40.121021270752003</v>
          </cell>
          <cell r="AD209">
            <v>36.311805725097699</v>
          </cell>
          <cell r="AE209">
            <v>36.311805725097699</v>
          </cell>
          <cell r="AF209">
            <v>44.751026153564503</v>
          </cell>
          <cell r="AG209">
            <v>4.2015000000000002</v>
          </cell>
        </row>
        <row r="210">
          <cell r="A210">
            <v>43313</v>
          </cell>
          <cell r="B210">
            <v>36.048934936523402</v>
          </cell>
          <cell r="C210">
            <v>35.836170196533203</v>
          </cell>
          <cell r="D210">
            <v>35.836170196533203</v>
          </cell>
          <cell r="E210">
            <v>35.836170196533203</v>
          </cell>
          <cell r="F210">
            <v>38.2574462890625</v>
          </cell>
          <cell r="G210">
            <v>38.917022705078097</v>
          </cell>
          <cell r="H210">
            <v>38.2574462890625</v>
          </cell>
          <cell r="I210">
            <v>38.2574462890625</v>
          </cell>
          <cell r="J210">
            <v>26.523105621337901</v>
          </cell>
          <cell r="K210">
            <v>36.332977294921903</v>
          </cell>
          <cell r="L210">
            <v>38.546810150146499</v>
          </cell>
          <cell r="M210">
            <v>28.598085403442401</v>
          </cell>
          <cell r="N210">
            <v>27.183830261230501</v>
          </cell>
          <cell r="O210">
            <v>33.579360961914098</v>
          </cell>
          <cell r="P210">
            <v>30.741703033447301</v>
          </cell>
          <cell r="Q210">
            <v>27.609361648559599</v>
          </cell>
          <cell r="R210">
            <v>32.745532989502003</v>
          </cell>
          <cell r="S210">
            <v>22.409999847412099</v>
          </cell>
          <cell r="T210">
            <v>27.609361648559599</v>
          </cell>
          <cell r="U210">
            <v>29.788509368896499</v>
          </cell>
          <cell r="V210">
            <v>32.519573211669901</v>
          </cell>
          <cell r="W210">
            <v>29.788509368896499</v>
          </cell>
          <cell r="X210">
            <v>72.880851745605497</v>
          </cell>
          <cell r="Y210">
            <v>29.788509368896499</v>
          </cell>
          <cell r="Z210">
            <v>29.823616027831999</v>
          </cell>
          <cell r="AA210">
            <v>31.217235565185501</v>
          </cell>
          <cell r="AB210">
            <v>34.500682830810497</v>
          </cell>
          <cell r="AC210">
            <v>37.941959381103501</v>
          </cell>
          <cell r="AD210">
            <v>34.500682830810497</v>
          </cell>
          <cell r="AE210">
            <v>34.500682830810497</v>
          </cell>
          <cell r="AF210">
            <v>42.977279663085902</v>
          </cell>
          <cell r="AG210">
            <v>4.2415000000000003</v>
          </cell>
        </row>
        <row r="211">
          <cell r="A211">
            <v>43344</v>
          </cell>
          <cell r="B211">
            <v>30.7259616851807</v>
          </cell>
          <cell r="C211">
            <v>30.945192337036101</v>
          </cell>
          <cell r="D211">
            <v>30.945192337036101</v>
          </cell>
          <cell r="E211">
            <v>30.945192337036101</v>
          </cell>
          <cell r="F211">
            <v>23.9455375671387</v>
          </cell>
          <cell r="G211">
            <v>24.5224609375</v>
          </cell>
          <cell r="H211">
            <v>23.9455375671387</v>
          </cell>
          <cell r="I211">
            <v>23.9455375671387</v>
          </cell>
          <cell r="J211">
            <v>25.840385437011701</v>
          </cell>
          <cell r="K211">
            <v>29.2038459777832</v>
          </cell>
          <cell r="L211">
            <v>30.180768966674801</v>
          </cell>
          <cell r="M211">
            <v>22.093847274780298</v>
          </cell>
          <cell r="N211">
            <v>21.502693176269499</v>
          </cell>
          <cell r="O211">
            <v>25.419231414794901</v>
          </cell>
          <cell r="P211">
            <v>23.968847274780298</v>
          </cell>
          <cell r="Q211">
            <v>26.362308502197301</v>
          </cell>
          <cell r="R211">
            <v>25.7842311859131</v>
          </cell>
          <cell r="S211">
            <v>19.801538467407202</v>
          </cell>
          <cell r="T211">
            <v>26.362308502197301</v>
          </cell>
          <cell r="U211">
            <v>25.705961227416999</v>
          </cell>
          <cell r="V211">
            <v>27.040382385253899</v>
          </cell>
          <cell r="W211">
            <v>25.705961227416999</v>
          </cell>
          <cell r="X211">
            <v>58.534233093261697</v>
          </cell>
          <cell r="Y211">
            <v>25.705961227416999</v>
          </cell>
          <cell r="Z211">
            <v>25.567501068115199</v>
          </cell>
          <cell r="AA211">
            <v>26.692501068115199</v>
          </cell>
          <cell r="AB211">
            <v>30.515232086181602</v>
          </cell>
          <cell r="AC211">
            <v>32.927154541015597</v>
          </cell>
          <cell r="AD211">
            <v>30.8463840484619</v>
          </cell>
          <cell r="AE211">
            <v>30.515232086181602</v>
          </cell>
          <cell r="AF211">
            <v>37.051383972167997</v>
          </cell>
          <cell r="AG211">
            <v>4.2244999999999999</v>
          </cell>
        </row>
        <row r="212">
          <cell r="A212">
            <v>43374</v>
          </cell>
          <cell r="B212">
            <v>29.517021179199201</v>
          </cell>
          <cell r="C212">
            <v>29.840425491333001</v>
          </cell>
          <cell r="D212">
            <v>29.840425491333001</v>
          </cell>
          <cell r="E212">
            <v>29.840425491333001</v>
          </cell>
          <cell r="F212">
            <v>22.882339477539102</v>
          </cell>
          <cell r="G212">
            <v>23.541913986206101</v>
          </cell>
          <cell r="H212">
            <v>22.882339477539102</v>
          </cell>
          <cell r="I212">
            <v>22.882339477539102</v>
          </cell>
          <cell r="J212">
            <v>24.592554092407202</v>
          </cell>
          <cell r="K212">
            <v>29.943616867065401</v>
          </cell>
          <cell r="L212">
            <v>29.848936080932599</v>
          </cell>
          <cell r="M212">
            <v>20.225744247436499</v>
          </cell>
          <cell r="N212">
            <v>20.428510665893601</v>
          </cell>
          <cell r="O212">
            <v>22.792127609252901</v>
          </cell>
          <cell r="P212">
            <v>22.369361877441399</v>
          </cell>
          <cell r="Q212">
            <v>23.574682235717798</v>
          </cell>
          <cell r="R212">
            <v>24.373191833496101</v>
          </cell>
          <cell r="S212">
            <v>18.852554321289102</v>
          </cell>
          <cell r="T212">
            <v>23.574682235717798</v>
          </cell>
          <cell r="U212">
            <v>25.7739372253418</v>
          </cell>
          <cell r="V212">
            <v>25.1685085296631</v>
          </cell>
          <cell r="W212">
            <v>25.7739372253418</v>
          </cell>
          <cell r="X212">
            <v>61.591915130615199</v>
          </cell>
          <cell r="Y212">
            <v>25.7739372253418</v>
          </cell>
          <cell r="Z212">
            <v>25.8090419769287</v>
          </cell>
          <cell r="AA212">
            <v>27.202657699585</v>
          </cell>
          <cell r="AB212">
            <v>28.800958633422901</v>
          </cell>
          <cell r="AC212">
            <v>30.730106353759801</v>
          </cell>
          <cell r="AD212">
            <v>29.176914215087901</v>
          </cell>
          <cell r="AE212">
            <v>28.800958633422901</v>
          </cell>
          <cell r="AF212">
            <v>32.223724365234403</v>
          </cell>
          <cell r="AG212">
            <v>4.2495000000000003</v>
          </cell>
        </row>
        <row r="213">
          <cell r="A213">
            <v>43405</v>
          </cell>
          <cell r="B213">
            <v>30.431251525878899</v>
          </cell>
          <cell r="C213">
            <v>30.639583587646499</v>
          </cell>
          <cell r="D213">
            <v>30.639583587646499</v>
          </cell>
          <cell r="E213">
            <v>30.639583587646499</v>
          </cell>
          <cell r="F213">
            <v>22.810125350952099</v>
          </cell>
          <cell r="G213">
            <v>23.435125350952099</v>
          </cell>
          <cell r="H213">
            <v>22.810125350952099</v>
          </cell>
          <cell r="I213">
            <v>22.810125350952099</v>
          </cell>
          <cell r="J213">
            <v>24.860416412353501</v>
          </cell>
          <cell r="K213">
            <v>30.784374237060501</v>
          </cell>
          <cell r="L213">
            <v>30.871875762939499</v>
          </cell>
          <cell r="M213">
            <v>20.907917022705099</v>
          </cell>
          <cell r="N213">
            <v>20.8216667175293</v>
          </cell>
          <cell r="O213">
            <v>23.576250076293899</v>
          </cell>
          <cell r="P213">
            <v>22.939167022705099</v>
          </cell>
          <cell r="Q213">
            <v>25.316249847412099</v>
          </cell>
          <cell r="R213">
            <v>24.8641662597656</v>
          </cell>
          <cell r="S213">
            <v>19.4454154968262</v>
          </cell>
          <cell r="T213">
            <v>25.316249847412099</v>
          </cell>
          <cell r="U213">
            <v>24.953125</v>
          </cell>
          <cell r="V213">
            <v>25.960414886474599</v>
          </cell>
          <cell r="W213">
            <v>24.953125</v>
          </cell>
          <cell r="X213">
            <v>60.632911682128899</v>
          </cell>
          <cell r="Y213">
            <v>24.953125</v>
          </cell>
          <cell r="Z213">
            <v>24.915624618530298</v>
          </cell>
          <cell r="AA213">
            <v>26.196874618530298</v>
          </cell>
          <cell r="AB213">
            <v>29.1149578094482</v>
          </cell>
          <cell r="AC213">
            <v>30.8407897949219</v>
          </cell>
          <cell r="AD213">
            <v>29.532457351684599</v>
          </cell>
          <cell r="AE213">
            <v>29.1149578094482</v>
          </cell>
          <cell r="AF213">
            <v>32.509124755859403</v>
          </cell>
          <cell r="AG213">
            <v>4.4015000000000004</v>
          </cell>
        </row>
        <row r="214">
          <cell r="A214">
            <v>43435</v>
          </cell>
          <cell r="B214">
            <v>32.049057006835902</v>
          </cell>
          <cell r="C214">
            <v>32.728302001953097</v>
          </cell>
          <cell r="D214">
            <v>32.728302001953097</v>
          </cell>
          <cell r="E214">
            <v>32.728302001953097</v>
          </cell>
          <cell r="F214">
            <v>22.478603363037099</v>
          </cell>
          <cell r="G214">
            <v>23.0635089874268</v>
          </cell>
          <cell r="H214">
            <v>22.478603363037099</v>
          </cell>
          <cell r="I214">
            <v>22.478603363037099</v>
          </cell>
          <cell r="J214">
            <v>27.376415252685501</v>
          </cell>
          <cell r="K214">
            <v>33.925472259521499</v>
          </cell>
          <cell r="L214">
            <v>32.7169799804688</v>
          </cell>
          <cell r="M214">
            <v>24.542264938354499</v>
          </cell>
          <cell r="N214">
            <v>24.480566024780298</v>
          </cell>
          <cell r="O214">
            <v>23.016414642333999</v>
          </cell>
          <cell r="P214">
            <v>26.443208694458001</v>
          </cell>
          <cell r="Q214">
            <v>28.492641448974599</v>
          </cell>
          <cell r="R214">
            <v>28.276792526245099</v>
          </cell>
          <cell r="S214">
            <v>22.0650939941406</v>
          </cell>
          <cell r="T214">
            <v>28.492641448974599</v>
          </cell>
          <cell r="U214">
            <v>25.8330173492432</v>
          </cell>
          <cell r="V214">
            <v>25.7249050140381</v>
          </cell>
          <cell r="W214">
            <v>25.8330173492432</v>
          </cell>
          <cell r="X214">
            <v>61.082263946533203</v>
          </cell>
          <cell r="Y214">
            <v>25.8330173492432</v>
          </cell>
          <cell r="Z214">
            <v>25.711320877075199</v>
          </cell>
          <cell r="AA214">
            <v>26.8622646331787</v>
          </cell>
          <cell r="AB214">
            <v>30.700433731079102</v>
          </cell>
          <cell r="AC214">
            <v>32.973075866699197</v>
          </cell>
          <cell r="AD214">
            <v>31.150434494018601</v>
          </cell>
          <cell r="AE214">
            <v>30.700433731079102</v>
          </cell>
          <cell r="AF214">
            <v>34.634586334228501</v>
          </cell>
          <cell r="AG214">
            <v>4.5445000000000002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26.824100317133155</v>
          </cell>
          <cell r="C217">
            <v>30.212815476954933</v>
          </cell>
          <cell r="D217">
            <v>30.212815476954933</v>
          </cell>
          <cell r="E217">
            <v>30.212815476954933</v>
          </cell>
          <cell r="F217">
            <v>18.967716345461024</v>
          </cell>
          <cell r="G217">
            <v>21.37036270555312</v>
          </cell>
          <cell r="H217">
            <v>21.580596329937872</v>
          </cell>
          <cell r="I217">
            <v>22.486360935552032</v>
          </cell>
          <cell r="J217">
            <v>22.953545372453508</v>
          </cell>
          <cell r="K217">
            <v>27.742833254437134</v>
          </cell>
          <cell r="L217">
            <v>32.082804990884092</v>
          </cell>
          <cell r="M217">
            <v>18.378324214246117</v>
          </cell>
          <cell r="N217">
            <v>16.599638976053303</v>
          </cell>
          <cell r="O217">
            <v>17.651548944051008</v>
          </cell>
          <cell r="P217">
            <v>22.811890620073576</v>
          </cell>
          <cell r="Q217">
            <v>20.028216779356669</v>
          </cell>
          <cell r="R217">
            <v>21.410599109638877</v>
          </cell>
          <cell r="S217">
            <v>20.651304057124626</v>
          </cell>
          <cell r="T217">
            <v>18.162618386176767</v>
          </cell>
          <cell r="U217">
            <v>19.05526413685628</v>
          </cell>
          <cell r="V217">
            <v>15.505354830002439</v>
          </cell>
          <cell r="W217">
            <v>19.926534807426485</v>
          </cell>
          <cell r="X217">
            <v>19.226563972942525</v>
          </cell>
          <cell r="Y217">
            <v>19.213677046631435</v>
          </cell>
          <cell r="Z217">
            <v>21.444605048357566</v>
          </cell>
          <cell r="AA217">
            <v>17.964137412036951</v>
          </cell>
          <cell r="AB217">
            <v>16.931739817216851</v>
          </cell>
          <cell r="AC217">
            <v>19.57256545509421</v>
          </cell>
          <cell r="AD217">
            <v>16.942685602320996</v>
          </cell>
          <cell r="AE217">
            <v>16.942685602320996</v>
          </cell>
          <cell r="AF217">
            <v>16.321702532684849</v>
          </cell>
          <cell r="AG217">
            <v>2.4034999999999997</v>
          </cell>
        </row>
        <row r="218">
          <cell r="A218" t="str">
            <v>Cal-02</v>
          </cell>
          <cell r="B218">
            <v>26.374280971721504</v>
          </cell>
          <cell r="C218">
            <v>26.779947992294073</v>
          </cell>
          <cell r="D218">
            <v>26.779947992294073</v>
          </cell>
          <cell r="E218">
            <v>26.779947992294073</v>
          </cell>
          <cell r="F218">
            <v>19.085606757185015</v>
          </cell>
          <cell r="G218">
            <v>21.243430080080426</v>
          </cell>
          <cell r="H218">
            <v>20.403842482230736</v>
          </cell>
          <cell r="I218">
            <v>21.339807517679667</v>
          </cell>
          <cell r="J218">
            <v>23.139181404796819</v>
          </cell>
          <cell r="K218">
            <v>27.209246025315885</v>
          </cell>
          <cell r="L218">
            <v>30.391722585929571</v>
          </cell>
          <cell r="M218">
            <v>18.350981895272724</v>
          </cell>
          <cell r="N218">
            <v>16.930473205954485</v>
          </cell>
          <cell r="O218">
            <v>18.322351445468257</v>
          </cell>
          <cell r="P218">
            <v>20.427574659767401</v>
          </cell>
          <cell r="Q218">
            <v>14.860128402070426</v>
          </cell>
          <cell r="R218">
            <v>21.907964840724809</v>
          </cell>
          <cell r="S218">
            <v>15.172443571857469</v>
          </cell>
          <cell r="T218">
            <v>14.819326443895234</v>
          </cell>
          <cell r="U218">
            <v>20.185557016055274</v>
          </cell>
          <cell r="V218">
            <v>16.986684771653152</v>
          </cell>
          <cell r="W218">
            <v>20.204574694425542</v>
          </cell>
          <cell r="X218">
            <v>19.828366216657795</v>
          </cell>
          <cell r="Y218">
            <v>20.189014702312747</v>
          </cell>
          <cell r="Z218">
            <v>22.881368746644149</v>
          </cell>
          <cell r="AA218">
            <v>23.81438151921191</v>
          </cell>
          <cell r="AB218">
            <v>18.331953741075043</v>
          </cell>
          <cell r="AC218">
            <v>20.795663485975489</v>
          </cell>
          <cell r="AD218">
            <v>18.332282236619761</v>
          </cell>
          <cell r="AE218">
            <v>18.332282236619761</v>
          </cell>
          <cell r="AF218">
            <v>22.66393504071636</v>
          </cell>
          <cell r="AG218">
            <v>2.750531506849315</v>
          </cell>
        </row>
        <row r="219">
          <cell r="A219" t="str">
            <v>Cal-03</v>
          </cell>
          <cell r="B219">
            <v>26.776728879746212</v>
          </cell>
          <cell r="C219">
            <v>26.644975647917374</v>
          </cell>
          <cell r="D219">
            <v>26.644975647917374</v>
          </cell>
          <cell r="E219">
            <v>26.644975647917374</v>
          </cell>
          <cell r="F219">
            <v>20.196301859731516</v>
          </cell>
          <cell r="G219">
            <v>21.774925867753304</v>
          </cell>
          <cell r="H219">
            <v>20.728257005760447</v>
          </cell>
          <cell r="I219">
            <v>21.664229362222507</v>
          </cell>
          <cell r="J219">
            <v>25.200699324603718</v>
          </cell>
          <cell r="K219">
            <v>29.250912554907558</v>
          </cell>
          <cell r="L219">
            <v>31.115212029223528</v>
          </cell>
          <cell r="M219">
            <v>19.251817784995549</v>
          </cell>
          <cell r="N219">
            <v>18.24345744787701</v>
          </cell>
          <cell r="O219">
            <v>19.251407215151996</v>
          </cell>
          <cell r="P219">
            <v>21.279757958767561</v>
          </cell>
          <cell r="Q219">
            <v>15.201443631468939</v>
          </cell>
          <cell r="R219">
            <v>22.782182232679194</v>
          </cell>
          <cell r="S219">
            <v>15.308652497186459</v>
          </cell>
          <cell r="T219">
            <v>15.201443631468939</v>
          </cell>
          <cell r="U219">
            <v>21.100027949394732</v>
          </cell>
          <cell r="V219">
            <v>18.090507838687902</v>
          </cell>
          <cell r="W219">
            <v>21.100027949394732</v>
          </cell>
          <cell r="X219">
            <v>22.556905914322268</v>
          </cell>
          <cell r="Y219">
            <v>21.100027949394732</v>
          </cell>
          <cell r="Z219">
            <v>22.471157937936731</v>
          </cell>
          <cell r="AA219">
            <v>23.749098359756101</v>
          </cell>
          <cell r="AB219">
            <v>20.236675847232288</v>
          </cell>
          <cell r="AC219">
            <v>22.640848458984088</v>
          </cell>
          <cell r="AD219">
            <v>20.364724180334484</v>
          </cell>
          <cell r="AE219">
            <v>20.236675847232288</v>
          </cell>
          <cell r="AF219">
            <v>24.895425157353785</v>
          </cell>
          <cell r="AG219">
            <v>3.1213150684931512</v>
          </cell>
        </row>
        <row r="220">
          <cell r="A220" t="str">
            <v>Cal-04</v>
          </cell>
          <cell r="B220">
            <v>28.030677018884454</v>
          </cell>
          <cell r="C220">
            <v>28.064763262698531</v>
          </cell>
          <cell r="D220">
            <v>28.064763262698531</v>
          </cell>
          <cell r="E220">
            <v>28.064763262698531</v>
          </cell>
          <cell r="F220">
            <v>20.91591039034801</v>
          </cell>
          <cell r="G220">
            <v>22.068257781792258</v>
          </cell>
          <cell r="H220">
            <v>20.91591039034801</v>
          </cell>
          <cell r="I220">
            <v>21.855901407694475</v>
          </cell>
          <cell r="J220">
            <v>25.424766336568599</v>
          </cell>
          <cell r="K220">
            <v>29.816064656975865</v>
          </cell>
          <cell r="L220">
            <v>31.333760904339382</v>
          </cell>
          <cell r="M220">
            <v>19.885369003090368</v>
          </cell>
          <cell r="N220">
            <v>18.989162246562248</v>
          </cell>
          <cell r="O220">
            <v>20.397797735099573</v>
          </cell>
          <cell r="P220">
            <v>21.922016173738903</v>
          </cell>
          <cell r="Q220">
            <v>16.692138624490504</v>
          </cell>
          <cell r="R220">
            <v>23.6881031680078</v>
          </cell>
          <cell r="S220">
            <v>16.739900636376802</v>
          </cell>
          <cell r="T220">
            <v>16.692138624490504</v>
          </cell>
          <cell r="U220">
            <v>21.738204771737795</v>
          </cell>
          <cell r="V220">
            <v>19.654095076214713</v>
          </cell>
          <cell r="W220">
            <v>21.738204771737795</v>
          </cell>
          <cell r="X220">
            <v>22.125436496346715</v>
          </cell>
          <cell r="Y220">
            <v>21.738204771737795</v>
          </cell>
          <cell r="Z220">
            <v>22.75106345197192</v>
          </cell>
          <cell r="AA220">
            <v>24.037710775999802</v>
          </cell>
          <cell r="AB220">
            <v>20.462134813770351</v>
          </cell>
          <cell r="AC220">
            <v>22.867574828696046</v>
          </cell>
          <cell r="AD220">
            <v>20.587835414777409</v>
          </cell>
          <cell r="AE220">
            <v>20.462134813770351</v>
          </cell>
          <cell r="AF220">
            <v>25.188516599616246</v>
          </cell>
          <cell r="AG220">
            <v>3.19551912568306</v>
          </cell>
        </row>
        <row r="221">
          <cell r="A221" t="str">
            <v>Cal-05</v>
          </cell>
          <cell r="B221">
            <v>28.368394141997332</v>
          </cell>
          <cell r="C221">
            <v>28.402721537216362</v>
          </cell>
          <cell r="D221">
            <v>28.402721537216362</v>
          </cell>
          <cell r="E221">
            <v>28.402721537216362</v>
          </cell>
          <cell r="F221">
            <v>21.467880170360612</v>
          </cell>
          <cell r="G221">
            <v>22.511140541128633</v>
          </cell>
          <cell r="H221">
            <v>21.467880170360612</v>
          </cell>
          <cell r="I221">
            <v>22.403895515292032</v>
          </cell>
          <cell r="J221">
            <v>25.191194490130691</v>
          </cell>
          <cell r="K221">
            <v>30.014097572158985</v>
          </cell>
          <cell r="L221">
            <v>31.474149391741697</v>
          </cell>
          <cell r="M221">
            <v>20.164159148096275</v>
          </cell>
          <cell r="N221">
            <v>19.550960319817666</v>
          </cell>
          <cell r="O221">
            <v>20.496768573023576</v>
          </cell>
          <cell r="P221">
            <v>22.192192434936459</v>
          </cell>
          <cell r="Q221">
            <v>17.004848077193891</v>
          </cell>
          <cell r="R221">
            <v>24.065015304499319</v>
          </cell>
          <cell r="S221">
            <v>17.032115519347276</v>
          </cell>
          <cell r="T221">
            <v>17.004848077193891</v>
          </cell>
          <cell r="U221">
            <v>22.028149071704345</v>
          </cell>
          <cell r="V221">
            <v>20.124870341238296</v>
          </cell>
          <cell r="W221">
            <v>22.028149071704345</v>
          </cell>
          <cell r="X221">
            <v>22.272739874462271</v>
          </cell>
          <cell r="Y221">
            <v>22.028149071704345</v>
          </cell>
          <cell r="Z221">
            <v>22.83264661838275</v>
          </cell>
          <cell r="AA221">
            <v>24.11067999410049</v>
          </cell>
          <cell r="AB221">
            <v>21.347380610545923</v>
          </cell>
          <cell r="AC221">
            <v>23.752581203075618</v>
          </cell>
          <cell r="AD221">
            <v>21.476893728799226</v>
          </cell>
          <cell r="AE221">
            <v>21.347380610545923</v>
          </cell>
          <cell r="AF221">
            <v>26.154389945616753</v>
          </cell>
          <cell r="AG221">
            <v>3.2676493150684931</v>
          </cell>
        </row>
        <row r="222">
          <cell r="A222" t="str">
            <v>Cal-06</v>
          </cell>
          <cell r="B222">
            <v>28.76964622126842</v>
          </cell>
          <cell r="C222">
            <v>28.818860563363383</v>
          </cell>
          <cell r="D222">
            <v>28.818860563363383</v>
          </cell>
          <cell r="E222">
            <v>28.818860563363383</v>
          </cell>
          <cell r="F222">
            <v>21.656384018283639</v>
          </cell>
          <cell r="G222">
            <v>22.696190431577818</v>
          </cell>
          <cell r="H222">
            <v>21.656384018283639</v>
          </cell>
          <cell r="I222">
            <v>22.589270458412393</v>
          </cell>
          <cell r="J222">
            <v>25.363471001279073</v>
          </cell>
          <cell r="K222">
            <v>30.009966598494007</v>
          </cell>
          <cell r="L222">
            <v>31.458076336128411</v>
          </cell>
          <cell r="M222">
            <v>20.465468172974905</v>
          </cell>
          <cell r="N222">
            <v>20.170185048171152</v>
          </cell>
          <cell r="O222">
            <v>20.749587500186408</v>
          </cell>
          <cell r="P222">
            <v>22.486721600380001</v>
          </cell>
          <cell r="Q222">
            <v>17.521491650031674</v>
          </cell>
          <cell r="R222">
            <v>24.404708222287336</v>
          </cell>
          <cell r="S222">
            <v>17.345469219539655</v>
          </cell>
          <cell r="T222">
            <v>17.521491650031674</v>
          </cell>
          <cell r="U222">
            <v>22.618877568961977</v>
          </cell>
          <cell r="V222">
            <v>21.801444964950974</v>
          </cell>
          <cell r="W222">
            <v>22.618877568961977</v>
          </cell>
          <cell r="X222">
            <v>22.706500137701848</v>
          </cell>
          <cell r="Y222">
            <v>22.618877568961977</v>
          </cell>
          <cell r="Z222">
            <v>23.198826698133246</v>
          </cell>
          <cell r="AA222">
            <v>24.47007945964129</v>
          </cell>
          <cell r="AB222">
            <v>22.576364354808515</v>
          </cell>
          <cell r="AC222">
            <v>24.986492804606662</v>
          </cell>
          <cell r="AD222">
            <v>22.709593863180761</v>
          </cell>
          <cell r="AE222">
            <v>22.576364354808515</v>
          </cell>
          <cell r="AF222">
            <v>27.27809814879658</v>
          </cell>
          <cell r="AG222">
            <v>3.3426493150684937</v>
          </cell>
        </row>
        <row r="223">
          <cell r="A223" t="str">
            <v>Cal-07</v>
          </cell>
          <cell r="B223">
            <v>29.556503742758661</v>
          </cell>
          <cell r="C223">
            <v>29.593937080579387</v>
          </cell>
          <cell r="D223">
            <v>29.593937080579387</v>
          </cell>
          <cell r="E223">
            <v>29.593937080579387</v>
          </cell>
          <cell r="F223">
            <v>21.991668019569634</v>
          </cell>
          <cell r="G223">
            <v>22.878133042463283</v>
          </cell>
          <cell r="H223">
            <v>21.991668019569634</v>
          </cell>
          <cell r="I223">
            <v>22.927785976172203</v>
          </cell>
          <cell r="J223">
            <v>25.344027553219096</v>
          </cell>
          <cell r="K223">
            <v>29.618824608005156</v>
          </cell>
          <cell r="L223">
            <v>31.702179308613875</v>
          </cell>
          <cell r="M223">
            <v>20.770220714361301</v>
          </cell>
          <cell r="N223">
            <v>20.475115259996745</v>
          </cell>
          <cell r="O223">
            <v>21.494564774504109</v>
          </cell>
          <cell r="P223">
            <v>22.798476569007928</v>
          </cell>
          <cell r="Q223">
            <v>18.002721268657051</v>
          </cell>
          <cell r="R223">
            <v>24.721375746648071</v>
          </cell>
          <cell r="S223">
            <v>17.637708476136172</v>
          </cell>
          <cell r="T223">
            <v>18.002721268657051</v>
          </cell>
          <cell r="U223">
            <v>22.925552788243021</v>
          </cell>
          <cell r="V223">
            <v>22.16915220677922</v>
          </cell>
          <cell r="W223">
            <v>22.925552788243021</v>
          </cell>
          <cell r="X223">
            <v>23.018184078859665</v>
          </cell>
          <cell r="Y223">
            <v>22.925552788243021</v>
          </cell>
          <cell r="Z223">
            <v>23.512140690076127</v>
          </cell>
          <cell r="AA223">
            <v>24.790396717427818</v>
          </cell>
          <cell r="AB223">
            <v>23.058733027405811</v>
          </cell>
          <cell r="AC223">
            <v>25.465160905340149</v>
          </cell>
          <cell r="AD223">
            <v>23.190518469420507</v>
          </cell>
          <cell r="AE223">
            <v>23.058733027405811</v>
          </cell>
          <cell r="AF223">
            <v>27.763724109047835</v>
          </cell>
          <cell r="AG223">
            <v>3.417649315068493</v>
          </cell>
        </row>
        <row r="224">
          <cell r="A224" t="str">
            <v>Cal-08</v>
          </cell>
          <cell r="B224">
            <v>30.136454717880682</v>
          </cell>
          <cell r="C224">
            <v>30.157075547189699</v>
          </cell>
          <cell r="D224">
            <v>30.157075547189699</v>
          </cell>
          <cell r="E224">
            <v>30.157075547189699</v>
          </cell>
          <cell r="F224">
            <v>22.119589839179966</v>
          </cell>
          <cell r="G224">
            <v>22.849490337906623</v>
          </cell>
          <cell r="H224">
            <v>22.119589839179966</v>
          </cell>
          <cell r="I224">
            <v>23.056584323127321</v>
          </cell>
          <cell r="J224">
            <v>25.33742973884921</v>
          </cell>
          <cell r="K224">
            <v>29.70047344730893</v>
          </cell>
          <cell r="L224">
            <v>31.942654743809282</v>
          </cell>
          <cell r="M224">
            <v>21.057354087974787</v>
          </cell>
          <cell r="N224">
            <v>20.744786010444997</v>
          </cell>
          <cell r="O224">
            <v>21.898010630928844</v>
          </cell>
          <cell r="P224">
            <v>23.087507655467892</v>
          </cell>
          <cell r="Q224">
            <v>18.483712645733053</v>
          </cell>
          <cell r="R224">
            <v>25.011737710654348</v>
          </cell>
          <cell r="S224">
            <v>17.922990731795796</v>
          </cell>
          <cell r="T224">
            <v>18.483712645733053</v>
          </cell>
          <cell r="U224">
            <v>23.20893615421377</v>
          </cell>
          <cell r="V224">
            <v>22.617649022968255</v>
          </cell>
          <cell r="W224">
            <v>23.20893615421377</v>
          </cell>
          <cell r="X224">
            <v>23.305724290527078</v>
          </cell>
          <cell r="Y224">
            <v>23.20893615421377</v>
          </cell>
          <cell r="Z224">
            <v>23.795347196356058</v>
          </cell>
          <cell r="AA224">
            <v>25.075500460546692</v>
          </cell>
          <cell r="AB224">
            <v>23.713341299241385</v>
          </cell>
          <cell r="AC224">
            <v>26.117599377112491</v>
          </cell>
          <cell r="AD224">
            <v>23.840286577171117</v>
          </cell>
          <cell r="AE224">
            <v>23.713341299241385</v>
          </cell>
          <cell r="AF224">
            <v>28.413305617647268</v>
          </cell>
          <cell r="AG224">
            <v>3.495562841530055</v>
          </cell>
        </row>
        <row r="225">
          <cell r="A225" t="str">
            <v>Cal-09</v>
          </cell>
          <cell r="B225">
            <v>30.606131852046218</v>
          </cell>
          <cell r="C225">
            <v>30.622558872894057</v>
          </cell>
          <cell r="D225">
            <v>30.622558872894057</v>
          </cell>
          <cell r="E225">
            <v>30.622558872894057</v>
          </cell>
          <cell r="F225">
            <v>22.400851449971714</v>
          </cell>
          <cell r="G225">
            <v>23.026942906835078</v>
          </cell>
          <cell r="H225">
            <v>22.400851449971714</v>
          </cell>
          <cell r="I225">
            <v>23.339988452453504</v>
          </cell>
          <cell r="J225">
            <v>24.568217883773588</v>
          </cell>
          <cell r="K225">
            <v>29.948610533266542</v>
          </cell>
          <cell r="L225">
            <v>32.125243046969928</v>
          </cell>
          <cell r="M225">
            <v>21.343733967370415</v>
          </cell>
          <cell r="N225">
            <v>21.027863154608191</v>
          </cell>
          <cell r="O225">
            <v>22.093313927762022</v>
          </cell>
          <cell r="P225">
            <v>23.37853092315752</v>
          </cell>
          <cell r="Q225">
            <v>19.357528381182206</v>
          </cell>
          <cell r="R225">
            <v>25.306018894566488</v>
          </cell>
          <cell r="S225">
            <v>18.199435365030226</v>
          </cell>
          <cell r="T225">
            <v>19.357528381182206</v>
          </cell>
          <cell r="U225">
            <v>23.49561698151328</v>
          </cell>
          <cell r="V225">
            <v>22.969444534190497</v>
          </cell>
          <cell r="W225">
            <v>23.49561698151328</v>
          </cell>
          <cell r="X225">
            <v>23.58991465555572</v>
          </cell>
          <cell r="Y225">
            <v>23.49561698151328</v>
          </cell>
          <cell r="Z225">
            <v>24.088324393801205</v>
          </cell>
          <cell r="AA225">
            <v>25.373121181231543</v>
          </cell>
          <cell r="AB225">
            <v>24.397677235079765</v>
          </cell>
          <cell r="AC225">
            <v>26.801571269414129</v>
          </cell>
          <cell r="AD225">
            <v>24.525390185384484</v>
          </cell>
          <cell r="AE225">
            <v>24.397677235079765</v>
          </cell>
          <cell r="AF225">
            <v>29.077515646826818</v>
          </cell>
          <cell r="AG225">
            <v>3.5751493150684936</v>
          </cell>
        </row>
        <row r="226">
          <cell r="A226" t="str">
            <v>Cal-10</v>
          </cell>
          <cell r="B226">
            <v>31.142787354707902</v>
          </cell>
          <cell r="C226">
            <v>31.176457439665871</v>
          </cell>
          <cell r="D226">
            <v>31.176457439665871</v>
          </cell>
          <cell r="E226">
            <v>31.176457439665871</v>
          </cell>
          <cell r="F226">
            <v>22.289652417781749</v>
          </cell>
          <cell r="G226">
            <v>22.915636751997233</v>
          </cell>
          <cell r="H226">
            <v>22.289652417781749</v>
          </cell>
          <cell r="I226">
            <v>23.07346592675178</v>
          </cell>
          <cell r="J226">
            <v>24.839421609287495</v>
          </cell>
          <cell r="K226">
            <v>30.450223403596297</v>
          </cell>
          <cell r="L226">
            <v>32.313571284028619</v>
          </cell>
          <cell r="M226">
            <v>21.814571222193042</v>
          </cell>
          <cell r="N226">
            <v>21.510358794094181</v>
          </cell>
          <cell r="O226">
            <v>22.499128911405059</v>
          </cell>
          <cell r="P226">
            <v>23.849020395021629</v>
          </cell>
          <cell r="Q226">
            <v>20.450553347991264</v>
          </cell>
          <cell r="R226">
            <v>25.77626439003804</v>
          </cell>
          <cell r="S226">
            <v>18.67074609406302</v>
          </cell>
          <cell r="T226">
            <v>20.450553347991264</v>
          </cell>
          <cell r="U226">
            <v>23.861952091289702</v>
          </cell>
          <cell r="V226">
            <v>23.427486922177348</v>
          </cell>
          <cell r="W226">
            <v>23.861952091289702</v>
          </cell>
          <cell r="X226">
            <v>23.956474372458835</v>
          </cell>
          <cell r="Y226">
            <v>23.861952091289702</v>
          </cell>
          <cell r="Z226">
            <v>24.454196645348375</v>
          </cell>
          <cell r="AA226">
            <v>25.73864596866483</v>
          </cell>
          <cell r="AB226">
            <v>25.223281047864155</v>
          </cell>
          <cell r="AC226">
            <v>27.630098214566633</v>
          </cell>
          <cell r="AD226">
            <v>25.348792911588081</v>
          </cell>
          <cell r="AE226">
            <v>25.223281047864155</v>
          </cell>
          <cell r="AF226">
            <v>29.921467975256089</v>
          </cell>
          <cell r="AG226">
            <v>3.6551493150684933</v>
          </cell>
        </row>
        <row r="227">
          <cell r="A227" t="str">
            <v>Cal-11</v>
          </cell>
          <cell r="B227">
            <v>31.535181063429597</v>
          </cell>
          <cell r="C227">
            <v>31.569353812711768</v>
          </cell>
          <cell r="D227">
            <v>31.569353812711768</v>
          </cell>
          <cell r="E227">
            <v>31.569353812711768</v>
          </cell>
          <cell r="F227">
            <v>22.676966932090906</v>
          </cell>
          <cell r="G227">
            <v>23.300986312104254</v>
          </cell>
          <cell r="H227">
            <v>22.676966932090906</v>
          </cell>
          <cell r="I227">
            <v>23.300986312104254</v>
          </cell>
          <cell r="J227">
            <v>25.131737584988585</v>
          </cell>
          <cell r="K227">
            <v>30.703712201105891</v>
          </cell>
          <cell r="L227">
            <v>32.131163111769631</v>
          </cell>
          <cell r="M227">
            <v>22.160755018738499</v>
          </cell>
          <cell r="N227">
            <v>21.873687039629235</v>
          </cell>
          <cell r="O227">
            <v>25.464618037110593</v>
          </cell>
          <cell r="P227">
            <v>24.188818167373263</v>
          </cell>
          <cell r="Q227">
            <v>21.403384634105041</v>
          </cell>
          <cell r="R227">
            <v>26.111581932879066</v>
          </cell>
          <cell r="S227">
            <v>19.028220399255861</v>
          </cell>
          <cell r="T227">
            <v>21.403384634105041</v>
          </cell>
          <cell r="U227">
            <v>24.158072970840795</v>
          </cell>
          <cell r="V227">
            <v>24.207169322720897</v>
          </cell>
          <cell r="W227">
            <v>24.158072970840795</v>
          </cell>
          <cell r="X227">
            <v>61.692607016807933</v>
          </cell>
          <cell r="Y227">
            <v>24.158072970840795</v>
          </cell>
          <cell r="Z227">
            <v>24.118513836538924</v>
          </cell>
          <cell r="AA227">
            <v>25.396576818283084</v>
          </cell>
          <cell r="AB227">
            <v>25.978656730506383</v>
          </cell>
          <cell r="AC227">
            <v>28.383812470883797</v>
          </cell>
          <cell r="AD227">
            <v>26.107843831466344</v>
          </cell>
          <cell r="AE227">
            <v>25.978656730506383</v>
          </cell>
          <cell r="AF227">
            <v>30.67801081240043</v>
          </cell>
          <cell r="AG227">
            <v>3.7351493150684933</v>
          </cell>
        </row>
        <row r="228">
          <cell r="A228" t="str">
            <v>Cal-12</v>
          </cell>
          <cell r="B228">
            <v>31.764884564411918</v>
          </cell>
          <cell r="C228">
            <v>31.810906331094603</v>
          </cell>
          <cell r="D228">
            <v>31.810906331094603</v>
          </cell>
          <cell r="E228">
            <v>31.810906331094603</v>
          </cell>
          <cell r="F228">
            <v>22.600603625602748</v>
          </cell>
          <cell r="G228">
            <v>23.223153203867003</v>
          </cell>
          <cell r="H228">
            <v>22.600603625602748</v>
          </cell>
          <cell r="I228">
            <v>23.223153203867003</v>
          </cell>
          <cell r="J228">
            <v>25.325351978159805</v>
          </cell>
          <cell r="K228">
            <v>30.966055862137598</v>
          </cell>
          <cell r="L228">
            <v>32.242306611821476</v>
          </cell>
          <cell r="M228">
            <v>22.495669677307525</v>
          </cell>
          <cell r="N228">
            <v>22.197620341829744</v>
          </cell>
          <cell r="O228">
            <v>25.705479426033474</v>
          </cell>
          <cell r="P228">
            <v>24.518955677276146</v>
          </cell>
          <cell r="Q228">
            <v>22.37528633285341</v>
          </cell>
          <cell r="R228">
            <v>26.438368182133129</v>
          </cell>
          <cell r="S228">
            <v>19.373860944677695</v>
          </cell>
          <cell r="T228">
            <v>22.37528633285341</v>
          </cell>
          <cell r="U228">
            <v>24.490529628234587</v>
          </cell>
          <cell r="V228">
            <v>24.572385344145601</v>
          </cell>
          <cell r="W228">
            <v>24.490529628234587</v>
          </cell>
          <cell r="X228">
            <v>61.934822613250248</v>
          </cell>
          <cell r="Y228">
            <v>24.490529628234587</v>
          </cell>
          <cell r="Z228">
            <v>24.447883914562297</v>
          </cell>
          <cell r="AA228">
            <v>25.721169747897822</v>
          </cell>
          <cell r="AB228">
            <v>26.759832997716479</v>
          </cell>
          <cell r="AC228">
            <v>29.165160628739102</v>
          </cell>
          <cell r="AD228">
            <v>26.890898634403033</v>
          </cell>
          <cell r="AE228">
            <v>26.759832997716479</v>
          </cell>
          <cell r="AF228">
            <v>31.455638622850294</v>
          </cell>
          <cell r="AG228">
            <v>3.8155628415300544</v>
          </cell>
        </row>
        <row r="229">
          <cell r="A229" t="str">
            <v>Cal-13</v>
          </cell>
          <cell r="B229">
            <v>32.031152649751029</v>
          </cell>
          <cell r="C229">
            <v>32.065952426073409</v>
          </cell>
          <cell r="D229">
            <v>32.065952426073409</v>
          </cell>
          <cell r="E229">
            <v>32.065952426073409</v>
          </cell>
          <cell r="F229">
            <v>22.748336352070954</v>
          </cell>
          <cell r="G229">
            <v>23.372372536383789</v>
          </cell>
          <cell r="H229">
            <v>22.748336352070954</v>
          </cell>
          <cell r="I229">
            <v>22.748336352070954</v>
          </cell>
          <cell r="J229">
            <v>25.4554365276725</v>
          </cell>
          <cell r="K229">
            <v>31.050863757898789</v>
          </cell>
          <cell r="L229">
            <v>32.323022241036341</v>
          </cell>
          <cell r="M229">
            <v>22.801031213257296</v>
          </cell>
          <cell r="N229">
            <v>22.500841456629633</v>
          </cell>
          <cell r="O229">
            <v>25.962826892040155</v>
          </cell>
          <cell r="P229">
            <v>24.829149620090696</v>
          </cell>
          <cell r="Q229">
            <v>23.181946700143872</v>
          </cell>
          <cell r="R229">
            <v>26.751952153860014</v>
          </cell>
          <cell r="S229">
            <v>19.668728473570049</v>
          </cell>
          <cell r="T229">
            <v>23.181946700143872</v>
          </cell>
          <cell r="U229">
            <v>24.799893831671625</v>
          </cell>
          <cell r="V229">
            <v>24.995933933428336</v>
          </cell>
          <cell r="W229">
            <v>24.799893831671625</v>
          </cell>
          <cell r="X229">
            <v>62.334844420561929</v>
          </cell>
          <cell r="Y229">
            <v>24.799893831671625</v>
          </cell>
          <cell r="Z229">
            <v>24.760370603148392</v>
          </cell>
          <cell r="AA229">
            <v>26.038488676465711</v>
          </cell>
          <cell r="AB229">
            <v>27.561123557962226</v>
          </cell>
          <cell r="AC229">
            <v>29.965904121021801</v>
          </cell>
          <cell r="AD229">
            <v>27.690615879611656</v>
          </cell>
          <cell r="AE229">
            <v>27.561123557962226</v>
          </cell>
          <cell r="AF229">
            <v>32.261225939479921</v>
          </cell>
          <cell r="AG229">
            <v>3.895149315068493</v>
          </cell>
        </row>
        <row r="230">
          <cell r="A230" t="str">
            <v>Cal-14</v>
          </cell>
          <cell r="B230">
            <v>32.324488498909282</v>
          </cell>
          <cell r="C230">
            <v>32.345198872048563</v>
          </cell>
          <cell r="D230">
            <v>32.345198872048563</v>
          </cell>
          <cell r="E230">
            <v>32.345198872048563</v>
          </cell>
          <cell r="F230">
            <v>22.981282564571774</v>
          </cell>
          <cell r="G230">
            <v>23.605285653758987</v>
          </cell>
          <cell r="H230">
            <v>22.981282564571774</v>
          </cell>
          <cell r="I230">
            <v>22.981282564571774</v>
          </cell>
          <cell r="J230">
            <v>25.585989596736777</v>
          </cell>
          <cell r="K230">
            <v>31.296412605120651</v>
          </cell>
          <cell r="L230">
            <v>32.412460419015375</v>
          </cell>
          <cell r="M230">
            <v>23.086180997492171</v>
          </cell>
          <cell r="N230">
            <v>22.773521746125585</v>
          </cell>
          <cell r="O230">
            <v>26.232856595497786</v>
          </cell>
          <cell r="P230">
            <v>25.114190660072584</v>
          </cell>
          <cell r="Q230">
            <v>24.06430691949598</v>
          </cell>
          <cell r="R230">
            <v>27.036917138340105</v>
          </cell>
          <cell r="S230">
            <v>19.954015299513589</v>
          </cell>
          <cell r="T230">
            <v>24.06430691949598</v>
          </cell>
          <cell r="U230">
            <v>25.084789190890383</v>
          </cell>
          <cell r="V230">
            <v>25.437313987884522</v>
          </cell>
          <cell r="W230">
            <v>25.084789190890383</v>
          </cell>
          <cell r="X230">
            <v>62.617812999278286</v>
          </cell>
          <cell r="Y230">
            <v>25.084789190890383</v>
          </cell>
          <cell r="Z230">
            <v>25.045195187149869</v>
          </cell>
          <cell r="AA230">
            <v>26.323205311391821</v>
          </cell>
          <cell r="AB230">
            <v>28.419779919924153</v>
          </cell>
          <cell r="AC230">
            <v>30.823725708032086</v>
          </cell>
          <cell r="AD230">
            <v>28.547018970423846</v>
          </cell>
          <cell r="AE230">
            <v>28.419779919924153</v>
          </cell>
          <cell r="AF230">
            <v>33.122828641263759</v>
          </cell>
          <cell r="AG230">
            <v>3.9751493150684931</v>
          </cell>
        </row>
        <row r="231">
          <cell r="A231" t="str">
            <v>Cal-15</v>
          </cell>
          <cell r="B231">
            <v>32.553041762955182</v>
          </cell>
          <cell r="C231">
            <v>32.569438589493721</v>
          </cell>
          <cell r="D231">
            <v>32.569438589493721</v>
          </cell>
          <cell r="E231">
            <v>32.569438589493721</v>
          </cell>
          <cell r="F231">
            <v>24.414446855887821</v>
          </cell>
          <cell r="G231">
            <v>25.040538589167262</v>
          </cell>
          <cell r="H231">
            <v>24.414446855887821</v>
          </cell>
          <cell r="I231">
            <v>24.414446855887821</v>
          </cell>
          <cell r="J231">
            <v>25.712704866329499</v>
          </cell>
          <cell r="K231">
            <v>31.542366298881245</v>
          </cell>
          <cell r="L231">
            <v>32.499123717643805</v>
          </cell>
          <cell r="M231">
            <v>23.379120552488533</v>
          </cell>
          <cell r="N231">
            <v>23.06324657736694</v>
          </cell>
          <cell r="O231">
            <v>26.420121845486644</v>
          </cell>
          <cell r="P231">
            <v>25.413918561397747</v>
          </cell>
          <cell r="Q231">
            <v>24.952626277113506</v>
          </cell>
          <cell r="R231">
            <v>27.341407030795267</v>
          </cell>
          <cell r="S231">
            <v>20.234739524816199</v>
          </cell>
          <cell r="T231">
            <v>24.952626277113506</v>
          </cell>
          <cell r="U231">
            <v>25.373959069149585</v>
          </cell>
          <cell r="V231">
            <v>25.782068564443801</v>
          </cell>
          <cell r="W231">
            <v>25.373959069149585</v>
          </cell>
          <cell r="X231">
            <v>63.034003916412068</v>
          </cell>
          <cell r="Y231">
            <v>25.373959069149585</v>
          </cell>
          <cell r="Z231">
            <v>25.338751665770047</v>
          </cell>
          <cell r="AA231">
            <v>26.623549533930241</v>
          </cell>
          <cell r="AB231">
            <v>29.18837179595273</v>
          </cell>
          <cell r="AC231">
            <v>31.592243658144287</v>
          </cell>
          <cell r="AD231">
            <v>29.316006972608282</v>
          </cell>
          <cell r="AE231">
            <v>29.18837179595273</v>
          </cell>
          <cell r="AF231">
            <v>33.867905074868524</v>
          </cell>
          <cell r="AG231">
            <v>4.0551493150684932</v>
          </cell>
        </row>
      </sheetData>
      <sheetData sheetId="5"/>
      <sheetData sheetId="6"/>
      <sheetData sheetId="7"/>
      <sheetData sheetId="8"/>
      <sheetData sheetId="9">
        <row r="4">
          <cell r="A4">
            <v>37231</v>
          </cell>
          <cell r="B4">
            <v>28</v>
          </cell>
          <cell r="C4">
            <v>31.75</v>
          </cell>
          <cell r="D4">
            <v>31.75</v>
          </cell>
          <cell r="E4">
            <v>31.75</v>
          </cell>
          <cell r="F4">
            <v>21.4</v>
          </cell>
          <cell r="G4">
            <v>27.4</v>
          </cell>
          <cell r="H4">
            <v>27.4</v>
          </cell>
          <cell r="I4">
            <v>27.4</v>
          </cell>
          <cell r="J4">
            <v>25.7</v>
          </cell>
          <cell r="K4">
            <v>28</v>
          </cell>
          <cell r="L4">
            <v>29</v>
          </cell>
          <cell r="M4">
            <v>19.5</v>
          </cell>
          <cell r="N4">
            <v>19.25</v>
          </cell>
          <cell r="O4">
            <v>19.399999999999999</v>
          </cell>
          <cell r="P4">
            <v>19.5</v>
          </cell>
          <cell r="Q4">
            <v>20.399999999999999</v>
          </cell>
          <cell r="R4">
            <v>19.350000000000001</v>
          </cell>
          <cell r="S4">
            <v>19.5</v>
          </cell>
          <cell r="T4">
            <v>14.5</v>
          </cell>
          <cell r="U4">
            <v>19.75</v>
          </cell>
          <cell r="V4">
            <v>19.25</v>
          </cell>
          <cell r="W4">
            <v>22.5</v>
          </cell>
          <cell r="X4">
            <v>15.7</v>
          </cell>
          <cell r="Y4">
            <v>20.25</v>
          </cell>
          <cell r="Z4">
            <v>22.75</v>
          </cell>
          <cell r="AA4">
            <v>22.5</v>
          </cell>
          <cell r="AB4">
            <v>19.75</v>
          </cell>
          <cell r="AC4">
            <v>21.75</v>
          </cell>
          <cell r="AD4">
            <v>19.75</v>
          </cell>
          <cell r="AE4">
            <v>19.75</v>
          </cell>
          <cell r="AF4">
            <v>19.75</v>
          </cell>
        </row>
        <row r="5">
          <cell r="A5">
            <v>37232</v>
          </cell>
          <cell r="B5">
            <v>28</v>
          </cell>
          <cell r="C5">
            <v>31.75</v>
          </cell>
          <cell r="D5">
            <v>31.75</v>
          </cell>
          <cell r="E5">
            <v>31.75</v>
          </cell>
          <cell r="F5">
            <v>21.6</v>
          </cell>
          <cell r="G5">
            <v>27.6</v>
          </cell>
          <cell r="H5">
            <v>27.6</v>
          </cell>
          <cell r="I5">
            <v>27.6</v>
          </cell>
          <cell r="J5">
            <v>25.7</v>
          </cell>
          <cell r="K5">
            <v>28</v>
          </cell>
          <cell r="L5">
            <v>29</v>
          </cell>
          <cell r="M5">
            <v>22.35</v>
          </cell>
          <cell r="N5">
            <v>22.1</v>
          </cell>
          <cell r="O5">
            <v>22.25</v>
          </cell>
          <cell r="P5">
            <v>22.35</v>
          </cell>
          <cell r="Q5">
            <v>23.25</v>
          </cell>
          <cell r="R5">
            <v>22.2</v>
          </cell>
          <cell r="S5">
            <v>22.35</v>
          </cell>
          <cell r="T5">
            <v>17.350000000000001</v>
          </cell>
          <cell r="U5">
            <v>19.75</v>
          </cell>
          <cell r="V5">
            <v>19.25</v>
          </cell>
          <cell r="W5">
            <v>22.5</v>
          </cell>
          <cell r="X5">
            <v>15.7</v>
          </cell>
          <cell r="Y5">
            <v>20.25</v>
          </cell>
          <cell r="Z5">
            <v>22.75</v>
          </cell>
          <cell r="AA5">
            <v>22.5</v>
          </cell>
          <cell r="AB5">
            <v>19.75</v>
          </cell>
          <cell r="AC5">
            <v>21.75</v>
          </cell>
          <cell r="AD5">
            <v>19.75</v>
          </cell>
          <cell r="AE5">
            <v>19.75</v>
          </cell>
          <cell r="AF5">
            <v>19.75</v>
          </cell>
        </row>
        <row r="6">
          <cell r="A6">
            <v>37233</v>
          </cell>
          <cell r="B6">
            <v>25.495000000000001</v>
          </cell>
          <cell r="C6">
            <v>29.245000000000001</v>
          </cell>
          <cell r="D6">
            <v>29.245000000000001</v>
          </cell>
          <cell r="E6">
            <v>29.245000000000001</v>
          </cell>
          <cell r="F6">
            <v>20</v>
          </cell>
          <cell r="G6">
            <v>26</v>
          </cell>
          <cell r="H6">
            <v>26</v>
          </cell>
          <cell r="I6">
            <v>26</v>
          </cell>
          <cell r="J6">
            <v>22</v>
          </cell>
          <cell r="K6">
            <v>28</v>
          </cell>
          <cell r="L6">
            <v>65</v>
          </cell>
          <cell r="M6">
            <v>18.7</v>
          </cell>
          <cell r="N6">
            <v>16.600000000000001</v>
          </cell>
          <cell r="O6">
            <v>18.100000000000001</v>
          </cell>
          <cell r="P6">
            <v>18.7</v>
          </cell>
          <cell r="Q6">
            <v>19.600000000000001</v>
          </cell>
          <cell r="R6">
            <v>18.55</v>
          </cell>
          <cell r="S6">
            <v>18.7</v>
          </cell>
          <cell r="T6">
            <v>13.7</v>
          </cell>
          <cell r="U6">
            <v>19.75</v>
          </cell>
          <cell r="V6">
            <v>18</v>
          </cell>
          <cell r="W6">
            <v>22.5</v>
          </cell>
          <cell r="X6">
            <v>14.45</v>
          </cell>
          <cell r="Y6">
            <v>20.25</v>
          </cell>
          <cell r="Z6">
            <v>22.75</v>
          </cell>
          <cell r="AA6">
            <v>22.5</v>
          </cell>
          <cell r="AB6">
            <v>18</v>
          </cell>
          <cell r="AC6">
            <v>20</v>
          </cell>
          <cell r="AD6">
            <v>18</v>
          </cell>
          <cell r="AE6">
            <v>18</v>
          </cell>
          <cell r="AF6">
            <v>18</v>
          </cell>
        </row>
        <row r="7">
          <cell r="A7">
            <v>37234</v>
          </cell>
          <cell r="B7">
            <v>25.5</v>
          </cell>
          <cell r="C7">
            <v>29.25</v>
          </cell>
          <cell r="D7">
            <v>29.25</v>
          </cell>
          <cell r="E7">
            <v>29.25</v>
          </cell>
          <cell r="F7">
            <v>20</v>
          </cell>
          <cell r="G7">
            <v>26</v>
          </cell>
          <cell r="H7">
            <v>26</v>
          </cell>
          <cell r="I7">
            <v>26</v>
          </cell>
          <cell r="J7">
            <v>22</v>
          </cell>
          <cell r="K7">
            <v>28</v>
          </cell>
          <cell r="L7">
            <v>65</v>
          </cell>
          <cell r="M7">
            <v>18.45</v>
          </cell>
          <cell r="N7">
            <v>16.350000000000001</v>
          </cell>
          <cell r="O7">
            <v>17.850000000000001</v>
          </cell>
          <cell r="P7">
            <v>18.45</v>
          </cell>
          <cell r="Q7">
            <v>19.350000000000001</v>
          </cell>
          <cell r="R7">
            <v>18.3</v>
          </cell>
          <cell r="S7">
            <v>18.45</v>
          </cell>
          <cell r="T7">
            <v>13.45</v>
          </cell>
          <cell r="U7">
            <v>19.75</v>
          </cell>
          <cell r="V7">
            <v>18</v>
          </cell>
          <cell r="W7">
            <v>22.5</v>
          </cell>
          <cell r="X7">
            <v>14.45</v>
          </cell>
          <cell r="Y7">
            <v>20.25</v>
          </cell>
          <cell r="Z7">
            <v>22.75</v>
          </cell>
          <cell r="AA7">
            <v>22.5</v>
          </cell>
          <cell r="AB7">
            <v>18</v>
          </cell>
          <cell r="AC7">
            <v>20.010000000000002</v>
          </cell>
          <cell r="AD7">
            <v>18.010000000000002</v>
          </cell>
          <cell r="AE7">
            <v>18.010000000000002</v>
          </cell>
          <cell r="AF7">
            <v>18.010000000000002</v>
          </cell>
        </row>
        <row r="8">
          <cell r="A8">
            <v>37235</v>
          </cell>
          <cell r="B8">
            <v>30.25</v>
          </cell>
          <cell r="C8">
            <v>34</v>
          </cell>
          <cell r="D8">
            <v>34</v>
          </cell>
          <cell r="E8">
            <v>34</v>
          </cell>
          <cell r="F8">
            <v>25</v>
          </cell>
          <cell r="G8">
            <v>31</v>
          </cell>
          <cell r="H8">
            <v>31</v>
          </cell>
          <cell r="I8">
            <v>31</v>
          </cell>
          <cell r="J8">
            <v>26</v>
          </cell>
          <cell r="K8">
            <v>32</v>
          </cell>
          <cell r="L8">
            <v>33</v>
          </cell>
          <cell r="M8">
            <v>22.35</v>
          </cell>
          <cell r="N8">
            <v>22.1</v>
          </cell>
          <cell r="O8">
            <v>22.25</v>
          </cell>
          <cell r="P8">
            <v>22.35</v>
          </cell>
          <cell r="Q8">
            <v>23.25</v>
          </cell>
          <cell r="R8">
            <v>22.2</v>
          </cell>
          <cell r="S8">
            <v>22.35</v>
          </cell>
          <cell r="T8">
            <v>17.350000000000001</v>
          </cell>
          <cell r="U8">
            <v>22</v>
          </cell>
          <cell r="V8">
            <v>19.25</v>
          </cell>
          <cell r="W8">
            <v>24.75</v>
          </cell>
          <cell r="X8">
            <v>15.7</v>
          </cell>
          <cell r="Y8">
            <v>22.5</v>
          </cell>
          <cell r="Z8">
            <v>25</v>
          </cell>
          <cell r="AA8">
            <v>24.75</v>
          </cell>
          <cell r="AB8">
            <v>19.75</v>
          </cell>
          <cell r="AC8">
            <v>21.76</v>
          </cell>
          <cell r="AD8">
            <v>19.760000000000002</v>
          </cell>
          <cell r="AE8">
            <v>19.760000000000002</v>
          </cell>
          <cell r="AF8">
            <v>19.760000000000002</v>
          </cell>
        </row>
        <row r="9">
          <cell r="A9">
            <v>37236</v>
          </cell>
          <cell r="B9">
            <v>30.25</v>
          </cell>
          <cell r="C9">
            <v>34</v>
          </cell>
          <cell r="D9">
            <v>34</v>
          </cell>
          <cell r="E9">
            <v>34</v>
          </cell>
          <cell r="F9">
            <v>25</v>
          </cell>
          <cell r="G9">
            <v>31</v>
          </cell>
          <cell r="H9">
            <v>31</v>
          </cell>
          <cell r="I9">
            <v>31</v>
          </cell>
          <cell r="J9">
            <v>26</v>
          </cell>
          <cell r="K9">
            <v>32</v>
          </cell>
          <cell r="L9">
            <v>33</v>
          </cell>
          <cell r="M9">
            <v>22.35</v>
          </cell>
          <cell r="N9">
            <v>22.1</v>
          </cell>
          <cell r="O9">
            <v>22.25</v>
          </cell>
          <cell r="P9">
            <v>22.35</v>
          </cell>
          <cell r="Q9">
            <v>23.25</v>
          </cell>
          <cell r="R9">
            <v>22.2</v>
          </cell>
          <cell r="S9">
            <v>22.35</v>
          </cell>
          <cell r="T9">
            <v>17.350000000000001</v>
          </cell>
          <cell r="U9">
            <v>22</v>
          </cell>
          <cell r="V9">
            <v>19.25</v>
          </cell>
          <cell r="W9">
            <v>24.75</v>
          </cell>
          <cell r="X9">
            <v>15.7</v>
          </cell>
          <cell r="Y9">
            <v>22.5</v>
          </cell>
          <cell r="Z9">
            <v>25</v>
          </cell>
          <cell r="AA9">
            <v>24.75</v>
          </cell>
          <cell r="AB9">
            <v>19.75</v>
          </cell>
          <cell r="AC9">
            <v>21.76</v>
          </cell>
          <cell r="AD9">
            <v>19.760000000000002</v>
          </cell>
          <cell r="AE9">
            <v>19.760000000000002</v>
          </cell>
          <cell r="AF9">
            <v>19.760000000000002</v>
          </cell>
        </row>
        <row r="10">
          <cell r="A10">
            <v>37237</v>
          </cell>
          <cell r="B10">
            <v>30.25</v>
          </cell>
          <cell r="C10">
            <v>34</v>
          </cell>
          <cell r="D10">
            <v>34</v>
          </cell>
          <cell r="E10">
            <v>34</v>
          </cell>
          <cell r="F10">
            <v>25</v>
          </cell>
          <cell r="G10">
            <v>31</v>
          </cell>
          <cell r="H10">
            <v>31</v>
          </cell>
          <cell r="I10">
            <v>31</v>
          </cell>
          <cell r="J10">
            <v>26</v>
          </cell>
          <cell r="K10">
            <v>32</v>
          </cell>
          <cell r="L10">
            <v>33</v>
          </cell>
          <cell r="M10">
            <v>22.35</v>
          </cell>
          <cell r="N10">
            <v>22.1</v>
          </cell>
          <cell r="O10">
            <v>22.25</v>
          </cell>
          <cell r="P10">
            <v>22.35</v>
          </cell>
          <cell r="Q10">
            <v>23.25</v>
          </cell>
          <cell r="R10">
            <v>22.2</v>
          </cell>
          <cell r="S10">
            <v>22.35</v>
          </cell>
          <cell r="T10">
            <v>17.350000000000001</v>
          </cell>
          <cell r="U10">
            <v>22</v>
          </cell>
          <cell r="V10">
            <v>19.25</v>
          </cell>
          <cell r="W10">
            <v>24.75</v>
          </cell>
          <cell r="X10">
            <v>15.7</v>
          </cell>
          <cell r="Y10">
            <v>22.5</v>
          </cell>
          <cell r="Z10">
            <v>25</v>
          </cell>
          <cell r="AA10">
            <v>24.75</v>
          </cell>
          <cell r="AB10">
            <v>19.75</v>
          </cell>
          <cell r="AC10">
            <v>21.76</v>
          </cell>
          <cell r="AD10">
            <v>19.760000000000002</v>
          </cell>
          <cell r="AE10">
            <v>19.760000000000002</v>
          </cell>
          <cell r="AF10">
            <v>19.760000000000002</v>
          </cell>
        </row>
        <row r="11">
          <cell r="A11">
            <v>37238</v>
          </cell>
          <cell r="B11">
            <v>30.25</v>
          </cell>
          <cell r="C11">
            <v>34</v>
          </cell>
          <cell r="D11">
            <v>34</v>
          </cell>
          <cell r="E11">
            <v>34</v>
          </cell>
          <cell r="F11">
            <v>25</v>
          </cell>
          <cell r="G11">
            <v>31</v>
          </cell>
          <cell r="H11">
            <v>31</v>
          </cell>
          <cell r="I11">
            <v>31</v>
          </cell>
          <cell r="J11">
            <v>26</v>
          </cell>
          <cell r="K11">
            <v>32</v>
          </cell>
          <cell r="L11">
            <v>33</v>
          </cell>
          <cell r="M11">
            <v>22.35</v>
          </cell>
          <cell r="N11">
            <v>22.1</v>
          </cell>
          <cell r="O11">
            <v>22.25</v>
          </cell>
          <cell r="P11">
            <v>22.35</v>
          </cell>
          <cell r="Q11">
            <v>23.25</v>
          </cell>
          <cell r="R11">
            <v>22.2</v>
          </cell>
          <cell r="S11">
            <v>22.35</v>
          </cell>
          <cell r="T11">
            <v>17.350000000000001</v>
          </cell>
          <cell r="U11">
            <v>22</v>
          </cell>
          <cell r="V11">
            <v>19.25</v>
          </cell>
          <cell r="W11">
            <v>24.75</v>
          </cell>
          <cell r="X11">
            <v>15.7</v>
          </cell>
          <cell r="Y11">
            <v>22.5</v>
          </cell>
          <cell r="Z11">
            <v>25</v>
          </cell>
          <cell r="AA11">
            <v>24.75</v>
          </cell>
          <cell r="AB11">
            <v>19.75</v>
          </cell>
          <cell r="AC11">
            <v>21.76</v>
          </cell>
          <cell r="AD11">
            <v>19.760000000000002</v>
          </cell>
          <cell r="AE11">
            <v>19.760000000000002</v>
          </cell>
          <cell r="AF11">
            <v>19.760000000000002</v>
          </cell>
        </row>
        <row r="12">
          <cell r="A12">
            <v>37239</v>
          </cell>
          <cell r="B12">
            <v>30.25</v>
          </cell>
          <cell r="C12">
            <v>34</v>
          </cell>
          <cell r="D12">
            <v>34</v>
          </cell>
          <cell r="E12">
            <v>34</v>
          </cell>
          <cell r="F12">
            <v>25</v>
          </cell>
          <cell r="G12">
            <v>31</v>
          </cell>
          <cell r="H12">
            <v>31</v>
          </cell>
          <cell r="I12">
            <v>31</v>
          </cell>
          <cell r="J12">
            <v>26</v>
          </cell>
          <cell r="K12">
            <v>32</v>
          </cell>
          <cell r="L12">
            <v>33</v>
          </cell>
          <cell r="M12">
            <v>22.35</v>
          </cell>
          <cell r="N12">
            <v>22.1</v>
          </cell>
          <cell r="O12">
            <v>22.25</v>
          </cell>
          <cell r="P12">
            <v>22.35</v>
          </cell>
          <cell r="Q12">
            <v>23.25</v>
          </cell>
          <cell r="R12">
            <v>22.2</v>
          </cell>
          <cell r="S12">
            <v>22.35</v>
          </cell>
          <cell r="T12">
            <v>17.350000000000001</v>
          </cell>
          <cell r="U12">
            <v>22</v>
          </cell>
          <cell r="V12">
            <v>19.25</v>
          </cell>
          <cell r="W12">
            <v>24.75</v>
          </cell>
          <cell r="X12">
            <v>15.7</v>
          </cell>
          <cell r="Y12">
            <v>22.5</v>
          </cell>
          <cell r="Z12">
            <v>25</v>
          </cell>
          <cell r="AA12">
            <v>24.75</v>
          </cell>
          <cell r="AB12">
            <v>19.75</v>
          </cell>
          <cell r="AC12">
            <v>21.76</v>
          </cell>
          <cell r="AD12">
            <v>19.760000000000002</v>
          </cell>
          <cell r="AE12">
            <v>19.760000000000002</v>
          </cell>
          <cell r="AF12">
            <v>19.760000000000002</v>
          </cell>
        </row>
        <row r="13">
          <cell r="A13">
            <v>37240</v>
          </cell>
          <cell r="B13">
            <v>25.5</v>
          </cell>
          <cell r="C13">
            <v>29.25</v>
          </cell>
          <cell r="D13">
            <v>29.25</v>
          </cell>
          <cell r="E13">
            <v>29.25</v>
          </cell>
          <cell r="F13">
            <v>20</v>
          </cell>
          <cell r="G13">
            <v>26</v>
          </cell>
          <cell r="H13">
            <v>26</v>
          </cell>
          <cell r="I13">
            <v>26</v>
          </cell>
          <cell r="J13">
            <v>24</v>
          </cell>
          <cell r="K13">
            <v>28</v>
          </cell>
          <cell r="L13">
            <v>30</v>
          </cell>
          <cell r="M13">
            <v>18.45</v>
          </cell>
          <cell r="N13">
            <v>17.45</v>
          </cell>
          <cell r="O13">
            <v>17.55</v>
          </cell>
          <cell r="P13">
            <v>18.45</v>
          </cell>
          <cell r="Q13">
            <v>19.350000000000001</v>
          </cell>
          <cell r="R13">
            <v>18.3</v>
          </cell>
          <cell r="S13">
            <v>18.45</v>
          </cell>
          <cell r="T13">
            <v>13.45</v>
          </cell>
          <cell r="U13">
            <v>21.25</v>
          </cell>
          <cell r="V13">
            <v>18</v>
          </cell>
          <cell r="W13">
            <v>24</v>
          </cell>
          <cell r="X13">
            <v>14.45</v>
          </cell>
          <cell r="Y13">
            <v>21.75</v>
          </cell>
          <cell r="Z13">
            <v>24.25</v>
          </cell>
          <cell r="AA13">
            <v>24</v>
          </cell>
          <cell r="AB13">
            <v>18</v>
          </cell>
          <cell r="AC13">
            <v>20.010000000000002</v>
          </cell>
          <cell r="AD13">
            <v>18.010000000000002</v>
          </cell>
          <cell r="AE13">
            <v>18.010000000000002</v>
          </cell>
          <cell r="AF13">
            <v>18.010000000000002</v>
          </cell>
        </row>
        <row r="14">
          <cell r="A14">
            <v>37241</v>
          </cell>
          <cell r="B14">
            <v>25.5</v>
          </cell>
          <cell r="C14">
            <v>29.25</v>
          </cell>
          <cell r="D14">
            <v>29.25</v>
          </cell>
          <cell r="E14">
            <v>29.25</v>
          </cell>
          <cell r="F14">
            <v>20</v>
          </cell>
          <cell r="G14">
            <v>26</v>
          </cell>
          <cell r="H14">
            <v>26</v>
          </cell>
          <cell r="I14">
            <v>26</v>
          </cell>
          <cell r="J14">
            <v>24</v>
          </cell>
          <cell r="K14">
            <v>28</v>
          </cell>
          <cell r="L14">
            <v>30</v>
          </cell>
          <cell r="M14">
            <v>18.45</v>
          </cell>
          <cell r="N14">
            <v>17.45</v>
          </cell>
          <cell r="O14">
            <v>17.55</v>
          </cell>
          <cell r="P14">
            <v>18.45</v>
          </cell>
          <cell r="Q14">
            <v>19.350000000000001</v>
          </cell>
          <cell r="R14">
            <v>18.3</v>
          </cell>
          <cell r="S14">
            <v>18.45</v>
          </cell>
          <cell r="T14">
            <v>13.45</v>
          </cell>
          <cell r="U14">
            <v>21.25</v>
          </cell>
          <cell r="V14">
            <v>18</v>
          </cell>
          <cell r="W14">
            <v>24</v>
          </cell>
          <cell r="X14">
            <v>14.45</v>
          </cell>
          <cell r="Y14">
            <v>21.75</v>
          </cell>
          <cell r="Z14">
            <v>24.25</v>
          </cell>
          <cell r="AA14">
            <v>24</v>
          </cell>
          <cell r="AB14">
            <v>18</v>
          </cell>
          <cell r="AC14">
            <v>20.010000000000002</v>
          </cell>
          <cell r="AD14">
            <v>18.010000000000002</v>
          </cell>
          <cell r="AE14">
            <v>18.010000000000002</v>
          </cell>
          <cell r="AF14">
            <v>18.010000000000002</v>
          </cell>
        </row>
        <row r="15">
          <cell r="A15">
            <v>37242</v>
          </cell>
          <cell r="B15">
            <v>30.25</v>
          </cell>
          <cell r="C15">
            <v>34</v>
          </cell>
          <cell r="D15">
            <v>34</v>
          </cell>
          <cell r="E15">
            <v>34</v>
          </cell>
          <cell r="F15">
            <v>25</v>
          </cell>
          <cell r="G15">
            <v>31</v>
          </cell>
          <cell r="H15">
            <v>31</v>
          </cell>
          <cell r="I15">
            <v>31</v>
          </cell>
          <cell r="J15">
            <v>26</v>
          </cell>
          <cell r="K15">
            <v>33</v>
          </cell>
          <cell r="L15">
            <v>35</v>
          </cell>
          <cell r="M15">
            <v>22.35</v>
          </cell>
          <cell r="N15">
            <v>22.1</v>
          </cell>
          <cell r="O15">
            <v>22.25</v>
          </cell>
          <cell r="P15">
            <v>22.35</v>
          </cell>
          <cell r="Q15">
            <v>23.25</v>
          </cell>
          <cell r="R15">
            <v>22.2</v>
          </cell>
          <cell r="S15">
            <v>22.35</v>
          </cell>
          <cell r="T15">
            <v>17.350000000000001</v>
          </cell>
          <cell r="U15">
            <v>22</v>
          </cell>
          <cell r="V15">
            <v>19.25</v>
          </cell>
          <cell r="W15">
            <v>24.75</v>
          </cell>
          <cell r="X15">
            <v>15.7</v>
          </cell>
          <cell r="Y15">
            <v>22.5</v>
          </cell>
          <cell r="Z15">
            <v>25</v>
          </cell>
          <cell r="AA15">
            <v>24.75</v>
          </cell>
          <cell r="AB15">
            <v>19.75</v>
          </cell>
          <cell r="AC15">
            <v>21.76</v>
          </cell>
          <cell r="AD15">
            <v>19.760000000000002</v>
          </cell>
          <cell r="AE15">
            <v>19.760000000000002</v>
          </cell>
          <cell r="AF15">
            <v>19.760000000000002</v>
          </cell>
        </row>
        <row r="16">
          <cell r="A16">
            <v>37243</v>
          </cell>
          <cell r="B16">
            <v>30.25</v>
          </cell>
          <cell r="C16">
            <v>34</v>
          </cell>
          <cell r="D16">
            <v>34</v>
          </cell>
          <cell r="E16">
            <v>34</v>
          </cell>
          <cell r="F16">
            <v>25</v>
          </cell>
          <cell r="G16">
            <v>31</v>
          </cell>
          <cell r="H16">
            <v>31</v>
          </cell>
          <cell r="I16">
            <v>31</v>
          </cell>
          <cell r="J16">
            <v>26</v>
          </cell>
          <cell r="K16">
            <v>33</v>
          </cell>
          <cell r="L16">
            <v>35</v>
          </cell>
          <cell r="M16">
            <v>22.35</v>
          </cell>
          <cell r="N16">
            <v>22.1</v>
          </cell>
          <cell r="O16">
            <v>22.25</v>
          </cell>
          <cell r="P16">
            <v>22.35</v>
          </cell>
          <cell r="Q16">
            <v>23.25</v>
          </cell>
          <cell r="R16">
            <v>22.2</v>
          </cell>
          <cell r="S16">
            <v>22.35</v>
          </cell>
          <cell r="T16">
            <v>17.350000000000001</v>
          </cell>
          <cell r="U16">
            <v>22</v>
          </cell>
          <cell r="V16">
            <v>19.25</v>
          </cell>
          <cell r="W16">
            <v>24.75</v>
          </cell>
          <cell r="X16">
            <v>15.7</v>
          </cell>
          <cell r="Y16">
            <v>22.5</v>
          </cell>
          <cell r="Z16">
            <v>25</v>
          </cell>
          <cell r="AA16">
            <v>24.75</v>
          </cell>
          <cell r="AB16">
            <v>19.75</v>
          </cell>
          <cell r="AC16">
            <v>21.76</v>
          </cell>
          <cell r="AD16">
            <v>19.760000000000002</v>
          </cell>
          <cell r="AE16">
            <v>19.760000000000002</v>
          </cell>
          <cell r="AF16">
            <v>19.760000000000002</v>
          </cell>
        </row>
        <row r="17">
          <cell r="A17">
            <v>37244</v>
          </cell>
          <cell r="B17">
            <v>30.25</v>
          </cell>
          <cell r="C17">
            <v>34</v>
          </cell>
          <cell r="D17">
            <v>34</v>
          </cell>
          <cell r="E17">
            <v>34</v>
          </cell>
          <cell r="F17">
            <v>25</v>
          </cell>
          <cell r="G17">
            <v>31</v>
          </cell>
          <cell r="H17">
            <v>31</v>
          </cell>
          <cell r="I17">
            <v>31</v>
          </cell>
          <cell r="J17">
            <v>26</v>
          </cell>
          <cell r="K17">
            <v>33</v>
          </cell>
          <cell r="L17">
            <v>35</v>
          </cell>
          <cell r="M17">
            <v>22.35</v>
          </cell>
          <cell r="N17">
            <v>22.1</v>
          </cell>
          <cell r="O17">
            <v>22.25</v>
          </cell>
          <cell r="P17">
            <v>22.35</v>
          </cell>
          <cell r="Q17">
            <v>23.25</v>
          </cell>
          <cell r="R17">
            <v>22.2</v>
          </cell>
          <cell r="S17">
            <v>22.35</v>
          </cell>
          <cell r="T17">
            <v>17.350000000000001</v>
          </cell>
          <cell r="U17">
            <v>22</v>
          </cell>
          <cell r="V17">
            <v>19.25</v>
          </cell>
          <cell r="W17">
            <v>24.75</v>
          </cell>
          <cell r="X17">
            <v>15.7</v>
          </cell>
          <cell r="Y17">
            <v>22.5</v>
          </cell>
          <cell r="Z17">
            <v>25</v>
          </cell>
          <cell r="AA17">
            <v>24.75</v>
          </cell>
          <cell r="AB17">
            <v>19.75</v>
          </cell>
          <cell r="AC17">
            <v>21.76</v>
          </cell>
          <cell r="AD17">
            <v>19.760000000000002</v>
          </cell>
          <cell r="AE17">
            <v>19.760000000000002</v>
          </cell>
          <cell r="AF17">
            <v>19.760000000000002</v>
          </cell>
        </row>
        <row r="18">
          <cell r="A18">
            <v>37245</v>
          </cell>
          <cell r="B18">
            <v>30.25</v>
          </cell>
          <cell r="C18">
            <v>34</v>
          </cell>
          <cell r="D18">
            <v>34</v>
          </cell>
          <cell r="E18">
            <v>34</v>
          </cell>
          <cell r="F18">
            <v>25</v>
          </cell>
          <cell r="G18">
            <v>31</v>
          </cell>
          <cell r="H18">
            <v>31</v>
          </cell>
          <cell r="I18">
            <v>31</v>
          </cell>
          <cell r="J18">
            <v>26</v>
          </cell>
          <cell r="K18">
            <v>33</v>
          </cell>
          <cell r="L18">
            <v>35</v>
          </cell>
          <cell r="M18">
            <v>22.35</v>
          </cell>
          <cell r="N18">
            <v>22.1</v>
          </cell>
          <cell r="O18">
            <v>22.25</v>
          </cell>
          <cell r="P18">
            <v>22.35</v>
          </cell>
          <cell r="Q18">
            <v>23.25</v>
          </cell>
          <cell r="R18">
            <v>22.2</v>
          </cell>
          <cell r="S18">
            <v>22.35</v>
          </cell>
          <cell r="T18">
            <v>17.350000000000001</v>
          </cell>
          <cell r="U18">
            <v>22</v>
          </cell>
          <cell r="V18">
            <v>19.25</v>
          </cell>
          <cell r="W18">
            <v>24.75</v>
          </cell>
          <cell r="X18">
            <v>15.7</v>
          </cell>
          <cell r="Y18">
            <v>22.5</v>
          </cell>
          <cell r="Z18">
            <v>25</v>
          </cell>
          <cell r="AA18">
            <v>24.75</v>
          </cell>
          <cell r="AB18">
            <v>19.75</v>
          </cell>
          <cell r="AC18">
            <v>21.76</v>
          </cell>
          <cell r="AD18">
            <v>19.760000000000002</v>
          </cell>
          <cell r="AE18">
            <v>19.760000000000002</v>
          </cell>
          <cell r="AF18">
            <v>19.760000000000002</v>
          </cell>
        </row>
        <row r="19">
          <cell r="A19">
            <v>37246</v>
          </cell>
          <cell r="B19">
            <v>30.25</v>
          </cell>
          <cell r="C19">
            <v>34</v>
          </cell>
          <cell r="D19">
            <v>34</v>
          </cell>
          <cell r="E19">
            <v>34</v>
          </cell>
          <cell r="F19">
            <v>25</v>
          </cell>
          <cell r="G19">
            <v>31</v>
          </cell>
          <cell r="H19">
            <v>31</v>
          </cell>
          <cell r="I19">
            <v>31</v>
          </cell>
          <cell r="J19">
            <v>26</v>
          </cell>
          <cell r="K19">
            <v>33</v>
          </cell>
          <cell r="L19">
            <v>35</v>
          </cell>
          <cell r="M19">
            <v>22.35</v>
          </cell>
          <cell r="N19">
            <v>22.1</v>
          </cell>
          <cell r="O19">
            <v>22.25</v>
          </cell>
          <cell r="P19">
            <v>22.35</v>
          </cell>
          <cell r="Q19">
            <v>23.25</v>
          </cell>
          <cell r="R19">
            <v>22.2</v>
          </cell>
          <cell r="S19">
            <v>22.35</v>
          </cell>
          <cell r="T19">
            <v>17.350000000000001</v>
          </cell>
          <cell r="U19">
            <v>22</v>
          </cell>
          <cell r="V19">
            <v>19.25</v>
          </cell>
          <cell r="W19">
            <v>24.75</v>
          </cell>
          <cell r="X19">
            <v>15.7</v>
          </cell>
          <cell r="Y19">
            <v>22.5</v>
          </cell>
          <cell r="Z19">
            <v>25</v>
          </cell>
          <cell r="AA19">
            <v>24.75</v>
          </cell>
          <cell r="AB19">
            <v>19.75</v>
          </cell>
          <cell r="AC19">
            <v>21.76</v>
          </cell>
          <cell r="AD19">
            <v>19.760000000000002</v>
          </cell>
          <cell r="AE19">
            <v>19.760000000000002</v>
          </cell>
          <cell r="AF19">
            <v>19.760000000000002</v>
          </cell>
        </row>
        <row r="20">
          <cell r="A20">
            <v>37247</v>
          </cell>
          <cell r="B20">
            <v>25.504999999999999</v>
          </cell>
          <cell r="C20">
            <v>29.254999999999999</v>
          </cell>
          <cell r="D20">
            <v>29.254999999999999</v>
          </cell>
          <cell r="E20">
            <v>29.254999999999999</v>
          </cell>
          <cell r="F20">
            <v>20</v>
          </cell>
          <cell r="G20">
            <v>26</v>
          </cell>
          <cell r="H20">
            <v>26</v>
          </cell>
          <cell r="I20">
            <v>26</v>
          </cell>
          <cell r="J20">
            <v>24</v>
          </cell>
          <cell r="K20">
            <v>30</v>
          </cell>
          <cell r="L20">
            <v>30</v>
          </cell>
          <cell r="M20">
            <v>18.45</v>
          </cell>
          <cell r="N20">
            <v>16</v>
          </cell>
          <cell r="O20">
            <v>16.75</v>
          </cell>
          <cell r="P20">
            <v>18.45</v>
          </cell>
          <cell r="Q20">
            <v>19.350000000000001</v>
          </cell>
          <cell r="R20">
            <v>18.3</v>
          </cell>
          <cell r="S20">
            <v>18.45</v>
          </cell>
          <cell r="T20">
            <v>13.45</v>
          </cell>
          <cell r="U20">
            <v>21.25</v>
          </cell>
          <cell r="V20">
            <v>18</v>
          </cell>
          <cell r="W20">
            <v>24</v>
          </cell>
          <cell r="X20">
            <v>14.45</v>
          </cell>
          <cell r="Y20">
            <v>21.75</v>
          </cell>
          <cell r="Z20">
            <v>24.25</v>
          </cell>
          <cell r="AA20">
            <v>24</v>
          </cell>
          <cell r="AB20">
            <v>18</v>
          </cell>
          <cell r="AC20">
            <v>20.010000000000002</v>
          </cell>
          <cell r="AD20">
            <v>18.010000000000002</v>
          </cell>
          <cell r="AE20">
            <v>18.010000000000002</v>
          </cell>
          <cell r="AF20">
            <v>18.010000000000002</v>
          </cell>
        </row>
        <row r="21">
          <cell r="A21">
            <v>37248</v>
          </cell>
          <cell r="B21">
            <v>25.5</v>
          </cell>
          <cell r="C21">
            <v>29.25</v>
          </cell>
          <cell r="D21">
            <v>29.25</v>
          </cell>
          <cell r="E21">
            <v>29.25</v>
          </cell>
          <cell r="F21">
            <v>20</v>
          </cell>
          <cell r="G21">
            <v>26</v>
          </cell>
          <cell r="H21">
            <v>26</v>
          </cell>
          <cell r="I21">
            <v>26</v>
          </cell>
          <cell r="J21">
            <v>24</v>
          </cell>
          <cell r="K21">
            <v>30</v>
          </cell>
          <cell r="L21">
            <v>30</v>
          </cell>
          <cell r="M21">
            <v>18.45</v>
          </cell>
          <cell r="N21">
            <v>16</v>
          </cell>
          <cell r="O21">
            <v>16.75</v>
          </cell>
          <cell r="P21">
            <v>18.45</v>
          </cell>
          <cell r="Q21">
            <v>19.350000000000001</v>
          </cell>
          <cell r="R21">
            <v>18.3</v>
          </cell>
          <cell r="S21">
            <v>18.45</v>
          </cell>
          <cell r="T21">
            <v>13.45</v>
          </cell>
          <cell r="U21">
            <v>21.25</v>
          </cell>
          <cell r="V21">
            <v>18</v>
          </cell>
          <cell r="W21">
            <v>24</v>
          </cell>
          <cell r="X21">
            <v>14.45</v>
          </cell>
          <cell r="Y21">
            <v>21.75</v>
          </cell>
          <cell r="Z21">
            <v>24.25</v>
          </cell>
          <cell r="AA21">
            <v>24</v>
          </cell>
          <cell r="AB21">
            <v>18</v>
          </cell>
          <cell r="AC21">
            <v>20.010000000000002</v>
          </cell>
          <cell r="AD21">
            <v>18.010000000000002</v>
          </cell>
          <cell r="AE21">
            <v>18.010000000000002</v>
          </cell>
          <cell r="AF21">
            <v>18.010000000000002</v>
          </cell>
        </row>
        <row r="22">
          <cell r="A22">
            <v>37249</v>
          </cell>
          <cell r="B22">
            <v>30.25</v>
          </cell>
          <cell r="C22">
            <v>34</v>
          </cell>
          <cell r="D22">
            <v>34</v>
          </cell>
          <cell r="E22">
            <v>34</v>
          </cell>
          <cell r="F22">
            <v>21.25</v>
          </cell>
          <cell r="G22">
            <v>27.25</v>
          </cell>
          <cell r="H22">
            <v>27.25</v>
          </cell>
          <cell r="I22">
            <v>27.25</v>
          </cell>
          <cell r="J22">
            <v>26.9</v>
          </cell>
          <cell r="K22">
            <v>34</v>
          </cell>
          <cell r="L22">
            <v>35</v>
          </cell>
          <cell r="M22">
            <v>22.35</v>
          </cell>
          <cell r="N22">
            <v>22.1</v>
          </cell>
          <cell r="O22">
            <v>22.25</v>
          </cell>
          <cell r="P22">
            <v>22.35</v>
          </cell>
          <cell r="Q22">
            <v>23.25</v>
          </cell>
          <cell r="R22">
            <v>22.2</v>
          </cell>
          <cell r="S22">
            <v>22.35</v>
          </cell>
          <cell r="T22">
            <v>17.350000000000001</v>
          </cell>
          <cell r="U22">
            <v>22</v>
          </cell>
          <cell r="V22">
            <v>19.25</v>
          </cell>
          <cell r="W22">
            <v>24.75</v>
          </cell>
          <cell r="X22">
            <v>15.7</v>
          </cell>
          <cell r="Y22">
            <v>22.5</v>
          </cell>
          <cell r="Z22">
            <v>25</v>
          </cell>
          <cell r="AA22">
            <v>24.75</v>
          </cell>
          <cell r="AB22">
            <v>19.75</v>
          </cell>
          <cell r="AC22">
            <v>21.76</v>
          </cell>
          <cell r="AD22">
            <v>19.760000000000002</v>
          </cell>
          <cell r="AE22">
            <v>19.760000000000002</v>
          </cell>
          <cell r="AF22">
            <v>19.760000000000002</v>
          </cell>
        </row>
        <row r="23">
          <cell r="A23">
            <v>37250</v>
          </cell>
          <cell r="B23">
            <v>26</v>
          </cell>
          <cell r="C23">
            <v>29.75</v>
          </cell>
          <cell r="D23">
            <v>29.75</v>
          </cell>
          <cell r="E23">
            <v>29.75</v>
          </cell>
          <cell r="F23">
            <v>21.25</v>
          </cell>
          <cell r="G23">
            <v>27.25</v>
          </cell>
          <cell r="H23">
            <v>27.25</v>
          </cell>
          <cell r="I23">
            <v>27.25</v>
          </cell>
          <cell r="J23">
            <v>26.9</v>
          </cell>
          <cell r="K23">
            <v>34</v>
          </cell>
          <cell r="L23">
            <v>35</v>
          </cell>
          <cell r="M23">
            <v>22.35</v>
          </cell>
          <cell r="N23">
            <v>22.1</v>
          </cell>
          <cell r="O23">
            <v>22.25</v>
          </cell>
          <cell r="P23">
            <v>22.35</v>
          </cell>
          <cell r="Q23">
            <v>23.25</v>
          </cell>
          <cell r="R23">
            <v>22.2</v>
          </cell>
          <cell r="S23">
            <v>22.35</v>
          </cell>
          <cell r="T23">
            <v>17.350000000000001</v>
          </cell>
          <cell r="U23">
            <v>21.25</v>
          </cell>
          <cell r="V23">
            <v>18</v>
          </cell>
          <cell r="W23">
            <v>24</v>
          </cell>
          <cell r="X23">
            <v>14.45</v>
          </cell>
          <cell r="Y23">
            <v>21.75</v>
          </cell>
          <cell r="Z23">
            <v>24.25</v>
          </cell>
          <cell r="AA23">
            <v>24</v>
          </cell>
          <cell r="AB23">
            <v>19.75</v>
          </cell>
          <cell r="AC23">
            <v>21.76</v>
          </cell>
          <cell r="AD23">
            <v>19.760000000000002</v>
          </cell>
          <cell r="AE23">
            <v>19.760000000000002</v>
          </cell>
          <cell r="AF23">
            <v>19.760000000000002</v>
          </cell>
        </row>
        <row r="24">
          <cell r="A24">
            <v>37251</v>
          </cell>
          <cell r="B24">
            <v>30.25</v>
          </cell>
          <cell r="C24">
            <v>34</v>
          </cell>
          <cell r="D24">
            <v>34</v>
          </cell>
          <cell r="E24">
            <v>34</v>
          </cell>
          <cell r="F24">
            <v>21.25</v>
          </cell>
          <cell r="G24">
            <v>27.25</v>
          </cell>
          <cell r="H24">
            <v>27.25</v>
          </cell>
          <cell r="I24">
            <v>27.25</v>
          </cell>
          <cell r="J24">
            <v>26.9</v>
          </cell>
          <cell r="K24">
            <v>34</v>
          </cell>
          <cell r="L24">
            <v>35</v>
          </cell>
          <cell r="M24">
            <v>22.35</v>
          </cell>
          <cell r="N24">
            <v>22.1</v>
          </cell>
          <cell r="O24">
            <v>22.25</v>
          </cell>
          <cell r="P24">
            <v>22.35</v>
          </cell>
          <cell r="Q24">
            <v>23.25</v>
          </cell>
          <cell r="R24">
            <v>22.2</v>
          </cell>
          <cell r="S24">
            <v>22.35</v>
          </cell>
          <cell r="T24">
            <v>17.350000000000001</v>
          </cell>
          <cell r="U24">
            <v>22</v>
          </cell>
          <cell r="V24">
            <v>19.25</v>
          </cell>
          <cell r="W24">
            <v>24.75</v>
          </cell>
          <cell r="X24">
            <v>15.7</v>
          </cell>
          <cell r="Y24">
            <v>22.5</v>
          </cell>
          <cell r="Z24">
            <v>25</v>
          </cell>
          <cell r="AA24">
            <v>24.75</v>
          </cell>
          <cell r="AB24">
            <v>19.75</v>
          </cell>
          <cell r="AC24">
            <v>21.76</v>
          </cell>
          <cell r="AD24">
            <v>19.760000000000002</v>
          </cell>
          <cell r="AE24">
            <v>19.760000000000002</v>
          </cell>
          <cell r="AF24">
            <v>19.760000000000002</v>
          </cell>
        </row>
        <row r="25">
          <cell r="A25">
            <v>37252</v>
          </cell>
          <cell r="B25">
            <v>30.25</v>
          </cell>
          <cell r="C25">
            <v>34</v>
          </cell>
          <cell r="D25">
            <v>34</v>
          </cell>
          <cell r="E25">
            <v>34</v>
          </cell>
          <cell r="F25">
            <v>21.25</v>
          </cell>
          <cell r="G25">
            <v>27.25</v>
          </cell>
          <cell r="H25">
            <v>27.25</v>
          </cell>
          <cell r="I25">
            <v>27.25</v>
          </cell>
          <cell r="J25">
            <v>26.9</v>
          </cell>
          <cell r="K25">
            <v>34</v>
          </cell>
          <cell r="L25">
            <v>35</v>
          </cell>
          <cell r="M25">
            <v>22.35</v>
          </cell>
          <cell r="N25">
            <v>22.1</v>
          </cell>
          <cell r="O25">
            <v>22.25</v>
          </cell>
          <cell r="P25">
            <v>22.35</v>
          </cell>
          <cell r="Q25">
            <v>23.25</v>
          </cell>
          <cell r="R25">
            <v>22.2</v>
          </cell>
          <cell r="S25">
            <v>22.35</v>
          </cell>
          <cell r="T25">
            <v>17.350000000000001</v>
          </cell>
          <cell r="U25">
            <v>22</v>
          </cell>
          <cell r="V25">
            <v>19.25</v>
          </cell>
          <cell r="W25">
            <v>24.75</v>
          </cell>
          <cell r="X25">
            <v>15.7</v>
          </cell>
          <cell r="Y25">
            <v>22.5</v>
          </cell>
          <cell r="Z25">
            <v>25</v>
          </cell>
          <cell r="AA25">
            <v>24.75</v>
          </cell>
          <cell r="AB25">
            <v>19.75</v>
          </cell>
          <cell r="AC25">
            <v>21.76</v>
          </cell>
          <cell r="AD25">
            <v>19.760000000000002</v>
          </cell>
          <cell r="AE25">
            <v>19.760000000000002</v>
          </cell>
          <cell r="AF25">
            <v>19.760000000000002</v>
          </cell>
        </row>
        <row r="26">
          <cell r="A26">
            <v>37253</v>
          </cell>
          <cell r="B26">
            <v>30.25</v>
          </cell>
          <cell r="C26">
            <v>34</v>
          </cell>
          <cell r="D26">
            <v>34</v>
          </cell>
          <cell r="E26">
            <v>34</v>
          </cell>
          <cell r="F26">
            <v>21.25</v>
          </cell>
          <cell r="G26">
            <v>27.25</v>
          </cell>
          <cell r="H26">
            <v>27.25</v>
          </cell>
          <cell r="I26">
            <v>27.25</v>
          </cell>
          <cell r="J26">
            <v>26.9</v>
          </cell>
          <cell r="K26">
            <v>34</v>
          </cell>
          <cell r="L26">
            <v>35</v>
          </cell>
          <cell r="M26">
            <v>22.35</v>
          </cell>
          <cell r="N26">
            <v>22.1</v>
          </cell>
          <cell r="O26">
            <v>22.25</v>
          </cell>
          <cell r="P26">
            <v>22.35</v>
          </cell>
          <cell r="Q26">
            <v>23.25</v>
          </cell>
          <cell r="R26">
            <v>22.2</v>
          </cell>
          <cell r="S26">
            <v>22.35</v>
          </cell>
          <cell r="T26">
            <v>17.350000000000001</v>
          </cell>
          <cell r="U26">
            <v>22</v>
          </cell>
          <cell r="V26">
            <v>19.25</v>
          </cell>
          <cell r="W26">
            <v>24.75</v>
          </cell>
          <cell r="X26">
            <v>15.7</v>
          </cell>
          <cell r="Y26">
            <v>22.5</v>
          </cell>
          <cell r="Z26">
            <v>25</v>
          </cell>
          <cell r="AA26">
            <v>24.75</v>
          </cell>
          <cell r="AB26">
            <v>19.75</v>
          </cell>
          <cell r="AC26">
            <v>21.76</v>
          </cell>
          <cell r="AD26">
            <v>19.760000000000002</v>
          </cell>
          <cell r="AE26">
            <v>19.760000000000002</v>
          </cell>
          <cell r="AF26">
            <v>19.760000000000002</v>
          </cell>
        </row>
        <row r="27">
          <cell r="A27">
            <v>37254</v>
          </cell>
          <cell r="B27">
            <v>27.495000000000001</v>
          </cell>
          <cell r="C27">
            <v>31.245000000000001</v>
          </cell>
          <cell r="D27">
            <v>31.245000000000001</v>
          </cell>
          <cell r="E27">
            <v>31.245000000000001</v>
          </cell>
          <cell r="F27">
            <v>21.5</v>
          </cell>
          <cell r="G27">
            <v>27.5</v>
          </cell>
          <cell r="H27">
            <v>27.5</v>
          </cell>
          <cell r="I27">
            <v>27.5</v>
          </cell>
          <cell r="J27">
            <v>24</v>
          </cell>
          <cell r="K27">
            <v>31</v>
          </cell>
          <cell r="L27">
            <v>32</v>
          </cell>
          <cell r="M27">
            <v>18.75</v>
          </cell>
          <cell r="N27">
            <v>17.5</v>
          </cell>
          <cell r="O27">
            <v>17.75</v>
          </cell>
          <cell r="P27">
            <v>18.75</v>
          </cell>
          <cell r="Q27">
            <v>19.649999999999999</v>
          </cell>
          <cell r="R27">
            <v>18.600000000000001</v>
          </cell>
          <cell r="S27">
            <v>18.75</v>
          </cell>
          <cell r="T27">
            <v>13.75</v>
          </cell>
          <cell r="U27">
            <v>21.25</v>
          </cell>
          <cell r="V27">
            <v>19.25</v>
          </cell>
          <cell r="W27">
            <v>24</v>
          </cell>
          <cell r="X27">
            <v>15.7</v>
          </cell>
          <cell r="Y27">
            <v>21.75</v>
          </cell>
          <cell r="Z27">
            <v>24.25</v>
          </cell>
          <cell r="AA27">
            <v>24</v>
          </cell>
          <cell r="AB27">
            <v>18</v>
          </cell>
          <cell r="AC27">
            <v>20.010000000000002</v>
          </cell>
          <cell r="AD27">
            <v>18.010000000000002</v>
          </cell>
          <cell r="AE27">
            <v>18.010000000000002</v>
          </cell>
          <cell r="AF27">
            <v>18.010000000000002</v>
          </cell>
        </row>
        <row r="28">
          <cell r="A28">
            <v>37255</v>
          </cell>
          <cell r="B28">
            <v>27.5</v>
          </cell>
          <cell r="C28">
            <v>31.25</v>
          </cell>
          <cell r="D28">
            <v>31.25</v>
          </cell>
          <cell r="E28">
            <v>31.25</v>
          </cell>
          <cell r="F28">
            <v>20</v>
          </cell>
          <cell r="G28">
            <v>26</v>
          </cell>
          <cell r="H28">
            <v>26</v>
          </cell>
          <cell r="I28">
            <v>26</v>
          </cell>
          <cell r="J28">
            <v>24</v>
          </cell>
          <cell r="K28">
            <v>31</v>
          </cell>
          <cell r="L28">
            <v>32</v>
          </cell>
          <cell r="M28">
            <v>18.75</v>
          </cell>
          <cell r="N28">
            <v>17.5</v>
          </cell>
          <cell r="O28">
            <v>17.75</v>
          </cell>
          <cell r="P28">
            <v>18.75</v>
          </cell>
          <cell r="Q28">
            <v>19.649999999999999</v>
          </cell>
          <cell r="R28">
            <v>18.600000000000001</v>
          </cell>
          <cell r="S28">
            <v>18.75</v>
          </cell>
          <cell r="T28">
            <v>13.75</v>
          </cell>
          <cell r="U28">
            <v>21.25</v>
          </cell>
          <cell r="V28">
            <v>19.25</v>
          </cell>
          <cell r="W28">
            <v>24</v>
          </cell>
          <cell r="X28">
            <v>15.7</v>
          </cell>
          <cell r="Y28">
            <v>21.75</v>
          </cell>
          <cell r="Z28">
            <v>24.25</v>
          </cell>
          <cell r="AA28">
            <v>24</v>
          </cell>
          <cell r="AB28">
            <v>18</v>
          </cell>
          <cell r="AC28">
            <v>20.010000000000002</v>
          </cell>
          <cell r="AD28">
            <v>18.010000000000002</v>
          </cell>
          <cell r="AE28">
            <v>18.010000000000002</v>
          </cell>
          <cell r="AF28">
            <v>18.010000000000002</v>
          </cell>
        </row>
        <row r="29">
          <cell r="A29">
            <v>37256</v>
          </cell>
          <cell r="B29">
            <v>30.25</v>
          </cell>
          <cell r="C29">
            <v>34</v>
          </cell>
          <cell r="D29">
            <v>34</v>
          </cell>
          <cell r="E29">
            <v>34</v>
          </cell>
          <cell r="F29">
            <v>21.25</v>
          </cell>
          <cell r="G29">
            <v>27.25</v>
          </cell>
          <cell r="H29">
            <v>27.25</v>
          </cell>
          <cell r="I29">
            <v>27.25</v>
          </cell>
          <cell r="J29">
            <v>26</v>
          </cell>
          <cell r="K29">
            <v>34</v>
          </cell>
          <cell r="L29">
            <v>35</v>
          </cell>
          <cell r="M29">
            <v>22.35</v>
          </cell>
          <cell r="N29">
            <v>21.55</v>
          </cell>
          <cell r="O29">
            <v>21.35</v>
          </cell>
          <cell r="P29">
            <v>22.35</v>
          </cell>
          <cell r="Q29">
            <v>23.25</v>
          </cell>
          <cell r="R29">
            <v>22.2</v>
          </cell>
          <cell r="S29">
            <v>22.35</v>
          </cell>
          <cell r="T29">
            <v>17.350000000000001</v>
          </cell>
          <cell r="U29">
            <v>22</v>
          </cell>
          <cell r="V29">
            <v>19.25</v>
          </cell>
          <cell r="W29">
            <v>24.75</v>
          </cell>
          <cell r="X29">
            <v>15.7</v>
          </cell>
          <cell r="Y29">
            <v>22.5</v>
          </cell>
          <cell r="Z29">
            <v>25</v>
          </cell>
          <cell r="AA29">
            <v>24.75</v>
          </cell>
          <cell r="AB29">
            <v>19.75</v>
          </cell>
          <cell r="AC29">
            <v>21.76</v>
          </cell>
          <cell r="AD29">
            <v>19.760000000000002</v>
          </cell>
          <cell r="AE29">
            <v>19.760000000000002</v>
          </cell>
          <cell r="AF29">
            <v>19.760000000000002</v>
          </cell>
        </row>
        <row r="30">
          <cell r="A30">
            <v>37257</v>
          </cell>
          <cell r="B30">
            <v>30.004000000000001</v>
          </cell>
          <cell r="C30">
            <v>33.754000000000005</v>
          </cell>
          <cell r="D30">
            <v>33.754000000000005</v>
          </cell>
          <cell r="E30">
            <v>33.754000000000005</v>
          </cell>
          <cell r="F30">
            <v>28.5</v>
          </cell>
          <cell r="G30">
            <v>34.5</v>
          </cell>
          <cell r="H30">
            <v>34.5</v>
          </cell>
          <cell r="I30">
            <v>34.5</v>
          </cell>
          <cell r="J30">
            <v>29.25</v>
          </cell>
          <cell r="K30">
            <v>36.5</v>
          </cell>
          <cell r="L30">
            <v>41.75</v>
          </cell>
          <cell r="M30">
            <v>18.375</v>
          </cell>
          <cell r="N30">
            <v>15.645</v>
          </cell>
          <cell r="O30">
            <v>17.375</v>
          </cell>
          <cell r="P30">
            <v>18.375</v>
          </cell>
          <cell r="Q30">
            <v>19.274999999999999</v>
          </cell>
          <cell r="R30">
            <v>18.225000000000001</v>
          </cell>
          <cell r="S30">
            <v>18.375</v>
          </cell>
          <cell r="T30">
            <v>13.375</v>
          </cell>
          <cell r="U30">
            <v>20.840000152587898</v>
          </cell>
          <cell r="V30">
            <v>18</v>
          </cell>
          <cell r="W30">
            <v>23.59</v>
          </cell>
          <cell r="X30">
            <v>14.45</v>
          </cell>
          <cell r="Y30">
            <v>21.34</v>
          </cell>
          <cell r="Z30">
            <v>23.84</v>
          </cell>
          <cell r="AA30">
            <v>23.59</v>
          </cell>
          <cell r="AB30">
            <v>21.802</v>
          </cell>
          <cell r="AC30">
            <v>23.812000000000001</v>
          </cell>
          <cell r="AD30">
            <v>21.812000000000001</v>
          </cell>
          <cell r="AE30">
            <v>21.812000000000001</v>
          </cell>
          <cell r="AF30">
            <v>21.812000000000001</v>
          </cell>
        </row>
        <row r="31">
          <cell r="A31">
            <v>37258</v>
          </cell>
          <cell r="B31">
            <v>36.754000000000005</v>
          </cell>
          <cell r="C31">
            <v>40.504000000000005</v>
          </cell>
          <cell r="D31">
            <v>40.504000000000005</v>
          </cell>
          <cell r="E31">
            <v>40.504000000000005</v>
          </cell>
          <cell r="F31">
            <v>28.5</v>
          </cell>
          <cell r="G31">
            <v>34.5</v>
          </cell>
          <cell r="H31">
            <v>34.5</v>
          </cell>
          <cell r="I31">
            <v>34.5</v>
          </cell>
          <cell r="J31">
            <v>29.25</v>
          </cell>
          <cell r="K31">
            <v>36.5</v>
          </cell>
          <cell r="L31">
            <v>41.75</v>
          </cell>
          <cell r="M31">
            <v>18.375</v>
          </cell>
          <cell r="N31">
            <v>15.645</v>
          </cell>
          <cell r="O31">
            <v>17.375</v>
          </cell>
          <cell r="P31">
            <v>18.375</v>
          </cell>
          <cell r="Q31">
            <v>19.274999999999999</v>
          </cell>
          <cell r="R31">
            <v>18.225000000000001</v>
          </cell>
          <cell r="S31">
            <v>18.375</v>
          </cell>
          <cell r="T31">
            <v>13.375</v>
          </cell>
          <cell r="U31">
            <v>27.5</v>
          </cell>
          <cell r="V31">
            <v>22.5</v>
          </cell>
          <cell r="W31">
            <v>30.25</v>
          </cell>
          <cell r="X31">
            <v>18.95</v>
          </cell>
          <cell r="Y31">
            <v>28</v>
          </cell>
          <cell r="Z31">
            <v>30.5</v>
          </cell>
          <cell r="AA31">
            <v>30.25</v>
          </cell>
          <cell r="AB31">
            <v>21.802</v>
          </cell>
          <cell r="AC31">
            <v>23.812000000000001</v>
          </cell>
          <cell r="AD31">
            <v>21.812000000000001</v>
          </cell>
          <cell r="AE31">
            <v>21.812000000000001</v>
          </cell>
          <cell r="AF31">
            <v>21.812000000000001</v>
          </cell>
        </row>
        <row r="32">
          <cell r="A32">
            <v>37259</v>
          </cell>
          <cell r="B32">
            <v>36.75</v>
          </cell>
          <cell r="C32">
            <v>40.5</v>
          </cell>
          <cell r="D32">
            <v>40.5</v>
          </cell>
          <cell r="E32">
            <v>40.5</v>
          </cell>
          <cell r="F32">
            <v>28.5</v>
          </cell>
          <cell r="G32">
            <v>34.5</v>
          </cell>
          <cell r="H32">
            <v>34.5</v>
          </cell>
          <cell r="I32">
            <v>34.5</v>
          </cell>
          <cell r="J32">
            <v>29.25</v>
          </cell>
          <cell r="K32">
            <v>36.5</v>
          </cell>
          <cell r="L32">
            <v>41.75</v>
          </cell>
          <cell r="M32">
            <v>25.95</v>
          </cell>
          <cell r="N32">
            <v>23.22</v>
          </cell>
          <cell r="O32">
            <v>24.95</v>
          </cell>
          <cell r="P32">
            <v>25.95</v>
          </cell>
          <cell r="Q32">
            <v>26.85</v>
          </cell>
          <cell r="R32">
            <v>25.8</v>
          </cell>
          <cell r="S32">
            <v>25.95</v>
          </cell>
          <cell r="T32">
            <v>20.95</v>
          </cell>
          <cell r="U32">
            <v>27.5</v>
          </cell>
          <cell r="V32">
            <v>22.5</v>
          </cell>
          <cell r="W32">
            <v>30.25</v>
          </cell>
          <cell r="X32">
            <v>18.95</v>
          </cell>
          <cell r="Y32">
            <v>28</v>
          </cell>
          <cell r="Z32">
            <v>30.5</v>
          </cell>
          <cell r="AA32">
            <v>30.25</v>
          </cell>
          <cell r="AB32">
            <v>21.8</v>
          </cell>
          <cell r="AC32">
            <v>23.81</v>
          </cell>
          <cell r="AD32">
            <v>21.81</v>
          </cell>
          <cell r="AE32">
            <v>21.81</v>
          </cell>
          <cell r="AF32">
            <v>21.81</v>
          </cell>
        </row>
        <row r="33">
          <cell r="A33">
            <v>37260</v>
          </cell>
          <cell r="B33">
            <v>36.75</v>
          </cell>
          <cell r="C33">
            <v>40.5</v>
          </cell>
          <cell r="D33">
            <v>40.5</v>
          </cell>
          <cell r="E33">
            <v>40.5</v>
          </cell>
          <cell r="F33">
            <v>28.5</v>
          </cell>
          <cell r="G33">
            <v>34.5</v>
          </cell>
          <cell r="H33">
            <v>34.5</v>
          </cell>
          <cell r="I33">
            <v>34.5</v>
          </cell>
          <cell r="J33">
            <v>29.25</v>
          </cell>
          <cell r="K33">
            <v>36.5</v>
          </cell>
          <cell r="L33">
            <v>41.75</v>
          </cell>
          <cell r="M33">
            <v>25.95</v>
          </cell>
          <cell r="N33">
            <v>23.22</v>
          </cell>
          <cell r="O33">
            <v>24.95</v>
          </cell>
          <cell r="P33">
            <v>25.95</v>
          </cell>
          <cell r="Q33">
            <v>26.85</v>
          </cell>
          <cell r="R33">
            <v>25.8</v>
          </cell>
          <cell r="S33">
            <v>25.95</v>
          </cell>
          <cell r="T33">
            <v>20.95</v>
          </cell>
          <cell r="U33">
            <v>27.5</v>
          </cell>
          <cell r="V33">
            <v>22.5</v>
          </cell>
          <cell r="W33">
            <v>30.25</v>
          </cell>
          <cell r="X33">
            <v>18.95</v>
          </cell>
          <cell r="Y33">
            <v>28</v>
          </cell>
          <cell r="Z33">
            <v>30.5</v>
          </cell>
          <cell r="AA33">
            <v>30.25</v>
          </cell>
          <cell r="AB33">
            <v>22.2</v>
          </cell>
          <cell r="AC33">
            <v>24.21</v>
          </cell>
          <cell r="AD33">
            <v>22.21</v>
          </cell>
          <cell r="AE33">
            <v>22.21</v>
          </cell>
          <cell r="AF33">
            <v>22.21</v>
          </cell>
        </row>
        <row r="34">
          <cell r="A34">
            <v>37261</v>
          </cell>
          <cell r="B34">
            <v>31.753999710083001</v>
          </cell>
          <cell r="C34">
            <v>35.5</v>
          </cell>
          <cell r="D34">
            <v>35.5</v>
          </cell>
          <cell r="E34">
            <v>35.5</v>
          </cell>
          <cell r="F34">
            <v>22.25</v>
          </cell>
          <cell r="G34">
            <v>28.25</v>
          </cell>
          <cell r="H34">
            <v>28.25</v>
          </cell>
          <cell r="I34">
            <v>28.25</v>
          </cell>
          <cell r="J34">
            <v>24.5</v>
          </cell>
          <cell r="K34">
            <v>31.5</v>
          </cell>
          <cell r="L34">
            <v>33</v>
          </cell>
          <cell r="M34">
            <v>28.094999313354499</v>
          </cell>
          <cell r="N34">
            <v>25.36</v>
          </cell>
          <cell r="O34">
            <v>27.09</v>
          </cell>
          <cell r="P34">
            <v>28.094999313354499</v>
          </cell>
          <cell r="Q34">
            <v>28.99</v>
          </cell>
          <cell r="R34">
            <v>27.94</v>
          </cell>
          <cell r="S34">
            <v>28.09</v>
          </cell>
          <cell r="T34">
            <v>23.09</v>
          </cell>
          <cell r="U34">
            <v>19.89</v>
          </cell>
          <cell r="V34">
            <v>19.350000381469698</v>
          </cell>
          <cell r="W34">
            <v>22.64</v>
          </cell>
          <cell r="X34">
            <v>15.8</v>
          </cell>
          <cell r="Y34">
            <v>20.39</v>
          </cell>
          <cell r="Z34">
            <v>22.89</v>
          </cell>
          <cell r="AA34">
            <v>22.64</v>
          </cell>
          <cell r="AB34">
            <v>22.2</v>
          </cell>
          <cell r="AC34">
            <v>24.21</v>
          </cell>
          <cell r="AD34">
            <v>22.21</v>
          </cell>
          <cell r="AE34">
            <v>22.21</v>
          </cell>
          <cell r="AF34">
            <v>22.21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"/>
      <sheetName val="Total"/>
      <sheetName val="Master"/>
      <sheetName val="TradeSum"/>
      <sheetName val="GencoPosn"/>
      <sheetName val="NYMEX"/>
      <sheetName val="OthNewDeals"/>
      <sheetName val="NymexData"/>
      <sheetName val="Interest"/>
      <sheetName val="FuturesPosn"/>
      <sheetName val="EOL LINKS"/>
      <sheetName val="Cd"/>
      <sheetName val="Module1"/>
      <sheetName val="Module2"/>
      <sheetName val="Sheet1"/>
      <sheetName val="MWSUM"/>
    </sheetNames>
    <sheetDataSet>
      <sheetData sheetId="0"/>
      <sheetData sheetId="1"/>
      <sheetData sheetId="2">
        <row r="6">
          <cell r="G6" t="str">
            <v>Heat Rate</v>
          </cell>
          <cell r="H6" t="str">
            <v>NatGas Eq.</v>
          </cell>
          <cell r="L6" t="str">
            <v>chng</v>
          </cell>
          <cell r="N6" t="str">
            <v>Basis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V1279"/>
  <sheetViews>
    <sheetView tabSelected="1" view="pageBreakPreview" zoomScale="70" zoomScaleNormal="70" workbookViewId="0">
      <pane xSplit="7" ySplit="5" topLeftCell="H6" activePane="bottomRight" state="frozen"/>
      <selection pane="topRight" activeCell="G1" sqref="G1"/>
      <selection pane="bottomLeft" activeCell="A5" sqref="A5"/>
      <selection pane="bottomRight" activeCell="R393" sqref="R393:R402"/>
    </sheetView>
  </sheetViews>
  <sheetFormatPr defaultRowHeight="12.75" x14ac:dyDescent="0.2"/>
  <cols>
    <col min="1" max="1" width="4.5703125" customWidth="1"/>
    <col min="2" max="2" width="15.7109375" style="24" customWidth="1"/>
    <col min="3" max="3" width="16.85546875" style="24" hidden="1" customWidth="1"/>
    <col min="4" max="6" width="16.85546875" style="4" hidden="1" customWidth="1"/>
    <col min="7" max="7" width="14" style="40" hidden="1" customWidth="1"/>
    <col min="8" max="8" width="11" style="40" customWidth="1"/>
    <col min="9" max="9" width="11.7109375" style="40" customWidth="1"/>
    <col min="10" max="10" width="13.28515625" style="44" hidden="1" customWidth="1"/>
    <col min="11" max="11" width="9.28515625" style="47" hidden="1" customWidth="1"/>
    <col min="12" max="12" width="9" style="47" customWidth="1"/>
    <col min="13" max="13" width="9.140625" style="24" hidden="1" customWidth="1"/>
    <col min="14" max="14" width="9.7109375" style="24" bestFit="1" customWidth="1"/>
    <col min="15" max="15" width="10.140625" style="279" bestFit="1" customWidth="1"/>
    <col min="16" max="16" width="7.85546875" style="24" customWidth="1"/>
    <col min="17" max="17" width="9.140625" style="47" hidden="1" customWidth="1"/>
    <col min="18" max="18" width="9.42578125" style="47" customWidth="1"/>
    <col min="19" max="19" width="9.140625" style="24" hidden="1" customWidth="1"/>
    <col min="20" max="20" width="9.140625" style="24" bestFit="1"/>
    <col min="21" max="21" width="10.140625" style="461" bestFit="1" customWidth="1"/>
    <col min="22" max="22" width="7.7109375" style="24" customWidth="1"/>
    <col min="23" max="23" width="9.140625" style="24" hidden="1" customWidth="1"/>
    <col min="24" max="24" width="9.140625" style="47" hidden="1" customWidth="1"/>
    <col min="25" max="25" width="9.140625" style="24" hidden="1" customWidth="1"/>
    <col min="26" max="26" width="7.85546875" style="24" hidden="1" customWidth="1"/>
    <col min="27" max="27" width="13.28515625" style="24" hidden="1" customWidth="1"/>
    <col min="28" max="28" width="9.7109375" style="47" customWidth="1"/>
    <col min="29" max="29" width="9.140625" style="24" hidden="1" customWidth="1"/>
    <col min="30" max="30" width="10.140625" style="24" customWidth="1"/>
    <col min="31" max="31" width="9.140625" style="24" hidden="1" customWidth="1"/>
    <col min="32" max="32" width="10" style="47" customWidth="1"/>
    <col min="33" max="33" width="2.42578125" style="24" hidden="1" customWidth="1"/>
    <col min="34" max="34" width="10" style="24" customWidth="1"/>
    <col min="35" max="35" width="9.140625" style="24" hidden="1" customWidth="1"/>
    <col min="36" max="36" width="9" style="47" customWidth="1"/>
    <col min="37" max="37" width="9.140625" style="24" hidden="1" customWidth="1"/>
    <col min="38" max="38" width="10" style="24" bestFit="1" customWidth="1"/>
    <col min="39" max="39" width="11.140625" style="24" customWidth="1"/>
    <col min="40" max="40" width="10.85546875" style="24" customWidth="1"/>
    <col min="41" max="41" width="9.140625" style="24" hidden="1" customWidth="1"/>
    <col min="42" max="42" width="9.42578125" style="47" hidden="1" customWidth="1"/>
    <col min="43" max="43" width="9.140625" style="24" hidden="1" customWidth="1"/>
    <col min="44" max="44" width="9.42578125" style="24" hidden="1" customWidth="1"/>
    <col min="45" max="45" width="9.140625" style="24" hidden="1" customWidth="1"/>
    <col min="46" max="46" width="10.5703125" style="47" customWidth="1"/>
    <col min="47" max="47" width="9.140625" style="24" hidden="1" customWidth="1"/>
    <col min="48" max="48" width="10.85546875" style="24" customWidth="1"/>
    <col min="49" max="49" width="9.28515625" style="47" hidden="1" customWidth="1"/>
    <col min="50" max="50" width="9.7109375" style="47" customWidth="1"/>
    <col min="51" max="51" width="9.140625" style="24" hidden="1" customWidth="1"/>
    <col min="52" max="52" width="10" style="24" bestFit="1" customWidth="1"/>
    <col min="53" max="53" width="10.140625" style="24" bestFit="1" customWidth="1"/>
    <col min="54" max="54" width="8" style="24" customWidth="1"/>
    <col min="55" max="55" width="9.140625" style="47" hidden="1" customWidth="1"/>
    <col min="56" max="56" width="9.85546875" style="47" customWidth="1"/>
    <col min="57" max="57" width="9.140625" style="24" hidden="1" customWidth="1"/>
    <col min="58" max="58" width="9.85546875" style="24" customWidth="1"/>
    <col min="59" max="59" width="9.140625" style="47" hidden="1" customWidth="1"/>
    <col min="60" max="61" width="9.140625" style="47"/>
    <col min="62" max="62" width="9.5703125" style="47" customWidth="1"/>
    <col min="63" max="63" width="9.140625" style="24" hidden="1" customWidth="1"/>
    <col min="64" max="64" width="10" style="24" bestFit="1" customWidth="1"/>
    <col min="65" max="65" width="10" style="24" hidden="1" customWidth="1"/>
    <col min="66" max="66" width="10" style="425" customWidth="1"/>
    <col min="67" max="67" width="10" style="24" hidden="1" customWidth="1"/>
    <col min="68" max="68" width="10" style="24" customWidth="1"/>
    <col min="69" max="69" width="9.140625" style="47" hidden="1" customWidth="1"/>
    <col min="70" max="70" width="8.85546875" style="47" customWidth="1"/>
    <col min="71" max="71" width="9.140625" style="24" hidden="1" customWidth="1"/>
    <col min="72" max="72" width="9.28515625" style="24" customWidth="1"/>
    <col min="73" max="73" width="9.140625" style="47" hidden="1" customWidth="1"/>
    <col min="74" max="74" width="9" style="47" customWidth="1"/>
    <col min="75" max="75" width="9.140625" style="24" hidden="1" customWidth="1"/>
    <col min="76" max="76" width="10" style="24" bestFit="1" customWidth="1"/>
    <col min="77" max="78" width="8.7109375" style="24" customWidth="1"/>
    <col min="79" max="79" width="9.140625" style="47" hidden="1" customWidth="1"/>
    <col min="80" max="80" width="12" style="47" customWidth="1"/>
    <col min="81" max="81" width="9.140625" hidden="1" customWidth="1"/>
    <col min="82" max="82" width="10.7109375" bestFit="1" customWidth="1"/>
    <col min="83" max="83" width="7.7109375" bestFit="1" customWidth="1"/>
    <col min="84" max="84" width="7.5703125" bestFit="1" customWidth="1"/>
    <col min="85" max="85" width="13.42578125" bestFit="1" customWidth="1"/>
    <col min="86" max="86" width="9.28515625" bestFit="1" customWidth="1"/>
    <col min="93" max="94" width="13" bestFit="1" customWidth="1"/>
    <col min="95" max="95" width="13.28515625" bestFit="1" customWidth="1"/>
    <col min="96" max="96" width="12.7109375" bestFit="1" customWidth="1"/>
    <col min="97" max="97" width="13" bestFit="1" customWidth="1"/>
    <col min="98" max="98" width="12.7109375" bestFit="1" customWidth="1"/>
    <col min="100" max="100" width="10.7109375" bestFit="1" customWidth="1"/>
  </cols>
  <sheetData>
    <row r="1" spans="1:96" ht="13.5" thickBot="1" x14ac:dyDescent="0.25"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  <c r="H1" s="24">
        <v>7</v>
      </c>
      <c r="I1" s="24">
        <v>8</v>
      </c>
      <c r="J1" s="24">
        <v>9</v>
      </c>
      <c r="K1" s="24">
        <v>10</v>
      </c>
      <c r="L1" s="24">
        <v>11</v>
      </c>
      <c r="M1" s="24">
        <v>12</v>
      </c>
      <c r="N1" s="24">
        <v>13</v>
      </c>
      <c r="O1" s="24">
        <v>14</v>
      </c>
      <c r="P1" s="24">
        <v>15</v>
      </c>
      <c r="Q1" s="24">
        <v>16</v>
      </c>
      <c r="R1" s="24">
        <v>17</v>
      </c>
      <c r="S1" s="24">
        <v>18</v>
      </c>
      <c r="T1" s="24">
        <v>19</v>
      </c>
      <c r="U1" s="24">
        <v>20</v>
      </c>
      <c r="V1" s="24">
        <v>21</v>
      </c>
      <c r="W1" s="24">
        <v>22</v>
      </c>
      <c r="X1" s="24">
        <v>23</v>
      </c>
      <c r="Y1" s="24">
        <v>24</v>
      </c>
      <c r="Z1" s="24">
        <v>25</v>
      </c>
      <c r="AA1" s="24">
        <v>26</v>
      </c>
      <c r="AB1" s="24">
        <v>27</v>
      </c>
      <c r="AC1" s="24">
        <v>28</v>
      </c>
      <c r="AD1" s="24">
        <v>29</v>
      </c>
      <c r="AE1" s="24">
        <v>30</v>
      </c>
      <c r="AF1" s="24">
        <v>31</v>
      </c>
      <c r="AG1" s="24">
        <v>32</v>
      </c>
      <c r="AH1" s="24">
        <v>33</v>
      </c>
      <c r="AI1" s="24">
        <v>34</v>
      </c>
      <c r="AJ1" s="24">
        <v>35</v>
      </c>
      <c r="AK1" s="24">
        <v>36</v>
      </c>
      <c r="AL1" s="24">
        <v>37</v>
      </c>
      <c r="AM1" s="24">
        <v>38</v>
      </c>
      <c r="AN1" s="24">
        <v>39</v>
      </c>
      <c r="AO1" s="24">
        <v>40</v>
      </c>
      <c r="AP1" s="24">
        <v>41</v>
      </c>
      <c r="AQ1" s="24">
        <v>42</v>
      </c>
      <c r="AR1" s="24">
        <v>43</v>
      </c>
      <c r="AS1" s="24">
        <v>44</v>
      </c>
      <c r="AT1" s="24">
        <v>45</v>
      </c>
      <c r="AU1" s="24">
        <v>46</v>
      </c>
      <c r="AV1" s="24">
        <v>47</v>
      </c>
      <c r="AW1" s="24">
        <v>48</v>
      </c>
      <c r="AX1" s="24">
        <v>49</v>
      </c>
      <c r="AY1" s="24">
        <v>50</v>
      </c>
      <c r="AZ1" s="24">
        <v>51</v>
      </c>
      <c r="BA1" s="24">
        <v>52</v>
      </c>
      <c r="BB1" s="24">
        <v>53</v>
      </c>
      <c r="BC1" s="24">
        <v>54</v>
      </c>
      <c r="BD1" s="24">
        <v>55</v>
      </c>
      <c r="BE1" s="24">
        <v>56</v>
      </c>
      <c r="BF1" s="24">
        <v>57</v>
      </c>
      <c r="BG1" s="24">
        <v>58</v>
      </c>
      <c r="BH1" s="24">
        <v>59</v>
      </c>
      <c r="BI1" s="24">
        <v>60</v>
      </c>
      <c r="BJ1" s="24">
        <v>61</v>
      </c>
      <c r="BK1" s="24">
        <v>62</v>
      </c>
      <c r="BL1" s="24">
        <v>63</v>
      </c>
      <c r="BM1" s="24">
        <v>64</v>
      </c>
      <c r="BN1" s="24">
        <v>65</v>
      </c>
      <c r="BO1" s="24">
        <v>66</v>
      </c>
      <c r="BP1" s="24">
        <v>67</v>
      </c>
      <c r="BQ1" s="24">
        <v>68</v>
      </c>
      <c r="BR1" s="24">
        <v>69</v>
      </c>
      <c r="BS1" s="24">
        <v>70</v>
      </c>
      <c r="BT1" s="24">
        <v>71</v>
      </c>
      <c r="BU1" s="24">
        <v>72</v>
      </c>
      <c r="BV1" s="24">
        <v>73</v>
      </c>
      <c r="BW1" s="24">
        <v>74</v>
      </c>
      <c r="BX1" s="24">
        <v>75</v>
      </c>
      <c r="BY1" s="24">
        <v>76</v>
      </c>
      <c r="BZ1" s="24">
        <v>77</v>
      </c>
      <c r="CA1" s="24">
        <v>78</v>
      </c>
      <c r="CB1" s="24">
        <v>79</v>
      </c>
      <c r="CC1" s="24">
        <v>80</v>
      </c>
      <c r="CD1" s="24">
        <v>81</v>
      </c>
      <c r="CE1" s="24">
        <v>82</v>
      </c>
      <c r="CF1" s="24">
        <v>83</v>
      </c>
    </row>
    <row r="2" spans="1:96" s="48" customFormat="1" ht="38.25" customHeight="1" x14ac:dyDescent="0.2">
      <c r="B2" s="557">
        <f ca="1">NOW()</f>
        <v>41885.772742824076</v>
      </c>
      <c r="C2" s="90"/>
      <c r="D2" s="53"/>
      <c r="E2" s="53"/>
      <c r="F2" s="53"/>
      <c r="G2" s="54" t="s">
        <v>48</v>
      </c>
      <c r="H2" s="559" t="s">
        <v>73</v>
      </c>
      <c r="I2" s="560"/>
      <c r="J2" s="55" t="s">
        <v>52</v>
      </c>
      <c r="K2" s="563" t="str">
        <f>'Filter-new'!E124</f>
        <v>CINERGY</v>
      </c>
      <c r="L2" s="555"/>
      <c r="M2" s="564"/>
      <c r="N2" s="555"/>
      <c r="O2" s="565"/>
      <c r="P2" s="555"/>
      <c r="Q2" s="306" t="str">
        <f>'Filter-new'!H124</f>
        <v>INTO COMED</v>
      </c>
      <c r="R2" s="555" t="s">
        <v>6</v>
      </c>
      <c r="S2" s="555"/>
      <c r="T2" s="555"/>
      <c r="U2" s="556"/>
      <c r="V2" s="555"/>
      <c r="W2" s="567" t="str">
        <f>'Filter-new'!J124</f>
        <v>MAPP</v>
      </c>
      <c r="X2" s="574"/>
      <c r="Y2" s="568"/>
      <c r="Z2" s="574"/>
      <c r="AA2" s="568" t="str">
        <f>'Filter-new'!F124</f>
        <v>AMEREN</v>
      </c>
      <c r="AB2" s="568"/>
      <c r="AC2" s="568"/>
      <c r="AD2" s="569"/>
      <c r="AE2" s="567" t="str">
        <f>'Filter-new'!P124</f>
        <v>NSP</v>
      </c>
      <c r="AF2" s="568"/>
      <c r="AG2" s="568"/>
      <c r="AH2" s="569"/>
      <c r="AI2" s="563" t="str">
        <f>'Filter-new'!L124</f>
        <v>INTO AEP</v>
      </c>
      <c r="AJ2" s="564"/>
      <c r="AK2" s="564"/>
      <c r="AL2" s="564"/>
      <c r="AM2" s="564"/>
      <c r="AN2" s="573"/>
      <c r="AO2" s="567" t="str">
        <f>'Filter-new'!G124</f>
        <v>ERCOT</v>
      </c>
      <c r="AP2" s="568"/>
      <c r="AQ2" s="568"/>
      <c r="AR2" s="569"/>
      <c r="AS2" s="316" t="s">
        <v>94</v>
      </c>
      <c r="AT2" s="568" t="s">
        <v>94</v>
      </c>
      <c r="AU2" s="568"/>
      <c r="AV2" s="569"/>
      <c r="AW2" s="563" t="str">
        <f>'Filter-new'!I124</f>
        <v>INTO TVA</v>
      </c>
      <c r="AX2" s="573"/>
      <c r="AY2" s="564"/>
      <c r="AZ2" s="564"/>
      <c r="BA2" s="564"/>
      <c r="BB2" s="573"/>
      <c r="BC2" s="515" t="str">
        <f>'Filter-new'!K124</f>
        <v>NEPOOL</v>
      </c>
      <c r="BD2" s="579" t="s">
        <v>9</v>
      </c>
      <c r="BE2" s="577"/>
      <c r="BF2" s="579"/>
      <c r="BG2" s="577"/>
      <c r="BH2" s="579"/>
      <c r="BI2" s="579"/>
      <c r="BJ2" s="568" t="s">
        <v>125</v>
      </c>
      <c r="BK2" s="568"/>
      <c r="BL2" s="569"/>
      <c r="BM2" s="567" t="s">
        <v>124</v>
      </c>
      <c r="BN2" s="568"/>
      <c r="BO2" s="568"/>
      <c r="BP2" s="569"/>
      <c r="BQ2" s="567" t="s">
        <v>78</v>
      </c>
      <c r="BR2" s="568"/>
      <c r="BS2" s="568"/>
      <c r="BT2" s="569"/>
      <c r="BU2" s="563" t="s">
        <v>79</v>
      </c>
      <c r="BV2" s="564"/>
      <c r="BW2" s="564"/>
      <c r="BX2" s="564"/>
      <c r="BY2" s="564"/>
      <c r="BZ2" s="573"/>
      <c r="CA2" s="563" t="str">
        <f>'Filter-new'!R124</f>
        <v>WESTERN HUB</v>
      </c>
      <c r="CB2" s="564"/>
      <c r="CC2" s="564"/>
      <c r="CD2" s="564"/>
      <c r="CE2" s="568"/>
      <c r="CF2" s="580"/>
      <c r="CH2" s="244" t="s">
        <v>122</v>
      </c>
      <c r="CI2" s="245"/>
      <c r="CJ2" s="246" t="s">
        <v>168</v>
      </c>
      <c r="CK2" s="246"/>
      <c r="CL2" s="246"/>
      <c r="CM2" s="246"/>
      <c r="CN2" s="247"/>
      <c r="CO2" s="247"/>
      <c r="CP2" s="247"/>
      <c r="CQ2" s="247"/>
      <c r="CR2" s="247"/>
    </row>
    <row r="3" spans="1:96" s="255" customFormat="1" ht="15" customHeight="1" x14ac:dyDescent="0.2">
      <c r="B3" s="558"/>
      <c r="C3" s="256"/>
      <c r="D3" s="257"/>
      <c r="E3" s="257"/>
      <c r="F3" s="257"/>
      <c r="G3" s="258"/>
      <c r="H3" s="302" t="s">
        <v>109</v>
      </c>
      <c r="I3" s="302" t="s">
        <v>110</v>
      </c>
      <c r="J3" s="259"/>
      <c r="K3" s="259"/>
      <c r="L3" s="553" t="s">
        <v>109</v>
      </c>
      <c r="M3" s="554"/>
      <c r="N3" s="552"/>
      <c r="O3" s="566" t="s">
        <v>110</v>
      </c>
      <c r="P3" s="552"/>
      <c r="Q3" s="248"/>
      <c r="R3" s="553" t="s">
        <v>109</v>
      </c>
      <c r="S3" s="554"/>
      <c r="T3" s="552"/>
      <c r="U3" s="551" t="s">
        <v>110</v>
      </c>
      <c r="V3" s="552"/>
      <c r="W3" s="575"/>
      <c r="X3" s="576"/>
      <c r="Y3" s="577"/>
      <c r="Z3" s="576"/>
      <c r="AA3" s="571"/>
      <c r="AB3" s="571"/>
      <c r="AC3" s="571"/>
      <c r="AD3" s="572"/>
      <c r="AE3" s="570"/>
      <c r="AF3" s="571"/>
      <c r="AG3" s="571"/>
      <c r="AH3" s="572"/>
      <c r="AI3" s="265"/>
      <c r="AJ3" s="553" t="s">
        <v>109</v>
      </c>
      <c r="AK3" s="554"/>
      <c r="AL3" s="552"/>
      <c r="AM3" s="553" t="s">
        <v>110</v>
      </c>
      <c r="AN3" s="552"/>
      <c r="AO3" s="570"/>
      <c r="AP3" s="571"/>
      <c r="AQ3" s="571"/>
      <c r="AR3" s="572"/>
      <c r="AS3" s="248"/>
      <c r="AT3" s="286" t="s">
        <v>109</v>
      </c>
      <c r="AU3" s="285"/>
      <c r="AV3" s="286" t="s">
        <v>110</v>
      </c>
      <c r="AW3" s="260"/>
      <c r="AX3" s="578" t="s">
        <v>109</v>
      </c>
      <c r="AY3" s="554"/>
      <c r="AZ3" s="552"/>
      <c r="BA3" s="553" t="s">
        <v>110</v>
      </c>
      <c r="BB3" s="552"/>
      <c r="BC3" s="516"/>
      <c r="BD3" s="578" t="s">
        <v>1</v>
      </c>
      <c r="BE3" s="571"/>
      <c r="BF3" s="578"/>
      <c r="BG3" s="516"/>
      <c r="BH3" s="578" t="s">
        <v>166</v>
      </c>
      <c r="BI3" s="578"/>
      <c r="BJ3" s="571"/>
      <c r="BK3" s="571"/>
      <c r="BL3" s="572"/>
      <c r="BM3" s="570"/>
      <c r="BN3" s="571"/>
      <c r="BO3" s="571"/>
      <c r="BP3" s="572"/>
      <c r="BQ3" s="570"/>
      <c r="BR3" s="571"/>
      <c r="BS3" s="571"/>
      <c r="BT3" s="572"/>
      <c r="BU3" s="259"/>
      <c r="BV3" s="553" t="s">
        <v>109</v>
      </c>
      <c r="BW3" s="554"/>
      <c r="BX3" s="552"/>
      <c r="BY3" s="553" t="s">
        <v>110</v>
      </c>
      <c r="BZ3" s="552"/>
      <c r="CA3" s="260"/>
      <c r="CB3" s="553" t="s">
        <v>109</v>
      </c>
      <c r="CC3" s="554"/>
      <c r="CD3" s="552"/>
      <c r="CE3" s="553" t="s">
        <v>110</v>
      </c>
      <c r="CF3" s="581"/>
      <c r="CH3" s="261"/>
      <c r="CI3" s="262"/>
      <c r="CJ3" s="263"/>
      <c r="CK3" s="263"/>
      <c r="CL3" s="263"/>
      <c r="CM3" s="263"/>
      <c r="CN3" s="264"/>
      <c r="CO3" s="264"/>
      <c r="CP3" s="264"/>
      <c r="CQ3" s="264"/>
      <c r="CR3" s="264"/>
    </row>
    <row r="4" spans="1:96" s="25" customFormat="1" ht="15.75" customHeight="1" x14ac:dyDescent="0.2">
      <c r="B4" s="561">
        <f ca="1">NOW()</f>
        <v>41885.772742824076</v>
      </c>
      <c r="C4" s="91"/>
      <c r="D4" s="56"/>
      <c r="E4" s="56"/>
      <c r="F4" s="56"/>
      <c r="G4" s="41" t="s">
        <v>77</v>
      </c>
      <c r="H4" s="41" t="s">
        <v>53</v>
      </c>
      <c r="I4" s="57" t="s">
        <v>53</v>
      </c>
      <c r="J4" s="301"/>
      <c r="K4" s="41" t="s">
        <v>53</v>
      </c>
      <c r="L4" s="41" t="s">
        <v>53</v>
      </c>
      <c r="M4" s="57" t="s">
        <v>55</v>
      </c>
      <c r="N4" s="57" t="s">
        <v>55</v>
      </c>
      <c r="O4" s="270" t="s">
        <v>53</v>
      </c>
      <c r="P4" s="57" t="s">
        <v>55</v>
      </c>
      <c r="Q4" s="41" t="s">
        <v>53</v>
      </c>
      <c r="R4" s="41" t="s">
        <v>53</v>
      </c>
      <c r="S4" s="57" t="s">
        <v>55</v>
      </c>
      <c r="T4" s="57" t="s">
        <v>55</v>
      </c>
      <c r="U4" s="430" t="s">
        <v>53</v>
      </c>
      <c r="V4" s="57" t="s">
        <v>55</v>
      </c>
      <c r="W4" s="41" t="s">
        <v>53</v>
      </c>
      <c r="X4" s="41" t="s">
        <v>53</v>
      </c>
      <c r="Y4" s="57" t="s">
        <v>55</v>
      </c>
      <c r="Z4" s="57" t="s">
        <v>55</v>
      </c>
      <c r="AA4" s="41" t="s">
        <v>53</v>
      </c>
      <c r="AB4" s="41" t="s">
        <v>53</v>
      </c>
      <c r="AC4" s="57" t="s">
        <v>55</v>
      </c>
      <c r="AD4" s="57" t="s">
        <v>55</v>
      </c>
      <c r="AE4" s="41" t="s">
        <v>53</v>
      </c>
      <c r="AF4" s="41" t="s">
        <v>53</v>
      </c>
      <c r="AG4" s="57" t="s">
        <v>55</v>
      </c>
      <c r="AH4" s="57" t="s">
        <v>55</v>
      </c>
      <c r="AI4" s="41" t="s">
        <v>53</v>
      </c>
      <c r="AJ4" s="41" t="s">
        <v>53</v>
      </c>
      <c r="AK4" s="57" t="s">
        <v>55</v>
      </c>
      <c r="AL4" s="57" t="s">
        <v>55</v>
      </c>
      <c r="AM4" s="41" t="s">
        <v>53</v>
      </c>
      <c r="AN4" s="57" t="s">
        <v>55</v>
      </c>
      <c r="AO4" s="41" t="s">
        <v>53</v>
      </c>
      <c r="AP4" s="41" t="s">
        <v>53</v>
      </c>
      <c r="AQ4" s="57" t="s">
        <v>55</v>
      </c>
      <c r="AR4" s="57" t="s">
        <v>55</v>
      </c>
      <c r="AS4" s="41" t="s">
        <v>53</v>
      </c>
      <c r="AT4" s="41" t="s">
        <v>53</v>
      </c>
      <c r="AU4" s="57" t="s">
        <v>55</v>
      </c>
      <c r="AV4" s="57" t="s">
        <v>53</v>
      </c>
      <c r="AW4" s="57" t="s">
        <v>53</v>
      </c>
      <c r="AX4" s="364" t="s">
        <v>53</v>
      </c>
      <c r="AY4" s="57" t="s">
        <v>55</v>
      </c>
      <c r="AZ4" s="57" t="s">
        <v>55</v>
      </c>
      <c r="BA4" s="41" t="s">
        <v>53</v>
      </c>
      <c r="BB4" s="366" t="s">
        <v>55</v>
      </c>
      <c r="BC4" s="57" t="s">
        <v>53</v>
      </c>
      <c r="BD4" s="41" t="s">
        <v>53</v>
      </c>
      <c r="BE4" s="57" t="s">
        <v>55</v>
      </c>
      <c r="BF4" s="57" t="s">
        <v>55</v>
      </c>
      <c r="BG4" s="41" t="s">
        <v>53</v>
      </c>
      <c r="BH4" s="41" t="s">
        <v>53</v>
      </c>
      <c r="BI4" s="41" t="s">
        <v>55</v>
      </c>
      <c r="BJ4" s="41" t="s">
        <v>53</v>
      </c>
      <c r="BK4" s="57" t="s">
        <v>55</v>
      </c>
      <c r="BL4" s="57" t="s">
        <v>55</v>
      </c>
      <c r="BM4" s="41" t="s">
        <v>53</v>
      </c>
      <c r="BN4" s="404" t="s">
        <v>53</v>
      </c>
      <c r="BO4" s="57" t="s">
        <v>55</v>
      </c>
      <c r="BP4" s="57" t="s">
        <v>55</v>
      </c>
      <c r="BQ4" s="41" t="s">
        <v>53</v>
      </c>
      <c r="BR4" s="41" t="s">
        <v>53</v>
      </c>
      <c r="BS4" s="57" t="s">
        <v>55</v>
      </c>
      <c r="BT4" s="57" t="s">
        <v>55</v>
      </c>
      <c r="BU4" s="41" t="s">
        <v>53</v>
      </c>
      <c r="BV4" s="41" t="s">
        <v>53</v>
      </c>
      <c r="BW4" s="57" t="s">
        <v>55</v>
      </c>
      <c r="BX4" s="57" t="s">
        <v>55</v>
      </c>
      <c r="BY4" s="41" t="s">
        <v>53</v>
      </c>
      <c r="BZ4" s="57" t="s">
        <v>55</v>
      </c>
      <c r="CA4" s="41" t="s">
        <v>53</v>
      </c>
      <c r="CB4" s="41" t="s">
        <v>53</v>
      </c>
      <c r="CC4" s="57" t="s">
        <v>55</v>
      </c>
      <c r="CD4" s="57" t="s">
        <v>55</v>
      </c>
      <c r="CE4" s="41" t="s">
        <v>53</v>
      </c>
      <c r="CF4" s="58" t="s">
        <v>55</v>
      </c>
      <c r="CG4" s="26"/>
    </row>
    <row r="5" spans="1:96" s="33" customFormat="1" ht="13.5" thickBot="1" x14ac:dyDescent="0.25">
      <c r="A5" s="33" t="s">
        <v>74</v>
      </c>
      <c r="B5" s="562"/>
      <c r="C5" s="317" t="s">
        <v>54</v>
      </c>
      <c r="D5" s="318" t="s">
        <v>66</v>
      </c>
      <c r="E5" s="318" t="s">
        <v>67</v>
      </c>
      <c r="F5" s="318" t="s">
        <v>144</v>
      </c>
      <c r="G5" s="319"/>
      <c r="H5" s="305" t="s">
        <v>49</v>
      </c>
      <c r="I5" s="318" t="s">
        <v>49</v>
      </c>
      <c r="J5" s="318"/>
      <c r="K5" s="305" t="s">
        <v>48</v>
      </c>
      <c r="L5" s="305" t="s">
        <v>49</v>
      </c>
      <c r="M5" s="318" t="s">
        <v>48</v>
      </c>
      <c r="N5" s="318" t="s">
        <v>49</v>
      </c>
      <c r="O5" s="304" t="s">
        <v>49</v>
      </c>
      <c r="P5" s="318" t="s">
        <v>49</v>
      </c>
      <c r="Q5" s="318" t="s">
        <v>48</v>
      </c>
      <c r="R5" s="305" t="s">
        <v>49</v>
      </c>
      <c r="S5" s="318" t="s">
        <v>48</v>
      </c>
      <c r="T5" s="318" t="s">
        <v>49</v>
      </c>
      <c r="U5" s="431" t="s">
        <v>49</v>
      </c>
      <c r="V5" s="318" t="s">
        <v>49</v>
      </c>
      <c r="W5" s="305" t="s">
        <v>48</v>
      </c>
      <c r="X5" s="305" t="s">
        <v>49</v>
      </c>
      <c r="Y5" s="318" t="s">
        <v>48</v>
      </c>
      <c r="Z5" s="318" t="s">
        <v>49</v>
      </c>
      <c r="AA5" s="305" t="s">
        <v>48</v>
      </c>
      <c r="AB5" s="305" t="s">
        <v>49</v>
      </c>
      <c r="AC5" s="318" t="s">
        <v>48</v>
      </c>
      <c r="AD5" s="318" t="s">
        <v>49</v>
      </c>
      <c r="AE5" s="305" t="s">
        <v>48</v>
      </c>
      <c r="AF5" s="305" t="s">
        <v>49</v>
      </c>
      <c r="AG5" s="318" t="s">
        <v>48</v>
      </c>
      <c r="AH5" s="318" t="s">
        <v>49</v>
      </c>
      <c r="AI5" s="305" t="s">
        <v>48</v>
      </c>
      <c r="AJ5" s="305" t="s">
        <v>49</v>
      </c>
      <c r="AK5" s="318" t="s">
        <v>48</v>
      </c>
      <c r="AL5" s="318" t="s">
        <v>49</v>
      </c>
      <c r="AM5" s="305" t="s">
        <v>49</v>
      </c>
      <c r="AN5" s="318" t="s">
        <v>49</v>
      </c>
      <c r="AO5" s="305" t="s">
        <v>48</v>
      </c>
      <c r="AP5" s="305" t="s">
        <v>49</v>
      </c>
      <c r="AQ5" s="318" t="s">
        <v>48</v>
      </c>
      <c r="AR5" s="318" t="s">
        <v>49</v>
      </c>
      <c r="AS5" s="305" t="s">
        <v>48</v>
      </c>
      <c r="AT5" s="305" t="s">
        <v>49</v>
      </c>
      <c r="AU5" s="318" t="s">
        <v>48</v>
      </c>
      <c r="AV5" s="318" t="s">
        <v>49</v>
      </c>
      <c r="AW5" s="318" t="s">
        <v>48</v>
      </c>
      <c r="AX5" s="365" t="s">
        <v>49</v>
      </c>
      <c r="AY5" s="318" t="s">
        <v>48</v>
      </c>
      <c r="AZ5" s="318" t="s">
        <v>49</v>
      </c>
      <c r="BA5" s="305" t="s">
        <v>49</v>
      </c>
      <c r="BB5" s="365" t="s">
        <v>49</v>
      </c>
      <c r="BC5" s="318" t="s">
        <v>48</v>
      </c>
      <c r="BD5" s="487" t="s">
        <v>49</v>
      </c>
      <c r="BE5" s="318" t="s">
        <v>48</v>
      </c>
      <c r="BF5" s="318" t="s">
        <v>49</v>
      </c>
      <c r="BG5" s="305" t="s">
        <v>48</v>
      </c>
      <c r="BH5" s="305" t="s">
        <v>49</v>
      </c>
      <c r="BI5" s="305" t="s">
        <v>49</v>
      </c>
      <c r="BJ5" s="305" t="s">
        <v>49</v>
      </c>
      <c r="BK5" s="318" t="s">
        <v>48</v>
      </c>
      <c r="BL5" s="318" t="s">
        <v>49</v>
      </c>
      <c r="BM5" s="305" t="s">
        <v>48</v>
      </c>
      <c r="BN5" s="405" t="s">
        <v>49</v>
      </c>
      <c r="BO5" s="318" t="s">
        <v>48</v>
      </c>
      <c r="BP5" s="318" t="s">
        <v>49</v>
      </c>
      <c r="BQ5" s="305" t="s">
        <v>48</v>
      </c>
      <c r="BR5" s="305" t="s">
        <v>49</v>
      </c>
      <c r="BS5" s="318" t="s">
        <v>48</v>
      </c>
      <c r="BT5" s="318" t="s">
        <v>49</v>
      </c>
      <c r="BU5" s="305" t="s">
        <v>48</v>
      </c>
      <c r="BV5" s="305" t="s">
        <v>49</v>
      </c>
      <c r="BW5" s="318" t="s">
        <v>48</v>
      </c>
      <c r="BX5" s="318" t="s">
        <v>49</v>
      </c>
      <c r="BY5" s="305" t="s">
        <v>49</v>
      </c>
      <c r="BZ5" s="401" t="s">
        <v>49</v>
      </c>
      <c r="CA5" s="305" t="s">
        <v>48</v>
      </c>
      <c r="CB5" s="305" t="s">
        <v>49</v>
      </c>
      <c r="CC5" s="318" t="s">
        <v>48</v>
      </c>
      <c r="CD5" s="318" t="s">
        <v>49</v>
      </c>
      <c r="CE5" s="305" t="s">
        <v>49</v>
      </c>
      <c r="CF5" s="400" t="s">
        <v>49</v>
      </c>
      <c r="CG5" s="32"/>
    </row>
    <row r="6" spans="1:96" hidden="1" x14ac:dyDescent="0.2">
      <c r="A6">
        <v>0</v>
      </c>
      <c r="B6" s="59">
        <v>36892</v>
      </c>
      <c r="C6" s="59">
        <f>'Filter-new'!C3</f>
        <v>36892</v>
      </c>
      <c r="D6" s="60">
        <f>YEAR(C6)</f>
        <v>2001</v>
      </c>
      <c r="E6" s="60">
        <f>VLOOKUP($C6,calendar!$A$2:$D$121,4,FALSE)*(1-(H6=0))</f>
        <v>0</v>
      </c>
      <c r="F6" s="60">
        <f>VLOOKUP($C6,calendar!$A$2:$D$121,3,FALSE)*(1-(I6=0))</f>
        <v>0</v>
      </c>
      <c r="G6" s="36">
        <f t="shared" ref="G6:G37" si="0">SUM(K6,AA6,AO6,Q6,AW6,W6,BC6,AI6,BG6,BQ6,AE6,BU6,CA6)</f>
        <v>0</v>
      </c>
      <c r="H6" s="36">
        <f t="shared" ref="H6:H37" si="1">SUM(L6,AB6,AP6,R6,AX6,X6,BD6,AJ6,BJ6,BR6,AF6,BV6,CB6,BN6)</f>
        <v>0</v>
      </c>
      <c r="I6" s="36">
        <f t="shared" ref="I6:I37" si="2">SUM(O6,U6,AM6,BA6,BY6,CE6)</f>
        <v>0</v>
      </c>
      <c r="J6" s="41"/>
      <c r="K6" s="45">
        <f>'Filter-old'!E3</f>
        <v>0</v>
      </c>
      <c r="L6" s="61">
        <f>'Filter-new'!E3</f>
        <v>0</v>
      </c>
      <c r="M6" s="62"/>
      <c r="N6" s="62"/>
      <c r="O6" s="429">
        <f>'Filter-new'!E492</f>
        <v>0</v>
      </c>
      <c r="P6" s="62"/>
      <c r="Q6" s="45">
        <f>'Filter-old'!H3</f>
        <v>0</v>
      </c>
      <c r="R6" s="61">
        <f>'Filter-new'!H3</f>
        <v>0</v>
      </c>
      <c r="S6" s="62"/>
      <c r="T6" s="62"/>
      <c r="U6" s="445">
        <f>'Filter-new'!H492</f>
        <v>0</v>
      </c>
      <c r="V6" s="62"/>
      <c r="W6" s="45">
        <f>'Filter-old'!J3</f>
        <v>0</v>
      </c>
      <c r="X6" s="61">
        <f>'Filter-new'!J3</f>
        <v>0</v>
      </c>
      <c r="Y6" s="62"/>
      <c r="Z6" s="62"/>
      <c r="AA6" s="45">
        <f>'Filter-old'!F3</f>
        <v>0</v>
      </c>
      <c r="AB6" s="61">
        <f>'Filter-new'!F3</f>
        <v>0</v>
      </c>
      <c r="AC6" s="62"/>
      <c r="AD6" s="62"/>
      <c r="AE6" s="45">
        <f>'Filter-old'!P3</f>
        <v>0</v>
      </c>
      <c r="AF6" s="61">
        <f>'Filter-new'!P3</f>
        <v>0</v>
      </c>
      <c r="AG6" s="62"/>
      <c r="AH6" s="62"/>
      <c r="AI6" s="45">
        <f>'Filter-old'!L3</f>
        <v>0</v>
      </c>
      <c r="AJ6" s="61">
        <f>'Filter-new'!L3</f>
        <v>0</v>
      </c>
      <c r="AK6" s="62"/>
      <c r="AL6" s="62"/>
      <c r="AM6" s="62">
        <f>'Filter-new'!L492</f>
        <v>0</v>
      </c>
      <c r="AN6" s="62"/>
      <c r="AO6" s="45">
        <f>'Filter-old'!G3</f>
        <v>0</v>
      </c>
      <c r="AP6" s="61">
        <f>'Filter-new'!G3</f>
        <v>0</v>
      </c>
      <c r="AQ6" s="62"/>
      <c r="AR6" s="62"/>
      <c r="AS6" s="45"/>
      <c r="AT6" s="61"/>
      <c r="AU6" s="62"/>
      <c r="AV6" s="62"/>
      <c r="AW6" s="45">
        <f>'Filter-old'!I3</f>
        <v>0</v>
      </c>
      <c r="AX6" s="61">
        <f>'Filter-new'!I3</f>
        <v>0</v>
      </c>
      <c r="AY6" s="62"/>
      <c r="AZ6" s="62"/>
      <c r="BA6" s="62">
        <f>'Filter-new'!I492</f>
        <v>0</v>
      </c>
      <c r="BB6" s="62"/>
      <c r="BC6" s="45">
        <f>'Filter-old'!K3</f>
        <v>0</v>
      </c>
      <c r="BD6" s="61">
        <f>'Filter-new'!K3</f>
        <v>0</v>
      </c>
      <c r="BE6" s="62"/>
      <c r="BF6" s="62"/>
      <c r="BG6" s="45">
        <f>'Filter-old'!M3</f>
        <v>0</v>
      </c>
      <c r="BH6" s="62">
        <f>'Filter-new'!K492</f>
        <v>0</v>
      </c>
      <c r="BI6" s="61"/>
      <c r="BJ6" s="61">
        <f>'Filter-new'!M3</f>
        <v>0</v>
      </c>
      <c r="BK6" s="62"/>
      <c r="BL6" s="62"/>
      <c r="BM6" s="62"/>
      <c r="BN6" s="406">
        <f>'Filter-new'!N3</f>
        <v>0</v>
      </c>
      <c r="BO6" s="62"/>
      <c r="BP6" s="62"/>
      <c r="BQ6" s="45">
        <f>'Filter-old'!O3</f>
        <v>0</v>
      </c>
      <c r="BR6" s="61">
        <f>'Filter-new'!O3</f>
        <v>0</v>
      </c>
      <c r="BS6" s="62"/>
      <c r="BT6" s="62"/>
      <c r="BU6" s="45">
        <f>'Filter-old'!Q3</f>
        <v>0</v>
      </c>
      <c r="BV6" s="61">
        <f>'Filter-new'!Q3</f>
        <v>0</v>
      </c>
      <c r="BW6" s="61"/>
      <c r="BX6" s="61"/>
      <c r="BY6" s="61">
        <f>'Filter-new'!Q492</f>
        <v>0</v>
      </c>
      <c r="BZ6" s="61"/>
      <c r="CA6" s="45">
        <f>'Filter-old'!R3</f>
        <v>0</v>
      </c>
      <c r="CB6" s="61">
        <f>'Filter-new'!R3</f>
        <v>0</v>
      </c>
      <c r="CC6" s="61"/>
      <c r="CD6" s="58"/>
      <c r="CE6" s="61">
        <f>'Filter-new'!R492</f>
        <v>0</v>
      </c>
      <c r="CF6" s="57"/>
      <c r="CG6" s="4"/>
    </row>
    <row r="7" spans="1:96" hidden="1" x14ac:dyDescent="0.2">
      <c r="A7">
        <v>0</v>
      </c>
      <c r="B7" s="59">
        <v>36923</v>
      </c>
      <c r="C7" s="59">
        <f>'Filter-new'!C4</f>
        <v>36923</v>
      </c>
      <c r="D7" s="60">
        <f t="shared" ref="D7:D70" si="3">YEAR(C7)</f>
        <v>2001</v>
      </c>
      <c r="E7" s="60">
        <f>VLOOKUP($C7,calendar!$A$2:$D$121,4,FALSE)*(1-(H7=0))</f>
        <v>0</v>
      </c>
      <c r="F7" s="60">
        <f>VLOOKUP($C7,calendar!$A$2:$D$121,3,FALSE)*(1-(I7=0))</f>
        <v>0</v>
      </c>
      <c r="G7" s="36">
        <f t="shared" si="0"/>
        <v>0</v>
      </c>
      <c r="H7" s="36">
        <f t="shared" si="1"/>
        <v>0</v>
      </c>
      <c r="I7" s="36">
        <f t="shared" si="2"/>
        <v>0</v>
      </c>
      <c r="J7" s="41"/>
      <c r="K7" s="45">
        <f>'Filter-old'!E4</f>
        <v>0</v>
      </c>
      <c r="L7" s="61">
        <f>'Filter-new'!E4</f>
        <v>0</v>
      </c>
      <c r="M7" s="62"/>
      <c r="N7" s="62"/>
      <c r="O7" s="429">
        <f>'Filter-new'!E493</f>
        <v>0</v>
      </c>
      <c r="P7" s="62"/>
      <c r="Q7" s="45">
        <f>'Filter-old'!H4</f>
        <v>0</v>
      </c>
      <c r="R7" s="61">
        <f>'Filter-new'!H4</f>
        <v>0</v>
      </c>
      <c r="S7" s="62"/>
      <c r="T7" s="62"/>
      <c r="U7" s="445">
        <f>'Filter-new'!H493</f>
        <v>0</v>
      </c>
      <c r="V7" s="62"/>
      <c r="W7" s="45">
        <f>'Filter-old'!J4</f>
        <v>0</v>
      </c>
      <c r="X7" s="61">
        <f>'Filter-new'!J4</f>
        <v>0</v>
      </c>
      <c r="Y7" s="62"/>
      <c r="Z7" s="62"/>
      <c r="AA7" s="45">
        <f>'Filter-old'!F4</f>
        <v>0</v>
      </c>
      <c r="AB7" s="61">
        <f>'Filter-new'!F4</f>
        <v>0</v>
      </c>
      <c r="AC7" s="62"/>
      <c r="AD7" s="62"/>
      <c r="AE7" s="45">
        <f>'Filter-old'!P4</f>
        <v>0</v>
      </c>
      <c r="AF7" s="61">
        <f>'Filter-new'!P4</f>
        <v>0</v>
      </c>
      <c r="AG7" s="62"/>
      <c r="AH7" s="62"/>
      <c r="AI7" s="45">
        <f>'Filter-old'!L4</f>
        <v>0</v>
      </c>
      <c r="AJ7" s="61">
        <f>'Filter-new'!L4</f>
        <v>0</v>
      </c>
      <c r="AK7" s="62"/>
      <c r="AL7" s="62"/>
      <c r="AM7" s="62">
        <f>'Filter-new'!L493</f>
        <v>0</v>
      </c>
      <c r="AN7" s="62"/>
      <c r="AO7" s="45">
        <f>'Filter-old'!G4</f>
        <v>0</v>
      </c>
      <c r="AP7" s="61">
        <f>'Filter-new'!G4</f>
        <v>0</v>
      </c>
      <c r="AQ7" s="62"/>
      <c r="AR7" s="62"/>
      <c r="AS7" s="45"/>
      <c r="AT7" s="61"/>
      <c r="AU7" s="62"/>
      <c r="AV7" s="62"/>
      <c r="AW7" s="45">
        <f>'Filter-old'!I4</f>
        <v>0</v>
      </c>
      <c r="AX7" s="61">
        <f>'Filter-new'!I4</f>
        <v>0</v>
      </c>
      <c r="AY7" s="62"/>
      <c r="AZ7" s="62"/>
      <c r="BA7" s="62">
        <f>'Filter-new'!I493</f>
        <v>0</v>
      </c>
      <c r="BB7" s="62"/>
      <c r="BC7" s="45">
        <f>'Filter-old'!K4</f>
        <v>0</v>
      </c>
      <c r="BD7" s="61">
        <f>'Filter-new'!K4</f>
        <v>0</v>
      </c>
      <c r="BE7" s="62"/>
      <c r="BF7" s="62"/>
      <c r="BG7" s="45">
        <f>'Filter-old'!M4</f>
        <v>0</v>
      </c>
      <c r="BH7" s="62">
        <f>'Filter-new'!K493</f>
        <v>0</v>
      </c>
      <c r="BI7" s="61"/>
      <c r="BJ7" s="61">
        <f>'Filter-new'!M4</f>
        <v>0</v>
      </c>
      <c r="BK7" s="62"/>
      <c r="BL7" s="62"/>
      <c r="BM7" s="62"/>
      <c r="BN7" s="406">
        <f>'Filter-new'!N4</f>
        <v>0</v>
      </c>
      <c r="BO7" s="62"/>
      <c r="BP7" s="62"/>
      <c r="BQ7" s="45">
        <f>'Filter-old'!O4</f>
        <v>0</v>
      </c>
      <c r="BR7" s="61">
        <f>'Filter-new'!O4</f>
        <v>0</v>
      </c>
      <c r="BS7" s="62"/>
      <c r="BT7" s="62"/>
      <c r="BU7" s="45">
        <f>'Filter-old'!Q4</f>
        <v>0</v>
      </c>
      <c r="BV7" s="61">
        <f>'Filter-new'!Q4</f>
        <v>0</v>
      </c>
      <c r="BW7" s="61"/>
      <c r="BX7" s="61"/>
      <c r="BY7" s="61">
        <f>'Filter-new'!Q493</f>
        <v>0</v>
      </c>
      <c r="BZ7" s="61"/>
      <c r="CA7" s="45">
        <f>'Filter-old'!R4</f>
        <v>0</v>
      </c>
      <c r="CB7" s="61">
        <f>'Filter-new'!R4</f>
        <v>0</v>
      </c>
      <c r="CC7" s="61"/>
      <c r="CD7" s="58"/>
      <c r="CE7" s="61">
        <f>'Filter-new'!R493</f>
        <v>0</v>
      </c>
      <c r="CF7" s="57"/>
      <c r="CG7" s="4"/>
    </row>
    <row r="8" spans="1:96" hidden="1" x14ac:dyDescent="0.2">
      <c r="A8">
        <v>0</v>
      </c>
      <c r="B8" s="59">
        <v>36951</v>
      </c>
      <c r="C8" s="59">
        <f>'Filter-new'!C5</f>
        <v>36951</v>
      </c>
      <c r="D8" s="60">
        <f t="shared" si="3"/>
        <v>2001</v>
      </c>
      <c r="E8" s="60">
        <f>VLOOKUP($C8,calendar!$A$2:$D$121,4,FALSE)*(1-(H8=0))</f>
        <v>0</v>
      </c>
      <c r="F8" s="60">
        <f>VLOOKUP($C8,calendar!$A$2:$D$121,3,FALSE)*(1-(I8=0))</f>
        <v>0</v>
      </c>
      <c r="G8" s="36">
        <f t="shared" si="0"/>
        <v>0</v>
      </c>
      <c r="H8" s="36">
        <f t="shared" si="1"/>
        <v>0</v>
      </c>
      <c r="I8" s="36">
        <f t="shared" si="2"/>
        <v>0</v>
      </c>
      <c r="J8" s="41"/>
      <c r="K8" s="45">
        <f>'Filter-old'!E5</f>
        <v>0</v>
      </c>
      <c r="L8" s="61">
        <f>'Filter-new'!E5</f>
        <v>0</v>
      </c>
      <c r="M8" s="62"/>
      <c r="N8" s="62"/>
      <c r="O8" s="429">
        <f>'Filter-new'!E494</f>
        <v>0</v>
      </c>
      <c r="P8" s="62"/>
      <c r="Q8" s="45">
        <f>'Filter-old'!H5</f>
        <v>0</v>
      </c>
      <c r="R8" s="61">
        <f>'Filter-new'!H5</f>
        <v>0</v>
      </c>
      <c r="S8" s="62"/>
      <c r="T8" s="62"/>
      <c r="U8" s="445">
        <f>'Filter-new'!H494</f>
        <v>0</v>
      </c>
      <c r="V8" s="62"/>
      <c r="W8" s="45">
        <f>'Filter-old'!J5</f>
        <v>0</v>
      </c>
      <c r="X8" s="61">
        <f>'Filter-new'!J5</f>
        <v>0</v>
      </c>
      <c r="Y8" s="62"/>
      <c r="Z8" s="62"/>
      <c r="AA8" s="45">
        <f>'Filter-old'!F5</f>
        <v>0</v>
      </c>
      <c r="AB8" s="61">
        <f>'Filter-new'!F5</f>
        <v>0</v>
      </c>
      <c r="AC8" s="62"/>
      <c r="AD8" s="62"/>
      <c r="AE8" s="45">
        <f>'Filter-old'!P5</f>
        <v>0</v>
      </c>
      <c r="AF8" s="61">
        <f>'Filter-new'!P5</f>
        <v>0</v>
      </c>
      <c r="AG8" s="62"/>
      <c r="AH8" s="62"/>
      <c r="AI8" s="45">
        <f>'Filter-old'!L5</f>
        <v>0</v>
      </c>
      <c r="AJ8" s="61">
        <f>'Filter-new'!L5</f>
        <v>0</v>
      </c>
      <c r="AK8" s="62"/>
      <c r="AL8" s="62"/>
      <c r="AM8" s="62">
        <f>'Filter-new'!L494</f>
        <v>0</v>
      </c>
      <c r="AN8" s="62"/>
      <c r="AO8" s="45">
        <f>'Filter-old'!G5</f>
        <v>0</v>
      </c>
      <c r="AP8" s="61">
        <f>'Filter-new'!G5</f>
        <v>0</v>
      </c>
      <c r="AQ8" s="62"/>
      <c r="AR8" s="62"/>
      <c r="AS8" s="45"/>
      <c r="AT8" s="61"/>
      <c r="AU8" s="62"/>
      <c r="AV8" s="62"/>
      <c r="AW8" s="45">
        <f>'Filter-old'!I5</f>
        <v>0</v>
      </c>
      <c r="AX8" s="61">
        <f>'Filter-new'!I5</f>
        <v>0</v>
      </c>
      <c r="AY8" s="62"/>
      <c r="AZ8" s="62"/>
      <c r="BA8" s="62">
        <f>'Filter-new'!I494</f>
        <v>0</v>
      </c>
      <c r="BB8" s="62"/>
      <c r="BC8" s="45">
        <f>'Filter-old'!K5</f>
        <v>0</v>
      </c>
      <c r="BD8" s="61">
        <f>'Filter-new'!K5</f>
        <v>0</v>
      </c>
      <c r="BE8" s="62"/>
      <c r="BF8" s="62"/>
      <c r="BG8" s="45">
        <f>'Filter-old'!M5</f>
        <v>0</v>
      </c>
      <c r="BH8" s="62">
        <f>'Filter-new'!K494</f>
        <v>0</v>
      </c>
      <c r="BI8" s="61"/>
      <c r="BJ8" s="61">
        <f>'Filter-new'!M5</f>
        <v>0</v>
      </c>
      <c r="BK8" s="62"/>
      <c r="BL8" s="62"/>
      <c r="BM8" s="62"/>
      <c r="BN8" s="406">
        <f>'Filter-new'!N5</f>
        <v>0</v>
      </c>
      <c r="BO8" s="62"/>
      <c r="BP8" s="62"/>
      <c r="BQ8" s="45">
        <f>'Filter-old'!O5</f>
        <v>0</v>
      </c>
      <c r="BR8" s="61">
        <f>'Filter-new'!O5</f>
        <v>0</v>
      </c>
      <c r="BS8" s="62"/>
      <c r="BT8" s="62"/>
      <c r="BU8" s="45">
        <f>'Filter-old'!Q5</f>
        <v>0</v>
      </c>
      <c r="BV8" s="61">
        <f>'Filter-new'!Q5</f>
        <v>0</v>
      </c>
      <c r="BW8" s="61"/>
      <c r="BX8" s="61"/>
      <c r="BY8" s="61">
        <f>'Filter-new'!Q494</f>
        <v>0</v>
      </c>
      <c r="BZ8" s="61"/>
      <c r="CA8" s="45">
        <f>'Filter-old'!R5</f>
        <v>0</v>
      </c>
      <c r="CB8" s="61">
        <f>'Filter-new'!R5</f>
        <v>0</v>
      </c>
      <c r="CC8" s="61"/>
      <c r="CD8" s="58"/>
      <c r="CE8" s="61">
        <f>'Filter-new'!R494</f>
        <v>0</v>
      </c>
      <c r="CF8" s="57"/>
      <c r="CG8" s="4"/>
    </row>
    <row r="9" spans="1:96" hidden="1" x14ac:dyDescent="0.2">
      <c r="A9">
        <v>0</v>
      </c>
      <c r="B9" s="59">
        <v>36982</v>
      </c>
      <c r="C9" s="59">
        <f>'Filter-new'!C6</f>
        <v>36982</v>
      </c>
      <c r="D9" s="60">
        <f t="shared" si="3"/>
        <v>2001</v>
      </c>
      <c r="E9" s="60">
        <f>VLOOKUP($C9,calendar!$A$2:$D$121,4,FALSE)*(1-(H9=0))</f>
        <v>0</v>
      </c>
      <c r="F9" s="60">
        <f>VLOOKUP($C9,calendar!$A$2:$D$121,3,FALSE)*(1-(I9=0))</f>
        <v>0</v>
      </c>
      <c r="G9" s="36">
        <f t="shared" si="0"/>
        <v>0</v>
      </c>
      <c r="H9" s="36">
        <f t="shared" si="1"/>
        <v>0</v>
      </c>
      <c r="I9" s="36">
        <f t="shared" si="2"/>
        <v>0</v>
      </c>
      <c r="J9" s="41"/>
      <c r="K9" s="45">
        <f>'Filter-old'!E6</f>
        <v>0</v>
      </c>
      <c r="L9" s="61">
        <f>'Filter-new'!E6</f>
        <v>0</v>
      </c>
      <c r="M9" s="62"/>
      <c r="N9" s="62"/>
      <c r="O9" s="429">
        <f>'Filter-new'!E495</f>
        <v>0</v>
      </c>
      <c r="P9" s="62"/>
      <c r="Q9" s="45">
        <f>'Filter-old'!H6</f>
        <v>0</v>
      </c>
      <c r="R9" s="61">
        <f>'Filter-new'!H6</f>
        <v>0</v>
      </c>
      <c r="S9" s="62"/>
      <c r="T9" s="62"/>
      <c r="U9" s="445">
        <f>'Filter-new'!H495</f>
        <v>0</v>
      </c>
      <c r="V9" s="62"/>
      <c r="W9" s="45">
        <f>'Filter-old'!J6</f>
        <v>0</v>
      </c>
      <c r="X9" s="61">
        <f>'Filter-new'!J6</f>
        <v>0</v>
      </c>
      <c r="Y9" s="62"/>
      <c r="Z9" s="62"/>
      <c r="AA9" s="45">
        <f>'Filter-old'!F6</f>
        <v>0</v>
      </c>
      <c r="AB9" s="61">
        <f>'Filter-new'!F6</f>
        <v>0</v>
      </c>
      <c r="AC9" s="62"/>
      <c r="AD9" s="62"/>
      <c r="AE9" s="45">
        <f>'Filter-old'!P6</f>
        <v>0</v>
      </c>
      <c r="AF9" s="61">
        <f>'Filter-new'!P6</f>
        <v>0</v>
      </c>
      <c r="AG9" s="62"/>
      <c r="AH9" s="62"/>
      <c r="AI9" s="45">
        <f>'Filter-old'!L6</f>
        <v>0</v>
      </c>
      <c r="AJ9" s="61">
        <f>'Filter-new'!L6</f>
        <v>0</v>
      </c>
      <c r="AK9" s="62"/>
      <c r="AL9" s="62"/>
      <c r="AM9" s="62">
        <f>'Filter-new'!L495</f>
        <v>0</v>
      </c>
      <c r="AN9" s="62"/>
      <c r="AO9" s="45">
        <f>'Filter-old'!G6</f>
        <v>0</v>
      </c>
      <c r="AP9" s="61">
        <f>'Filter-new'!G6</f>
        <v>0</v>
      </c>
      <c r="AQ9" s="62"/>
      <c r="AR9" s="62"/>
      <c r="AS9" s="45"/>
      <c r="AT9" s="61"/>
      <c r="AU9" s="62"/>
      <c r="AV9" s="62"/>
      <c r="AW9" s="45">
        <f>'Filter-old'!I6</f>
        <v>0</v>
      </c>
      <c r="AX9" s="61">
        <f>'Filter-new'!I6</f>
        <v>0</v>
      </c>
      <c r="AY9" s="62"/>
      <c r="AZ9" s="62"/>
      <c r="BA9" s="62">
        <f>'Filter-new'!I495</f>
        <v>0</v>
      </c>
      <c r="BB9" s="62"/>
      <c r="BC9" s="45">
        <f>'Filter-old'!K6</f>
        <v>0</v>
      </c>
      <c r="BD9" s="61">
        <f>'Filter-new'!K6</f>
        <v>0</v>
      </c>
      <c r="BE9" s="62"/>
      <c r="BF9" s="62"/>
      <c r="BG9" s="45">
        <f>'Filter-old'!M6</f>
        <v>0</v>
      </c>
      <c r="BH9" s="62">
        <f>'Filter-new'!K495</f>
        <v>0</v>
      </c>
      <c r="BI9" s="61"/>
      <c r="BJ9" s="61">
        <f>'Filter-new'!M6</f>
        <v>0</v>
      </c>
      <c r="BK9" s="62"/>
      <c r="BL9" s="62"/>
      <c r="BM9" s="62"/>
      <c r="BN9" s="406">
        <f>'Filter-new'!N6</f>
        <v>0</v>
      </c>
      <c r="BO9" s="62"/>
      <c r="BP9" s="62"/>
      <c r="BQ9" s="45">
        <f>'Filter-old'!O6</f>
        <v>0</v>
      </c>
      <c r="BR9" s="61">
        <f>'Filter-new'!O6</f>
        <v>0</v>
      </c>
      <c r="BS9" s="62"/>
      <c r="BT9" s="62"/>
      <c r="BU9" s="45">
        <f>'Filter-old'!Q6</f>
        <v>0</v>
      </c>
      <c r="BV9" s="61">
        <f>'Filter-new'!Q6</f>
        <v>0</v>
      </c>
      <c r="BW9" s="61"/>
      <c r="BX9" s="61"/>
      <c r="BY9" s="61">
        <f>'Filter-new'!Q495</f>
        <v>0</v>
      </c>
      <c r="BZ9" s="61"/>
      <c r="CA9" s="45">
        <f>'Filter-old'!R6</f>
        <v>0</v>
      </c>
      <c r="CB9" s="61">
        <f>'Filter-new'!R6</f>
        <v>0</v>
      </c>
      <c r="CC9" s="61"/>
      <c r="CD9" s="58"/>
      <c r="CE9" s="61">
        <f>'Filter-new'!R495</f>
        <v>0</v>
      </c>
      <c r="CF9" s="57"/>
      <c r="CG9" s="4"/>
    </row>
    <row r="10" spans="1:96" hidden="1" x14ac:dyDescent="0.2">
      <c r="A10">
        <v>0</v>
      </c>
      <c r="B10" s="59">
        <v>37012</v>
      </c>
      <c r="C10" s="59">
        <f>'Filter-new'!C7</f>
        <v>37012</v>
      </c>
      <c r="D10" s="60">
        <f t="shared" si="3"/>
        <v>2001</v>
      </c>
      <c r="E10" s="60">
        <f>VLOOKUP($C10,calendar!$A$2:$D$121,4,FALSE)*(1-(H10=0))</f>
        <v>0</v>
      </c>
      <c r="F10" s="60">
        <f>VLOOKUP($C10,calendar!$A$2:$D$121,3,FALSE)*(1-(I10=0))</f>
        <v>0</v>
      </c>
      <c r="G10" s="36">
        <f t="shared" si="0"/>
        <v>0</v>
      </c>
      <c r="H10" s="36">
        <f t="shared" si="1"/>
        <v>0</v>
      </c>
      <c r="I10" s="36">
        <f t="shared" si="2"/>
        <v>0</v>
      </c>
      <c r="J10" s="41"/>
      <c r="K10" s="45">
        <f>'Filter-old'!E7</f>
        <v>0</v>
      </c>
      <c r="L10" s="61">
        <f>'Filter-new'!E7</f>
        <v>0</v>
      </c>
      <c r="M10" s="62"/>
      <c r="N10" s="62"/>
      <c r="O10" s="429">
        <f>'Filter-new'!E496</f>
        <v>0</v>
      </c>
      <c r="P10" s="62"/>
      <c r="Q10" s="45">
        <f>'Filter-old'!H7</f>
        <v>0</v>
      </c>
      <c r="R10" s="61">
        <f>'Filter-new'!H7</f>
        <v>0</v>
      </c>
      <c r="S10" s="62"/>
      <c r="T10" s="62"/>
      <c r="U10" s="445">
        <f>'Filter-new'!H496</f>
        <v>0</v>
      </c>
      <c r="V10" s="62"/>
      <c r="W10" s="45">
        <f>'Filter-old'!J7</f>
        <v>0</v>
      </c>
      <c r="X10" s="61">
        <f>'Filter-new'!J7</f>
        <v>0</v>
      </c>
      <c r="Y10" s="62"/>
      <c r="Z10" s="62"/>
      <c r="AA10" s="45">
        <f>'Filter-old'!F7</f>
        <v>0</v>
      </c>
      <c r="AB10" s="61">
        <f>'Filter-new'!F7</f>
        <v>0</v>
      </c>
      <c r="AC10" s="62"/>
      <c r="AD10" s="62"/>
      <c r="AE10" s="45">
        <f>'Filter-old'!P7</f>
        <v>0</v>
      </c>
      <c r="AF10" s="61">
        <f>'Filter-new'!P7</f>
        <v>0</v>
      </c>
      <c r="AG10" s="62"/>
      <c r="AH10" s="62"/>
      <c r="AI10" s="45">
        <f>'Filter-old'!L7</f>
        <v>0</v>
      </c>
      <c r="AJ10" s="61">
        <f>'Filter-new'!L7</f>
        <v>0</v>
      </c>
      <c r="AK10" s="62"/>
      <c r="AL10" s="62"/>
      <c r="AM10" s="62">
        <f>'Filter-new'!L496</f>
        <v>0</v>
      </c>
      <c r="AN10" s="62"/>
      <c r="AO10" s="45">
        <f>'Filter-old'!G7</f>
        <v>0</v>
      </c>
      <c r="AP10" s="61">
        <f>'Filter-new'!G7</f>
        <v>0</v>
      </c>
      <c r="AQ10" s="62"/>
      <c r="AR10" s="62"/>
      <c r="AS10" s="45"/>
      <c r="AT10" s="61"/>
      <c r="AU10" s="62"/>
      <c r="AV10" s="62"/>
      <c r="AW10" s="45">
        <f>'Filter-old'!I7</f>
        <v>0</v>
      </c>
      <c r="AX10" s="61">
        <f>'Filter-new'!I7</f>
        <v>0</v>
      </c>
      <c r="AY10" s="62"/>
      <c r="AZ10" s="62"/>
      <c r="BA10" s="62">
        <f>'Filter-new'!I496</f>
        <v>0</v>
      </c>
      <c r="BB10" s="62"/>
      <c r="BC10" s="45">
        <f>'Filter-old'!K7</f>
        <v>0</v>
      </c>
      <c r="BD10" s="61">
        <f>'Filter-new'!K7</f>
        <v>0</v>
      </c>
      <c r="BE10" s="62"/>
      <c r="BF10" s="62"/>
      <c r="BG10" s="45">
        <f>'Filter-old'!M7</f>
        <v>0</v>
      </c>
      <c r="BH10" s="62">
        <f>'Filter-new'!K496</f>
        <v>0</v>
      </c>
      <c r="BI10" s="61"/>
      <c r="BJ10" s="61">
        <f>'Filter-new'!M7</f>
        <v>0</v>
      </c>
      <c r="BK10" s="62"/>
      <c r="BL10" s="62"/>
      <c r="BM10" s="62"/>
      <c r="BN10" s="406">
        <f>'Filter-new'!N7</f>
        <v>0</v>
      </c>
      <c r="BO10" s="62"/>
      <c r="BP10" s="62"/>
      <c r="BQ10" s="45">
        <f>'Filter-old'!O7</f>
        <v>0</v>
      </c>
      <c r="BR10" s="61">
        <f>'Filter-new'!O7</f>
        <v>0</v>
      </c>
      <c r="BS10" s="62"/>
      <c r="BT10" s="62"/>
      <c r="BU10" s="45">
        <f>'Filter-old'!Q7</f>
        <v>0</v>
      </c>
      <c r="BV10" s="61">
        <f>'Filter-new'!Q7</f>
        <v>0</v>
      </c>
      <c r="BW10" s="61"/>
      <c r="BX10" s="61"/>
      <c r="BY10" s="61">
        <f>'Filter-new'!Q496</f>
        <v>0</v>
      </c>
      <c r="BZ10" s="61"/>
      <c r="CA10" s="45">
        <f>'Filter-old'!R7</f>
        <v>0</v>
      </c>
      <c r="CB10" s="61">
        <f>'Filter-new'!R7</f>
        <v>0</v>
      </c>
      <c r="CC10" s="61"/>
      <c r="CD10" s="58"/>
      <c r="CE10" s="61">
        <f>'Filter-new'!R496</f>
        <v>0</v>
      </c>
      <c r="CF10" s="57"/>
      <c r="CG10" s="4"/>
    </row>
    <row r="11" spans="1:96" hidden="1" x14ac:dyDescent="0.2">
      <c r="A11">
        <v>0</v>
      </c>
      <c r="B11" s="59">
        <v>37043</v>
      </c>
      <c r="C11" s="59">
        <f>'Filter-new'!C8</f>
        <v>37043</v>
      </c>
      <c r="D11" s="60">
        <f t="shared" si="3"/>
        <v>2001</v>
      </c>
      <c r="E11" s="60">
        <f>VLOOKUP($C11,calendar!$A$2:$D$121,4,FALSE)*(1-(H11=0))</f>
        <v>0</v>
      </c>
      <c r="F11" s="60">
        <f>VLOOKUP($C11,calendar!$A$2:$D$121,3,FALSE)*(1-(I11=0))</f>
        <v>0</v>
      </c>
      <c r="G11" s="36">
        <f t="shared" si="0"/>
        <v>5710.9099999999889</v>
      </c>
      <c r="H11" s="36">
        <f t="shared" si="1"/>
        <v>0</v>
      </c>
      <c r="I11" s="36">
        <f t="shared" si="2"/>
        <v>0</v>
      </c>
      <c r="J11" s="41"/>
      <c r="K11" s="45">
        <f>'Filter-old'!E8</f>
        <v>-129121.82</v>
      </c>
      <c r="L11" s="61">
        <f>'Filter-new'!E8</f>
        <v>0</v>
      </c>
      <c r="M11" s="62"/>
      <c r="N11" s="62"/>
      <c r="O11" s="429">
        <f>'Filter-new'!E497</f>
        <v>0</v>
      </c>
      <c r="P11" s="62"/>
      <c r="Q11" s="45">
        <f>'Filter-old'!H8</f>
        <v>-54400</v>
      </c>
      <c r="R11" s="61">
        <f>'Filter-new'!H8</f>
        <v>0</v>
      </c>
      <c r="S11" s="62"/>
      <c r="T11" s="62"/>
      <c r="U11" s="445">
        <f>'Filter-new'!H497</f>
        <v>0</v>
      </c>
      <c r="V11" s="62"/>
      <c r="W11" s="45">
        <f>'Filter-old'!J8</f>
        <v>27200</v>
      </c>
      <c r="X11" s="61">
        <f>'Filter-new'!J8</f>
        <v>0</v>
      </c>
      <c r="Y11" s="62"/>
      <c r="Z11" s="62"/>
      <c r="AA11" s="45">
        <f>'Filter-old'!F8</f>
        <v>0</v>
      </c>
      <c r="AB11" s="61">
        <f>'Filter-new'!F8</f>
        <v>0</v>
      </c>
      <c r="AC11" s="62"/>
      <c r="AD11" s="62"/>
      <c r="AE11" s="45">
        <f>'Filter-old'!P8</f>
        <v>0</v>
      </c>
      <c r="AF11" s="61">
        <f>'Filter-new'!P8</f>
        <v>0</v>
      </c>
      <c r="AG11" s="62"/>
      <c r="AH11" s="62"/>
      <c r="AI11" s="45">
        <f>'Filter-old'!L8</f>
        <v>0</v>
      </c>
      <c r="AJ11" s="61">
        <f>'Filter-new'!L8</f>
        <v>0</v>
      </c>
      <c r="AK11" s="62"/>
      <c r="AL11" s="62"/>
      <c r="AM11" s="62">
        <f>'Filter-new'!L497</f>
        <v>0</v>
      </c>
      <c r="AN11" s="62"/>
      <c r="AO11" s="45">
        <f>'Filter-old'!G8</f>
        <v>0</v>
      </c>
      <c r="AP11" s="61">
        <f>'Filter-new'!G8</f>
        <v>0</v>
      </c>
      <c r="AQ11" s="62"/>
      <c r="AR11" s="62"/>
      <c r="AS11" s="45"/>
      <c r="AT11" s="61"/>
      <c r="AU11" s="62"/>
      <c r="AV11" s="62"/>
      <c r="AW11" s="45">
        <f>'Filter-old'!I8</f>
        <v>40800</v>
      </c>
      <c r="AX11" s="61">
        <f>'Filter-new'!I8</f>
        <v>0</v>
      </c>
      <c r="AY11" s="62"/>
      <c r="AZ11" s="62"/>
      <c r="BA11" s="62">
        <f>'Filter-new'!I497</f>
        <v>0</v>
      </c>
      <c r="BB11" s="62"/>
      <c r="BC11" s="45">
        <f>'Filter-old'!K8</f>
        <v>0</v>
      </c>
      <c r="BD11" s="61">
        <f>'Filter-new'!K8</f>
        <v>0</v>
      </c>
      <c r="BE11" s="62"/>
      <c r="BF11" s="62"/>
      <c r="BG11" s="45">
        <f>'Filter-old'!M8</f>
        <v>0</v>
      </c>
      <c r="BH11" s="62">
        <f>'Filter-new'!K497</f>
        <v>0</v>
      </c>
      <c r="BI11" s="61"/>
      <c r="BJ11" s="61">
        <f>'Filter-new'!M8</f>
        <v>0</v>
      </c>
      <c r="BK11" s="62"/>
      <c r="BL11" s="62"/>
      <c r="BM11" s="62"/>
      <c r="BN11" s="406">
        <f>'Filter-new'!N8</f>
        <v>0</v>
      </c>
      <c r="BO11" s="62"/>
      <c r="BP11" s="62"/>
      <c r="BQ11" s="45">
        <f>'Filter-old'!O8</f>
        <v>0</v>
      </c>
      <c r="BR11" s="61">
        <f>'Filter-new'!O8</f>
        <v>0</v>
      </c>
      <c r="BS11" s="62"/>
      <c r="BT11" s="62"/>
      <c r="BU11" s="45">
        <f>'Filter-old'!Q8</f>
        <v>28432.73</v>
      </c>
      <c r="BV11" s="61">
        <f>'Filter-new'!Q8</f>
        <v>0</v>
      </c>
      <c r="BW11" s="61"/>
      <c r="BX11" s="61"/>
      <c r="BY11" s="61">
        <f>'Filter-new'!Q497</f>
        <v>0</v>
      </c>
      <c r="BZ11" s="61"/>
      <c r="CA11" s="45">
        <f>'Filter-old'!R8</f>
        <v>92800</v>
      </c>
      <c r="CB11" s="61">
        <f>'Filter-new'!R8</f>
        <v>0</v>
      </c>
      <c r="CC11" s="61"/>
      <c r="CD11" s="58"/>
      <c r="CE11" s="61">
        <f>'Filter-new'!R497</f>
        <v>0</v>
      </c>
      <c r="CF11" s="57"/>
      <c r="CG11" s="4"/>
    </row>
    <row r="12" spans="1:96" hidden="1" x14ac:dyDescent="0.2">
      <c r="A12">
        <v>0</v>
      </c>
      <c r="B12" s="59">
        <v>37073</v>
      </c>
      <c r="C12" s="59">
        <f>'Filter-new'!C9</f>
        <v>37073</v>
      </c>
      <c r="D12" s="60">
        <f t="shared" si="3"/>
        <v>2001</v>
      </c>
      <c r="E12" s="60">
        <f>VLOOKUP($C12,calendar!$A$2:$D$121,4,FALSE)*(1-(H12=0))</f>
        <v>0</v>
      </c>
      <c r="F12" s="60">
        <f>VLOOKUP($C12,calendar!$A$2:$D$121,3,FALSE)*(1-(I12=0))</f>
        <v>0</v>
      </c>
      <c r="G12" s="36">
        <f t="shared" si="0"/>
        <v>-216651.6</v>
      </c>
      <c r="H12" s="36">
        <f t="shared" si="1"/>
        <v>0</v>
      </c>
      <c r="I12" s="36">
        <f t="shared" si="2"/>
        <v>0</v>
      </c>
      <c r="J12" s="41"/>
      <c r="K12" s="45">
        <f>'Filter-old'!E9</f>
        <v>-62734</v>
      </c>
      <c r="L12" s="61">
        <f>'Filter-new'!E9</f>
        <v>0</v>
      </c>
      <c r="M12" s="62"/>
      <c r="N12" s="62"/>
      <c r="O12" s="429">
        <f>'Filter-new'!E498</f>
        <v>0</v>
      </c>
      <c r="P12" s="62"/>
      <c r="Q12" s="45">
        <f>'Filter-old'!H9</f>
        <v>-218400</v>
      </c>
      <c r="R12" s="61">
        <f>'Filter-new'!H9</f>
        <v>0</v>
      </c>
      <c r="S12" s="62"/>
      <c r="T12" s="62"/>
      <c r="U12" s="445">
        <f>'Filter-new'!H498</f>
        <v>0</v>
      </c>
      <c r="V12" s="62"/>
      <c r="W12" s="45">
        <f>'Filter-old'!J9</f>
        <v>33600</v>
      </c>
      <c r="X12" s="61">
        <f>'Filter-new'!J9</f>
        <v>0</v>
      </c>
      <c r="Y12" s="62"/>
      <c r="Z12" s="62"/>
      <c r="AA12" s="45">
        <f>'Filter-old'!F9</f>
        <v>0</v>
      </c>
      <c r="AB12" s="61">
        <f>'Filter-new'!F9</f>
        <v>0</v>
      </c>
      <c r="AC12" s="62"/>
      <c r="AD12" s="62"/>
      <c r="AE12" s="45">
        <f>'Filter-old'!P9</f>
        <v>0</v>
      </c>
      <c r="AF12" s="61">
        <f>'Filter-new'!P9</f>
        <v>0</v>
      </c>
      <c r="AG12" s="62"/>
      <c r="AH12" s="62"/>
      <c r="AI12" s="45">
        <f>'Filter-old'!L9</f>
        <v>0</v>
      </c>
      <c r="AJ12" s="61">
        <f>'Filter-new'!L9</f>
        <v>0</v>
      </c>
      <c r="AK12" s="62"/>
      <c r="AL12" s="62"/>
      <c r="AM12" s="62">
        <f>'Filter-new'!L498</f>
        <v>0</v>
      </c>
      <c r="AN12" s="62"/>
      <c r="AO12" s="45">
        <f>'Filter-old'!G9</f>
        <v>0</v>
      </c>
      <c r="AP12" s="61">
        <f>'Filter-new'!G9</f>
        <v>0</v>
      </c>
      <c r="AQ12" s="62"/>
      <c r="AR12" s="62"/>
      <c r="AS12" s="45"/>
      <c r="AT12" s="61"/>
      <c r="AU12" s="62"/>
      <c r="AV12" s="62"/>
      <c r="AW12" s="45">
        <f>'Filter-old'!I9</f>
        <v>0</v>
      </c>
      <c r="AX12" s="61">
        <f>'Filter-new'!I9</f>
        <v>0</v>
      </c>
      <c r="AY12" s="62"/>
      <c r="AZ12" s="62"/>
      <c r="BA12" s="62">
        <f>'Filter-new'!I498</f>
        <v>0</v>
      </c>
      <c r="BB12" s="62"/>
      <c r="BC12" s="45">
        <f>'Filter-old'!K9</f>
        <v>0</v>
      </c>
      <c r="BD12" s="61">
        <f>'Filter-new'!K9</f>
        <v>0</v>
      </c>
      <c r="BE12" s="62"/>
      <c r="BF12" s="62"/>
      <c r="BG12" s="45">
        <f>'Filter-old'!M9</f>
        <v>0</v>
      </c>
      <c r="BH12" s="62">
        <f>'Filter-new'!K498</f>
        <v>0</v>
      </c>
      <c r="BI12" s="61"/>
      <c r="BJ12" s="61">
        <f>'Filter-new'!M9</f>
        <v>0</v>
      </c>
      <c r="BK12" s="62"/>
      <c r="BL12" s="62"/>
      <c r="BM12" s="62"/>
      <c r="BN12" s="406">
        <f>'Filter-new'!N9</f>
        <v>0</v>
      </c>
      <c r="BO12" s="62"/>
      <c r="BP12" s="62"/>
      <c r="BQ12" s="45">
        <f>'Filter-old'!O9</f>
        <v>0</v>
      </c>
      <c r="BR12" s="61">
        <f>'Filter-new'!O9</f>
        <v>0</v>
      </c>
      <c r="BS12" s="62"/>
      <c r="BT12" s="62"/>
      <c r="BU12" s="45">
        <f>'Filter-old'!Q9</f>
        <v>-2717.6</v>
      </c>
      <c r="BV12" s="61">
        <f>'Filter-new'!Q9</f>
        <v>0</v>
      </c>
      <c r="BW12" s="61"/>
      <c r="BX12" s="61"/>
      <c r="BY12" s="61">
        <f>'Filter-new'!Q498</f>
        <v>0</v>
      </c>
      <c r="BZ12" s="61"/>
      <c r="CA12" s="45">
        <f>'Filter-old'!R9</f>
        <v>33600</v>
      </c>
      <c r="CB12" s="61">
        <f>'Filter-new'!R9</f>
        <v>0</v>
      </c>
      <c r="CC12" s="61"/>
      <c r="CD12" s="58"/>
      <c r="CE12" s="61">
        <f>'Filter-new'!R498</f>
        <v>0</v>
      </c>
      <c r="CF12" s="57"/>
      <c r="CG12" s="4"/>
    </row>
    <row r="13" spans="1:96" hidden="1" x14ac:dyDescent="0.2">
      <c r="A13">
        <v>0</v>
      </c>
      <c r="B13" s="59">
        <v>37104</v>
      </c>
      <c r="C13" s="59">
        <f>'Filter-new'!C10</f>
        <v>37104</v>
      </c>
      <c r="D13" s="60">
        <f t="shared" si="3"/>
        <v>2001</v>
      </c>
      <c r="E13" s="60">
        <f>VLOOKUP($C13,calendar!$A$2:$D$121,4,FALSE)*(1-(H13=0))</f>
        <v>0</v>
      </c>
      <c r="F13" s="60">
        <f>VLOOKUP($C13,calendar!$A$2:$D$121,3,FALSE)*(1-(I13=0))</f>
        <v>0</v>
      </c>
      <c r="G13" s="36">
        <f t="shared" si="0"/>
        <v>-580574.16</v>
      </c>
      <c r="H13" s="36">
        <f t="shared" si="1"/>
        <v>0</v>
      </c>
      <c r="I13" s="36">
        <f t="shared" si="2"/>
        <v>0</v>
      </c>
      <c r="J13" s="41"/>
      <c r="K13" s="45">
        <f>'Filter-old'!E10</f>
        <v>-446935.63</v>
      </c>
      <c r="L13" s="61">
        <f>'Filter-new'!E10</f>
        <v>0</v>
      </c>
      <c r="M13" s="62"/>
      <c r="N13" s="62"/>
      <c r="O13" s="429">
        <f>'Filter-new'!E499</f>
        <v>0</v>
      </c>
      <c r="P13" s="62"/>
      <c r="Q13" s="45">
        <f>'Filter-old'!H10</f>
        <v>-165600</v>
      </c>
      <c r="R13" s="61">
        <f>'Filter-new'!H10</f>
        <v>0</v>
      </c>
      <c r="S13" s="62"/>
      <c r="T13" s="62"/>
      <c r="U13" s="445">
        <f>'Filter-new'!H499</f>
        <v>0</v>
      </c>
      <c r="V13" s="62"/>
      <c r="W13" s="45">
        <f>'Filter-old'!J10</f>
        <v>36800</v>
      </c>
      <c r="X13" s="61">
        <f>'Filter-new'!J10</f>
        <v>0</v>
      </c>
      <c r="Y13" s="62"/>
      <c r="Z13" s="62"/>
      <c r="AA13" s="45">
        <f>'Filter-old'!F10</f>
        <v>0</v>
      </c>
      <c r="AB13" s="61">
        <f>'Filter-new'!F10</f>
        <v>0</v>
      </c>
      <c r="AC13" s="62"/>
      <c r="AD13" s="62"/>
      <c r="AE13" s="45">
        <f>'Filter-old'!P10</f>
        <v>0</v>
      </c>
      <c r="AF13" s="61">
        <f>'Filter-new'!P10</f>
        <v>0</v>
      </c>
      <c r="AG13" s="62"/>
      <c r="AH13" s="62"/>
      <c r="AI13" s="45">
        <f>'Filter-old'!L10</f>
        <v>0</v>
      </c>
      <c r="AJ13" s="61">
        <f>'Filter-new'!L10</f>
        <v>0</v>
      </c>
      <c r="AK13" s="62"/>
      <c r="AL13" s="62"/>
      <c r="AM13" s="62">
        <f>'Filter-new'!L499</f>
        <v>0</v>
      </c>
      <c r="AN13" s="62"/>
      <c r="AO13" s="45">
        <f>'Filter-old'!G10</f>
        <v>0</v>
      </c>
      <c r="AP13" s="61">
        <f>'Filter-new'!G10</f>
        <v>0</v>
      </c>
      <c r="AQ13" s="62"/>
      <c r="AR13" s="62"/>
      <c r="AS13" s="45"/>
      <c r="AT13" s="61"/>
      <c r="AU13" s="62"/>
      <c r="AV13" s="62"/>
      <c r="AW13" s="45">
        <f>'Filter-old'!I10</f>
        <v>0</v>
      </c>
      <c r="AX13" s="61">
        <f>'Filter-new'!I10</f>
        <v>0</v>
      </c>
      <c r="AY13" s="62"/>
      <c r="AZ13" s="62"/>
      <c r="BA13" s="62">
        <f>'Filter-new'!I499</f>
        <v>0</v>
      </c>
      <c r="BB13" s="62"/>
      <c r="BC13" s="45">
        <f>'Filter-old'!K10</f>
        <v>0</v>
      </c>
      <c r="BD13" s="61">
        <f>'Filter-new'!K10</f>
        <v>0</v>
      </c>
      <c r="BE13" s="62"/>
      <c r="BF13" s="62"/>
      <c r="BG13" s="45">
        <f>'Filter-old'!M10</f>
        <v>0</v>
      </c>
      <c r="BH13" s="62">
        <f>'Filter-new'!K499</f>
        <v>0</v>
      </c>
      <c r="BI13" s="61"/>
      <c r="BJ13" s="61">
        <f>'Filter-new'!M10</f>
        <v>0</v>
      </c>
      <c r="BK13" s="62"/>
      <c r="BL13" s="62"/>
      <c r="BM13" s="62"/>
      <c r="BN13" s="406">
        <f>'Filter-new'!N10</f>
        <v>0</v>
      </c>
      <c r="BO13" s="62"/>
      <c r="BP13" s="62"/>
      <c r="BQ13" s="45">
        <f>'Filter-old'!O10</f>
        <v>0</v>
      </c>
      <c r="BR13" s="61">
        <f>'Filter-new'!O10</f>
        <v>0</v>
      </c>
      <c r="BS13" s="62"/>
      <c r="BT13" s="62"/>
      <c r="BU13" s="45">
        <f>'Filter-old'!Q10</f>
        <v>-41638.53</v>
      </c>
      <c r="BV13" s="61">
        <f>'Filter-new'!Q10</f>
        <v>0</v>
      </c>
      <c r="BW13" s="61"/>
      <c r="BX13" s="61"/>
      <c r="BY13" s="61">
        <f>'Filter-new'!Q499</f>
        <v>0</v>
      </c>
      <c r="BZ13" s="61"/>
      <c r="CA13" s="45">
        <f>'Filter-old'!R10</f>
        <v>36800</v>
      </c>
      <c r="CB13" s="61">
        <f>'Filter-new'!R10</f>
        <v>0</v>
      </c>
      <c r="CC13" s="61"/>
      <c r="CD13" s="58"/>
      <c r="CE13" s="61">
        <f>'Filter-new'!R499</f>
        <v>0</v>
      </c>
      <c r="CF13" s="57"/>
      <c r="CG13" s="4"/>
    </row>
    <row r="14" spans="1:96" hidden="1" x14ac:dyDescent="0.2">
      <c r="A14">
        <v>0</v>
      </c>
      <c r="B14" s="59">
        <v>37135</v>
      </c>
      <c r="C14" s="59">
        <f>'Filter-new'!C11</f>
        <v>37135</v>
      </c>
      <c r="D14" s="60">
        <f t="shared" si="3"/>
        <v>2001</v>
      </c>
      <c r="E14" s="60">
        <f>VLOOKUP($C14,calendar!$A$2:$D$121,4,FALSE)*(1-(H14=0))</f>
        <v>0</v>
      </c>
      <c r="F14" s="60">
        <f>VLOOKUP($C14,calendar!$A$2:$D$121,3,FALSE)*(1-(I14=0))</f>
        <v>0</v>
      </c>
      <c r="G14" s="36">
        <f t="shared" si="0"/>
        <v>-248739.40999999997</v>
      </c>
      <c r="H14" s="36">
        <f t="shared" si="1"/>
        <v>0</v>
      </c>
      <c r="I14" s="36">
        <f t="shared" si="2"/>
        <v>0</v>
      </c>
      <c r="J14" s="41"/>
      <c r="K14" s="45">
        <f>'Filter-old'!E11</f>
        <v>437524.59</v>
      </c>
      <c r="L14" s="61">
        <f>'Filter-new'!E11</f>
        <v>0</v>
      </c>
      <c r="M14" s="62"/>
      <c r="N14" s="62"/>
      <c r="O14" s="429">
        <f>'Filter-new'!E500</f>
        <v>0</v>
      </c>
      <c r="P14" s="62"/>
      <c r="Q14" s="45">
        <f>'Filter-old'!H11</f>
        <v>-112480</v>
      </c>
      <c r="R14" s="61">
        <f>'Filter-new'!H11</f>
        <v>0</v>
      </c>
      <c r="S14" s="62"/>
      <c r="T14" s="62"/>
      <c r="U14" s="445">
        <f>'Filter-new'!H500</f>
        <v>0</v>
      </c>
      <c r="V14" s="62"/>
      <c r="W14" s="45">
        <f>'Filter-old'!J11</f>
        <v>30400</v>
      </c>
      <c r="X14" s="61">
        <f>'Filter-new'!J11</f>
        <v>0</v>
      </c>
      <c r="Y14" s="62"/>
      <c r="Z14" s="62"/>
      <c r="AA14" s="45">
        <f>'Filter-old'!F11</f>
        <v>0</v>
      </c>
      <c r="AB14" s="61">
        <f>'Filter-new'!F11</f>
        <v>0</v>
      </c>
      <c r="AC14" s="62"/>
      <c r="AD14" s="62"/>
      <c r="AE14" s="45">
        <f>'Filter-old'!P11</f>
        <v>0</v>
      </c>
      <c r="AF14" s="61">
        <f>'Filter-new'!P11</f>
        <v>0</v>
      </c>
      <c r="AG14" s="62"/>
      <c r="AH14" s="62"/>
      <c r="AI14" s="45">
        <f>'Filter-old'!L11</f>
        <v>0</v>
      </c>
      <c r="AJ14" s="61">
        <f>'Filter-new'!L11</f>
        <v>0</v>
      </c>
      <c r="AK14" s="62"/>
      <c r="AL14" s="62"/>
      <c r="AM14" s="62">
        <f>'Filter-new'!L500</f>
        <v>0</v>
      </c>
      <c r="AN14" s="62"/>
      <c r="AO14" s="45">
        <f>'Filter-old'!G11</f>
        <v>0</v>
      </c>
      <c r="AP14" s="61">
        <f>'Filter-new'!G11</f>
        <v>0</v>
      </c>
      <c r="AQ14" s="62"/>
      <c r="AR14" s="62"/>
      <c r="AS14" s="45"/>
      <c r="AT14" s="61"/>
      <c r="AU14" s="62"/>
      <c r="AV14" s="62"/>
      <c r="AW14" s="45">
        <f>'Filter-old'!I11</f>
        <v>-91200</v>
      </c>
      <c r="AX14" s="61">
        <f>'Filter-new'!I11</f>
        <v>0</v>
      </c>
      <c r="AY14" s="62"/>
      <c r="AZ14" s="62"/>
      <c r="BA14" s="62">
        <f>'Filter-new'!I500</f>
        <v>0</v>
      </c>
      <c r="BB14" s="62"/>
      <c r="BC14" s="45">
        <f>'Filter-old'!K11</f>
        <v>0</v>
      </c>
      <c r="BD14" s="61">
        <f>'Filter-new'!K11</f>
        <v>0</v>
      </c>
      <c r="BE14" s="62"/>
      <c r="BF14" s="62"/>
      <c r="BG14" s="45">
        <f>'Filter-old'!M11</f>
        <v>0</v>
      </c>
      <c r="BH14" s="62">
        <f>'Filter-new'!K500</f>
        <v>0</v>
      </c>
      <c r="BI14" s="61"/>
      <c r="BJ14" s="61">
        <f>'Filter-new'!M11</f>
        <v>0</v>
      </c>
      <c r="BK14" s="62"/>
      <c r="BL14" s="62"/>
      <c r="BM14" s="62"/>
      <c r="BN14" s="406">
        <f>'Filter-new'!N11</f>
        <v>0</v>
      </c>
      <c r="BO14" s="62"/>
      <c r="BP14" s="62"/>
      <c r="BQ14" s="45">
        <f>'Filter-old'!O11</f>
        <v>0</v>
      </c>
      <c r="BR14" s="61">
        <f>'Filter-new'!O11</f>
        <v>0</v>
      </c>
      <c r="BS14" s="62"/>
      <c r="BT14" s="62"/>
      <c r="BU14" s="45">
        <f>'Filter-old'!Q11</f>
        <v>-254584</v>
      </c>
      <c r="BV14" s="61">
        <f>'Filter-new'!Q11</f>
        <v>0</v>
      </c>
      <c r="BW14" s="61"/>
      <c r="BX14" s="61"/>
      <c r="BY14" s="61">
        <f>'Filter-new'!Q500</f>
        <v>0</v>
      </c>
      <c r="BZ14" s="61"/>
      <c r="CA14" s="45">
        <f>'Filter-old'!R11</f>
        <v>-258400</v>
      </c>
      <c r="CB14" s="61">
        <f>'Filter-new'!R11</f>
        <v>0</v>
      </c>
      <c r="CC14" s="61"/>
      <c r="CD14" s="58"/>
      <c r="CE14" s="61">
        <f>'Filter-new'!R500</f>
        <v>0</v>
      </c>
      <c r="CF14" s="57"/>
      <c r="CG14" s="4"/>
    </row>
    <row r="15" spans="1:96" hidden="1" x14ac:dyDescent="0.2">
      <c r="A15">
        <v>0</v>
      </c>
      <c r="B15" s="59">
        <v>37165</v>
      </c>
      <c r="C15" s="59">
        <f>'Filter-new'!C12</f>
        <v>37165</v>
      </c>
      <c r="D15" s="60">
        <f t="shared" si="3"/>
        <v>2001</v>
      </c>
      <c r="E15" s="60">
        <f>VLOOKUP($C15,calendar!$A$2:$D$121,4,FALSE)*(1-(H15=0))</f>
        <v>0</v>
      </c>
      <c r="F15" s="60">
        <f>VLOOKUP($C15,calendar!$A$2:$D$121,3,FALSE)*(1-(I15=0))</f>
        <v>0</v>
      </c>
      <c r="G15" s="36">
        <f t="shared" si="0"/>
        <v>357272.69</v>
      </c>
      <c r="H15" s="36">
        <f t="shared" si="1"/>
        <v>0</v>
      </c>
      <c r="I15" s="36">
        <f t="shared" si="2"/>
        <v>0</v>
      </c>
      <c r="J15" s="41"/>
      <c r="K15" s="45">
        <f>'Filter-old'!E12</f>
        <v>401432.69</v>
      </c>
      <c r="L15" s="61">
        <f>'Filter-new'!E12</f>
        <v>0</v>
      </c>
      <c r="M15" s="62"/>
      <c r="N15" s="62"/>
      <c r="O15" s="429" t="str">
        <f>'Filter-new'!E501</f>
        <v>CINERGY</v>
      </c>
      <c r="P15" s="62"/>
      <c r="Q15" s="45">
        <f>'Filter-old'!H12</f>
        <v>-80960</v>
      </c>
      <c r="R15" s="61">
        <f>'Filter-new'!H12</f>
        <v>0</v>
      </c>
      <c r="S15" s="62"/>
      <c r="T15" s="62"/>
      <c r="U15" s="445" t="str">
        <f>'Filter-new'!H501</f>
        <v>INTO COMED</v>
      </c>
      <c r="V15" s="62"/>
      <c r="W15" s="45">
        <f>'Filter-old'!J12</f>
        <v>36800</v>
      </c>
      <c r="X15" s="61">
        <f>'Filter-new'!J12</f>
        <v>0</v>
      </c>
      <c r="Y15" s="62"/>
      <c r="Z15" s="62"/>
      <c r="AA15" s="45">
        <f>'Filter-old'!F12</f>
        <v>0</v>
      </c>
      <c r="AB15" s="61">
        <f>'Filter-new'!F12</f>
        <v>0</v>
      </c>
      <c r="AC15" s="62"/>
      <c r="AD15" s="62"/>
      <c r="AE15" s="45">
        <f>'Filter-old'!P12</f>
        <v>0</v>
      </c>
      <c r="AF15" s="61">
        <f>'Filter-new'!P12</f>
        <v>0</v>
      </c>
      <c r="AG15" s="62"/>
      <c r="AH15" s="62"/>
      <c r="AI15" s="45">
        <f>'Filter-old'!L12</f>
        <v>0</v>
      </c>
      <c r="AJ15" s="61">
        <f>'Filter-new'!L12</f>
        <v>0</v>
      </c>
      <c r="AK15" s="62"/>
      <c r="AL15" s="62"/>
      <c r="AM15" s="62" t="str">
        <f>'Filter-new'!L501</f>
        <v>INTO AEP</v>
      </c>
      <c r="AN15" s="62"/>
      <c r="AO15" s="45">
        <f>'Filter-old'!G12</f>
        <v>0</v>
      </c>
      <c r="AP15" s="61">
        <f>'Filter-new'!G12</f>
        <v>0</v>
      </c>
      <c r="AQ15" s="62"/>
      <c r="AR15" s="62"/>
      <c r="AS15" s="45"/>
      <c r="AT15" s="61"/>
      <c r="AU15" s="62"/>
      <c r="AV15" s="62"/>
      <c r="AW15" s="45">
        <f>'Filter-old'!I12</f>
        <v>18400</v>
      </c>
      <c r="AX15" s="61">
        <f>'Filter-new'!I12</f>
        <v>0</v>
      </c>
      <c r="AY15" s="62"/>
      <c r="AZ15" s="62"/>
      <c r="BA15" s="62" t="str">
        <f>'Filter-new'!I501</f>
        <v>INTO TVA</v>
      </c>
      <c r="BB15" s="62"/>
      <c r="BC15" s="45">
        <f>'Filter-old'!K12</f>
        <v>0</v>
      </c>
      <c r="BD15" s="61">
        <f>'Filter-new'!K12</f>
        <v>0</v>
      </c>
      <c r="BE15" s="62"/>
      <c r="BF15" s="62"/>
      <c r="BG15" s="45">
        <f>'Filter-old'!M12</f>
        <v>0</v>
      </c>
      <c r="BH15" s="62" t="str">
        <f>'Filter-new'!K501</f>
        <v>NEPOOL</v>
      </c>
      <c r="BI15" s="61"/>
      <c r="BJ15" s="61">
        <f>'Filter-new'!M12</f>
        <v>0</v>
      </c>
      <c r="BK15" s="62"/>
      <c r="BL15" s="62"/>
      <c r="BM15" s="62"/>
      <c r="BN15" s="406">
        <f>'Filter-new'!N12</f>
        <v>0</v>
      </c>
      <c r="BO15" s="62"/>
      <c r="BP15" s="62"/>
      <c r="BQ15" s="45">
        <f>'Filter-old'!O12</f>
        <v>0</v>
      </c>
      <c r="BR15" s="61">
        <f>'Filter-new'!O12</f>
        <v>0</v>
      </c>
      <c r="BS15" s="62"/>
      <c r="BT15" s="62"/>
      <c r="BU15" s="45">
        <f>'Filter-old'!Q12</f>
        <v>0</v>
      </c>
      <c r="BV15" s="61">
        <f>'Filter-new'!Q12</f>
        <v>0</v>
      </c>
      <c r="BW15" s="61"/>
      <c r="BX15" s="61"/>
      <c r="BY15" s="61" t="str">
        <f>'Filter-new'!Q501</f>
        <v>Entergy</v>
      </c>
      <c r="BZ15" s="61"/>
      <c r="CA15" s="45">
        <f>'Filter-old'!R12</f>
        <v>-18400</v>
      </c>
      <c r="CB15" s="61">
        <f>'Filter-new'!R12</f>
        <v>0</v>
      </c>
      <c r="CC15" s="61"/>
      <c r="CD15" s="58"/>
      <c r="CE15" s="61" t="str">
        <f>'Filter-new'!R501</f>
        <v>WESTERN HUB</v>
      </c>
      <c r="CF15" s="57"/>
      <c r="CG15" s="4"/>
    </row>
    <row r="16" spans="1:96" hidden="1" x14ac:dyDescent="0.2">
      <c r="A16">
        <v>0</v>
      </c>
      <c r="B16" s="59">
        <v>37196</v>
      </c>
      <c r="C16" s="59">
        <f>'Filter-new'!C13</f>
        <v>37196</v>
      </c>
      <c r="D16" s="60">
        <f t="shared" si="3"/>
        <v>2001</v>
      </c>
      <c r="E16" s="60">
        <f>VLOOKUP($C16,calendar!$A$2:$D$121,4,FALSE)*(1-(H16=0))</f>
        <v>0</v>
      </c>
      <c r="F16" s="60">
        <f>VLOOKUP($C16,calendar!$A$2:$D$121,3,FALSE)*(1-(I16=0))</f>
        <v>384</v>
      </c>
      <c r="G16" s="36">
        <f t="shared" si="0"/>
        <v>282866.48</v>
      </c>
      <c r="H16" s="36">
        <f t="shared" si="1"/>
        <v>0</v>
      </c>
      <c r="I16" s="36">
        <f t="shared" si="2"/>
        <v>83600</v>
      </c>
      <c r="J16" s="41"/>
      <c r="K16" s="45">
        <f>'Filter-old'!E13</f>
        <v>356786.48</v>
      </c>
      <c r="L16" s="61">
        <f>'Filter-new'!E13</f>
        <v>0</v>
      </c>
      <c r="M16" s="62"/>
      <c r="N16" s="62"/>
      <c r="O16" s="429">
        <f>'Filter-new'!E502</f>
        <v>29600</v>
      </c>
      <c r="P16" s="62"/>
      <c r="Q16" s="45">
        <f>'Filter-old'!H13</f>
        <v>-73920</v>
      </c>
      <c r="R16" s="61">
        <f>'Filter-new'!H13</f>
        <v>0</v>
      </c>
      <c r="S16" s="62"/>
      <c r="T16" s="62"/>
      <c r="U16" s="445">
        <f>'Filter-new'!H502</f>
        <v>54000</v>
      </c>
      <c r="V16" s="62"/>
      <c r="W16" s="45">
        <f>'Filter-old'!J13</f>
        <v>0</v>
      </c>
      <c r="X16" s="61">
        <f>'Filter-new'!J13</f>
        <v>0</v>
      </c>
      <c r="Y16" s="62"/>
      <c r="Z16" s="62"/>
      <c r="AA16" s="45">
        <f>'Filter-old'!F13</f>
        <v>0</v>
      </c>
      <c r="AB16" s="61">
        <f>'Filter-new'!F13</f>
        <v>0</v>
      </c>
      <c r="AC16" s="62"/>
      <c r="AD16" s="62"/>
      <c r="AE16" s="45">
        <f>'Filter-old'!P13</f>
        <v>0</v>
      </c>
      <c r="AF16" s="61">
        <f>'Filter-new'!P13</f>
        <v>0</v>
      </c>
      <c r="AG16" s="62"/>
      <c r="AH16" s="62"/>
      <c r="AI16" s="45">
        <f>'Filter-old'!L13</f>
        <v>0</v>
      </c>
      <c r="AJ16" s="61">
        <f>'Filter-new'!L13</f>
        <v>0</v>
      </c>
      <c r="AK16" s="62"/>
      <c r="AL16" s="62"/>
      <c r="AM16" s="62">
        <f>'Filter-new'!L502</f>
        <v>0</v>
      </c>
      <c r="AN16" s="62"/>
      <c r="AO16" s="45">
        <f>'Filter-old'!G13</f>
        <v>0</v>
      </c>
      <c r="AP16" s="61">
        <f>'Filter-new'!G13</f>
        <v>0</v>
      </c>
      <c r="AQ16" s="62"/>
      <c r="AR16" s="62"/>
      <c r="AS16" s="45"/>
      <c r="AT16" s="61"/>
      <c r="AU16" s="62"/>
      <c r="AV16" s="62"/>
      <c r="AW16" s="45">
        <f>'Filter-old'!I13</f>
        <v>16800</v>
      </c>
      <c r="AX16" s="61">
        <f>'Filter-new'!I13</f>
        <v>0</v>
      </c>
      <c r="AY16" s="62"/>
      <c r="AZ16" s="62"/>
      <c r="BA16" s="62">
        <f>'Filter-new'!I502</f>
        <v>0</v>
      </c>
      <c r="BB16" s="62"/>
      <c r="BC16" s="45">
        <f>'Filter-old'!K13</f>
        <v>0</v>
      </c>
      <c r="BD16" s="61">
        <f>'Filter-new'!K13</f>
        <v>0</v>
      </c>
      <c r="BE16" s="62"/>
      <c r="BF16" s="62"/>
      <c r="BG16" s="45">
        <f>'Filter-old'!M13</f>
        <v>0</v>
      </c>
      <c r="BH16" s="62">
        <f>'Filter-new'!K502</f>
        <v>0</v>
      </c>
      <c r="BI16" s="61"/>
      <c r="BJ16" s="61" t="str">
        <f>'Filter-new'!M13</f>
        <v>NY Zone A</v>
      </c>
      <c r="BK16" s="62"/>
      <c r="BL16" s="62"/>
      <c r="BM16" s="62"/>
      <c r="BN16" s="406" t="str">
        <f>'Filter-new'!N13</f>
        <v>NY Zone G</v>
      </c>
      <c r="BO16" s="62"/>
      <c r="BP16" s="62"/>
      <c r="BQ16" s="45">
        <f>'Filter-old'!O13</f>
        <v>0</v>
      </c>
      <c r="BR16" s="61">
        <f>'Filter-new'!O13</f>
        <v>0</v>
      </c>
      <c r="BS16" s="62"/>
      <c r="BT16" s="62"/>
      <c r="BU16" s="45">
        <f>'Filter-old'!Q13</f>
        <v>0</v>
      </c>
      <c r="BV16" s="61">
        <f>'Filter-new'!Q13</f>
        <v>0</v>
      </c>
      <c r="BW16" s="61"/>
      <c r="BX16" s="61"/>
      <c r="BY16" s="61">
        <f>'Filter-new'!Q502</f>
        <v>18000</v>
      </c>
      <c r="BZ16" s="61"/>
      <c r="CA16" s="45">
        <f>'Filter-old'!R13</f>
        <v>-16800</v>
      </c>
      <c r="CB16" s="61">
        <f>'Filter-new'!R13</f>
        <v>0</v>
      </c>
      <c r="CC16" s="61"/>
      <c r="CD16" s="58"/>
      <c r="CE16" s="61">
        <f>'Filter-new'!R502</f>
        <v>-18000</v>
      </c>
      <c r="CF16" s="57"/>
      <c r="CG16" s="4"/>
    </row>
    <row r="17" spans="1:85" hidden="1" x14ac:dyDescent="0.2">
      <c r="A17">
        <v>0</v>
      </c>
      <c r="B17" s="59">
        <v>37226</v>
      </c>
      <c r="C17" s="59">
        <f>'Filter-new'!C14</f>
        <v>37226</v>
      </c>
      <c r="D17" s="60">
        <f t="shared" si="3"/>
        <v>2001</v>
      </c>
      <c r="E17" s="60">
        <f>VLOOKUP($C17,calendar!$A$2:$D$121,4,FALSE)*(1-(H17=0))</f>
        <v>320</v>
      </c>
      <c r="F17" s="60">
        <f>VLOOKUP($C17,calendar!$A$2:$D$121,3,FALSE)*(1-(I17=0))</f>
        <v>424</v>
      </c>
      <c r="G17" s="36">
        <f t="shared" si="0"/>
        <v>305446.28999999998</v>
      </c>
      <c r="H17" s="36">
        <f t="shared" si="1"/>
        <v>905920</v>
      </c>
      <c r="I17" s="36">
        <f t="shared" si="2"/>
        <v>-126240</v>
      </c>
      <c r="J17" s="41"/>
      <c r="K17" s="45">
        <f>'Filter-old'!E14</f>
        <v>376646.29</v>
      </c>
      <c r="L17" s="61">
        <f>'Filter-new'!E14</f>
        <v>431520</v>
      </c>
      <c r="M17" s="62"/>
      <c r="N17" s="62"/>
      <c r="O17" s="429">
        <f>'Filter-new'!E503</f>
        <v>-97624</v>
      </c>
      <c r="P17" s="62"/>
      <c r="Q17" s="45">
        <f>'Filter-old'!H14</f>
        <v>-71200</v>
      </c>
      <c r="R17" s="61">
        <f>'Filter-new'!H14</f>
        <v>56800</v>
      </c>
      <c r="S17" s="62"/>
      <c r="T17" s="62"/>
      <c r="U17" s="445">
        <f>'Filter-new'!H503</f>
        <v>-58800</v>
      </c>
      <c r="V17" s="62"/>
      <c r="W17" s="45">
        <f>'Filter-old'!J14</f>
        <v>0</v>
      </c>
      <c r="X17" s="61">
        <f>'Filter-new'!J14</f>
        <v>0</v>
      </c>
      <c r="Y17" s="62"/>
      <c r="Z17" s="62"/>
      <c r="AA17" s="45">
        <f>'Filter-old'!F14</f>
        <v>0</v>
      </c>
      <c r="AB17" s="61">
        <f>'Filter-new'!F14</f>
        <v>0</v>
      </c>
      <c r="AC17" s="62"/>
      <c r="AD17" s="62"/>
      <c r="AE17" s="45">
        <f>'Filter-old'!P14</f>
        <v>0</v>
      </c>
      <c r="AF17" s="61">
        <f>'Filter-new'!P14</f>
        <v>0</v>
      </c>
      <c r="AG17" s="62"/>
      <c r="AH17" s="62"/>
      <c r="AI17" s="45">
        <f>'Filter-old'!L14</f>
        <v>0</v>
      </c>
      <c r="AJ17" s="61">
        <f>'Filter-new'!L14</f>
        <v>0</v>
      </c>
      <c r="AK17" s="62"/>
      <c r="AL17" s="62"/>
      <c r="AM17" s="62">
        <f>'Filter-new'!L503</f>
        <v>10584</v>
      </c>
      <c r="AN17" s="62"/>
      <c r="AO17" s="45">
        <f>'Filter-old'!G14</f>
        <v>0</v>
      </c>
      <c r="AP17" s="61">
        <f>'Filter-new'!G14</f>
        <v>0</v>
      </c>
      <c r="AQ17" s="62"/>
      <c r="AR17" s="62"/>
      <c r="AS17" s="45"/>
      <c r="AT17" s="61"/>
      <c r="AU17" s="62"/>
      <c r="AV17" s="62"/>
      <c r="AW17" s="45">
        <f>'Filter-old'!I14</f>
        <v>16000</v>
      </c>
      <c r="AX17" s="61">
        <f>'Filter-new'!I14</f>
        <v>14400</v>
      </c>
      <c r="AY17" s="62"/>
      <c r="AZ17" s="62"/>
      <c r="BA17" s="62">
        <f>'Filter-new'!I503</f>
        <v>19600</v>
      </c>
      <c r="BB17" s="62"/>
      <c r="BC17" s="45">
        <f>'Filter-old'!K14</f>
        <v>0</v>
      </c>
      <c r="BD17" s="61">
        <f>'Filter-new'!K14</f>
        <v>72000</v>
      </c>
      <c r="BE17" s="62"/>
      <c r="BF17" s="62"/>
      <c r="BG17" s="45">
        <f>'Filter-old'!M14</f>
        <v>0</v>
      </c>
      <c r="BH17" s="62">
        <f>'Filter-new'!K503</f>
        <v>-39200</v>
      </c>
      <c r="BI17" s="61"/>
      <c r="BJ17" s="61">
        <f>'Filter-new'!M14</f>
        <v>144000</v>
      </c>
      <c r="BK17" s="62"/>
      <c r="BL17" s="62"/>
      <c r="BM17" s="62"/>
      <c r="BN17" s="406">
        <f>'Filter-new'!N14</f>
        <v>144000</v>
      </c>
      <c r="BO17" s="62"/>
      <c r="BP17" s="62"/>
      <c r="BQ17" s="45">
        <f>'Filter-old'!O14</f>
        <v>0</v>
      </c>
      <c r="BR17" s="61">
        <f>'Filter-new'!O14</f>
        <v>14400</v>
      </c>
      <c r="BS17" s="62"/>
      <c r="BT17" s="62"/>
      <c r="BU17" s="45">
        <f>'Filter-old'!Q14</f>
        <v>0</v>
      </c>
      <c r="BV17" s="61">
        <f>'Filter-new'!Q14</f>
        <v>0</v>
      </c>
      <c r="BW17" s="61"/>
      <c r="BX17" s="61"/>
      <c r="BY17" s="61">
        <f>'Filter-new'!Q503</f>
        <v>0</v>
      </c>
      <c r="BZ17" s="61"/>
      <c r="CA17" s="45">
        <f>'Filter-old'!R14</f>
        <v>-16000</v>
      </c>
      <c r="CB17" s="61">
        <f>'Filter-new'!R14</f>
        <v>28800</v>
      </c>
      <c r="CC17" s="61"/>
      <c r="CD17" s="58"/>
      <c r="CE17" s="61">
        <f>'Filter-new'!R503</f>
        <v>0</v>
      </c>
      <c r="CF17" s="57"/>
      <c r="CG17" s="4"/>
    </row>
    <row r="18" spans="1:85" hidden="1" x14ac:dyDescent="0.2">
      <c r="A18">
        <v>0</v>
      </c>
      <c r="B18" s="59">
        <v>37257</v>
      </c>
      <c r="C18" s="59">
        <f>'Filter-new'!C15</f>
        <v>37257</v>
      </c>
      <c r="D18" s="60">
        <f t="shared" si="3"/>
        <v>2002</v>
      </c>
      <c r="E18" s="60">
        <f>VLOOKUP($C18,calendar!$A$2:$D$121,4,FALSE)*(1-(H18=0))</f>
        <v>352</v>
      </c>
      <c r="F18" s="60">
        <f>VLOOKUP($C18,calendar!$A$2:$D$121,3,FALSE)*(1-(I18=0))</f>
        <v>392</v>
      </c>
      <c r="G18" s="36">
        <f t="shared" si="0"/>
        <v>-35053.299999999988</v>
      </c>
      <c r="H18" s="36">
        <f t="shared" si="1"/>
        <v>135020.64000000013</v>
      </c>
      <c r="I18" s="36">
        <f t="shared" si="2"/>
        <v>-113280</v>
      </c>
      <c r="J18" s="41"/>
      <c r="K18" s="45">
        <f>'Filter-old'!E15</f>
        <v>572363.13</v>
      </c>
      <c r="L18" s="61">
        <f>'Filter-new'!E15</f>
        <v>-835443.36</v>
      </c>
      <c r="M18" s="62"/>
      <c r="N18" s="62"/>
      <c r="O18" s="429">
        <f>'Filter-new'!E504</f>
        <v>-87584</v>
      </c>
      <c r="P18" s="62"/>
      <c r="Q18" s="45">
        <f>'Filter-old'!H15</f>
        <v>-482240</v>
      </c>
      <c r="R18" s="61">
        <f>'Filter-new'!H15</f>
        <v>-341440</v>
      </c>
      <c r="S18" s="62"/>
      <c r="T18" s="62"/>
      <c r="U18" s="445">
        <f>'Filter-new'!H504</f>
        <v>-52800</v>
      </c>
      <c r="V18" s="62"/>
      <c r="W18" s="45">
        <f>'Filter-old'!J15</f>
        <v>0</v>
      </c>
      <c r="X18" s="61">
        <f>'Filter-new'!J15</f>
        <v>0</v>
      </c>
      <c r="Y18" s="62"/>
      <c r="Z18" s="62"/>
      <c r="AA18" s="45">
        <f>'Filter-old'!F15</f>
        <v>0</v>
      </c>
      <c r="AB18" s="61">
        <f>'Filter-new'!F15</f>
        <v>0</v>
      </c>
      <c r="AC18" s="62"/>
      <c r="AD18" s="62"/>
      <c r="AE18" s="45">
        <f>'Filter-old'!P15</f>
        <v>0</v>
      </c>
      <c r="AF18" s="61">
        <f>'Filter-new'!P15</f>
        <v>17600</v>
      </c>
      <c r="AG18" s="62"/>
      <c r="AH18" s="62"/>
      <c r="AI18" s="45">
        <f>'Filter-old'!L15</f>
        <v>0</v>
      </c>
      <c r="AJ18" s="61">
        <f>'Filter-new'!L15</f>
        <v>9504</v>
      </c>
      <c r="AK18" s="62"/>
      <c r="AL18" s="62"/>
      <c r="AM18" s="62">
        <f>'Filter-new'!L504</f>
        <v>9504</v>
      </c>
      <c r="AN18" s="62"/>
      <c r="AO18" s="45">
        <f>'Filter-old'!G15</f>
        <v>0</v>
      </c>
      <c r="AP18" s="61">
        <f>'Filter-new'!G15</f>
        <v>0</v>
      </c>
      <c r="AQ18" s="62"/>
      <c r="AR18" s="62"/>
      <c r="AS18" s="45"/>
      <c r="AT18" s="61"/>
      <c r="AU18" s="62"/>
      <c r="AV18" s="62"/>
      <c r="AW18" s="45">
        <f>'Filter-old'!I15</f>
        <v>-17600</v>
      </c>
      <c r="AX18" s="61">
        <f>'Filter-new'!I15</f>
        <v>-193600</v>
      </c>
      <c r="AY18" s="62"/>
      <c r="AZ18" s="62"/>
      <c r="BA18" s="62">
        <f>'Filter-new'!I504</f>
        <v>17600</v>
      </c>
      <c r="BB18" s="62"/>
      <c r="BC18" s="45">
        <f>'Filter-old'!K15</f>
        <v>0</v>
      </c>
      <c r="BD18" s="61">
        <f>'Filter-new'!K15</f>
        <v>352000</v>
      </c>
      <c r="BE18" s="62"/>
      <c r="BF18" s="62"/>
      <c r="BG18" s="45">
        <f>'Filter-old'!M15</f>
        <v>0</v>
      </c>
      <c r="BH18" s="62">
        <f>'Filter-new'!K504</f>
        <v>-35200</v>
      </c>
      <c r="BI18" s="61"/>
      <c r="BJ18" s="61">
        <f>'Filter-new'!M15</f>
        <v>352000</v>
      </c>
      <c r="BK18" s="62"/>
      <c r="BL18" s="62"/>
      <c r="BM18" s="62"/>
      <c r="BN18" s="406">
        <f>'Filter-new'!N15</f>
        <v>369600</v>
      </c>
      <c r="BO18" s="62"/>
      <c r="BP18" s="62"/>
      <c r="BQ18" s="45">
        <f>'Filter-old'!O15</f>
        <v>0</v>
      </c>
      <c r="BR18" s="61">
        <f>'Filter-new'!O15</f>
        <v>0</v>
      </c>
      <c r="BS18" s="62"/>
      <c r="BT18" s="62"/>
      <c r="BU18" s="45">
        <f>'Filter-old'!Q15</f>
        <v>68423.570000000007</v>
      </c>
      <c r="BV18" s="61">
        <f>'Filter-new'!Q15</f>
        <v>0</v>
      </c>
      <c r="BW18" s="61"/>
      <c r="BX18" s="61"/>
      <c r="BY18" s="61">
        <f>'Filter-new'!Q504</f>
        <v>0</v>
      </c>
      <c r="BZ18" s="61"/>
      <c r="CA18" s="45">
        <f>'Filter-old'!R15</f>
        <v>-176000</v>
      </c>
      <c r="CB18" s="61">
        <f>'Filter-new'!R15</f>
        <v>404800</v>
      </c>
      <c r="CC18" s="61"/>
      <c r="CD18" s="58"/>
      <c r="CE18" s="61">
        <f>'Filter-new'!R504</f>
        <v>0</v>
      </c>
      <c r="CF18" s="57"/>
      <c r="CG18" s="4"/>
    </row>
    <row r="19" spans="1:85" hidden="1" x14ac:dyDescent="0.2">
      <c r="A19">
        <v>0</v>
      </c>
      <c r="B19" s="59">
        <v>37288</v>
      </c>
      <c r="C19" s="59">
        <f>'Filter-new'!C16</f>
        <v>37288</v>
      </c>
      <c r="D19" s="60">
        <f t="shared" si="3"/>
        <v>2002</v>
      </c>
      <c r="E19" s="60">
        <f>VLOOKUP($C19,calendar!$A$2:$D$121,4,FALSE)*(1-(H19=0))</f>
        <v>320</v>
      </c>
      <c r="F19" s="60">
        <f>VLOOKUP($C19,calendar!$A$2:$D$121,3,FALSE)*(1-(I19=0))</f>
        <v>352</v>
      </c>
      <c r="G19" s="36">
        <f t="shared" si="0"/>
        <v>-33780.520000000019</v>
      </c>
      <c r="H19" s="36">
        <f t="shared" si="1"/>
        <v>153647.16000000015</v>
      </c>
      <c r="I19" s="36">
        <f t="shared" si="2"/>
        <v>-111600</v>
      </c>
      <c r="J19" s="41"/>
      <c r="K19" s="45">
        <f>'Filter-old'!E16</f>
        <v>518620.6</v>
      </c>
      <c r="L19" s="61">
        <f>'Filter-new'!E16</f>
        <v>-760592.84</v>
      </c>
      <c r="M19" s="62"/>
      <c r="N19" s="62"/>
      <c r="O19" s="429">
        <f>'Filter-new'!E505</f>
        <v>-81816</v>
      </c>
      <c r="P19" s="62"/>
      <c r="Q19" s="45">
        <f>'Filter-old'!H16</f>
        <v>-438400</v>
      </c>
      <c r="R19" s="61">
        <f>'Filter-new'!H16</f>
        <v>-294400</v>
      </c>
      <c r="S19" s="62"/>
      <c r="T19" s="62"/>
      <c r="U19" s="445">
        <f>'Filter-new'!H505</f>
        <v>-40800</v>
      </c>
      <c r="V19" s="62"/>
      <c r="W19" s="45">
        <f>'Filter-old'!J16</f>
        <v>0</v>
      </c>
      <c r="X19" s="61">
        <f>'Filter-new'!J16</f>
        <v>0</v>
      </c>
      <c r="Y19" s="62"/>
      <c r="Z19" s="62"/>
      <c r="AA19" s="45">
        <f>'Filter-old'!F16</f>
        <v>0</v>
      </c>
      <c r="AB19" s="61">
        <f>'Filter-new'!F16</f>
        <v>0</v>
      </c>
      <c r="AC19" s="62"/>
      <c r="AD19" s="62"/>
      <c r="AE19" s="45">
        <f>'Filter-old'!P16</f>
        <v>0</v>
      </c>
      <c r="AF19" s="61">
        <f>'Filter-new'!P16</f>
        <v>16000</v>
      </c>
      <c r="AG19" s="62"/>
      <c r="AH19" s="62"/>
      <c r="AI19" s="45">
        <f>'Filter-old'!L16</f>
        <v>0</v>
      </c>
      <c r="AJ19" s="61">
        <f>'Filter-new'!L16</f>
        <v>8640</v>
      </c>
      <c r="AK19" s="62"/>
      <c r="AL19" s="62"/>
      <c r="AM19" s="62">
        <f>'Filter-new'!L505</f>
        <v>11016</v>
      </c>
      <c r="AN19" s="62"/>
      <c r="AO19" s="45">
        <f>'Filter-old'!G16</f>
        <v>0</v>
      </c>
      <c r="AP19" s="61">
        <f>'Filter-new'!G16</f>
        <v>0</v>
      </c>
      <c r="AQ19" s="62"/>
      <c r="AR19" s="62"/>
      <c r="AS19" s="45"/>
      <c r="AT19" s="61"/>
      <c r="AU19" s="62"/>
      <c r="AV19" s="62"/>
      <c r="AW19" s="45">
        <f>'Filter-old'!I16</f>
        <v>-16000</v>
      </c>
      <c r="AX19" s="61">
        <f>'Filter-new'!I16</f>
        <v>-160000</v>
      </c>
      <c r="AY19" s="62"/>
      <c r="AZ19" s="62"/>
      <c r="BA19" s="62">
        <f>'Filter-new'!I505</f>
        <v>20400</v>
      </c>
      <c r="BB19" s="62"/>
      <c r="BC19" s="45">
        <f>'Filter-old'!K16</f>
        <v>0</v>
      </c>
      <c r="BD19" s="61">
        <f>'Filter-new'!K16</f>
        <v>320000</v>
      </c>
      <c r="BE19" s="62"/>
      <c r="BF19" s="62"/>
      <c r="BG19" s="45">
        <f>'Filter-old'!M16</f>
        <v>0</v>
      </c>
      <c r="BH19" s="62">
        <f>'Filter-new'!K505</f>
        <v>-40800</v>
      </c>
      <c r="BI19" s="61"/>
      <c r="BJ19" s="61">
        <f>'Filter-new'!M16</f>
        <v>320000</v>
      </c>
      <c r="BK19" s="62"/>
      <c r="BL19" s="62"/>
      <c r="BM19" s="62"/>
      <c r="BN19" s="406">
        <f>'Filter-new'!N16</f>
        <v>336000</v>
      </c>
      <c r="BO19" s="62"/>
      <c r="BP19" s="62"/>
      <c r="BQ19" s="45">
        <f>'Filter-old'!O16</f>
        <v>0</v>
      </c>
      <c r="BR19" s="61">
        <f>'Filter-new'!O16</f>
        <v>0</v>
      </c>
      <c r="BS19" s="62"/>
      <c r="BT19" s="62"/>
      <c r="BU19" s="45">
        <f>'Filter-old'!Q16</f>
        <v>61998.879999999997</v>
      </c>
      <c r="BV19" s="61">
        <f>'Filter-new'!Q16</f>
        <v>0</v>
      </c>
      <c r="BW19" s="61"/>
      <c r="BX19" s="61"/>
      <c r="BY19" s="61">
        <f>'Filter-new'!Q505</f>
        <v>0</v>
      </c>
      <c r="BZ19" s="61"/>
      <c r="CA19" s="45">
        <f>'Filter-old'!R16</f>
        <v>-160000</v>
      </c>
      <c r="CB19" s="61">
        <f>'Filter-new'!R16</f>
        <v>368000</v>
      </c>
      <c r="CC19" s="61"/>
      <c r="CD19" s="58"/>
      <c r="CE19" s="61">
        <f>'Filter-new'!R505</f>
        <v>-20400</v>
      </c>
      <c r="CF19" s="57"/>
      <c r="CG19" s="4"/>
    </row>
    <row r="20" spans="1:85" hidden="1" x14ac:dyDescent="0.2">
      <c r="A20">
        <v>0</v>
      </c>
      <c r="B20" s="59">
        <v>37316</v>
      </c>
      <c r="C20" s="59">
        <f>'Filter-new'!C17</f>
        <v>37316</v>
      </c>
      <c r="D20" s="60">
        <f t="shared" si="3"/>
        <v>2002</v>
      </c>
      <c r="E20" s="60">
        <f>VLOOKUP($C20,calendar!$A$2:$D$121,4,FALSE)*(1-(H20=0))</f>
        <v>336</v>
      </c>
      <c r="F20" s="60">
        <f>VLOOKUP($C20,calendar!$A$2:$D$121,3,FALSE)*(1-(I20=0))</f>
        <v>408</v>
      </c>
      <c r="G20" s="36">
        <f t="shared" si="0"/>
        <v>-345063.29000000004</v>
      </c>
      <c r="H20" s="36">
        <f t="shared" si="1"/>
        <v>-591522.82999999996</v>
      </c>
      <c r="I20" s="36">
        <f t="shared" si="2"/>
        <v>-99430</v>
      </c>
      <c r="J20" s="41"/>
      <c r="K20" s="45">
        <f>'Filter-old'!E17</f>
        <v>-154714.53</v>
      </c>
      <c r="L20" s="61">
        <f>'Filter-new'!E17</f>
        <v>-761874.83</v>
      </c>
      <c r="M20" s="62"/>
      <c r="N20" s="62"/>
      <c r="O20" s="429">
        <f>'Filter-new'!E506</f>
        <v>-72639</v>
      </c>
      <c r="P20" s="62"/>
      <c r="Q20" s="45">
        <f>'Filter-old'!H17</f>
        <v>-157920</v>
      </c>
      <c r="R20" s="61">
        <f>'Filter-new'!H17</f>
        <v>-23520</v>
      </c>
      <c r="S20" s="62"/>
      <c r="T20" s="62"/>
      <c r="U20" s="445">
        <f>'Filter-new'!H506</f>
        <v>-36700</v>
      </c>
      <c r="V20" s="62"/>
      <c r="W20" s="45">
        <f>'Filter-old'!J17</f>
        <v>0</v>
      </c>
      <c r="X20" s="61">
        <f>'Filter-new'!J17</f>
        <v>0</v>
      </c>
      <c r="Y20" s="62"/>
      <c r="Z20" s="62"/>
      <c r="AA20" s="45">
        <f>'Filter-old'!F17</f>
        <v>0</v>
      </c>
      <c r="AB20" s="61">
        <f>'Filter-new'!F17</f>
        <v>0</v>
      </c>
      <c r="AC20" s="62"/>
      <c r="AD20" s="62"/>
      <c r="AE20" s="45">
        <f>'Filter-old'!P17</f>
        <v>0</v>
      </c>
      <c r="AF20" s="61">
        <f>'Filter-new'!P17</f>
        <v>-33600</v>
      </c>
      <c r="AG20" s="62"/>
      <c r="AH20" s="62"/>
      <c r="AI20" s="45">
        <f>'Filter-old'!L17</f>
        <v>0</v>
      </c>
      <c r="AJ20" s="61">
        <f>'Filter-new'!L17</f>
        <v>9072</v>
      </c>
      <c r="AK20" s="62"/>
      <c r="AL20" s="62"/>
      <c r="AM20" s="62">
        <f>'Filter-new'!L506</f>
        <v>9909</v>
      </c>
      <c r="AN20" s="62"/>
      <c r="AO20" s="45">
        <f>'Filter-old'!G17</f>
        <v>0</v>
      </c>
      <c r="AP20" s="61">
        <f>'Filter-new'!G17</f>
        <v>0</v>
      </c>
      <c r="AQ20" s="62"/>
      <c r="AR20" s="62"/>
      <c r="AS20" s="45"/>
      <c r="AT20" s="61"/>
      <c r="AU20" s="62"/>
      <c r="AV20" s="62"/>
      <c r="AW20" s="45">
        <f>'Filter-old'!I17</f>
        <v>0</v>
      </c>
      <c r="AX20" s="61">
        <f>'Filter-new'!I17</f>
        <v>-50400</v>
      </c>
      <c r="AY20" s="62"/>
      <c r="AZ20" s="62"/>
      <c r="BA20" s="62">
        <f>'Filter-new'!I506</f>
        <v>18350</v>
      </c>
      <c r="BB20" s="62"/>
      <c r="BC20" s="45">
        <f>'Filter-old'!K17</f>
        <v>0</v>
      </c>
      <c r="BD20" s="61">
        <f>'Filter-new'!K17</f>
        <v>0</v>
      </c>
      <c r="BE20" s="62"/>
      <c r="BF20" s="62"/>
      <c r="BG20" s="45">
        <f>'Filter-old'!M17</f>
        <v>0</v>
      </c>
      <c r="BH20" s="62">
        <f>'Filter-new'!K506</f>
        <v>-36700</v>
      </c>
      <c r="BI20" s="61"/>
      <c r="BJ20" s="61">
        <f>'Filter-new'!M17</f>
        <v>84000</v>
      </c>
      <c r="BK20" s="62"/>
      <c r="BL20" s="62"/>
      <c r="BM20" s="62"/>
      <c r="BN20" s="406">
        <f>'Filter-new'!N17</f>
        <v>84000</v>
      </c>
      <c r="BO20" s="62"/>
      <c r="BP20" s="62"/>
      <c r="BQ20" s="45">
        <f>'Filter-old'!O17</f>
        <v>0</v>
      </c>
      <c r="BR20" s="61">
        <f>'Filter-new'!O17</f>
        <v>50400</v>
      </c>
      <c r="BS20" s="62"/>
      <c r="BT20" s="62"/>
      <c r="BU20" s="45">
        <f>'Filter-old'!Q17</f>
        <v>-32428.76</v>
      </c>
      <c r="BV20" s="61">
        <f>'Filter-new'!Q17</f>
        <v>0</v>
      </c>
      <c r="BW20" s="61"/>
      <c r="BX20" s="61"/>
      <c r="BY20" s="61">
        <f>'Filter-new'!Q506</f>
        <v>0</v>
      </c>
      <c r="BZ20" s="61"/>
      <c r="CA20" s="45">
        <f>'Filter-old'!R17</f>
        <v>0</v>
      </c>
      <c r="CB20" s="61">
        <f>'Filter-new'!R17</f>
        <v>50400</v>
      </c>
      <c r="CC20" s="61"/>
      <c r="CD20" s="58"/>
      <c r="CE20" s="61">
        <f>'Filter-new'!R506</f>
        <v>-18350</v>
      </c>
      <c r="CF20" s="57"/>
      <c r="CG20" s="4"/>
    </row>
    <row r="21" spans="1:85" hidden="1" x14ac:dyDescent="0.2">
      <c r="A21">
        <v>0</v>
      </c>
      <c r="B21" s="59">
        <v>37347</v>
      </c>
      <c r="C21" s="59">
        <f>'Filter-new'!C18</f>
        <v>37347</v>
      </c>
      <c r="D21" s="60">
        <f t="shared" si="3"/>
        <v>2002</v>
      </c>
      <c r="E21" s="60">
        <f>VLOOKUP($C21,calendar!$A$2:$D$121,4,FALSE)*(1-(H21=0))</f>
        <v>352</v>
      </c>
      <c r="F21" s="60">
        <f>VLOOKUP($C21,calendar!$A$2:$D$121,3,FALSE)*(1-(I21=0))</f>
        <v>368</v>
      </c>
      <c r="G21" s="36">
        <f t="shared" si="0"/>
        <v>-310002.18</v>
      </c>
      <c r="H21" s="36">
        <f t="shared" si="1"/>
        <v>-567156.04</v>
      </c>
      <c r="I21" s="36">
        <f t="shared" si="2"/>
        <v>-67440</v>
      </c>
      <c r="J21" s="41"/>
      <c r="K21" s="45">
        <f>'Filter-old'!E18</f>
        <v>-161486.68</v>
      </c>
      <c r="L21" s="61">
        <f>'Filter-new'!E18</f>
        <v>-797941.23</v>
      </c>
      <c r="M21" s="62"/>
      <c r="N21" s="62"/>
      <c r="O21" s="429">
        <f>'Filter-new'!E507</f>
        <v>-58424</v>
      </c>
      <c r="P21" s="62"/>
      <c r="Q21" s="45">
        <f>'Filter-old'!H18</f>
        <v>-165440</v>
      </c>
      <c r="R21" s="61">
        <f>'Filter-new'!H18</f>
        <v>-24640</v>
      </c>
      <c r="S21" s="62"/>
      <c r="T21" s="62"/>
      <c r="U21" s="445">
        <f>'Filter-new'!H507</f>
        <v>-39200</v>
      </c>
      <c r="V21" s="62"/>
      <c r="W21" s="45">
        <f>'Filter-old'!J18</f>
        <v>0</v>
      </c>
      <c r="X21" s="61">
        <f>'Filter-new'!J18</f>
        <v>0</v>
      </c>
      <c r="Y21" s="62"/>
      <c r="Z21" s="62"/>
      <c r="AA21" s="45">
        <f>'Filter-old'!F18</f>
        <v>0</v>
      </c>
      <c r="AB21" s="61">
        <f>'Filter-new'!F18</f>
        <v>0</v>
      </c>
      <c r="AC21" s="62"/>
      <c r="AD21" s="62"/>
      <c r="AE21" s="45">
        <f>'Filter-old'!P18</f>
        <v>0</v>
      </c>
      <c r="AF21" s="61">
        <f>'Filter-new'!P18</f>
        <v>-35200</v>
      </c>
      <c r="AG21" s="62"/>
      <c r="AH21" s="62"/>
      <c r="AI21" s="45">
        <f>'Filter-old'!L18</f>
        <v>0</v>
      </c>
      <c r="AJ21" s="61">
        <f>'Filter-new'!L18</f>
        <v>9504</v>
      </c>
      <c r="AK21" s="62"/>
      <c r="AL21" s="62"/>
      <c r="AM21" s="62">
        <f>'Filter-new'!L507</f>
        <v>10584</v>
      </c>
      <c r="AN21" s="62"/>
      <c r="AO21" s="45">
        <f>'Filter-old'!G18</f>
        <v>0</v>
      </c>
      <c r="AP21" s="61">
        <f>'Filter-new'!G18</f>
        <v>0</v>
      </c>
      <c r="AQ21" s="62"/>
      <c r="AR21" s="62"/>
      <c r="AS21" s="45"/>
      <c r="AT21" s="61"/>
      <c r="AU21" s="62"/>
      <c r="AV21" s="62"/>
      <c r="AW21" s="45">
        <f>'Filter-old'!I18</f>
        <v>0</v>
      </c>
      <c r="AX21" s="61">
        <f>'Filter-new'!I18</f>
        <v>-52800</v>
      </c>
      <c r="AY21" s="62"/>
      <c r="AZ21" s="62"/>
      <c r="BA21" s="62">
        <f>'Filter-new'!I507</f>
        <v>19600</v>
      </c>
      <c r="BB21" s="62"/>
      <c r="BC21" s="45">
        <f>'Filter-old'!K18</f>
        <v>0</v>
      </c>
      <c r="BD21" s="61">
        <f>'Filter-new'!K18</f>
        <v>0</v>
      </c>
      <c r="BE21" s="62"/>
      <c r="BF21" s="62"/>
      <c r="BG21" s="45">
        <f>'Filter-old'!M18</f>
        <v>0</v>
      </c>
      <c r="BH21" s="62">
        <f>'Filter-new'!K507</f>
        <v>-39200</v>
      </c>
      <c r="BI21" s="61"/>
      <c r="BJ21" s="61">
        <f>'Filter-new'!M18</f>
        <v>88000</v>
      </c>
      <c r="BK21" s="62"/>
      <c r="BL21" s="62"/>
      <c r="BM21" s="62"/>
      <c r="BN21" s="406">
        <f>'Filter-new'!N18</f>
        <v>88000</v>
      </c>
      <c r="BO21" s="62"/>
      <c r="BP21" s="62"/>
      <c r="BQ21" s="45">
        <f>'Filter-old'!O18</f>
        <v>0</v>
      </c>
      <c r="BR21" s="61">
        <f>'Filter-new'!O18</f>
        <v>52800</v>
      </c>
      <c r="BS21" s="62"/>
      <c r="BT21" s="62"/>
      <c r="BU21" s="45">
        <f>'Filter-old'!Q18</f>
        <v>16924.5</v>
      </c>
      <c r="BV21" s="61">
        <f>'Filter-new'!Q18</f>
        <v>52321.19</v>
      </c>
      <c r="BW21" s="61"/>
      <c r="BX21" s="61"/>
      <c r="BY21" s="61">
        <f>'Filter-new'!Q507</f>
        <v>0</v>
      </c>
      <c r="BZ21" s="61"/>
      <c r="CA21" s="45">
        <f>'Filter-old'!R18</f>
        <v>0</v>
      </c>
      <c r="CB21" s="61">
        <f>'Filter-new'!R18</f>
        <v>52800</v>
      </c>
      <c r="CC21" s="61"/>
      <c r="CD21" s="58"/>
      <c r="CE21" s="61">
        <f>'Filter-new'!R507</f>
        <v>0</v>
      </c>
      <c r="CF21" s="57"/>
      <c r="CG21" s="4"/>
    </row>
    <row r="22" spans="1:85" hidden="1" x14ac:dyDescent="0.2">
      <c r="A22">
        <v>0</v>
      </c>
      <c r="B22" s="59">
        <v>37377</v>
      </c>
      <c r="C22" s="59">
        <f>'Filter-new'!C19</f>
        <v>37377</v>
      </c>
      <c r="D22" s="60">
        <f t="shared" si="3"/>
        <v>2002</v>
      </c>
      <c r="E22" s="60">
        <f>VLOOKUP($C22,calendar!$A$2:$D$121,4,FALSE)*(1-(H22=0))</f>
        <v>352</v>
      </c>
      <c r="F22" s="60">
        <f>VLOOKUP($C22,calendar!$A$2:$D$121,3,FALSE)*(1-(I22=0))</f>
        <v>392</v>
      </c>
      <c r="G22" s="36">
        <f t="shared" si="0"/>
        <v>-373920.94</v>
      </c>
      <c r="H22" s="36">
        <f t="shared" si="1"/>
        <v>-395400</v>
      </c>
      <c r="I22" s="36">
        <f t="shared" si="2"/>
        <v>-29600</v>
      </c>
      <c r="J22" s="41"/>
      <c r="K22" s="45">
        <f>'Filter-old'!E19</f>
        <v>-312599.61</v>
      </c>
      <c r="L22" s="61">
        <f>'Filter-new'!E19</f>
        <v>-626664</v>
      </c>
      <c r="M22" s="62"/>
      <c r="N22" s="62"/>
      <c r="O22" s="429">
        <f>'Filter-new'!E508</f>
        <v>-20400</v>
      </c>
      <c r="P22" s="62"/>
      <c r="Q22" s="45">
        <f>'Filter-old'!H19</f>
        <v>-95040</v>
      </c>
      <c r="R22" s="61">
        <f>'Filter-new'!H19</f>
        <v>-24640</v>
      </c>
      <c r="S22" s="62"/>
      <c r="T22" s="62"/>
      <c r="U22" s="445">
        <f>'Filter-new'!H508</f>
        <v>-40000</v>
      </c>
      <c r="V22" s="62"/>
      <c r="W22" s="45">
        <f>'Filter-old'!J19</f>
        <v>0</v>
      </c>
      <c r="X22" s="61">
        <f>'Filter-new'!J19</f>
        <v>0</v>
      </c>
      <c r="Y22" s="62"/>
      <c r="Z22" s="62"/>
      <c r="AA22" s="45">
        <f>'Filter-old'!F19</f>
        <v>0</v>
      </c>
      <c r="AB22" s="61">
        <f>'Filter-new'!F19</f>
        <v>0</v>
      </c>
      <c r="AC22" s="62"/>
      <c r="AD22" s="62"/>
      <c r="AE22" s="45">
        <f>'Filter-old'!P19</f>
        <v>0</v>
      </c>
      <c r="AF22" s="61">
        <f>'Filter-new'!P19</f>
        <v>0</v>
      </c>
      <c r="AG22" s="62"/>
      <c r="AH22" s="62"/>
      <c r="AI22" s="45">
        <f>'Filter-old'!L19</f>
        <v>0</v>
      </c>
      <c r="AJ22" s="61">
        <f>'Filter-new'!L19</f>
        <v>9504</v>
      </c>
      <c r="AK22" s="62"/>
      <c r="AL22" s="62"/>
      <c r="AM22" s="62">
        <f>'Filter-new'!L508</f>
        <v>10800</v>
      </c>
      <c r="AN22" s="62"/>
      <c r="AO22" s="45">
        <f>'Filter-old'!G19</f>
        <v>0</v>
      </c>
      <c r="AP22" s="61">
        <f>'Filter-new'!G19</f>
        <v>0</v>
      </c>
      <c r="AQ22" s="62"/>
      <c r="AR22" s="62"/>
      <c r="AS22" s="45"/>
      <c r="AT22" s="61"/>
      <c r="AU22" s="62"/>
      <c r="AV22" s="62"/>
      <c r="AW22" s="45">
        <f>'Filter-old'!I19</f>
        <v>0</v>
      </c>
      <c r="AX22" s="61">
        <f>'Filter-new'!I19</f>
        <v>-35200</v>
      </c>
      <c r="AY22" s="62"/>
      <c r="AZ22" s="62"/>
      <c r="BA22" s="62">
        <f>'Filter-new'!I508</f>
        <v>20000</v>
      </c>
      <c r="BB22" s="62"/>
      <c r="BC22" s="45">
        <f>'Filter-old'!K19</f>
        <v>0</v>
      </c>
      <c r="BD22" s="61">
        <f>'Filter-new'!K19</f>
        <v>0</v>
      </c>
      <c r="BE22" s="62"/>
      <c r="BF22" s="62"/>
      <c r="BG22" s="45">
        <f>'Filter-old'!M19</f>
        <v>0</v>
      </c>
      <c r="BH22" s="62">
        <f>'Filter-new'!K508</f>
        <v>-40000</v>
      </c>
      <c r="BI22" s="61"/>
      <c r="BJ22" s="61">
        <f>'Filter-new'!M19</f>
        <v>88000</v>
      </c>
      <c r="BK22" s="62"/>
      <c r="BL22" s="62"/>
      <c r="BM22" s="62"/>
      <c r="BN22" s="406">
        <f>'Filter-new'!N19</f>
        <v>52800</v>
      </c>
      <c r="BO22" s="62"/>
      <c r="BP22" s="62"/>
      <c r="BQ22" s="45">
        <f>'Filter-old'!O19</f>
        <v>0</v>
      </c>
      <c r="BR22" s="61">
        <f>'Filter-new'!O19</f>
        <v>123200</v>
      </c>
      <c r="BS22" s="62"/>
      <c r="BT22" s="62"/>
      <c r="BU22" s="45">
        <f>'Filter-old'!Q19</f>
        <v>33718.67</v>
      </c>
      <c r="BV22" s="61">
        <f>'Filter-new'!Q19</f>
        <v>0</v>
      </c>
      <c r="BW22" s="61"/>
      <c r="BX22" s="61"/>
      <c r="BY22" s="61">
        <f>'Filter-new'!Q508</f>
        <v>0</v>
      </c>
      <c r="BZ22" s="61"/>
      <c r="CA22" s="45">
        <f>'Filter-old'!R19</f>
        <v>0</v>
      </c>
      <c r="CB22" s="61">
        <f>'Filter-new'!R19</f>
        <v>17600</v>
      </c>
      <c r="CC22" s="61"/>
      <c r="CD22" s="58"/>
      <c r="CE22" s="61">
        <f>'Filter-new'!R508</f>
        <v>0</v>
      </c>
      <c r="CF22" s="57"/>
      <c r="CG22" s="4"/>
    </row>
    <row r="23" spans="1:85" hidden="1" x14ac:dyDescent="0.2">
      <c r="A23">
        <v>0</v>
      </c>
      <c r="B23" s="59">
        <v>37408</v>
      </c>
      <c r="C23" s="59">
        <f>'Filter-new'!C20</f>
        <v>37408</v>
      </c>
      <c r="D23" s="60">
        <f t="shared" si="3"/>
        <v>2002</v>
      </c>
      <c r="E23" s="60">
        <f>VLOOKUP($C23,calendar!$A$2:$D$121,4,FALSE)*(1-(H23=0))</f>
        <v>320</v>
      </c>
      <c r="F23" s="60">
        <f>VLOOKUP($C23,calendar!$A$2:$D$121,3,FALSE)*(1-(I23=0))</f>
        <v>400</v>
      </c>
      <c r="G23" s="36">
        <f t="shared" si="0"/>
        <v>-480840.08</v>
      </c>
      <c r="H23" s="36">
        <f t="shared" si="1"/>
        <v>-486165.53</v>
      </c>
      <c r="I23" s="36">
        <f t="shared" si="2"/>
        <v>10960</v>
      </c>
      <c r="J23" s="41"/>
      <c r="K23" s="45">
        <f>'Filter-old'!E20</f>
        <v>-618983</v>
      </c>
      <c r="L23" s="61">
        <f>'Filter-new'!E20</f>
        <v>-766805.53</v>
      </c>
      <c r="M23" s="62"/>
      <c r="N23" s="62"/>
      <c r="O23" s="429">
        <f>'Filter-new'!E509</f>
        <v>-19224</v>
      </c>
      <c r="P23" s="62"/>
      <c r="Q23" s="45">
        <f>'Filter-old'!H20</f>
        <v>-64000</v>
      </c>
      <c r="R23" s="61">
        <f>'Filter-new'!H20</f>
        <v>32000</v>
      </c>
      <c r="S23" s="62"/>
      <c r="T23" s="62"/>
      <c r="U23" s="445">
        <f>'Filter-new'!H509</f>
        <v>19600</v>
      </c>
      <c r="V23" s="62"/>
      <c r="W23" s="45">
        <f>'Filter-old'!J20</f>
        <v>0</v>
      </c>
      <c r="X23" s="61">
        <f>'Filter-new'!J20</f>
        <v>0</v>
      </c>
      <c r="Y23" s="62"/>
      <c r="Z23" s="62"/>
      <c r="AA23" s="45">
        <f>'Filter-old'!F20</f>
        <v>0</v>
      </c>
      <c r="AB23" s="61">
        <f>'Filter-new'!F20</f>
        <v>0</v>
      </c>
      <c r="AC23" s="62"/>
      <c r="AD23" s="62"/>
      <c r="AE23" s="45">
        <f>'Filter-old'!P20</f>
        <v>0</v>
      </c>
      <c r="AF23" s="61">
        <f>'Filter-new'!P20</f>
        <v>0</v>
      </c>
      <c r="AG23" s="62"/>
      <c r="AH23" s="62"/>
      <c r="AI23" s="45">
        <f>'Filter-old'!L20</f>
        <v>0</v>
      </c>
      <c r="AJ23" s="61">
        <f>'Filter-new'!L20</f>
        <v>8640</v>
      </c>
      <c r="AK23" s="62"/>
      <c r="AL23" s="62"/>
      <c r="AM23" s="62">
        <f>'Filter-new'!L509</f>
        <v>10584</v>
      </c>
      <c r="AN23" s="62"/>
      <c r="AO23" s="45">
        <f>'Filter-old'!G20</f>
        <v>80000</v>
      </c>
      <c r="AP23" s="61">
        <f>'Filter-new'!G20</f>
        <v>0</v>
      </c>
      <c r="AQ23" s="62"/>
      <c r="AR23" s="62"/>
      <c r="AS23" s="45"/>
      <c r="AT23" s="61"/>
      <c r="AU23" s="62"/>
      <c r="AV23" s="62"/>
      <c r="AW23" s="45">
        <f>'Filter-old'!I20</f>
        <v>0</v>
      </c>
      <c r="AX23" s="61">
        <f>'Filter-new'!I20</f>
        <v>-64000</v>
      </c>
      <c r="AY23" s="62"/>
      <c r="AZ23" s="62"/>
      <c r="BA23" s="62">
        <f>'Filter-new'!I509</f>
        <v>19600</v>
      </c>
      <c r="BB23" s="62"/>
      <c r="BC23" s="45">
        <f>'Filter-old'!K20</f>
        <v>0</v>
      </c>
      <c r="BD23" s="61">
        <f>'Filter-new'!K20</f>
        <v>0</v>
      </c>
      <c r="BE23" s="62"/>
      <c r="BF23" s="62"/>
      <c r="BG23" s="45">
        <f>'Filter-old'!M20</f>
        <v>0</v>
      </c>
      <c r="BH23" s="62">
        <f>'Filter-new'!K509</f>
        <v>-39200</v>
      </c>
      <c r="BI23" s="61"/>
      <c r="BJ23" s="61">
        <f>'Filter-new'!M20</f>
        <v>160000</v>
      </c>
      <c r="BK23" s="62"/>
      <c r="BL23" s="62"/>
      <c r="BM23" s="62"/>
      <c r="BN23" s="406">
        <f>'Filter-new'!N20</f>
        <v>48000</v>
      </c>
      <c r="BO23" s="62"/>
      <c r="BP23" s="62"/>
      <c r="BQ23" s="45">
        <f>'Filter-old'!O20</f>
        <v>0</v>
      </c>
      <c r="BR23" s="61">
        <f>'Filter-new'!O20</f>
        <v>80000</v>
      </c>
      <c r="BS23" s="62"/>
      <c r="BT23" s="62"/>
      <c r="BU23" s="45">
        <f>'Filter-old'!Q20</f>
        <v>122142.92</v>
      </c>
      <c r="BV23" s="61">
        <f>'Filter-new'!Q20</f>
        <v>0</v>
      </c>
      <c r="BW23" s="61"/>
      <c r="BX23" s="61"/>
      <c r="BY23" s="61">
        <f>'Filter-new'!Q509</f>
        <v>0</v>
      </c>
      <c r="BZ23" s="61"/>
      <c r="CA23" s="45">
        <f>'Filter-old'!R20</f>
        <v>0</v>
      </c>
      <c r="CB23" s="61">
        <f>'Filter-new'!R20</f>
        <v>16000</v>
      </c>
      <c r="CC23" s="61"/>
      <c r="CD23" s="58"/>
      <c r="CE23" s="61">
        <f>'Filter-new'!R509</f>
        <v>-19600</v>
      </c>
      <c r="CF23" s="57"/>
      <c r="CG23" s="4"/>
    </row>
    <row r="24" spans="1:85" hidden="1" x14ac:dyDescent="0.2">
      <c r="A24">
        <v>0</v>
      </c>
      <c r="B24" s="59">
        <v>37438</v>
      </c>
      <c r="C24" s="59">
        <f>'Filter-new'!C21</f>
        <v>37438</v>
      </c>
      <c r="D24" s="60">
        <f t="shared" si="3"/>
        <v>2002</v>
      </c>
      <c r="E24" s="60">
        <f>VLOOKUP($C24,calendar!$A$2:$D$121,4,FALSE)*(1-(H24=0))</f>
        <v>352</v>
      </c>
      <c r="F24" s="60">
        <f>VLOOKUP($C24,calendar!$A$2:$D$121,3,FALSE)*(1-(I24=0))</f>
        <v>392</v>
      </c>
      <c r="G24" s="36">
        <f t="shared" si="0"/>
        <v>-320289.90000000002</v>
      </c>
      <c r="H24" s="36">
        <f t="shared" si="1"/>
        <v>347936</v>
      </c>
      <c r="I24" s="36">
        <f t="shared" si="2"/>
        <v>10960</v>
      </c>
      <c r="J24" s="41"/>
      <c r="K24" s="45">
        <f>'Filter-old'!E21</f>
        <v>-230542.9</v>
      </c>
      <c r="L24" s="61">
        <f>'Filter-new'!E21</f>
        <v>-523616</v>
      </c>
      <c r="M24" s="62"/>
      <c r="N24" s="62"/>
      <c r="O24" s="429">
        <f>'Filter-new'!E510</f>
        <v>-19224</v>
      </c>
      <c r="P24" s="62"/>
      <c r="Q24" s="45">
        <f>'Filter-old'!H21</f>
        <v>-228800</v>
      </c>
      <c r="R24" s="61">
        <f>'Filter-new'!H21</f>
        <v>-105600</v>
      </c>
      <c r="S24" s="62"/>
      <c r="T24" s="62"/>
      <c r="U24" s="445">
        <f>'Filter-new'!H510</f>
        <v>19600</v>
      </c>
      <c r="V24" s="62"/>
      <c r="W24" s="45">
        <f>'Filter-old'!J21</f>
        <v>0</v>
      </c>
      <c r="X24" s="61">
        <f>'Filter-new'!J21</f>
        <v>0</v>
      </c>
      <c r="Y24" s="62"/>
      <c r="Z24" s="62"/>
      <c r="AA24" s="45">
        <f>'Filter-old'!F21</f>
        <v>0</v>
      </c>
      <c r="AB24" s="61">
        <f>'Filter-new'!F21</f>
        <v>0</v>
      </c>
      <c r="AC24" s="62"/>
      <c r="AD24" s="62"/>
      <c r="AE24" s="45">
        <f>'Filter-old'!P21</f>
        <v>0</v>
      </c>
      <c r="AF24" s="61">
        <f>'Filter-new'!P21</f>
        <v>-17600</v>
      </c>
      <c r="AG24" s="62"/>
      <c r="AH24" s="62"/>
      <c r="AI24" s="45">
        <f>'Filter-old'!L21</f>
        <v>0</v>
      </c>
      <c r="AJ24" s="61">
        <f>'Filter-new'!L21</f>
        <v>9152</v>
      </c>
      <c r="AK24" s="62"/>
      <c r="AL24" s="62"/>
      <c r="AM24" s="62">
        <f>'Filter-new'!L510</f>
        <v>10584</v>
      </c>
      <c r="AN24" s="62"/>
      <c r="AO24" s="45">
        <f>'Filter-old'!G21</f>
        <v>35200</v>
      </c>
      <c r="AP24" s="61">
        <f>'Filter-new'!G21</f>
        <v>0</v>
      </c>
      <c r="AQ24" s="62"/>
      <c r="AR24" s="62"/>
      <c r="AS24" s="45"/>
      <c r="AT24" s="61"/>
      <c r="AU24" s="62"/>
      <c r="AV24" s="62"/>
      <c r="AW24" s="45">
        <f>'Filter-old'!I21</f>
        <v>88000</v>
      </c>
      <c r="AX24" s="61">
        <f>'Filter-new'!I21</f>
        <v>-105600</v>
      </c>
      <c r="AY24" s="62"/>
      <c r="AZ24" s="62"/>
      <c r="BA24" s="62">
        <f>'Filter-new'!I510</f>
        <v>19600</v>
      </c>
      <c r="BB24" s="62"/>
      <c r="BC24" s="45">
        <f>'Filter-old'!K21</f>
        <v>-17600</v>
      </c>
      <c r="BD24" s="61">
        <f>'Filter-new'!K21</f>
        <v>17600</v>
      </c>
      <c r="BE24" s="62"/>
      <c r="BF24" s="62"/>
      <c r="BG24" s="45">
        <f>'Filter-old'!M21</f>
        <v>0</v>
      </c>
      <c r="BH24" s="62">
        <f>'Filter-new'!K510</f>
        <v>-39200</v>
      </c>
      <c r="BI24" s="61"/>
      <c r="BJ24" s="61">
        <f>'Filter-new'!M21</f>
        <v>968000</v>
      </c>
      <c r="BK24" s="62"/>
      <c r="BL24" s="62"/>
      <c r="BM24" s="62"/>
      <c r="BN24" s="406">
        <f>'Filter-new'!N21</f>
        <v>228800</v>
      </c>
      <c r="BO24" s="62"/>
      <c r="BP24" s="62"/>
      <c r="BQ24" s="45">
        <f>'Filter-old'!O21</f>
        <v>0</v>
      </c>
      <c r="BR24" s="61">
        <f>'Filter-new'!O21</f>
        <v>123200</v>
      </c>
      <c r="BS24" s="62"/>
      <c r="BT24" s="62"/>
      <c r="BU24" s="45">
        <f>'Filter-old'!Q21</f>
        <v>33453</v>
      </c>
      <c r="BV24" s="61">
        <f>'Filter-new'!Q21</f>
        <v>0</v>
      </c>
      <c r="BW24" s="61"/>
      <c r="BX24" s="61"/>
      <c r="BY24" s="61">
        <f>'Filter-new'!Q510</f>
        <v>0</v>
      </c>
      <c r="BZ24" s="61"/>
      <c r="CA24" s="45">
        <f>'Filter-old'!R21</f>
        <v>0</v>
      </c>
      <c r="CB24" s="61">
        <f>'Filter-new'!R21</f>
        <v>-246400</v>
      </c>
      <c r="CC24" s="61"/>
      <c r="CD24" s="58"/>
      <c r="CE24" s="61">
        <f>'Filter-new'!R510</f>
        <v>-19600</v>
      </c>
      <c r="CF24" s="57"/>
      <c r="CG24" s="4"/>
    </row>
    <row r="25" spans="1:85" hidden="1" x14ac:dyDescent="0.2">
      <c r="A25">
        <v>0</v>
      </c>
      <c r="B25" s="59">
        <v>37469</v>
      </c>
      <c r="C25" s="59">
        <f>'Filter-new'!C22</f>
        <v>37469</v>
      </c>
      <c r="D25" s="60">
        <f t="shared" si="3"/>
        <v>2002</v>
      </c>
      <c r="E25" s="60">
        <f>VLOOKUP($C25,calendar!$A$2:$D$121,4,FALSE)*(1-(H25=0))</f>
        <v>352</v>
      </c>
      <c r="F25" s="60">
        <f>VLOOKUP($C25,calendar!$A$2:$D$121,3,FALSE)*(1-(I25=0))</f>
        <v>392</v>
      </c>
      <c r="G25" s="36">
        <f t="shared" si="0"/>
        <v>-329918.45</v>
      </c>
      <c r="H25" s="36">
        <f t="shared" si="1"/>
        <v>341382.28</v>
      </c>
      <c r="I25" s="36">
        <f t="shared" si="2"/>
        <v>-69600</v>
      </c>
      <c r="J25" s="41"/>
      <c r="K25" s="45">
        <f>'Filter-old'!E22</f>
        <v>-240033</v>
      </c>
      <c r="L25" s="61">
        <f>'Filter-new'!E22</f>
        <v>-530169.72</v>
      </c>
      <c r="M25" s="62"/>
      <c r="N25" s="62"/>
      <c r="O25" s="429">
        <f>'Filter-new'!E511</f>
        <v>-60400</v>
      </c>
      <c r="P25" s="62"/>
      <c r="Q25" s="45">
        <f>'Filter-old'!H22</f>
        <v>-228800</v>
      </c>
      <c r="R25" s="61">
        <f>'Filter-new'!H22</f>
        <v>-105600</v>
      </c>
      <c r="S25" s="62"/>
      <c r="T25" s="62"/>
      <c r="U25" s="445">
        <f>'Filter-new'!H511</f>
        <v>-40000</v>
      </c>
      <c r="V25" s="62"/>
      <c r="W25" s="45">
        <f>'Filter-old'!J22</f>
        <v>0</v>
      </c>
      <c r="X25" s="61">
        <f>'Filter-new'!J22</f>
        <v>0</v>
      </c>
      <c r="Y25" s="62"/>
      <c r="Z25" s="62"/>
      <c r="AA25" s="45">
        <f>'Filter-old'!F22</f>
        <v>0</v>
      </c>
      <c r="AB25" s="61">
        <f>'Filter-new'!F22</f>
        <v>0</v>
      </c>
      <c r="AC25" s="62"/>
      <c r="AD25" s="62"/>
      <c r="AE25" s="45">
        <f>'Filter-old'!P22</f>
        <v>0</v>
      </c>
      <c r="AF25" s="61">
        <f>'Filter-new'!P22</f>
        <v>-17600</v>
      </c>
      <c r="AG25" s="62"/>
      <c r="AH25" s="62"/>
      <c r="AI25" s="45">
        <f>'Filter-old'!L22</f>
        <v>0</v>
      </c>
      <c r="AJ25" s="61">
        <f>'Filter-new'!L22</f>
        <v>9152</v>
      </c>
      <c r="AK25" s="62"/>
      <c r="AL25" s="62"/>
      <c r="AM25" s="62">
        <f>'Filter-new'!L511</f>
        <v>10800</v>
      </c>
      <c r="AN25" s="62"/>
      <c r="AO25" s="45">
        <f>'Filter-old'!G22</f>
        <v>35200</v>
      </c>
      <c r="AP25" s="61">
        <f>'Filter-new'!G22</f>
        <v>0</v>
      </c>
      <c r="AQ25" s="62"/>
      <c r="AR25" s="62"/>
      <c r="AS25" s="45"/>
      <c r="AT25" s="61"/>
      <c r="AU25" s="62"/>
      <c r="AV25" s="62"/>
      <c r="AW25" s="45">
        <f>'Filter-old'!I22</f>
        <v>88000</v>
      </c>
      <c r="AX25" s="61">
        <f>'Filter-new'!I22</f>
        <v>-105600</v>
      </c>
      <c r="AY25" s="62"/>
      <c r="AZ25" s="62"/>
      <c r="BA25" s="62">
        <f>'Filter-new'!I511</f>
        <v>20000</v>
      </c>
      <c r="BB25" s="62"/>
      <c r="BC25" s="45">
        <f>'Filter-old'!K22</f>
        <v>-17600</v>
      </c>
      <c r="BD25" s="61">
        <f>'Filter-new'!K22</f>
        <v>17600</v>
      </c>
      <c r="BE25" s="62"/>
      <c r="BF25" s="62"/>
      <c r="BG25" s="45">
        <f>'Filter-old'!M22</f>
        <v>0</v>
      </c>
      <c r="BH25" s="62">
        <f>'Filter-new'!K511</f>
        <v>-40000</v>
      </c>
      <c r="BI25" s="61"/>
      <c r="BJ25" s="61">
        <f>'Filter-new'!M22</f>
        <v>968000</v>
      </c>
      <c r="BK25" s="62"/>
      <c r="BL25" s="62"/>
      <c r="BM25" s="62"/>
      <c r="BN25" s="406">
        <f>'Filter-new'!N22</f>
        <v>228800</v>
      </c>
      <c r="BO25" s="62"/>
      <c r="BP25" s="62"/>
      <c r="BQ25" s="45">
        <f>'Filter-old'!O22</f>
        <v>0</v>
      </c>
      <c r="BR25" s="61">
        <f>'Filter-new'!O22</f>
        <v>123200</v>
      </c>
      <c r="BS25" s="62"/>
      <c r="BT25" s="62"/>
      <c r="BU25" s="45">
        <f>'Filter-old'!Q22</f>
        <v>33314.550000000003</v>
      </c>
      <c r="BV25" s="61">
        <f>'Filter-new'!Q22</f>
        <v>0</v>
      </c>
      <c r="BW25" s="61"/>
      <c r="BX25" s="61"/>
      <c r="BY25" s="61">
        <f>'Filter-new'!Q511</f>
        <v>0</v>
      </c>
      <c r="BZ25" s="61"/>
      <c r="CA25" s="45">
        <f>'Filter-old'!R22</f>
        <v>0</v>
      </c>
      <c r="CB25" s="61">
        <f>'Filter-new'!R22</f>
        <v>-246400</v>
      </c>
      <c r="CC25" s="61"/>
      <c r="CD25" s="58"/>
      <c r="CE25" s="61">
        <f>'Filter-new'!R511</f>
        <v>0</v>
      </c>
      <c r="CF25" s="57"/>
      <c r="CG25" s="4"/>
    </row>
    <row r="26" spans="1:85" hidden="1" x14ac:dyDescent="0.2">
      <c r="A26">
        <v>0</v>
      </c>
      <c r="B26" s="59">
        <v>37500</v>
      </c>
      <c r="C26" s="59">
        <f>'Filter-new'!C23</f>
        <v>37500</v>
      </c>
      <c r="D26" s="60">
        <f t="shared" si="3"/>
        <v>2002</v>
      </c>
      <c r="E26" s="60">
        <f>VLOOKUP($C26,calendar!$A$2:$D$121,4,FALSE)*(1-(H26=0))</f>
        <v>320</v>
      </c>
      <c r="F26" s="60">
        <f>VLOOKUP($C26,calendar!$A$2:$D$121,3,FALSE)*(1-(I26=0))</f>
        <v>400</v>
      </c>
      <c r="G26" s="36">
        <f t="shared" si="0"/>
        <v>1395.8300000000017</v>
      </c>
      <c r="H26" s="36">
        <f t="shared" si="1"/>
        <v>-370538.32999999996</v>
      </c>
      <c r="I26" s="36">
        <f t="shared" si="2"/>
        <v>-63080</v>
      </c>
      <c r="J26" s="41"/>
      <c r="K26" s="45">
        <f>'Filter-old'!E23</f>
        <v>52153</v>
      </c>
      <c r="L26" s="61">
        <f>'Filter-new'!E23</f>
        <v>-683178.33</v>
      </c>
      <c r="M26" s="62"/>
      <c r="N26" s="62"/>
      <c r="O26" s="429">
        <f>'Filter-new'!E512</f>
        <v>-54409</v>
      </c>
      <c r="P26" s="62"/>
      <c r="Q26" s="45">
        <f>'Filter-old'!H23</f>
        <v>-96000</v>
      </c>
      <c r="R26" s="61">
        <f>'Filter-new'!H23</f>
        <v>160000</v>
      </c>
      <c r="S26" s="62"/>
      <c r="T26" s="62"/>
      <c r="U26" s="445">
        <f>'Filter-new'!H512</f>
        <v>-37700</v>
      </c>
      <c r="V26" s="62"/>
      <c r="W26" s="45">
        <f>'Filter-old'!J23</f>
        <v>0</v>
      </c>
      <c r="X26" s="61">
        <f>'Filter-new'!J23</f>
        <v>0</v>
      </c>
      <c r="Y26" s="62"/>
      <c r="Z26" s="62"/>
      <c r="AA26" s="45">
        <f>'Filter-old'!F23</f>
        <v>0</v>
      </c>
      <c r="AB26" s="61">
        <f>'Filter-new'!F23</f>
        <v>0</v>
      </c>
      <c r="AC26" s="62"/>
      <c r="AD26" s="62"/>
      <c r="AE26" s="45">
        <f>'Filter-old'!P23</f>
        <v>0</v>
      </c>
      <c r="AF26" s="61">
        <f>'Filter-new'!P23</f>
        <v>0</v>
      </c>
      <c r="AG26" s="62"/>
      <c r="AH26" s="62"/>
      <c r="AI26" s="45">
        <f>'Filter-old'!L23</f>
        <v>0</v>
      </c>
      <c r="AJ26" s="61">
        <f>'Filter-new'!L23</f>
        <v>8640</v>
      </c>
      <c r="AK26" s="62"/>
      <c r="AL26" s="62"/>
      <c r="AM26" s="62">
        <f>'Filter-new'!L512</f>
        <v>10179</v>
      </c>
      <c r="AN26" s="62"/>
      <c r="AO26" s="45">
        <f>'Filter-old'!G23</f>
        <v>0</v>
      </c>
      <c r="AP26" s="61">
        <f>'Filter-new'!G23</f>
        <v>0</v>
      </c>
      <c r="AQ26" s="62"/>
      <c r="AR26" s="62"/>
      <c r="AS26" s="45"/>
      <c r="AT26" s="61"/>
      <c r="AU26" s="62"/>
      <c r="AV26" s="62"/>
      <c r="AW26" s="45">
        <f>'Filter-old'!I23</f>
        <v>0</v>
      </c>
      <c r="AX26" s="61">
        <f>'Filter-new'!I23</f>
        <v>16000</v>
      </c>
      <c r="AY26" s="62"/>
      <c r="AZ26" s="62"/>
      <c r="BA26" s="62">
        <f>'Filter-new'!I512</f>
        <v>18850</v>
      </c>
      <c r="BB26" s="62"/>
      <c r="BC26" s="45">
        <f>'Filter-old'!K23</f>
        <v>0</v>
      </c>
      <c r="BD26" s="61">
        <f>'Filter-new'!K23</f>
        <v>0</v>
      </c>
      <c r="BE26" s="62"/>
      <c r="BF26" s="62"/>
      <c r="BG26" s="45">
        <f>'Filter-old'!M23</f>
        <v>0</v>
      </c>
      <c r="BH26" s="62">
        <f>'Filter-new'!K512</f>
        <v>-37700</v>
      </c>
      <c r="BI26" s="61"/>
      <c r="BJ26" s="61">
        <f>'Filter-new'!M23</f>
        <v>80000</v>
      </c>
      <c r="BK26" s="62"/>
      <c r="BL26" s="62"/>
      <c r="BM26" s="62"/>
      <c r="BN26" s="406">
        <f>'Filter-new'!N23</f>
        <v>48000</v>
      </c>
      <c r="BO26" s="62"/>
      <c r="BP26" s="62"/>
      <c r="BQ26" s="45">
        <f>'Filter-old'!O23</f>
        <v>0</v>
      </c>
      <c r="BR26" s="61">
        <f>'Filter-new'!O23</f>
        <v>16000</v>
      </c>
      <c r="BS26" s="62"/>
      <c r="BT26" s="62"/>
      <c r="BU26" s="45">
        <f>'Filter-old'!Q23</f>
        <v>45242.83</v>
      </c>
      <c r="BV26" s="61">
        <f>'Filter-new'!Q23</f>
        <v>0</v>
      </c>
      <c r="BW26" s="61"/>
      <c r="BX26" s="61"/>
      <c r="BY26" s="61">
        <f>'Filter-new'!Q512</f>
        <v>0</v>
      </c>
      <c r="BZ26" s="61"/>
      <c r="CA26" s="45">
        <f>'Filter-old'!R23</f>
        <v>0</v>
      </c>
      <c r="CB26" s="61">
        <f>'Filter-new'!R23</f>
        <v>-16000</v>
      </c>
      <c r="CC26" s="61"/>
      <c r="CD26" s="58"/>
      <c r="CE26" s="61">
        <f>'Filter-new'!R512</f>
        <v>0</v>
      </c>
      <c r="CF26" s="57"/>
      <c r="CG26" s="4"/>
    </row>
    <row r="27" spans="1:85" hidden="1" x14ac:dyDescent="0.2">
      <c r="A27">
        <v>0</v>
      </c>
      <c r="B27" s="59">
        <v>37530</v>
      </c>
      <c r="C27" s="59">
        <f>'Filter-new'!C24</f>
        <v>37530</v>
      </c>
      <c r="D27" s="60">
        <f t="shared" si="3"/>
        <v>2002</v>
      </c>
      <c r="E27" s="60">
        <f>VLOOKUP($C27,calendar!$A$2:$D$121,4,FALSE)*(1-(H27=0))</f>
        <v>368</v>
      </c>
      <c r="F27" s="60">
        <f>VLOOKUP($C27,calendar!$A$2:$D$121,3,FALSE)*(1-(I27=0))</f>
        <v>376</v>
      </c>
      <c r="G27" s="36">
        <f t="shared" si="0"/>
        <v>-102488.14000000001</v>
      </c>
      <c r="H27" s="36">
        <f t="shared" si="1"/>
        <v>740706.88</v>
      </c>
      <c r="I27" s="36">
        <f t="shared" si="2"/>
        <v>-68600</v>
      </c>
      <c r="J27" s="41"/>
      <c r="K27" s="45">
        <f>'Filter-old'!E24</f>
        <v>-130233.88</v>
      </c>
      <c r="L27" s="61">
        <f>'Filter-new'!E24</f>
        <v>-226834</v>
      </c>
      <c r="M27" s="62"/>
      <c r="N27" s="62"/>
      <c r="O27" s="429">
        <f>'Filter-new'!E513</f>
        <v>-59400</v>
      </c>
      <c r="P27" s="62"/>
      <c r="Q27" s="45">
        <f>'Filter-old'!H24</f>
        <v>-110400</v>
      </c>
      <c r="R27" s="61">
        <f>'Filter-new'!H24</f>
        <v>92000</v>
      </c>
      <c r="S27" s="62"/>
      <c r="T27" s="62"/>
      <c r="U27" s="445">
        <f>'Filter-new'!H513</f>
        <v>-40000</v>
      </c>
      <c r="V27" s="62"/>
      <c r="W27" s="45">
        <f>'Filter-old'!J24</f>
        <v>0</v>
      </c>
      <c r="X27" s="61">
        <f>'Filter-new'!J24</f>
        <v>0</v>
      </c>
      <c r="Y27" s="62"/>
      <c r="Z27" s="62"/>
      <c r="AA27" s="45">
        <f>'Filter-old'!F24</f>
        <v>0</v>
      </c>
      <c r="AB27" s="61">
        <f>'Filter-new'!F24</f>
        <v>0</v>
      </c>
      <c r="AC27" s="62"/>
      <c r="AD27" s="62"/>
      <c r="AE27" s="45">
        <f>'Filter-old'!P24</f>
        <v>0</v>
      </c>
      <c r="AF27" s="61">
        <f>'Filter-new'!P24</f>
        <v>0</v>
      </c>
      <c r="AG27" s="62"/>
      <c r="AH27" s="62"/>
      <c r="AI27" s="45">
        <f>'Filter-old'!L24</f>
        <v>0</v>
      </c>
      <c r="AJ27" s="61">
        <f>'Filter-new'!L24</f>
        <v>9936</v>
      </c>
      <c r="AK27" s="62"/>
      <c r="AL27" s="62"/>
      <c r="AM27" s="62">
        <f>'Filter-new'!L513</f>
        <v>10800</v>
      </c>
      <c r="AN27" s="62"/>
      <c r="AO27" s="45">
        <f>'Filter-old'!G24</f>
        <v>0</v>
      </c>
      <c r="AP27" s="61">
        <f>'Filter-new'!G24</f>
        <v>0</v>
      </c>
      <c r="AQ27" s="62"/>
      <c r="AR27" s="62"/>
      <c r="AS27" s="45"/>
      <c r="AT27" s="61"/>
      <c r="AU27" s="62"/>
      <c r="AV27" s="62"/>
      <c r="AW27" s="45">
        <f>'Filter-old'!I24</f>
        <v>0</v>
      </c>
      <c r="AX27" s="61">
        <f>'Filter-new'!I24</f>
        <v>0</v>
      </c>
      <c r="AY27" s="62"/>
      <c r="AZ27" s="62"/>
      <c r="BA27" s="62">
        <f>'Filter-new'!I513</f>
        <v>20000</v>
      </c>
      <c r="BB27" s="62"/>
      <c r="BC27" s="45">
        <f>'Filter-old'!K24</f>
        <v>0</v>
      </c>
      <c r="BD27" s="61">
        <f>'Filter-new'!K24</f>
        <v>184000</v>
      </c>
      <c r="BE27" s="62"/>
      <c r="BF27" s="62"/>
      <c r="BG27" s="45">
        <f>'Filter-old'!M24</f>
        <v>0</v>
      </c>
      <c r="BH27" s="62">
        <f>'Filter-new'!K513</f>
        <v>-40000</v>
      </c>
      <c r="BI27" s="61"/>
      <c r="BJ27" s="61">
        <f>'Filter-new'!M24</f>
        <v>184000</v>
      </c>
      <c r="BK27" s="62"/>
      <c r="BL27" s="62"/>
      <c r="BM27" s="62"/>
      <c r="BN27" s="406">
        <f>'Filter-new'!N24</f>
        <v>220800</v>
      </c>
      <c r="BO27" s="62"/>
      <c r="BP27" s="62"/>
      <c r="BQ27" s="45">
        <f>'Filter-old'!O24</f>
        <v>0</v>
      </c>
      <c r="BR27" s="61">
        <f>'Filter-new'!O24</f>
        <v>312800</v>
      </c>
      <c r="BS27" s="62"/>
      <c r="BT27" s="62"/>
      <c r="BU27" s="45">
        <f>'Filter-old'!Q24</f>
        <v>138145.74</v>
      </c>
      <c r="BV27" s="61">
        <f>'Filter-new'!Q24</f>
        <v>-35995.120000000003</v>
      </c>
      <c r="BW27" s="61"/>
      <c r="BX27" s="61"/>
      <c r="BY27" s="61">
        <f>'Filter-new'!Q513</f>
        <v>0</v>
      </c>
      <c r="BZ27" s="61"/>
      <c r="CA27" s="45">
        <f>'Filter-old'!R24</f>
        <v>0</v>
      </c>
      <c r="CB27" s="61">
        <f>'Filter-new'!R24</f>
        <v>0</v>
      </c>
      <c r="CC27" s="61"/>
      <c r="CD27" s="58"/>
      <c r="CE27" s="61">
        <f>'Filter-new'!R513</f>
        <v>0</v>
      </c>
      <c r="CF27" s="57"/>
      <c r="CG27" s="4"/>
    </row>
    <row r="28" spans="1:85" hidden="1" x14ac:dyDescent="0.2">
      <c r="A28">
        <v>0</v>
      </c>
      <c r="B28" s="59">
        <v>37561</v>
      </c>
      <c r="C28" s="59">
        <f>'Filter-new'!C25</f>
        <v>37561</v>
      </c>
      <c r="D28" s="60">
        <f t="shared" si="3"/>
        <v>2002</v>
      </c>
      <c r="E28" s="60">
        <f>VLOOKUP($C28,calendar!$A$2:$D$121,4,FALSE)*(1-(H28=0))</f>
        <v>320</v>
      </c>
      <c r="F28" s="60">
        <f>VLOOKUP($C28,calendar!$A$2:$D$121,3,FALSE)*(1-(I28=0))</f>
        <v>400</v>
      </c>
      <c r="G28" s="36">
        <f t="shared" si="0"/>
        <v>-89152.289999999979</v>
      </c>
      <c r="H28" s="36">
        <f t="shared" si="1"/>
        <v>644694.13</v>
      </c>
      <c r="I28" s="36">
        <f t="shared" si="2"/>
        <v>-69750</v>
      </c>
      <c r="J28" s="41"/>
      <c r="K28" s="45">
        <f>'Filter-old'!E25</f>
        <v>-112766.29</v>
      </c>
      <c r="L28" s="61">
        <f>'Filter-new'!E25</f>
        <v>-196728.45</v>
      </c>
      <c r="M28" s="62"/>
      <c r="N28" s="62"/>
      <c r="O28" s="429">
        <f>'Filter-new'!E514</f>
        <v>-60366</v>
      </c>
      <c r="P28" s="62"/>
      <c r="Q28" s="45">
        <f>'Filter-old'!H25</f>
        <v>-96000</v>
      </c>
      <c r="R28" s="61">
        <f>'Filter-new'!H25</f>
        <v>80000</v>
      </c>
      <c r="S28" s="62"/>
      <c r="T28" s="62"/>
      <c r="U28" s="445">
        <f>'Filter-new'!H514</f>
        <v>-40800</v>
      </c>
      <c r="V28" s="62"/>
      <c r="W28" s="45">
        <f>'Filter-old'!J25</f>
        <v>0</v>
      </c>
      <c r="X28" s="61">
        <f>'Filter-new'!J25</f>
        <v>0</v>
      </c>
      <c r="Y28" s="62"/>
      <c r="Z28" s="62"/>
      <c r="AA28" s="45">
        <f>'Filter-old'!F25</f>
        <v>0</v>
      </c>
      <c r="AB28" s="61">
        <f>'Filter-new'!F25</f>
        <v>0</v>
      </c>
      <c r="AC28" s="62"/>
      <c r="AD28" s="62"/>
      <c r="AE28" s="45">
        <f>'Filter-old'!P25</f>
        <v>0</v>
      </c>
      <c r="AF28" s="61">
        <f>'Filter-new'!P25</f>
        <v>0</v>
      </c>
      <c r="AG28" s="62"/>
      <c r="AH28" s="62"/>
      <c r="AI28" s="45">
        <f>'Filter-old'!L25</f>
        <v>0</v>
      </c>
      <c r="AJ28" s="61">
        <f>'Filter-new'!L25</f>
        <v>8640</v>
      </c>
      <c r="AK28" s="62"/>
      <c r="AL28" s="62"/>
      <c r="AM28" s="62">
        <f>'Filter-new'!L514</f>
        <v>11016</v>
      </c>
      <c r="AN28" s="62"/>
      <c r="AO28" s="45">
        <f>'Filter-old'!G25</f>
        <v>0</v>
      </c>
      <c r="AP28" s="61">
        <f>'Filter-new'!G25</f>
        <v>0</v>
      </c>
      <c r="AQ28" s="62"/>
      <c r="AR28" s="62"/>
      <c r="AS28" s="45"/>
      <c r="AT28" s="61"/>
      <c r="AU28" s="62"/>
      <c r="AV28" s="62"/>
      <c r="AW28" s="45">
        <f>'Filter-old'!I25</f>
        <v>0</v>
      </c>
      <c r="AX28" s="61">
        <f>'Filter-new'!I25</f>
        <v>0</v>
      </c>
      <c r="AY28" s="62"/>
      <c r="AZ28" s="62"/>
      <c r="BA28" s="62">
        <f>'Filter-new'!I514</f>
        <v>20400</v>
      </c>
      <c r="BB28" s="62"/>
      <c r="BC28" s="45">
        <f>'Filter-old'!K25</f>
        <v>0</v>
      </c>
      <c r="BD28" s="61">
        <f>'Filter-new'!K25</f>
        <v>160000</v>
      </c>
      <c r="BE28" s="62"/>
      <c r="BF28" s="62"/>
      <c r="BG28" s="45">
        <f>'Filter-old'!M25</f>
        <v>0</v>
      </c>
      <c r="BH28" s="62">
        <f>'Filter-new'!K514</f>
        <v>-40800</v>
      </c>
      <c r="BI28" s="61"/>
      <c r="BJ28" s="61">
        <f>'Filter-new'!M25</f>
        <v>160000</v>
      </c>
      <c r="BK28" s="62"/>
      <c r="BL28" s="62"/>
      <c r="BM28" s="62"/>
      <c r="BN28" s="406">
        <f>'Filter-new'!N25</f>
        <v>192000</v>
      </c>
      <c r="BO28" s="62"/>
      <c r="BP28" s="62"/>
      <c r="BQ28" s="45">
        <f>'Filter-old'!O25</f>
        <v>0</v>
      </c>
      <c r="BR28" s="61">
        <f>'Filter-new'!O25</f>
        <v>272000</v>
      </c>
      <c r="BS28" s="62"/>
      <c r="BT28" s="62"/>
      <c r="BU28" s="45">
        <f>'Filter-old'!Q25</f>
        <v>119614</v>
      </c>
      <c r="BV28" s="61">
        <f>'Filter-new'!Q25</f>
        <v>-31217.42</v>
      </c>
      <c r="BW28" s="61"/>
      <c r="BX28" s="61"/>
      <c r="BY28" s="61">
        <f>'Filter-new'!Q514</f>
        <v>0</v>
      </c>
      <c r="BZ28" s="61"/>
      <c r="CA28" s="45">
        <f>'Filter-old'!R25</f>
        <v>0</v>
      </c>
      <c r="CB28" s="61">
        <f>'Filter-new'!R25</f>
        <v>0</v>
      </c>
      <c r="CC28" s="61"/>
      <c r="CD28" s="58"/>
      <c r="CE28" s="61">
        <f>'Filter-new'!R514</f>
        <v>0</v>
      </c>
      <c r="CF28" s="57"/>
      <c r="CG28" s="4"/>
    </row>
    <row r="29" spans="1:85" hidden="1" x14ac:dyDescent="0.2">
      <c r="A29">
        <v>0</v>
      </c>
      <c r="B29" s="59">
        <v>37591</v>
      </c>
      <c r="C29" s="59">
        <f>'Filter-new'!C26</f>
        <v>37591</v>
      </c>
      <c r="D29" s="60">
        <f t="shared" si="3"/>
        <v>2002</v>
      </c>
      <c r="E29" s="60">
        <f>VLOOKUP($C29,calendar!$A$2:$D$121,4,FALSE)*(1-(H29=0))</f>
        <v>336</v>
      </c>
      <c r="F29" s="60">
        <f>VLOOKUP($C29,calendar!$A$2:$D$121,3,FALSE)*(1-(I29=0))</f>
        <v>408</v>
      </c>
      <c r="G29" s="36">
        <f t="shared" si="0"/>
        <v>-93638.590000000011</v>
      </c>
      <c r="H29" s="36">
        <f t="shared" si="1"/>
        <v>677629.94</v>
      </c>
      <c r="I29" s="36">
        <f t="shared" si="2"/>
        <v>-136040</v>
      </c>
      <c r="J29" s="41"/>
      <c r="K29" s="45">
        <f>'Filter-old'!E26</f>
        <v>-117865.76</v>
      </c>
      <c r="L29" s="61">
        <f>'Filter-new'!E26</f>
        <v>-205959.56</v>
      </c>
      <c r="M29" s="62"/>
      <c r="N29" s="62"/>
      <c r="O29" s="429">
        <f>'Filter-new'!E515</f>
        <v>-97624</v>
      </c>
      <c r="P29" s="62"/>
      <c r="Q29" s="45">
        <f>'Filter-old'!H26</f>
        <v>-100800</v>
      </c>
      <c r="R29" s="61">
        <f>'Filter-new'!H26</f>
        <v>84000</v>
      </c>
      <c r="S29" s="62"/>
      <c r="T29" s="62"/>
      <c r="U29" s="445">
        <f>'Filter-new'!H515</f>
        <v>-19600</v>
      </c>
      <c r="V29" s="62"/>
      <c r="W29" s="45">
        <f>'Filter-old'!J26</f>
        <v>0</v>
      </c>
      <c r="X29" s="61">
        <f>'Filter-new'!J26</f>
        <v>0</v>
      </c>
      <c r="Y29" s="62"/>
      <c r="Z29" s="62"/>
      <c r="AA29" s="45">
        <f>'Filter-old'!F26</f>
        <v>0</v>
      </c>
      <c r="AB29" s="61">
        <f>'Filter-new'!F26</f>
        <v>0</v>
      </c>
      <c r="AC29" s="62"/>
      <c r="AD29" s="62"/>
      <c r="AE29" s="45">
        <f>'Filter-old'!P26</f>
        <v>0</v>
      </c>
      <c r="AF29" s="61">
        <f>'Filter-new'!P26</f>
        <v>0</v>
      </c>
      <c r="AG29" s="62"/>
      <c r="AH29" s="62"/>
      <c r="AI29" s="45">
        <f>'Filter-old'!L26</f>
        <v>0</v>
      </c>
      <c r="AJ29" s="61">
        <f>'Filter-new'!L26</f>
        <v>9072</v>
      </c>
      <c r="AK29" s="62"/>
      <c r="AL29" s="62"/>
      <c r="AM29" s="62">
        <f>'Filter-new'!L515</f>
        <v>10584</v>
      </c>
      <c r="AN29" s="62"/>
      <c r="AO29" s="45">
        <f>'Filter-old'!G26</f>
        <v>0</v>
      </c>
      <c r="AP29" s="61">
        <f>'Filter-new'!G26</f>
        <v>0</v>
      </c>
      <c r="AQ29" s="62"/>
      <c r="AR29" s="62"/>
      <c r="AS29" s="45"/>
      <c r="AT29" s="61"/>
      <c r="AU29" s="62"/>
      <c r="AV29" s="62"/>
      <c r="AW29" s="45">
        <f>'Filter-old'!I26</f>
        <v>0</v>
      </c>
      <c r="AX29" s="61">
        <f>'Filter-new'!I26</f>
        <v>0</v>
      </c>
      <c r="AY29" s="62"/>
      <c r="AZ29" s="62"/>
      <c r="BA29" s="62">
        <f>'Filter-new'!I515</f>
        <v>-39200</v>
      </c>
      <c r="BB29" s="62"/>
      <c r="BC29" s="45">
        <f>'Filter-old'!K26</f>
        <v>0</v>
      </c>
      <c r="BD29" s="61">
        <f>'Filter-new'!K26</f>
        <v>168000</v>
      </c>
      <c r="BE29" s="62"/>
      <c r="BF29" s="62"/>
      <c r="BG29" s="45">
        <f>'Filter-old'!M26</f>
        <v>0</v>
      </c>
      <c r="BH29" s="62">
        <f>'Filter-new'!K515</f>
        <v>0</v>
      </c>
      <c r="BI29" s="61"/>
      <c r="BJ29" s="61">
        <f>'Filter-new'!M26</f>
        <v>168000</v>
      </c>
      <c r="BK29" s="62"/>
      <c r="BL29" s="62"/>
      <c r="BM29" s="62"/>
      <c r="BN29" s="406">
        <f>'Filter-new'!N26</f>
        <v>201600</v>
      </c>
      <c r="BO29" s="62"/>
      <c r="BP29" s="62"/>
      <c r="BQ29" s="45">
        <f>'Filter-old'!O26</f>
        <v>0</v>
      </c>
      <c r="BR29" s="61">
        <f>'Filter-new'!O26</f>
        <v>285600</v>
      </c>
      <c r="BS29" s="62"/>
      <c r="BT29" s="62"/>
      <c r="BU29" s="45">
        <f>'Filter-old'!Q26</f>
        <v>125027.17</v>
      </c>
      <c r="BV29" s="61">
        <f>'Filter-new'!Q26</f>
        <v>-32682.5</v>
      </c>
      <c r="BW29" s="61"/>
      <c r="BX29" s="61"/>
      <c r="BY29" s="61">
        <f>'Filter-new'!Q515</f>
        <v>-9800</v>
      </c>
      <c r="BZ29" s="61"/>
      <c r="CA29" s="45">
        <f>'Filter-old'!R26</f>
        <v>0</v>
      </c>
      <c r="CB29" s="61">
        <f>'Filter-new'!R26</f>
        <v>0</v>
      </c>
      <c r="CC29" s="61"/>
      <c r="CD29" s="58"/>
      <c r="CE29" s="61">
        <f>'Filter-new'!R515</f>
        <v>19600</v>
      </c>
      <c r="CF29" s="57"/>
      <c r="CG29" s="4"/>
    </row>
    <row r="30" spans="1:85" hidden="1" x14ac:dyDescent="0.2">
      <c r="A30">
        <v>0</v>
      </c>
      <c r="B30" s="59">
        <v>37622</v>
      </c>
      <c r="C30" s="59">
        <f>'Filter-new'!C27</f>
        <v>37622</v>
      </c>
      <c r="D30" s="60">
        <f t="shared" si="3"/>
        <v>2003</v>
      </c>
      <c r="E30" s="60">
        <f>VLOOKUP($C30,calendar!$A$2:$D$121,4,FALSE)*(1-(H30=0))</f>
        <v>352</v>
      </c>
      <c r="F30" s="60">
        <f>VLOOKUP($C30,calendar!$A$2:$D$121,3,FALSE)*(1-(I30=0))</f>
        <v>392</v>
      </c>
      <c r="G30" s="36">
        <f t="shared" si="0"/>
        <v>-251291.53000000003</v>
      </c>
      <c r="H30" s="36">
        <f t="shared" si="1"/>
        <v>-400243.88</v>
      </c>
      <c r="I30" s="36">
        <f t="shared" si="2"/>
        <v>-122080</v>
      </c>
      <c r="J30" s="41"/>
      <c r="K30" s="45">
        <f>'Filter-old'!E27</f>
        <v>-204364.92</v>
      </c>
      <c r="L30" s="61">
        <f>'Filter-new'!E27</f>
        <v>-196947.37</v>
      </c>
      <c r="M30" s="62"/>
      <c r="N30" s="62"/>
      <c r="O30" s="429">
        <f>'Filter-new'!E516</f>
        <v>-87584</v>
      </c>
      <c r="P30" s="62"/>
      <c r="Q30" s="45">
        <f>'Filter-old'!H27</f>
        <v>-176000</v>
      </c>
      <c r="R30" s="61">
        <f>'Filter-new'!H27</f>
        <v>-334400</v>
      </c>
      <c r="S30" s="62"/>
      <c r="T30" s="62"/>
      <c r="U30" s="445">
        <f>'Filter-new'!H516</f>
        <v>-17600</v>
      </c>
      <c r="V30" s="62"/>
      <c r="W30" s="45">
        <f>'Filter-old'!J27</f>
        <v>0</v>
      </c>
      <c r="X30" s="61">
        <f>'Filter-new'!J27</f>
        <v>0</v>
      </c>
      <c r="Y30" s="62"/>
      <c r="Z30" s="62"/>
      <c r="AA30" s="45">
        <f>'Filter-old'!F27</f>
        <v>0</v>
      </c>
      <c r="AB30" s="61">
        <f>'Filter-new'!F27</f>
        <v>0</v>
      </c>
      <c r="AC30" s="62"/>
      <c r="AD30" s="62"/>
      <c r="AE30" s="45">
        <f>'Filter-old'!P27</f>
        <v>0</v>
      </c>
      <c r="AF30" s="61">
        <f>'Filter-new'!P27</f>
        <v>0</v>
      </c>
      <c r="AG30" s="62"/>
      <c r="AH30" s="62"/>
      <c r="AI30" s="45">
        <f>'Filter-old'!L27</f>
        <v>0</v>
      </c>
      <c r="AJ30" s="61">
        <f>'Filter-new'!L27</f>
        <v>9504</v>
      </c>
      <c r="AK30" s="62"/>
      <c r="AL30" s="62"/>
      <c r="AM30" s="62">
        <f>'Filter-new'!L516</f>
        <v>9504</v>
      </c>
      <c r="AN30" s="62"/>
      <c r="AO30" s="45">
        <f>'Filter-old'!G27</f>
        <v>0</v>
      </c>
      <c r="AP30" s="61">
        <f>'Filter-new'!G27</f>
        <v>0</v>
      </c>
      <c r="AQ30" s="62"/>
      <c r="AR30" s="62"/>
      <c r="AS30" s="45"/>
      <c r="AT30" s="61"/>
      <c r="AU30" s="62"/>
      <c r="AV30" s="62"/>
      <c r="AW30" s="45">
        <f>'Filter-old'!I27</f>
        <v>0</v>
      </c>
      <c r="AX30" s="61">
        <f>'Filter-new'!I27</f>
        <v>-17600</v>
      </c>
      <c r="AY30" s="62"/>
      <c r="AZ30" s="62"/>
      <c r="BA30" s="62">
        <f>'Filter-new'!I516</f>
        <v>-35200</v>
      </c>
      <c r="BB30" s="62"/>
      <c r="BC30" s="45">
        <f>'Filter-old'!K27</f>
        <v>0</v>
      </c>
      <c r="BD30" s="61">
        <f>'Filter-new'!K27</f>
        <v>-17600</v>
      </c>
      <c r="BE30" s="62"/>
      <c r="BF30" s="62"/>
      <c r="BG30" s="45">
        <f>'Filter-old'!M27</f>
        <v>0</v>
      </c>
      <c r="BH30" s="62">
        <f>'Filter-new'!K516</f>
        <v>0</v>
      </c>
      <c r="BI30" s="61"/>
      <c r="BJ30" s="61">
        <f>'Filter-new'!M27</f>
        <v>88000</v>
      </c>
      <c r="BK30" s="62"/>
      <c r="BL30" s="62"/>
      <c r="BM30" s="62"/>
      <c r="BN30" s="406">
        <f>'Filter-new'!N27</f>
        <v>0</v>
      </c>
      <c r="BO30" s="62"/>
      <c r="BP30" s="62"/>
      <c r="BQ30" s="45">
        <f>'Filter-old'!O27</f>
        <v>0</v>
      </c>
      <c r="BR30" s="61">
        <f>'Filter-new'!O27</f>
        <v>17600</v>
      </c>
      <c r="BS30" s="62"/>
      <c r="BT30" s="62"/>
      <c r="BU30" s="45">
        <f>'Filter-old'!Q27</f>
        <v>146673.39000000001</v>
      </c>
      <c r="BV30" s="61">
        <f>'Filter-new'!Q27</f>
        <v>51199.49</v>
      </c>
      <c r="BW30" s="61"/>
      <c r="BX30" s="61"/>
      <c r="BY30" s="61">
        <f>'Filter-new'!Q516</f>
        <v>-8800</v>
      </c>
      <c r="BZ30" s="61"/>
      <c r="CA30" s="45">
        <f>'Filter-old'!R27</f>
        <v>-17600</v>
      </c>
      <c r="CB30" s="61">
        <f>'Filter-new'!R27</f>
        <v>0</v>
      </c>
      <c r="CC30" s="61"/>
      <c r="CD30" s="58"/>
      <c r="CE30" s="61">
        <f>'Filter-new'!R516</f>
        <v>17600</v>
      </c>
      <c r="CF30" s="57"/>
      <c r="CG30" s="4"/>
    </row>
    <row r="31" spans="1:85" hidden="1" x14ac:dyDescent="0.2">
      <c r="A31">
        <v>0</v>
      </c>
      <c r="B31" s="59">
        <v>37653</v>
      </c>
      <c r="C31" s="59">
        <f>'Filter-new'!C28</f>
        <v>37653</v>
      </c>
      <c r="D31" s="60">
        <f t="shared" si="3"/>
        <v>2003</v>
      </c>
      <c r="E31" s="60">
        <f>VLOOKUP($C31,calendar!$A$2:$D$121,4,FALSE)*(1-(H31=0))</f>
        <v>320</v>
      </c>
      <c r="F31" s="60">
        <f>VLOOKUP($C31,calendar!$A$2:$D$121,3,FALSE)*(1-(I31=0))</f>
        <v>352</v>
      </c>
      <c r="G31" s="36">
        <f t="shared" si="0"/>
        <v>-228225.77000000002</v>
      </c>
      <c r="H31" s="36">
        <f t="shared" si="1"/>
        <v>-363472.05</v>
      </c>
      <c r="I31" s="36">
        <f t="shared" si="2"/>
        <v>-142200</v>
      </c>
      <c r="J31" s="41"/>
      <c r="K31" s="45">
        <f>'Filter-old'!E28</f>
        <v>-185003.14</v>
      </c>
      <c r="L31" s="61">
        <f>'Filter-new'!E28</f>
        <v>-178521.43</v>
      </c>
      <c r="M31" s="62"/>
      <c r="N31" s="62"/>
      <c r="O31" s="429">
        <f>'Filter-new'!E517</f>
        <v>-102216</v>
      </c>
      <c r="P31" s="62"/>
      <c r="Q31" s="45">
        <f>'Filter-old'!H28</f>
        <v>-160000</v>
      </c>
      <c r="R31" s="61">
        <f>'Filter-new'!H28</f>
        <v>-304000</v>
      </c>
      <c r="S31" s="62"/>
      <c r="T31" s="62"/>
      <c r="U31" s="445">
        <f>'Filter-new'!H517</f>
        <v>-20400</v>
      </c>
      <c r="V31" s="62"/>
      <c r="W31" s="45">
        <f>'Filter-old'!J28</f>
        <v>0</v>
      </c>
      <c r="X31" s="61">
        <f>'Filter-new'!J28</f>
        <v>0</v>
      </c>
      <c r="Y31" s="62"/>
      <c r="Z31" s="62"/>
      <c r="AA31" s="45">
        <f>'Filter-old'!F28</f>
        <v>0</v>
      </c>
      <c r="AB31" s="61">
        <f>'Filter-new'!F28</f>
        <v>0</v>
      </c>
      <c r="AC31" s="62"/>
      <c r="AD31" s="62"/>
      <c r="AE31" s="45">
        <f>'Filter-old'!P28</f>
        <v>0</v>
      </c>
      <c r="AF31" s="61">
        <f>'Filter-new'!P28</f>
        <v>0</v>
      </c>
      <c r="AG31" s="62"/>
      <c r="AH31" s="62"/>
      <c r="AI31" s="45">
        <f>'Filter-old'!L28</f>
        <v>0</v>
      </c>
      <c r="AJ31" s="61">
        <f>'Filter-new'!L28</f>
        <v>8640</v>
      </c>
      <c r="AK31" s="62"/>
      <c r="AL31" s="62"/>
      <c r="AM31" s="62">
        <f>'Filter-new'!L517</f>
        <v>11016</v>
      </c>
      <c r="AN31" s="62"/>
      <c r="AO31" s="45">
        <f>'Filter-old'!G28</f>
        <v>0</v>
      </c>
      <c r="AP31" s="61">
        <f>'Filter-new'!G28</f>
        <v>0</v>
      </c>
      <c r="AQ31" s="62"/>
      <c r="AR31" s="62"/>
      <c r="AS31" s="45"/>
      <c r="AT31" s="61"/>
      <c r="AU31" s="62"/>
      <c r="AV31" s="62"/>
      <c r="AW31" s="45">
        <f>'Filter-old'!I28</f>
        <v>0</v>
      </c>
      <c r="AX31" s="61">
        <f>'Filter-new'!I28</f>
        <v>-16000</v>
      </c>
      <c r="AY31" s="62"/>
      <c r="AZ31" s="62"/>
      <c r="BA31" s="62">
        <f>'Filter-new'!I517</f>
        <v>-40800</v>
      </c>
      <c r="BB31" s="62"/>
      <c r="BC31" s="45">
        <f>'Filter-old'!K28</f>
        <v>0</v>
      </c>
      <c r="BD31" s="61">
        <f>'Filter-new'!K28</f>
        <v>-16000</v>
      </c>
      <c r="BE31" s="62"/>
      <c r="BF31" s="62"/>
      <c r="BG31" s="45">
        <f>'Filter-old'!M28</f>
        <v>0</v>
      </c>
      <c r="BH31" s="62">
        <f>'Filter-new'!K517</f>
        <v>0</v>
      </c>
      <c r="BI31" s="61"/>
      <c r="BJ31" s="61">
        <f>'Filter-new'!M28</f>
        <v>80000</v>
      </c>
      <c r="BK31" s="62"/>
      <c r="BL31" s="62"/>
      <c r="BM31" s="62"/>
      <c r="BN31" s="406">
        <f>'Filter-new'!N28</f>
        <v>0</v>
      </c>
      <c r="BO31" s="62"/>
      <c r="BP31" s="62"/>
      <c r="BQ31" s="45">
        <f>'Filter-old'!O28</f>
        <v>0</v>
      </c>
      <c r="BR31" s="61">
        <f>'Filter-new'!O28</f>
        <v>16000</v>
      </c>
      <c r="BS31" s="62"/>
      <c r="BT31" s="62"/>
      <c r="BU31" s="45">
        <f>'Filter-old'!Q28</f>
        <v>132777.37</v>
      </c>
      <c r="BV31" s="61">
        <f>'Filter-new'!Q28</f>
        <v>46409.38</v>
      </c>
      <c r="BW31" s="61"/>
      <c r="BX31" s="61"/>
      <c r="BY31" s="61">
        <f>'Filter-new'!Q517</f>
        <v>-10200</v>
      </c>
      <c r="BZ31" s="61"/>
      <c r="CA31" s="45">
        <f>'Filter-old'!R28</f>
        <v>-16000</v>
      </c>
      <c r="CB31" s="61">
        <f>'Filter-new'!R28</f>
        <v>0</v>
      </c>
      <c r="CC31" s="61"/>
      <c r="CD31" s="58"/>
      <c r="CE31" s="61">
        <f>'Filter-new'!R517</f>
        <v>20400</v>
      </c>
      <c r="CF31" s="57"/>
      <c r="CG31" s="4"/>
    </row>
    <row r="32" spans="1:85" hidden="1" x14ac:dyDescent="0.2">
      <c r="A32">
        <v>0</v>
      </c>
      <c r="B32" s="59">
        <v>37681</v>
      </c>
      <c r="C32" s="59">
        <f>'Filter-new'!C29</f>
        <v>37681</v>
      </c>
      <c r="D32" s="60">
        <f t="shared" si="3"/>
        <v>2003</v>
      </c>
      <c r="E32" s="60">
        <f>VLOOKUP($C32,calendar!$A$2:$D$121,4,FALSE)*(1-(H32=0))</f>
        <v>336</v>
      </c>
      <c r="F32" s="60">
        <f>VLOOKUP($C32,calendar!$A$2:$D$121,3,FALSE)*(1-(I32=0))</f>
        <v>408</v>
      </c>
      <c r="G32" s="36">
        <f t="shared" si="0"/>
        <v>-239379.94999999998</v>
      </c>
      <c r="H32" s="36">
        <f t="shared" si="1"/>
        <v>-115436.62</v>
      </c>
      <c r="I32" s="36">
        <f t="shared" si="2"/>
        <v>-126955</v>
      </c>
      <c r="J32" s="41"/>
      <c r="K32" s="45">
        <f>'Filter-old'!E29</f>
        <v>-239596.73</v>
      </c>
      <c r="L32" s="61">
        <f>'Filter-new'!E29</f>
        <v>-154441.88</v>
      </c>
      <c r="M32" s="62"/>
      <c r="N32" s="62"/>
      <c r="O32" s="429">
        <f>'Filter-new'!E518</f>
        <v>-90989</v>
      </c>
      <c r="P32" s="62"/>
      <c r="Q32" s="45">
        <f>'Filter-old'!H29</f>
        <v>-168000</v>
      </c>
      <c r="R32" s="61">
        <f>'Filter-new'!H29</f>
        <v>-252000</v>
      </c>
      <c r="S32" s="62"/>
      <c r="T32" s="62"/>
      <c r="U32" s="445">
        <f>'Filter-new'!H518</f>
        <v>-18350</v>
      </c>
      <c r="V32" s="62"/>
      <c r="W32" s="45">
        <f>'Filter-old'!J29</f>
        <v>0</v>
      </c>
      <c r="X32" s="61">
        <f>'Filter-new'!J29</f>
        <v>0</v>
      </c>
      <c r="Y32" s="62"/>
      <c r="Z32" s="62"/>
      <c r="AA32" s="45">
        <f>'Filter-old'!F29</f>
        <v>0</v>
      </c>
      <c r="AB32" s="61">
        <f>'Filter-new'!F29</f>
        <v>0</v>
      </c>
      <c r="AC32" s="62"/>
      <c r="AD32" s="62"/>
      <c r="AE32" s="45">
        <f>'Filter-old'!P29</f>
        <v>0</v>
      </c>
      <c r="AF32" s="61">
        <f>'Filter-new'!P29</f>
        <v>0</v>
      </c>
      <c r="AG32" s="62"/>
      <c r="AH32" s="62"/>
      <c r="AI32" s="45">
        <f>'Filter-old'!L29</f>
        <v>0</v>
      </c>
      <c r="AJ32" s="61">
        <f>'Filter-new'!L29</f>
        <v>9072</v>
      </c>
      <c r="AK32" s="62"/>
      <c r="AL32" s="62"/>
      <c r="AM32" s="62">
        <f>'Filter-new'!L518</f>
        <v>9909</v>
      </c>
      <c r="AN32" s="62"/>
      <c r="AO32" s="45">
        <f>'Filter-old'!G29</f>
        <v>0</v>
      </c>
      <c r="AP32" s="61">
        <f>'Filter-new'!G29</f>
        <v>0</v>
      </c>
      <c r="AQ32" s="62"/>
      <c r="AR32" s="62"/>
      <c r="AS32" s="45"/>
      <c r="AT32" s="61"/>
      <c r="AU32" s="62"/>
      <c r="AV32" s="62"/>
      <c r="AW32" s="45">
        <f>'Filter-old'!I29</f>
        <v>0</v>
      </c>
      <c r="AX32" s="61">
        <f>'Filter-new'!I29</f>
        <v>-16800</v>
      </c>
      <c r="AY32" s="62"/>
      <c r="AZ32" s="62"/>
      <c r="BA32" s="62">
        <f>'Filter-new'!I518</f>
        <v>-36700</v>
      </c>
      <c r="BB32" s="62"/>
      <c r="BC32" s="45">
        <f>'Filter-old'!K29</f>
        <v>0</v>
      </c>
      <c r="BD32" s="61">
        <f>'Filter-new'!K29</f>
        <v>-16800</v>
      </c>
      <c r="BE32" s="62"/>
      <c r="BF32" s="62"/>
      <c r="BG32" s="45">
        <f>'Filter-old'!M29</f>
        <v>0</v>
      </c>
      <c r="BH32" s="62">
        <f>'Filter-new'!K518</f>
        <v>0</v>
      </c>
      <c r="BI32" s="61"/>
      <c r="BJ32" s="61">
        <f>'Filter-new'!M29</f>
        <v>84000</v>
      </c>
      <c r="BK32" s="62"/>
      <c r="BL32" s="62"/>
      <c r="BM32" s="62"/>
      <c r="BN32" s="406">
        <f>'Filter-new'!N29</f>
        <v>0</v>
      </c>
      <c r="BO32" s="62"/>
      <c r="BP32" s="62"/>
      <c r="BQ32" s="45">
        <f>'Filter-old'!O29</f>
        <v>0</v>
      </c>
      <c r="BR32" s="61">
        <f>'Filter-new'!O29</f>
        <v>16800</v>
      </c>
      <c r="BS32" s="62"/>
      <c r="BT32" s="62"/>
      <c r="BU32" s="45">
        <f>'Filter-old'!Q29</f>
        <v>185016.78</v>
      </c>
      <c r="BV32" s="61">
        <f>'Filter-new'!Q29</f>
        <v>97133.26</v>
      </c>
      <c r="BW32" s="61"/>
      <c r="BX32" s="61"/>
      <c r="BY32" s="61">
        <f>'Filter-new'!Q518</f>
        <v>-9175</v>
      </c>
      <c r="BZ32" s="61"/>
      <c r="CA32" s="45">
        <f>'Filter-old'!R29</f>
        <v>-16800</v>
      </c>
      <c r="CB32" s="61">
        <f>'Filter-new'!R29</f>
        <v>117600</v>
      </c>
      <c r="CC32" s="61"/>
      <c r="CD32" s="58"/>
      <c r="CE32" s="61">
        <f>'Filter-new'!R518</f>
        <v>18350</v>
      </c>
      <c r="CF32" s="57"/>
      <c r="CG32" s="4"/>
    </row>
    <row r="33" spans="1:85" hidden="1" x14ac:dyDescent="0.2">
      <c r="A33">
        <v>0</v>
      </c>
      <c r="B33" s="59">
        <v>37712</v>
      </c>
      <c r="C33" s="59">
        <f>'Filter-new'!C30</f>
        <v>37712</v>
      </c>
      <c r="D33" s="60">
        <f t="shared" si="3"/>
        <v>2003</v>
      </c>
      <c r="E33" s="60">
        <f>VLOOKUP($C33,calendar!$A$2:$D$121,4,FALSE)*(1-(H33=0))</f>
        <v>352</v>
      </c>
      <c r="F33" s="60">
        <f>VLOOKUP($C33,calendar!$A$2:$D$121,3,FALSE)*(1-(I33=0))</f>
        <v>368</v>
      </c>
      <c r="G33" s="36">
        <f t="shared" si="0"/>
        <v>-250516.85</v>
      </c>
      <c r="H33" s="36">
        <f t="shared" si="1"/>
        <v>-120731.38999999998</v>
      </c>
      <c r="I33" s="36">
        <f t="shared" si="2"/>
        <v>-146400</v>
      </c>
      <c r="J33" s="41"/>
      <c r="K33" s="45">
        <f>'Filter-old'!E30</f>
        <v>-249855.32</v>
      </c>
      <c r="L33" s="61">
        <f>'Filter-new'!E30</f>
        <v>-161251.29999999999</v>
      </c>
      <c r="M33" s="62"/>
      <c r="N33" s="62"/>
      <c r="O33" s="429">
        <f>'Filter-new'!E519</f>
        <v>-106416</v>
      </c>
      <c r="P33" s="62"/>
      <c r="Q33" s="45">
        <f>'Filter-old'!H30</f>
        <v>-176000</v>
      </c>
      <c r="R33" s="61">
        <f>'Filter-new'!H30</f>
        <v>-264000</v>
      </c>
      <c r="S33" s="62"/>
      <c r="T33" s="62"/>
      <c r="U33" s="445">
        <f>'Filter-new'!H519</f>
        <v>-20400</v>
      </c>
      <c r="V33" s="62"/>
      <c r="W33" s="45">
        <f>'Filter-old'!J30</f>
        <v>0</v>
      </c>
      <c r="X33" s="61">
        <f>'Filter-new'!J30</f>
        <v>0</v>
      </c>
      <c r="Y33" s="62"/>
      <c r="Z33" s="62"/>
      <c r="AA33" s="45">
        <f>'Filter-old'!F30</f>
        <v>0</v>
      </c>
      <c r="AB33" s="61">
        <f>'Filter-new'!F30</f>
        <v>0</v>
      </c>
      <c r="AC33" s="62"/>
      <c r="AD33" s="62"/>
      <c r="AE33" s="45">
        <f>'Filter-old'!P30</f>
        <v>0</v>
      </c>
      <c r="AF33" s="61">
        <f>'Filter-new'!P30</f>
        <v>0</v>
      </c>
      <c r="AG33" s="62"/>
      <c r="AH33" s="62"/>
      <c r="AI33" s="45">
        <f>'Filter-old'!L30</f>
        <v>0</v>
      </c>
      <c r="AJ33" s="61">
        <f>'Filter-new'!L30</f>
        <v>9504</v>
      </c>
      <c r="AK33" s="62"/>
      <c r="AL33" s="62"/>
      <c r="AM33" s="62">
        <f>'Filter-new'!L519</f>
        <v>11016</v>
      </c>
      <c r="AN33" s="62"/>
      <c r="AO33" s="45">
        <f>'Filter-old'!G30</f>
        <v>0</v>
      </c>
      <c r="AP33" s="61">
        <f>'Filter-new'!G30</f>
        <v>0</v>
      </c>
      <c r="AQ33" s="62"/>
      <c r="AR33" s="62"/>
      <c r="AS33" s="45"/>
      <c r="AT33" s="61"/>
      <c r="AU33" s="62"/>
      <c r="AV33" s="62"/>
      <c r="AW33" s="45">
        <f>'Filter-old'!I30</f>
        <v>0</v>
      </c>
      <c r="AX33" s="61">
        <f>'Filter-new'!I30</f>
        <v>-17600</v>
      </c>
      <c r="AY33" s="62"/>
      <c r="AZ33" s="62"/>
      <c r="BA33" s="62">
        <f>'Filter-new'!I519</f>
        <v>-40800</v>
      </c>
      <c r="BB33" s="62"/>
      <c r="BC33" s="45">
        <f>'Filter-old'!K30</f>
        <v>0</v>
      </c>
      <c r="BD33" s="61">
        <f>'Filter-new'!K30</f>
        <v>-17600</v>
      </c>
      <c r="BE33" s="62"/>
      <c r="BF33" s="62"/>
      <c r="BG33" s="45">
        <f>'Filter-old'!M30</f>
        <v>0</v>
      </c>
      <c r="BH33" s="62">
        <f>'Filter-new'!K519</f>
        <v>0</v>
      </c>
      <c r="BI33" s="61"/>
      <c r="BJ33" s="61">
        <f>'Filter-new'!M30</f>
        <v>88000</v>
      </c>
      <c r="BK33" s="62"/>
      <c r="BL33" s="62"/>
      <c r="BM33" s="62"/>
      <c r="BN33" s="406">
        <f>'Filter-new'!N30</f>
        <v>0</v>
      </c>
      <c r="BO33" s="62"/>
      <c r="BP33" s="62"/>
      <c r="BQ33" s="45">
        <f>'Filter-old'!O30</f>
        <v>0</v>
      </c>
      <c r="BR33" s="61">
        <f>'Filter-new'!O30</f>
        <v>17600</v>
      </c>
      <c r="BS33" s="62"/>
      <c r="BT33" s="62"/>
      <c r="BU33" s="45">
        <f>'Filter-old'!Q30</f>
        <v>192938.47</v>
      </c>
      <c r="BV33" s="61">
        <f>'Filter-new'!Q30</f>
        <v>101415.91</v>
      </c>
      <c r="BW33" s="61"/>
      <c r="BX33" s="61"/>
      <c r="BY33" s="61">
        <f>'Filter-new'!Q519</f>
        <v>-10200</v>
      </c>
      <c r="BZ33" s="61"/>
      <c r="CA33" s="45">
        <f>'Filter-old'!R30</f>
        <v>-17600</v>
      </c>
      <c r="CB33" s="61">
        <f>'Filter-new'!R30</f>
        <v>123200</v>
      </c>
      <c r="CC33" s="61"/>
      <c r="CD33" s="58"/>
      <c r="CE33" s="61">
        <f>'Filter-new'!R519</f>
        <v>20400</v>
      </c>
      <c r="CF33" s="57"/>
      <c r="CG33" s="4"/>
    </row>
    <row r="34" spans="1:85" hidden="1" x14ac:dyDescent="0.2">
      <c r="A34">
        <v>0</v>
      </c>
      <c r="B34" s="59">
        <v>37742</v>
      </c>
      <c r="C34" s="59">
        <f>'Filter-new'!C31</f>
        <v>37742</v>
      </c>
      <c r="D34" s="60">
        <f t="shared" si="3"/>
        <v>2003</v>
      </c>
      <c r="E34" s="60">
        <f>VLOOKUP($C34,calendar!$A$2:$D$121,4,FALSE)*(1-(H34=0))</f>
        <v>336</v>
      </c>
      <c r="F34" s="60">
        <f>VLOOKUP($C34,calendar!$A$2:$D$121,3,FALSE)*(1-(I34=0))</f>
        <v>408</v>
      </c>
      <c r="G34" s="36">
        <f t="shared" si="0"/>
        <v>-345785.81</v>
      </c>
      <c r="H34" s="36">
        <f t="shared" si="1"/>
        <v>-286409.35000000003</v>
      </c>
      <c r="I34" s="36">
        <f t="shared" si="2"/>
        <v>-133440</v>
      </c>
      <c r="J34" s="41"/>
      <c r="K34" s="45">
        <f>'Filter-old'!E31</f>
        <v>-237354.81</v>
      </c>
      <c r="L34" s="61">
        <f>'Filter-new'!E31</f>
        <v>-245805.15</v>
      </c>
      <c r="M34" s="62"/>
      <c r="N34" s="62"/>
      <c r="O34" s="429">
        <f>'Filter-new'!E520</f>
        <v>-95808</v>
      </c>
      <c r="P34" s="62"/>
      <c r="Q34" s="45">
        <f>'Filter-old'!H31</f>
        <v>-168000</v>
      </c>
      <c r="R34" s="61">
        <f>'Filter-new'!H31</f>
        <v>-252000</v>
      </c>
      <c r="S34" s="62"/>
      <c r="T34" s="62"/>
      <c r="U34" s="445">
        <f>'Filter-new'!H520</f>
        <v>-19200</v>
      </c>
      <c r="V34" s="62"/>
      <c r="W34" s="45">
        <f>'Filter-old'!J31</f>
        <v>0</v>
      </c>
      <c r="X34" s="61">
        <f>'Filter-new'!J31</f>
        <v>0</v>
      </c>
      <c r="Y34" s="62"/>
      <c r="Z34" s="62"/>
      <c r="AA34" s="45">
        <f>'Filter-old'!F31</f>
        <v>0</v>
      </c>
      <c r="AB34" s="61">
        <f>'Filter-new'!F31</f>
        <v>0</v>
      </c>
      <c r="AC34" s="62"/>
      <c r="AD34" s="62"/>
      <c r="AE34" s="45">
        <f>'Filter-old'!P31</f>
        <v>0</v>
      </c>
      <c r="AF34" s="61">
        <f>'Filter-new'!P31</f>
        <v>0</v>
      </c>
      <c r="AG34" s="62"/>
      <c r="AH34" s="62"/>
      <c r="AI34" s="45">
        <f>'Filter-old'!L31</f>
        <v>0</v>
      </c>
      <c r="AJ34" s="61">
        <f>'Filter-new'!L31</f>
        <v>9072</v>
      </c>
      <c r="AK34" s="62"/>
      <c r="AL34" s="62"/>
      <c r="AM34" s="62">
        <f>'Filter-new'!L520</f>
        <v>10368</v>
      </c>
      <c r="AN34" s="62"/>
      <c r="AO34" s="45">
        <f>'Filter-old'!G31</f>
        <v>0</v>
      </c>
      <c r="AP34" s="61">
        <f>'Filter-new'!G31</f>
        <v>0</v>
      </c>
      <c r="AQ34" s="62"/>
      <c r="AR34" s="62"/>
      <c r="AS34" s="45"/>
      <c r="AT34" s="61"/>
      <c r="AU34" s="62"/>
      <c r="AV34" s="62"/>
      <c r="AW34" s="45">
        <f>'Filter-old'!I31</f>
        <v>0</v>
      </c>
      <c r="AX34" s="61">
        <f>'Filter-new'!I31</f>
        <v>-33600</v>
      </c>
      <c r="AY34" s="62"/>
      <c r="AZ34" s="62"/>
      <c r="BA34" s="62">
        <f>'Filter-new'!I520</f>
        <v>-38400</v>
      </c>
      <c r="BB34" s="62"/>
      <c r="BC34" s="45">
        <f>'Filter-old'!K31</f>
        <v>0</v>
      </c>
      <c r="BD34" s="61">
        <f>'Filter-new'!K31</f>
        <v>-16800</v>
      </c>
      <c r="BE34" s="62"/>
      <c r="BF34" s="62"/>
      <c r="BG34" s="45">
        <f>'Filter-old'!M31</f>
        <v>0</v>
      </c>
      <c r="BH34" s="62">
        <f>'Filter-new'!K520</f>
        <v>0</v>
      </c>
      <c r="BI34" s="61"/>
      <c r="BJ34" s="61">
        <f>'Filter-new'!M31</f>
        <v>84000</v>
      </c>
      <c r="BK34" s="62"/>
      <c r="BL34" s="62"/>
      <c r="BM34" s="62"/>
      <c r="BN34" s="406">
        <f>'Filter-new'!N31</f>
        <v>0</v>
      </c>
      <c r="BO34" s="62"/>
      <c r="BP34" s="62"/>
      <c r="BQ34" s="45">
        <f>'Filter-old'!O31</f>
        <v>0</v>
      </c>
      <c r="BR34" s="61">
        <f>'Filter-new'!O31</f>
        <v>16800</v>
      </c>
      <c r="BS34" s="62"/>
      <c r="BT34" s="62"/>
      <c r="BU34" s="45">
        <f>'Filter-old'!Q31</f>
        <v>76369</v>
      </c>
      <c r="BV34" s="61">
        <f>'Filter-new'!Q31</f>
        <v>-16076.2</v>
      </c>
      <c r="BW34" s="61"/>
      <c r="BX34" s="61"/>
      <c r="BY34" s="61">
        <f>'Filter-new'!Q520</f>
        <v>-9600</v>
      </c>
      <c r="BZ34" s="61"/>
      <c r="CA34" s="45">
        <f>'Filter-old'!R31</f>
        <v>-16800</v>
      </c>
      <c r="CB34" s="61">
        <f>'Filter-new'!R31</f>
        <v>168000</v>
      </c>
      <c r="CC34" s="61"/>
      <c r="CD34" s="58"/>
      <c r="CE34" s="61">
        <f>'Filter-new'!R520</f>
        <v>19200</v>
      </c>
      <c r="CF34" s="57"/>
      <c r="CG34" s="4"/>
    </row>
    <row r="35" spans="1:85" hidden="1" x14ac:dyDescent="0.2">
      <c r="A35">
        <v>0</v>
      </c>
      <c r="B35" s="59">
        <v>37773</v>
      </c>
      <c r="C35" s="59">
        <f>'Filter-new'!C32</f>
        <v>37773</v>
      </c>
      <c r="D35" s="60">
        <f t="shared" si="3"/>
        <v>2003</v>
      </c>
      <c r="E35" s="60">
        <f>VLOOKUP($C35,calendar!$A$2:$D$121,4,FALSE)*(1-(H35=0))</f>
        <v>336</v>
      </c>
      <c r="F35" s="60">
        <f>VLOOKUP($C35,calendar!$A$2:$D$121,3,FALSE)*(1-(I35=0))</f>
        <v>384</v>
      </c>
      <c r="G35" s="36">
        <f t="shared" si="0"/>
        <v>-267423.44</v>
      </c>
      <c r="H35" s="36">
        <f t="shared" si="1"/>
        <v>-124599.56999999995</v>
      </c>
      <c r="I35" s="36">
        <f t="shared" si="2"/>
        <v>-136040</v>
      </c>
      <c r="J35" s="41"/>
      <c r="K35" s="45">
        <f>'Filter-old'!E32</f>
        <v>-175435.25</v>
      </c>
      <c r="L35" s="61">
        <f>'Filter-new'!E32</f>
        <v>-184853.1</v>
      </c>
      <c r="M35" s="62"/>
      <c r="N35" s="62"/>
      <c r="O35" s="429">
        <f>'Filter-new'!E521</f>
        <v>-97624</v>
      </c>
      <c r="P35" s="62"/>
      <c r="Q35" s="45">
        <f>'Filter-old'!H32</f>
        <v>-151200</v>
      </c>
      <c r="R35" s="61">
        <f>'Filter-new'!H32</f>
        <v>-252000</v>
      </c>
      <c r="S35" s="62"/>
      <c r="T35" s="62"/>
      <c r="U35" s="445">
        <f>'Filter-new'!H521</f>
        <v>-19600</v>
      </c>
      <c r="V35" s="62"/>
      <c r="W35" s="45">
        <f>'Filter-old'!J32</f>
        <v>0</v>
      </c>
      <c r="X35" s="61">
        <f>'Filter-new'!J32</f>
        <v>0</v>
      </c>
      <c r="Y35" s="62"/>
      <c r="Z35" s="62"/>
      <c r="AA35" s="45">
        <f>'Filter-old'!F32</f>
        <v>0</v>
      </c>
      <c r="AB35" s="61">
        <f>'Filter-new'!F32</f>
        <v>0</v>
      </c>
      <c r="AC35" s="62"/>
      <c r="AD35" s="62"/>
      <c r="AE35" s="45">
        <f>'Filter-old'!P32</f>
        <v>0</v>
      </c>
      <c r="AF35" s="61">
        <f>'Filter-new'!P32</f>
        <v>0</v>
      </c>
      <c r="AG35" s="62"/>
      <c r="AH35" s="62"/>
      <c r="AI35" s="45">
        <f>'Filter-old'!L32</f>
        <v>0</v>
      </c>
      <c r="AJ35" s="61">
        <f>'Filter-new'!L32</f>
        <v>9072</v>
      </c>
      <c r="AK35" s="62"/>
      <c r="AL35" s="62"/>
      <c r="AM35" s="62">
        <f>'Filter-new'!L521</f>
        <v>10584</v>
      </c>
      <c r="AN35" s="62"/>
      <c r="AO35" s="45">
        <f>'Filter-old'!G32</f>
        <v>0</v>
      </c>
      <c r="AP35" s="61">
        <f>'Filter-new'!G32</f>
        <v>0</v>
      </c>
      <c r="AQ35" s="62"/>
      <c r="AR35" s="62"/>
      <c r="AS35" s="45"/>
      <c r="AT35" s="61"/>
      <c r="AU35" s="62"/>
      <c r="AV35" s="62"/>
      <c r="AW35" s="45">
        <f>'Filter-old'!I32</f>
        <v>0</v>
      </c>
      <c r="AX35" s="61">
        <f>'Filter-new'!I32</f>
        <v>16800</v>
      </c>
      <c r="AY35" s="62"/>
      <c r="AZ35" s="62"/>
      <c r="BA35" s="62">
        <f>'Filter-new'!I521</f>
        <v>-39200</v>
      </c>
      <c r="BB35" s="62"/>
      <c r="BC35" s="45">
        <f>'Filter-old'!K32</f>
        <v>0</v>
      </c>
      <c r="BD35" s="61">
        <f>'Filter-new'!K32</f>
        <v>-33600</v>
      </c>
      <c r="BE35" s="62"/>
      <c r="BF35" s="62"/>
      <c r="BG35" s="45">
        <f>'Filter-old'!M32</f>
        <v>0</v>
      </c>
      <c r="BH35" s="62">
        <f>'Filter-new'!K521</f>
        <v>0</v>
      </c>
      <c r="BI35" s="61"/>
      <c r="BJ35" s="61">
        <f>'Filter-new'!M32</f>
        <v>84000</v>
      </c>
      <c r="BK35" s="62"/>
      <c r="BL35" s="62"/>
      <c r="BM35" s="62"/>
      <c r="BN35" s="406">
        <f>'Filter-new'!N32</f>
        <v>0</v>
      </c>
      <c r="BO35" s="62"/>
      <c r="BP35" s="62"/>
      <c r="BQ35" s="45">
        <f>'Filter-old'!O32</f>
        <v>0</v>
      </c>
      <c r="BR35" s="61">
        <f>'Filter-new'!O32</f>
        <v>33600</v>
      </c>
      <c r="BS35" s="62"/>
      <c r="BT35" s="62"/>
      <c r="BU35" s="45">
        <f>'Filter-old'!Q32</f>
        <v>76011.81</v>
      </c>
      <c r="BV35" s="61">
        <f>'Filter-new'!Q32</f>
        <v>-16018.47</v>
      </c>
      <c r="BW35" s="61"/>
      <c r="BX35" s="61"/>
      <c r="BY35" s="61">
        <f>'Filter-new'!Q521</f>
        <v>-9800</v>
      </c>
      <c r="BZ35" s="61"/>
      <c r="CA35" s="45">
        <f>'Filter-old'!R32</f>
        <v>-16800</v>
      </c>
      <c r="CB35" s="61">
        <f>'Filter-new'!R32</f>
        <v>218400</v>
      </c>
      <c r="CC35" s="61"/>
      <c r="CD35" s="58"/>
      <c r="CE35" s="61">
        <f>'Filter-new'!R521</f>
        <v>19600</v>
      </c>
      <c r="CF35" s="57"/>
      <c r="CG35" s="4"/>
    </row>
    <row r="36" spans="1:85" hidden="1" x14ac:dyDescent="0.2">
      <c r="A36">
        <v>0</v>
      </c>
      <c r="B36" s="59">
        <v>37803</v>
      </c>
      <c r="C36" s="59">
        <f>'Filter-new'!C33</f>
        <v>37803</v>
      </c>
      <c r="D36" s="60">
        <f t="shared" si="3"/>
        <v>2003</v>
      </c>
      <c r="E36" s="60">
        <f>VLOOKUP($C36,calendar!$A$2:$D$121,4,FALSE)*(1-(H36=0))</f>
        <v>352</v>
      </c>
      <c r="F36" s="60">
        <f>VLOOKUP($C36,calendar!$A$2:$D$121,3,FALSE)*(1-(I36=0))</f>
        <v>392</v>
      </c>
      <c r="G36" s="36">
        <f t="shared" si="0"/>
        <v>-66840.799999999988</v>
      </c>
      <c r="H36" s="36">
        <f t="shared" si="1"/>
        <v>-691079.23</v>
      </c>
      <c r="I36" s="36">
        <f t="shared" si="2"/>
        <v>-142200</v>
      </c>
      <c r="J36" s="41"/>
      <c r="K36" s="45">
        <f>'Filter-old'!E33</f>
        <v>163710.76</v>
      </c>
      <c r="L36" s="61">
        <f>'Filter-new'!E33</f>
        <v>-296314.23</v>
      </c>
      <c r="M36" s="62"/>
      <c r="N36" s="62"/>
      <c r="O36" s="429">
        <f>'Filter-new'!E522</f>
        <v>-102216</v>
      </c>
      <c r="P36" s="62"/>
      <c r="Q36" s="45">
        <f>'Filter-old'!H33</f>
        <v>-228800</v>
      </c>
      <c r="R36" s="61">
        <f>'Filter-new'!H33</f>
        <v>-404800</v>
      </c>
      <c r="S36" s="62"/>
      <c r="T36" s="62"/>
      <c r="U36" s="445">
        <f>'Filter-new'!H522</f>
        <v>-20400</v>
      </c>
      <c r="V36" s="62"/>
      <c r="W36" s="45">
        <f>'Filter-old'!J33</f>
        <v>0</v>
      </c>
      <c r="X36" s="61">
        <f>'Filter-new'!J33</f>
        <v>0</v>
      </c>
      <c r="Y36" s="62"/>
      <c r="Z36" s="62"/>
      <c r="AA36" s="45">
        <f>'Filter-old'!F33</f>
        <v>0</v>
      </c>
      <c r="AB36" s="61">
        <f>'Filter-new'!F33</f>
        <v>0</v>
      </c>
      <c r="AC36" s="62"/>
      <c r="AD36" s="62"/>
      <c r="AE36" s="45">
        <f>'Filter-old'!P33</f>
        <v>0</v>
      </c>
      <c r="AF36" s="61">
        <f>'Filter-new'!P33</f>
        <v>0</v>
      </c>
      <c r="AG36" s="62"/>
      <c r="AH36" s="62"/>
      <c r="AI36" s="45">
        <f>'Filter-old'!L33</f>
        <v>0</v>
      </c>
      <c r="AJ36" s="61">
        <f>'Filter-new'!L33</f>
        <v>9152</v>
      </c>
      <c r="AK36" s="62"/>
      <c r="AL36" s="62"/>
      <c r="AM36" s="62">
        <f>'Filter-new'!L522</f>
        <v>11016</v>
      </c>
      <c r="AN36" s="62"/>
      <c r="AO36" s="45">
        <f>'Filter-old'!G33</f>
        <v>0</v>
      </c>
      <c r="AP36" s="61">
        <f>'Filter-new'!G33</f>
        <v>0</v>
      </c>
      <c r="AQ36" s="62"/>
      <c r="AR36" s="62"/>
      <c r="AS36" s="45"/>
      <c r="AT36" s="61"/>
      <c r="AU36" s="62"/>
      <c r="AV36" s="62"/>
      <c r="AW36" s="45">
        <f>'Filter-old'!I33</f>
        <v>0</v>
      </c>
      <c r="AX36" s="61">
        <f>'Filter-new'!I33</f>
        <v>17600</v>
      </c>
      <c r="AY36" s="62"/>
      <c r="AZ36" s="62"/>
      <c r="BA36" s="62">
        <f>'Filter-new'!I522</f>
        <v>-40800</v>
      </c>
      <c r="BB36" s="62"/>
      <c r="BC36" s="45">
        <f>'Filter-old'!K33</f>
        <v>0</v>
      </c>
      <c r="BD36" s="61">
        <f>'Filter-new'!K33</f>
        <v>-35200</v>
      </c>
      <c r="BE36" s="62"/>
      <c r="BF36" s="62"/>
      <c r="BG36" s="45">
        <f>'Filter-old'!M33</f>
        <v>0</v>
      </c>
      <c r="BH36" s="62">
        <f>'Filter-new'!K522</f>
        <v>0</v>
      </c>
      <c r="BI36" s="61"/>
      <c r="BJ36" s="61">
        <f>'Filter-new'!M33</f>
        <v>52800</v>
      </c>
      <c r="BK36" s="62"/>
      <c r="BL36" s="62"/>
      <c r="BM36" s="62"/>
      <c r="BN36" s="406">
        <f>'Filter-new'!N33</f>
        <v>0</v>
      </c>
      <c r="BO36" s="62"/>
      <c r="BP36" s="62"/>
      <c r="BQ36" s="45">
        <f>'Filter-old'!O33</f>
        <v>0</v>
      </c>
      <c r="BR36" s="61">
        <f>'Filter-new'!O33</f>
        <v>35200</v>
      </c>
      <c r="BS36" s="62"/>
      <c r="BT36" s="62"/>
      <c r="BU36" s="45">
        <f>'Filter-old'!Q33</f>
        <v>15848.44</v>
      </c>
      <c r="BV36" s="61">
        <f>'Filter-new'!Q33</f>
        <v>-16717</v>
      </c>
      <c r="BW36" s="61"/>
      <c r="BX36" s="61"/>
      <c r="BY36" s="61">
        <f>'Filter-new'!Q522</f>
        <v>-10200</v>
      </c>
      <c r="BZ36" s="61"/>
      <c r="CA36" s="45">
        <f>'Filter-old'!R33</f>
        <v>-17600</v>
      </c>
      <c r="CB36" s="61">
        <f>'Filter-new'!R33</f>
        <v>-52800</v>
      </c>
      <c r="CC36" s="61"/>
      <c r="CD36" s="58"/>
      <c r="CE36" s="61">
        <f>'Filter-new'!R522</f>
        <v>20400</v>
      </c>
      <c r="CF36" s="57"/>
      <c r="CG36" s="4"/>
    </row>
    <row r="37" spans="1:85" hidden="1" x14ac:dyDescent="0.2">
      <c r="A37">
        <v>0</v>
      </c>
      <c r="B37" s="59">
        <v>37834</v>
      </c>
      <c r="C37" s="59">
        <f>'Filter-new'!C34</f>
        <v>37834</v>
      </c>
      <c r="D37" s="60">
        <f t="shared" si="3"/>
        <v>2003</v>
      </c>
      <c r="E37" s="60">
        <f>VLOOKUP($C37,calendar!$A$2:$D$121,4,FALSE)*(1-(H37=0))</f>
        <v>336</v>
      </c>
      <c r="F37" s="60">
        <f>VLOOKUP($C37,calendar!$A$2:$D$121,3,FALSE)*(1-(I37=0))</f>
        <v>408</v>
      </c>
      <c r="G37" s="36">
        <f t="shared" si="0"/>
        <v>-72744.88</v>
      </c>
      <c r="H37" s="36">
        <f t="shared" si="1"/>
        <v>-666499.15</v>
      </c>
      <c r="I37" s="36">
        <f t="shared" si="2"/>
        <v>-133440</v>
      </c>
      <c r="J37" s="41"/>
      <c r="K37" s="45">
        <f>'Filter-old'!E34</f>
        <v>147401.65</v>
      </c>
      <c r="L37" s="61">
        <f>'Filter-new'!E34</f>
        <v>-289740.79999999999</v>
      </c>
      <c r="M37" s="62"/>
      <c r="N37" s="62"/>
      <c r="O37" s="429">
        <f>'Filter-new'!E523</f>
        <v>-95808</v>
      </c>
      <c r="P37" s="62"/>
      <c r="Q37" s="45">
        <f>'Filter-old'!H34</f>
        <v>-218400</v>
      </c>
      <c r="R37" s="61">
        <f>'Filter-new'!H34</f>
        <v>-386400</v>
      </c>
      <c r="S37" s="62"/>
      <c r="T37" s="62"/>
      <c r="U37" s="445">
        <f>'Filter-new'!H523</f>
        <v>-19200</v>
      </c>
      <c r="V37" s="62"/>
      <c r="W37" s="45">
        <f>'Filter-old'!J34</f>
        <v>0</v>
      </c>
      <c r="X37" s="61">
        <f>'Filter-new'!J34</f>
        <v>0</v>
      </c>
      <c r="Y37" s="62"/>
      <c r="Z37" s="62"/>
      <c r="AA37" s="45">
        <f>'Filter-old'!F34</f>
        <v>0</v>
      </c>
      <c r="AB37" s="61">
        <f>'Filter-new'!F34</f>
        <v>0</v>
      </c>
      <c r="AC37" s="62"/>
      <c r="AD37" s="62"/>
      <c r="AE37" s="45">
        <f>'Filter-old'!P34</f>
        <v>0</v>
      </c>
      <c r="AF37" s="61">
        <f>'Filter-new'!P34</f>
        <v>0</v>
      </c>
      <c r="AG37" s="62"/>
      <c r="AH37" s="62"/>
      <c r="AI37" s="45">
        <f>'Filter-old'!L34</f>
        <v>0</v>
      </c>
      <c r="AJ37" s="61">
        <f>'Filter-new'!L34</f>
        <v>8736</v>
      </c>
      <c r="AK37" s="62"/>
      <c r="AL37" s="62"/>
      <c r="AM37" s="62">
        <f>'Filter-new'!L523</f>
        <v>10368</v>
      </c>
      <c r="AN37" s="62"/>
      <c r="AO37" s="45">
        <f>'Filter-old'!G34</f>
        <v>0</v>
      </c>
      <c r="AP37" s="61">
        <f>'Filter-new'!G34</f>
        <v>0</v>
      </c>
      <c r="AQ37" s="62"/>
      <c r="AR37" s="62"/>
      <c r="AS37" s="45"/>
      <c r="AT37" s="61"/>
      <c r="AU37" s="62"/>
      <c r="AV37" s="62"/>
      <c r="AW37" s="45">
        <f>'Filter-old'!I34</f>
        <v>0</v>
      </c>
      <c r="AX37" s="61">
        <f>'Filter-new'!I34</f>
        <v>16800</v>
      </c>
      <c r="AY37" s="62"/>
      <c r="AZ37" s="62"/>
      <c r="BA37" s="62">
        <f>'Filter-new'!I523</f>
        <v>-38400</v>
      </c>
      <c r="BB37" s="62"/>
      <c r="BC37" s="45">
        <f>'Filter-old'!K34</f>
        <v>0</v>
      </c>
      <c r="BD37" s="61">
        <f>'Filter-new'!K34</f>
        <v>-33600</v>
      </c>
      <c r="BE37" s="62"/>
      <c r="BF37" s="62"/>
      <c r="BG37" s="45">
        <f>'Filter-old'!M34</f>
        <v>0</v>
      </c>
      <c r="BH37" s="62">
        <f>'Filter-new'!K523</f>
        <v>0</v>
      </c>
      <c r="BI37" s="61"/>
      <c r="BJ37" s="61">
        <f>'Filter-new'!M34</f>
        <v>50400</v>
      </c>
      <c r="BK37" s="62"/>
      <c r="BL37" s="62"/>
      <c r="BM37" s="62"/>
      <c r="BN37" s="406">
        <f>'Filter-new'!N34</f>
        <v>0</v>
      </c>
      <c r="BO37" s="62"/>
      <c r="BP37" s="62"/>
      <c r="BQ37" s="45">
        <f>'Filter-old'!O34</f>
        <v>0</v>
      </c>
      <c r="BR37" s="61">
        <f>'Filter-new'!O34</f>
        <v>33600</v>
      </c>
      <c r="BS37" s="62"/>
      <c r="BT37" s="62"/>
      <c r="BU37" s="45">
        <f>'Filter-old'!Q34</f>
        <v>15053.47</v>
      </c>
      <c r="BV37" s="61">
        <f>'Filter-new'!Q34</f>
        <v>-15894.35</v>
      </c>
      <c r="BW37" s="61"/>
      <c r="BX37" s="61"/>
      <c r="BY37" s="61">
        <f>'Filter-new'!Q523</f>
        <v>-9600</v>
      </c>
      <c r="BZ37" s="61"/>
      <c r="CA37" s="45">
        <f>'Filter-old'!R34</f>
        <v>-16800</v>
      </c>
      <c r="CB37" s="61">
        <f>'Filter-new'!R34</f>
        <v>-50400</v>
      </c>
      <c r="CC37" s="61"/>
      <c r="CD37" s="58"/>
      <c r="CE37" s="61">
        <f>'Filter-new'!R523</f>
        <v>19200</v>
      </c>
      <c r="CF37" s="57"/>
      <c r="CG37" s="4"/>
    </row>
    <row r="38" spans="1:85" hidden="1" x14ac:dyDescent="0.2">
      <c r="A38">
        <v>0</v>
      </c>
      <c r="B38" s="59">
        <v>37865</v>
      </c>
      <c r="C38" s="59">
        <f>'Filter-new'!C35</f>
        <v>37865</v>
      </c>
      <c r="D38" s="60">
        <f t="shared" si="3"/>
        <v>2003</v>
      </c>
      <c r="E38" s="60">
        <f>VLOOKUP($C38,calendar!$A$2:$D$121,4,FALSE)*(1-(H38=0))</f>
        <v>336</v>
      </c>
      <c r="F38" s="60">
        <f>VLOOKUP($C38,calendar!$A$2:$D$121,3,FALSE)*(1-(I38=0))</f>
        <v>384</v>
      </c>
      <c r="G38" s="36">
        <f t="shared" ref="G38:G69" si="4">SUM(K38,AA38,AO38,Q38,AW38,W38,BC38,AI38,BG38,BQ38,AE38,BU38,CA38)</f>
        <v>-309104.15000000002</v>
      </c>
      <c r="H38" s="36">
        <f t="shared" ref="H38:H69" si="5">SUM(L38,AB38,AP38,R38,AX38,X38,BD38,AJ38,BJ38,BR38,AF38,BV38,CB38,BN38)</f>
        <v>-126140.59999999998</v>
      </c>
      <c r="I38" s="36">
        <f t="shared" ref="I38:I69" si="6">SUM(O38,U38,AM38,BA38,BY38,CE38)</f>
        <v>-130205</v>
      </c>
      <c r="J38" s="41"/>
      <c r="K38" s="45">
        <f>'Filter-old'!E35</f>
        <v>-232811.24</v>
      </c>
      <c r="L38" s="61">
        <f>'Filter-new'!E35</f>
        <v>-119379.74</v>
      </c>
      <c r="M38" s="62"/>
      <c r="N38" s="62"/>
      <c r="O38" s="429">
        <f>'Filter-new'!E524</f>
        <v>-93259</v>
      </c>
      <c r="P38" s="62"/>
      <c r="Q38" s="45">
        <f>'Filter-old'!H35</f>
        <v>-134400</v>
      </c>
      <c r="R38" s="61">
        <f>'Filter-new'!H35</f>
        <v>-218400</v>
      </c>
      <c r="S38" s="62"/>
      <c r="T38" s="62"/>
      <c r="U38" s="445">
        <f>'Filter-new'!H524</f>
        <v>-18850</v>
      </c>
      <c r="V38" s="62"/>
      <c r="W38" s="45">
        <f>'Filter-old'!J35</f>
        <v>0</v>
      </c>
      <c r="X38" s="61">
        <f>'Filter-new'!J35</f>
        <v>0</v>
      </c>
      <c r="Y38" s="62"/>
      <c r="Z38" s="62"/>
      <c r="AA38" s="45">
        <f>'Filter-old'!F35</f>
        <v>0</v>
      </c>
      <c r="AB38" s="61">
        <f>'Filter-new'!F35</f>
        <v>0</v>
      </c>
      <c r="AC38" s="62"/>
      <c r="AD38" s="62"/>
      <c r="AE38" s="45">
        <f>'Filter-old'!P35</f>
        <v>0</v>
      </c>
      <c r="AF38" s="61">
        <f>'Filter-new'!P35</f>
        <v>0</v>
      </c>
      <c r="AG38" s="62"/>
      <c r="AH38" s="62"/>
      <c r="AI38" s="45">
        <f>'Filter-old'!L35</f>
        <v>0</v>
      </c>
      <c r="AJ38" s="61">
        <f>'Filter-new'!L35</f>
        <v>9072</v>
      </c>
      <c r="AK38" s="62"/>
      <c r="AL38" s="62"/>
      <c r="AM38" s="62">
        <f>'Filter-new'!L524</f>
        <v>10179</v>
      </c>
      <c r="AN38" s="62"/>
      <c r="AO38" s="45">
        <f>'Filter-old'!G35</f>
        <v>0</v>
      </c>
      <c r="AP38" s="61">
        <f>'Filter-new'!G35</f>
        <v>0</v>
      </c>
      <c r="AQ38" s="62"/>
      <c r="AR38" s="62"/>
      <c r="AS38" s="45"/>
      <c r="AT38" s="61"/>
      <c r="AU38" s="62"/>
      <c r="AV38" s="62"/>
      <c r="AW38" s="45">
        <f>'Filter-old'!I35</f>
        <v>0</v>
      </c>
      <c r="AX38" s="61">
        <f>'Filter-new'!I35</f>
        <v>-16800</v>
      </c>
      <c r="AY38" s="62"/>
      <c r="AZ38" s="62"/>
      <c r="BA38" s="62">
        <f>'Filter-new'!I524</f>
        <v>-37700</v>
      </c>
      <c r="BB38" s="62"/>
      <c r="BC38" s="45">
        <f>'Filter-old'!K35</f>
        <v>0</v>
      </c>
      <c r="BD38" s="61">
        <f>'Filter-new'!K35</f>
        <v>-16800</v>
      </c>
      <c r="BE38" s="62"/>
      <c r="BF38" s="62"/>
      <c r="BG38" s="45">
        <f>'Filter-old'!M35</f>
        <v>0</v>
      </c>
      <c r="BH38" s="62">
        <f>'Filter-new'!K524</f>
        <v>0</v>
      </c>
      <c r="BI38" s="61"/>
      <c r="BJ38" s="61">
        <f>'Filter-new'!M35</f>
        <v>84000</v>
      </c>
      <c r="BK38" s="62"/>
      <c r="BL38" s="62"/>
      <c r="BM38" s="62"/>
      <c r="BN38" s="406">
        <f>'Filter-new'!N35</f>
        <v>0</v>
      </c>
      <c r="BO38" s="62"/>
      <c r="BP38" s="62"/>
      <c r="BQ38" s="45">
        <f>'Filter-old'!O35</f>
        <v>0</v>
      </c>
      <c r="BR38" s="61">
        <f>'Filter-new'!O35</f>
        <v>33600</v>
      </c>
      <c r="BS38" s="62"/>
      <c r="BT38" s="62"/>
      <c r="BU38" s="45">
        <f>'Filter-old'!Q35</f>
        <v>74907.09</v>
      </c>
      <c r="BV38" s="61">
        <f>'Filter-new'!Q35</f>
        <v>-15832.86</v>
      </c>
      <c r="BW38" s="61"/>
      <c r="BX38" s="61"/>
      <c r="BY38" s="61">
        <f>'Filter-new'!Q524</f>
        <v>-9425</v>
      </c>
      <c r="BZ38" s="61"/>
      <c r="CA38" s="45">
        <f>'Filter-old'!R35</f>
        <v>-16800</v>
      </c>
      <c r="CB38" s="61">
        <f>'Filter-new'!R35</f>
        <v>134400</v>
      </c>
      <c r="CC38" s="61"/>
      <c r="CD38" s="58"/>
      <c r="CE38" s="61">
        <f>'Filter-new'!R524</f>
        <v>18850</v>
      </c>
      <c r="CF38" s="57"/>
      <c r="CG38" s="4"/>
    </row>
    <row r="39" spans="1:85" hidden="1" x14ac:dyDescent="0.2">
      <c r="A39">
        <v>0</v>
      </c>
      <c r="B39" s="59">
        <v>37895</v>
      </c>
      <c r="C39" s="59">
        <f>'Filter-new'!C36</f>
        <v>37895</v>
      </c>
      <c r="D39" s="60">
        <f t="shared" si="3"/>
        <v>2003</v>
      </c>
      <c r="E39" s="60">
        <f>VLOOKUP($C39,calendar!$A$2:$D$121,4,FALSE)*(1-(H39=0))</f>
        <v>368</v>
      </c>
      <c r="F39" s="60">
        <f>VLOOKUP($C39,calendar!$A$2:$D$121,3,FALSE)*(1-(I39=0))</f>
        <v>376</v>
      </c>
      <c r="G39" s="36">
        <f t="shared" si="4"/>
        <v>-272374.52</v>
      </c>
      <c r="H39" s="36">
        <f t="shared" si="5"/>
        <v>128280.08999999997</v>
      </c>
      <c r="I39" s="36">
        <f t="shared" si="6"/>
        <v>-145760</v>
      </c>
      <c r="J39" s="41"/>
      <c r="K39" s="45">
        <f>'Filter-old'!E36</f>
        <v>-253711.94</v>
      </c>
      <c r="L39" s="61">
        <f>'Filter-new'!E36</f>
        <v>-43865.16</v>
      </c>
      <c r="M39" s="62"/>
      <c r="N39" s="62"/>
      <c r="O39" s="429">
        <f>'Filter-new'!E525</f>
        <v>-104992</v>
      </c>
      <c r="P39" s="62"/>
      <c r="Q39" s="45">
        <f>'Filter-old'!H36</f>
        <v>-147200</v>
      </c>
      <c r="R39" s="61">
        <f>'Filter-new'!H36</f>
        <v>-220800</v>
      </c>
      <c r="S39" s="62"/>
      <c r="T39" s="62"/>
      <c r="U39" s="445">
        <f>'Filter-new'!H525</f>
        <v>-20800</v>
      </c>
      <c r="V39" s="62"/>
      <c r="W39" s="45">
        <f>'Filter-old'!J36</f>
        <v>0</v>
      </c>
      <c r="X39" s="61">
        <f>'Filter-new'!J36</f>
        <v>0</v>
      </c>
      <c r="Y39" s="62"/>
      <c r="Z39" s="62"/>
      <c r="AA39" s="45">
        <f>'Filter-old'!F36</f>
        <v>0</v>
      </c>
      <c r="AB39" s="61">
        <f>'Filter-new'!F36</f>
        <v>0</v>
      </c>
      <c r="AC39" s="62"/>
      <c r="AD39" s="62"/>
      <c r="AE39" s="45">
        <f>'Filter-old'!P36</f>
        <v>0</v>
      </c>
      <c r="AF39" s="61">
        <f>'Filter-new'!P36</f>
        <v>0</v>
      </c>
      <c r="AG39" s="62"/>
      <c r="AH39" s="62"/>
      <c r="AI39" s="45">
        <f>'Filter-old'!L36</f>
        <v>0</v>
      </c>
      <c r="AJ39" s="61">
        <f>'Filter-new'!L36</f>
        <v>9936</v>
      </c>
      <c r="AK39" s="62"/>
      <c r="AL39" s="62"/>
      <c r="AM39" s="62">
        <f>'Filter-new'!L525</f>
        <v>11232</v>
      </c>
      <c r="AN39" s="62"/>
      <c r="AO39" s="45">
        <f>'Filter-old'!G36</f>
        <v>0</v>
      </c>
      <c r="AP39" s="61">
        <f>'Filter-new'!G36</f>
        <v>0</v>
      </c>
      <c r="AQ39" s="62"/>
      <c r="AR39" s="62"/>
      <c r="AS39" s="45"/>
      <c r="AT39" s="61"/>
      <c r="AU39" s="62"/>
      <c r="AV39" s="62"/>
      <c r="AW39" s="45">
        <f>'Filter-old'!I36</f>
        <v>0</v>
      </c>
      <c r="AX39" s="61">
        <f>'Filter-new'!I36</f>
        <v>36800</v>
      </c>
      <c r="AY39" s="62"/>
      <c r="AZ39" s="62"/>
      <c r="BA39" s="62">
        <f>'Filter-new'!I525</f>
        <v>-41600</v>
      </c>
      <c r="BB39" s="62"/>
      <c r="BC39" s="45">
        <f>'Filter-old'!K36</f>
        <v>0</v>
      </c>
      <c r="BD39" s="61">
        <f>'Filter-new'!K36</f>
        <v>-18400</v>
      </c>
      <c r="BE39" s="62"/>
      <c r="BF39" s="62"/>
      <c r="BG39" s="45">
        <f>'Filter-old'!M36</f>
        <v>0</v>
      </c>
      <c r="BH39" s="62">
        <f>'Filter-new'!K525</f>
        <v>0</v>
      </c>
      <c r="BI39" s="61"/>
      <c r="BJ39" s="61">
        <f>'Filter-new'!M36</f>
        <v>92000</v>
      </c>
      <c r="BK39" s="62"/>
      <c r="BL39" s="62"/>
      <c r="BM39" s="62"/>
      <c r="BN39" s="406">
        <f>'Filter-new'!N36</f>
        <v>0</v>
      </c>
      <c r="BO39" s="62"/>
      <c r="BP39" s="62"/>
      <c r="BQ39" s="45">
        <f>'Filter-old'!O36</f>
        <v>0</v>
      </c>
      <c r="BR39" s="61">
        <f>'Filter-new'!O36</f>
        <v>36800</v>
      </c>
      <c r="BS39" s="62"/>
      <c r="BT39" s="62"/>
      <c r="BU39" s="45">
        <f>'Filter-old'!Q36</f>
        <v>146937.42000000001</v>
      </c>
      <c r="BV39" s="61">
        <f>'Filter-new'!Q36</f>
        <v>51809.25</v>
      </c>
      <c r="BW39" s="61"/>
      <c r="BX39" s="61"/>
      <c r="BY39" s="61">
        <f>'Filter-new'!Q525</f>
        <v>-10400</v>
      </c>
      <c r="BZ39" s="61"/>
      <c r="CA39" s="45">
        <f>'Filter-old'!R36</f>
        <v>-18400</v>
      </c>
      <c r="CB39" s="61">
        <f>'Filter-new'!R36</f>
        <v>184000</v>
      </c>
      <c r="CC39" s="61"/>
      <c r="CD39" s="58"/>
      <c r="CE39" s="61">
        <f>'Filter-new'!R525</f>
        <v>20800</v>
      </c>
      <c r="CF39" s="57"/>
      <c r="CG39" s="4"/>
    </row>
    <row r="40" spans="1:85" hidden="1" x14ac:dyDescent="0.2">
      <c r="A40">
        <v>0</v>
      </c>
      <c r="B40" s="59">
        <v>37926</v>
      </c>
      <c r="C40" s="59">
        <f>'Filter-new'!C37</f>
        <v>37926</v>
      </c>
      <c r="D40" s="60">
        <f t="shared" si="3"/>
        <v>2003</v>
      </c>
      <c r="E40" s="60">
        <f>VLOOKUP($C40,calendar!$A$2:$D$121,4,FALSE)*(1-(H40=0))</f>
        <v>304</v>
      </c>
      <c r="F40" s="60">
        <f>VLOOKUP($C40,calendar!$A$2:$D$121,3,FALSE)*(1-(I40=0))</f>
        <v>416</v>
      </c>
      <c r="G40" s="36">
        <f t="shared" si="4"/>
        <v>-224575.43</v>
      </c>
      <c r="H40" s="36">
        <f t="shared" si="5"/>
        <v>105943.92000000001</v>
      </c>
      <c r="I40" s="36">
        <f t="shared" si="6"/>
        <v>-136040</v>
      </c>
      <c r="J40" s="41"/>
      <c r="K40" s="45">
        <f>'Filter-old'!E37</f>
        <v>-208567.32</v>
      </c>
      <c r="L40" s="61">
        <f>'Filter-new'!E37</f>
        <v>-36089.589999999997</v>
      </c>
      <c r="M40" s="62"/>
      <c r="N40" s="62"/>
      <c r="O40" s="429">
        <f>'Filter-new'!E526</f>
        <v>-97624</v>
      </c>
      <c r="P40" s="62"/>
      <c r="Q40" s="45">
        <f>'Filter-old'!H37</f>
        <v>-121600</v>
      </c>
      <c r="R40" s="61">
        <f>'Filter-new'!H37</f>
        <v>-182400</v>
      </c>
      <c r="S40" s="62"/>
      <c r="T40" s="62"/>
      <c r="U40" s="445">
        <f>'Filter-new'!H526</f>
        <v>-19600</v>
      </c>
      <c r="V40" s="62"/>
      <c r="W40" s="45">
        <f>'Filter-old'!J37</f>
        <v>0</v>
      </c>
      <c r="X40" s="61">
        <f>'Filter-new'!J37</f>
        <v>0</v>
      </c>
      <c r="Y40" s="62"/>
      <c r="Z40" s="62"/>
      <c r="AA40" s="45">
        <f>'Filter-old'!F37</f>
        <v>0</v>
      </c>
      <c r="AB40" s="61">
        <f>'Filter-new'!F37</f>
        <v>0</v>
      </c>
      <c r="AC40" s="62"/>
      <c r="AD40" s="62"/>
      <c r="AE40" s="45">
        <f>'Filter-old'!P37</f>
        <v>0</v>
      </c>
      <c r="AF40" s="61">
        <f>'Filter-new'!P37</f>
        <v>0</v>
      </c>
      <c r="AG40" s="62"/>
      <c r="AH40" s="62"/>
      <c r="AI40" s="45">
        <f>'Filter-old'!L37</f>
        <v>0</v>
      </c>
      <c r="AJ40" s="61">
        <f>'Filter-new'!L37</f>
        <v>8208</v>
      </c>
      <c r="AK40" s="62"/>
      <c r="AL40" s="62"/>
      <c r="AM40" s="62">
        <f>'Filter-new'!L526</f>
        <v>10584</v>
      </c>
      <c r="AN40" s="62"/>
      <c r="AO40" s="45">
        <f>'Filter-old'!G37</f>
        <v>0</v>
      </c>
      <c r="AP40" s="61">
        <f>'Filter-new'!G37</f>
        <v>0</v>
      </c>
      <c r="AQ40" s="62"/>
      <c r="AR40" s="62"/>
      <c r="AS40" s="45"/>
      <c r="AT40" s="61"/>
      <c r="AU40" s="62"/>
      <c r="AV40" s="62"/>
      <c r="AW40" s="45">
        <f>'Filter-old'!I37</f>
        <v>0</v>
      </c>
      <c r="AX40" s="61">
        <f>'Filter-new'!I37</f>
        <v>30400</v>
      </c>
      <c r="AY40" s="62"/>
      <c r="AZ40" s="62"/>
      <c r="BA40" s="62">
        <f>'Filter-new'!I526</f>
        <v>-39200</v>
      </c>
      <c r="BB40" s="62"/>
      <c r="BC40" s="45">
        <f>'Filter-old'!K37</f>
        <v>0</v>
      </c>
      <c r="BD40" s="61">
        <f>'Filter-new'!K37</f>
        <v>-15200</v>
      </c>
      <c r="BE40" s="62"/>
      <c r="BF40" s="62"/>
      <c r="BG40" s="45">
        <f>'Filter-old'!M37</f>
        <v>0</v>
      </c>
      <c r="BH40" s="62">
        <f>'Filter-new'!K526</f>
        <v>0</v>
      </c>
      <c r="BI40" s="61"/>
      <c r="BJ40" s="61">
        <f>'Filter-new'!M37</f>
        <v>76000</v>
      </c>
      <c r="BK40" s="62"/>
      <c r="BL40" s="62"/>
      <c r="BM40" s="62"/>
      <c r="BN40" s="406">
        <f>'Filter-new'!N37</f>
        <v>0</v>
      </c>
      <c r="BO40" s="62"/>
      <c r="BP40" s="62"/>
      <c r="BQ40" s="45">
        <f>'Filter-old'!O37</f>
        <v>0</v>
      </c>
      <c r="BR40" s="61">
        <f>'Filter-new'!O37</f>
        <v>30400</v>
      </c>
      <c r="BS40" s="62"/>
      <c r="BT40" s="62"/>
      <c r="BU40" s="45">
        <f>'Filter-old'!Q37</f>
        <v>120791.89</v>
      </c>
      <c r="BV40" s="61">
        <f>'Filter-new'!Q37</f>
        <v>42625.51</v>
      </c>
      <c r="BW40" s="61"/>
      <c r="BX40" s="61"/>
      <c r="BY40" s="61">
        <f>'Filter-new'!Q526</f>
        <v>-9800</v>
      </c>
      <c r="BZ40" s="61"/>
      <c r="CA40" s="45">
        <f>'Filter-old'!R37</f>
        <v>-15200</v>
      </c>
      <c r="CB40" s="61">
        <f>'Filter-new'!R37</f>
        <v>152000</v>
      </c>
      <c r="CC40" s="61"/>
      <c r="CD40" s="58"/>
      <c r="CE40" s="61">
        <f>'Filter-new'!R526</f>
        <v>19600</v>
      </c>
      <c r="CF40" s="57"/>
      <c r="CG40" s="4"/>
    </row>
    <row r="41" spans="1:85" hidden="1" x14ac:dyDescent="0.2">
      <c r="A41">
        <v>0</v>
      </c>
      <c r="B41" s="59">
        <v>37956</v>
      </c>
      <c r="C41" s="59">
        <f>'Filter-new'!C38</f>
        <v>37956</v>
      </c>
      <c r="D41" s="60">
        <f t="shared" si="3"/>
        <v>2003</v>
      </c>
      <c r="E41" s="60">
        <f>VLOOKUP($C41,calendar!$A$2:$D$121,4,FALSE)*(1-(H41=0))</f>
        <v>352</v>
      </c>
      <c r="F41" s="60">
        <f>VLOOKUP($C41,calendar!$A$2:$D$121,3,FALSE)*(1-(I41=0))</f>
        <v>392</v>
      </c>
      <c r="G41" s="36">
        <f t="shared" si="4"/>
        <v>-259519.92</v>
      </c>
      <c r="H41" s="36">
        <f t="shared" si="5"/>
        <v>122639.62</v>
      </c>
      <c r="I41" s="36">
        <f t="shared" si="6"/>
        <v>9384</v>
      </c>
      <c r="J41" s="41"/>
      <c r="K41" s="45">
        <f>'Filter-old'!E38</f>
        <v>-240275.76</v>
      </c>
      <c r="L41" s="61">
        <f>'Filter-new'!E38</f>
        <v>-41610</v>
      </c>
      <c r="M41" s="62"/>
      <c r="N41" s="62"/>
      <c r="O41" s="429">
        <f>'Filter-new'!E527</f>
        <v>50184</v>
      </c>
      <c r="P41" s="62"/>
      <c r="Q41" s="45">
        <f>'Filter-old'!H38</f>
        <v>-140800</v>
      </c>
      <c r="R41" s="61">
        <f>'Filter-new'!H38</f>
        <v>-211200</v>
      </c>
      <c r="S41" s="62"/>
      <c r="T41" s="62"/>
      <c r="U41" s="445">
        <f>'Filter-new'!H527</f>
        <v>0</v>
      </c>
      <c r="V41" s="62"/>
      <c r="W41" s="45">
        <f>'Filter-old'!J38</f>
        <v>0</v>
      </c>
      <c r="X41" s="61">
        <f>'Filter-new'!J38</f>
        <v>0</v>
      </c>
      <c r="Y41" s="62"/>
      <c r="Z41" s="62"/>
      <c r="AA41" s="45">
        <f>'Filter-old'!F38</f>
        <v>0</v>
      </c>
      <c r="AB41" s="61">
        <f>'Filter-new'!F38</f>
        <v>0</v>
      </c>
      <c r="AC41" s="62"/>
      <c r="AD41" s="62"/>
      <c r="AE41" s="45">
        <f>'Filter-old'!P38</f>
        <v>0</v>
      </c>
      <c r="AF41" s="61">
        <f>'Filter-new'!P38</f>
        <v>0</v>
      </c>
      <c r="AG41" s="62"/>
      <c r="AH41" s="62"/>
      <c r="AI41" s="45">
        <f>'Filter-old'!L38</f>
        <v>0</v>
      </c>
      <c r="AJ41" s="61">
        <f>'Filter-new'!L38</f>
        <v>9504</v>
      </c>
      <c r="AK41" s="62"/>
      <c r="AL41" s="62"/>
      <c r="AM41" s="62">
        <f>'Filter-new'!L527</f>
        <v>0</v>
      </c>
      <c r="AN41" s="62"/>
      <c r="AO41" s="45">
        <f>'Filter-old'!G38</f>
        <v>0</v>
      </c>
      <c r="AP41" s="61">
        <f>'Filter-new'!G38</f>
        <v>0</v>
      </c>
      <c r="AQ41" s="62"/>
      <c r="AR41" s="62"/>
      <c r="AS41" s="45"/>
      <c r="AT41" s="61"/>
      <c r="AU41" s="62"/>
      <c r="AV41" s="62"/>
      <c r="AW41" s="45">
        <f>'Filter-old'!I38</f>
        <v>0</v>
      </c>
      <c r="AX41" s="61">
        <f>'Filter-new'!I38</f>
        <v>35200</v>
      </c>
      <c r="AY41" s="62"/>
      <c r="AZ41" s="62"/>
      <c r="BA41" s="62">
        <f>'Filter-new'!I527</f>
        <v>0</v>
      </c>
      <c r="BB41" s="62"/>
      <c r="BC41" s="45">
        <f>'Filter-old'!K38</f>
        <v>0</v>
      </c>
      <c r="BD41" s="61">
        <f>'Filter-new'!K38</f>
        <v>-17600</v>
      </c>
      <c r="BE41" s="62"/>
      <c r="BF41" s="62"/>
      <c r="BG41" s="45">
        <f>'Filter-old'!M38</f>
        <v>0</v>
      </c>
      <c r="BH41" s="62">
        <f>'Filter-new'!K527</f>
        <v>0</v>
      </c>
      <c r="BI41" s="61"/>
      <c r="BJ41" s="61">
        <f>'Filter-new'!M38</f>
        <v>88000</v>
      </c>
      <c r="BK41" s="62"/>
      <c r="BL41" s="62"/>
      <c r="BM41" s="62"/>
      <c r="BN41" s="406">
        <f>'Filter-new'!N38</f>
        <v>0</v>
      </c>
      <c r="BO41" s="62"/>
      <c r="BP41" s="62"/>
      <c r="BQ41" s="45">
        <f>'Filter-old'!O38</f>
        <v>0</v>
      </c>
      <c r="BR41" s="61">
        <f>'Filter-new'!O38</f>
        <v>35200</v>
      </c>
      <c r="BS41" s="62"/>
      <c r="BT41" s="62"/>
      <c r="BU41" s="45">
        <f>'Filter-old'!Q38</f>
        <v>139155.84</v>
      </c>
      <c r="BV41" s="61">
        <f>'Filter-new'!Q38</f>
        <v>49145.62</v>
      </c>
      <c r="BW41" s="61"/>
      <c r="BX41" s="61"/>
      <c r="BY41" s="61">
        <f>'Filter-new'!Q527</f>
        <v>0</v>
      </c>
      <c r="BZ41" s="61"/>
      <c r="CA41" s="45">
        <f>'Filter-old'!R38</f>
        <v>-17600</v>
      </c>
      <c r="CB41" s="61">
        <f>'Filter-new'!R38</f>
        <v>176000</v>
      </c>
      <c r="CC41" s="61"/>
      <c r="CD41" s="58"/>
      <c r="CE41" s="61">
        <f>'Filter-new'!R527</f>
        <v>-40800</v>
      </c>
      <c r="CF41" s="57"/>
      <c r="CG41" s="4"/>
    </row>
    <row r="42" spans="1:85" hidden="1" x14ac:dyDescent="0.2">
      <c r="A42">
        <v>0</v>
      </c>
      <c r="B42" s="59">
        <v>37987</v>
      </c>
      <c r="C42" s="59">
        <f>'Filter-new'!C39</f>
        <v>37987</v>
      </c>
      <c r="D42" s="60">
        <f t="shared" si="3"/>
        <v>2004</v>
      </c>
      <c r="E42" s="60">
        <f>VLOOKUP($C42,calendar!$A$2:$D$121,4,FALSE)*(1-(H42=0))</f>
        <v>336</v>
      </c>
      <c r="F42" s="60">
        <f>VLOOKUP($C42,calendar!$A$2:$D$121,3,FALSE)*(1-(I42=0))</f>
        <v>408</v>
      </c>
      <c r="G42" s="36">
        <f t="shared" si="4"/>
        <v>81699.67</v>
      </c>
      <c r="H42" s="36">
        <f t="shared" si="5"/>
        <v>90537.8</v>
      </c>
      <c r="I42" s="36">
        <f t="shared" si="6"/>
        <v>8648</v>
      </c>
      <c r="J42" s="41"/>
      <c r="K42" s="45">
        <f>'Filter-old'!E39</f>
        <v>6754.41</v>
      </c>
      <c r="L42" s="61">
        <f>'Filter-new'!E39</f>
        <v>7161.8</v>
      </c>
      <c r="M42" s="62"/>
      <c r="N42" s="62"/>
      <c r="O42" s="429">
        <f>'Filter-new'!E528</f>
        <v>46248</v>
      </c>
      <c r="P42" s="62"/>
      <c r="Q42" s="45">
        <f>'Filter-old'!H39</f>
        <v>0</v>
      </c>
      <c r="R42" s="61">
        <f>'Filter-new'!H39</f>
        <v>0</v>
      </c>
      <c r="S42" s="62"/>
      <c r="T42" s="62"/>
      <c r="U42" s="445">
        <f>'Filter-new'!H528</f>
        <v>0</v>
      </c>
      <c r="V42" s="62"/>
      <c r="W42" s="45">
        <f>'Filter-old'!J39</f>
        <v>0</v>
      </c>
      <c r="X42" s="61">
        <f>'Filter-new'!J39</f>
        <v>0</v>
      </c>
      <c r="Y42" s="62"/>
      <c r="Z42" s="62"/>
      <c r="AA42" s="45">
        <f>'Filter-old'!F39</f>
        <v>0</v>
      </c>
      <c r="AB42" s="61">
        <f>'Filter-new'!F39</f>
        <v>0</v>
      </c>
      <c r="AC42" s="62"/>
      <c r="AD42" s="62"/>
      <c r="AE42" s="45">
        <f>'Filter-old'!P39</f>
        <v>0</v>
      </c>
      <c r="AF42" s="61">
        <f>'Filter-new'!P39</f>
        <v>0</v>
      </c>
      <c r="AG42" s="62"/>
      <c r="AH42" s="62"/>
      <c r="AI42" s="45">
        <f>'Filter-old'!L39</f>
        <v>0</v>
      </c>
      <c r="AJ42" s="61">
        <f>'Filter-new'!L39</f>
        <v>0</v>
      </c>
      <c r="AK42" s="62"/>
      <c r="AL42" s="62"/>
      <c r="AM42" s="62">
        <f>'Filter-new'!L528</f>
        <v>0</v>
      </c>
      <c r="AN42" s="62"/>
      <c r="AO42" s="45">
        <f>'Filter-old'!G39</f>
        <v>0</v>
      </c>
      <c r="AP42" s="61">
        <f>'Filter-new'!G39</f>
        <v>0</v>
      </c>
      <c r="AQ42" s="62"/>
      <c r="AR42" s="62"/>
      <c r="AS42" s="45"/>
      <c r="AT42" s="61"/>
      <c r="AU42" s="62"/>
      <c r="AV42" s="62"/>
      <c r="AW42" s="45">
        <f>'Filter-old'!I39</f>
        <v>16800</v>
      </c>
      <c r="AX42" s="61">
        <f>'Filter-new'!I39</f>
        <v>33600</v>
      </c>
      <c r="AY42" s="62"/>
      <c r="AZ42" s="62"/>
      <c r="BA42" s="62">
        <f>'Filter-new'!I528</f>
        <v>0</v>
      </c>
      <c r="BB42" s="62"/>
      <c r="BC42" s="45">
        <f>'Filter-old'!K39</f>
        <v>0</v>
      </c>
      <c r="BD42" s="61">
        <f>'Filter-new'!K39</f>
        <v>0</v>
      </c>
      <c r="BE42" s="62"/>
      <c r="BF42" s="62"/>
      <c r="BG42" s="45">
        <f>'Filter-old'!M39</f>
        <v>0</v>
      </c>
      <c r="BH42" s="62">
        <f>'Filter-new'!K528</f>
        <v>0</v>
      </c>
      <c r="BI42" s="61"/>
      <c r="BJ42" s="61">
        <f>'Filter-new'!M39</f>
        <v>-16800</v>
      </c>
      <c r="BK42" s="62"/>
      <c r="BL42" s="62"/>
      <c r="BM42" s="62"/>
      <c r="BN42" s="406">
        <f>'Filter-new'!N39</f>
        <v>0</v>
      </c>
      <c r="BO42" s="62"/>
      <c r="BP42" s="62"/>
      <c r="BQ42" s="45">
        <f>'Filter-old'!O39</f>
        <v>0</v>
      </c>
      <c r="BR42" s="61">
        <f>'Filter-new'!O39</f>
        <v>0</v>
      </c>
      <c r="BS42" s="62"/>
      <c r="BT42" s="62"/>
      <c r="BU42" s="45">
        <f>'Filter-old'!Q39</f>
        <v>58145.26</v>
      </c>
      <c r="BV42" s="61">
        <f>'Filter-new'!Q39</f>
        <v>-624</v>
      </c>
      <c r="BW42" s="61"/>
      <c r="BX42" s="61"/>
      <c r="BY42" s="61">
        <f>'Filter-new'!Q528</f>
        <v>0</v>
      </c>
      <c r="BZ42" s="61"/>
      <c r="CA42" s="45">
        <f>'Filter-old'!R39</f>
        <v>0</v>
      </c>
      <c r="CB42" s="61">
        <f>'Filter-new'!R39</f>
        <v>67200</v>
      </c>
      <c r="CC42" s="61"/>
      <c r="CD42" s="58"/>
      <c r="CE42" s="61">
        <f>'Filter-new'!R528</f>
        <v>-37600</v>
      </c>
      <c r="CF42" s="57"/>
      <c r="CG42" s="4"/>
    </row>
    <row r="43" spans="1:85" hidden="1" x14ac:dyDescent="0.2">
      <c r="A43">
        <v>0</v>
      </c>
      <c r="B43" s="59">
        <v>38018</v>
      </c>
      <c r="C43" s="59">
        <f>'Filter-new'!C40</f>
        <v>38018</v>
      </c>
      <c r="D43" s="60">
        <f t="shared" si="3"/>
        <v>2004</v>
      </c>
      <c r="E43" s="60">
        <f>VLOOKUP($C43,calendar!$A$2:$D$121,4,FALSE)*(1-(H43=0))</f>
        <v>320</v>
      </c>
      <c r="F43" s="60">
        <f>VLOOKUP($C43,calendar!$A$2:$D$121,3,FALSE)*(1-(I43=0))</f>
        <v>376</v>
      </c>
      <c r="G43" s="36">
        <f t="shared" si="4"/>
        <v>77513.11</v>
      </c>
      <c r="H43" s="36">
        <f t="shared" si="5"/>
        <v>86200.73000000001</v>
      </c>
      <c r="I43" s="36">
        <f t="shared" si="6"/>
        <v>8648</v>
      </c>
      <c r="J43" s="41"/>
      <c r="K43" s="45">
        <f>'Filter-old'!E40</f>
        <v>6402</v>
      </c>
      <c r="L43" s="61">
        <f>'Filter-new'!E40</f>
        <v>6792.66</v>
      </c>
      <c r="M43" s="62"/>
      <c r="N43" s="62"/>
      <c r="O43" s="429">
        <f>'Filter-new'!E529</f>
        <v>46248</v>
      </c>
      <c r="P43" s="62"/>
      <c r="Q43" s="45">
        <f>'Filter-old'!H40</f>
        <v>0</v>
      </c>
      <c r="R43" s="61">
        <f>'Filter-new'!H40</f>
        <v>0</v>
      </c>
      <c r="S43" s="62"/>
      <c r="T43" s="62"/>
      <c r="U43" s="445">
        <f>'Filter-new'!H529</f>
        <v>0</v>
      </c>
      <c r="V43" s="62"/>
      <c r="W43" s="45">
        <f>'Filter-old'!J40</f>
        <v>0</v>
      </c>
      <c r="X43" s="61">
        <f>'Filter-new'!J40</f>
        <v>0</v>
      </c>
      <c r="Y43" s="62"/>
      <c r="Z43" s="62"/>
      <c r="AA43" s="45">
        <f>'Filter-old'!F40</f>
        <v>0</v>
      </c>
      <c r="AB43" s="61">
        <f>'Filter-new'!F40</f>
        <v>0</v>
      </c>
      <c r="AC43" s="62"/>
      <c r="AD43" s="62"/>
      <c r="AE43" s="45">
        <f>'Filter-old'!P40</f>
        <v>0</v>
      </c>
      <c r="AF43" s="61">
        <f>'Filter-new'!P40</f>
        <v>0</v>
      </c>
      <c r="AG43" s="62"/>
      <c r="AH43" s="62"/>
      <c r="AI43" s="45">
        <f>'Filter-old'!L40</f>
        <v>0</v>
      </c>
      <c r="AJ43" s="61">
        <f>'Filter-new'!L40</f>
        <v>0</v>
      </c>
      <c r="AK43" s="62"/>
      <c r="AL43" s="62"/>
      <c r="AM43" s="62">
        <f>'Filter-new'!L529</f>
        <v>0</v>
      </c>
      <c r="AN43" s="62"/>
      <c r="AO43" s="45">
        <f>'Filter-old'!G40</f>
        <v>0</v>
      </c>
      <c r="AP43" s="61">
        <f>'Filter-new'!G40</f>
        <v>0</v>
      </c>
      <c r="AQ43" s="62"/>
      <c r="AR43" s="62"/>
      <c r="AS43" s="45"/>
      <c r="AT43" s="61"/>
      <c r="AU43" s="62"/>
      <c r="AV43" s="62"/>
      <c r="AW43" s="45">
        <f>'Filter-old'!I40</f>
        <v>16000</v>
      </c>
      <c r="AX43" s="61">
        <f>'Filter-new'!I40</f>
        <v>32000</v>
      </c>
      <c r="AY43" s="62"/>
      <c r="AZ43" s="62"/>
      <c r="BA43" s="62">
        <f>'Filter-new'!I529</f>
        <v>0</v>
      </c>
      <c r="BB43" s="62"/>
      <c r="BC43" s="45">
        <f>'Filter-old'!K40</f>
        <v>0</v>
      </c>
      <c r="BD43" s="61">
        <f>'Filter-new'!K40</f>
        <v>0</v>
      </c>
      <c r="BE43" s="62"/>
      <c r="BF43" s="62"/>
      <c r="BG43" s="45">
        <f>'Filter-old'!M40</f>
        <v>0</v>
      </c>
      <c r="BH43" s="62">
        <f>'Filter-new'!K529</f>
        <v>0</v>
      </c>
      <c r="BI43" s="61"/>
      <c r="BJ43" s="61">
        <f>'Filter-new'!M40</f>
        <v>-16000</v>
      </c>
      <c r="BK43" s="62"/>
      <c r="BL43" s="62"/>
      <c r="BM43" s="62"/>
      <c r="BN43" s="406">
        <f>'Filter-new'!N40</f>
        <v>0</v>
      </c>
      <c r="BO43" s="62"/>
      <c r="BP43" s="62"/>
      <c r="BQ43" s="45">
        <f>'Filter-old'!O40</f>
        <v>0</v>
      </c>
      <c r="BR43" s="61">
        <f>'Filter-new'!O40</f>
        <v>0</v>
      </c>
      <c r="BS43" s="62"/>
      <c r="BT43" s="62"/>
      <c r="BU43" s="45">
        <f>'Filter-old'!Q40</f>
        <v>55111.11</v>
      </c>
      <c r="BV43" s="61">
        <f>'Filter-new'!Q40</f>
        <v>-591.92999999999995</v>
      </c>
      <c r="BW43" s="61"/>
      <c r="BX43" s="61"/>
      <c r="BY43" s="61">
        <f>'Filter-new'!Q529</f>
        <v>0</v>
      </c>
      <c r="BZ43" s="61"/>
      <c r="CA43" s="45">
        <f>'Filter-old'!R40</f>
        <v>0</v>
      </c>
      <c r="CB43" s="61">
        <f>'Filter-new'!R40</f>
        <v>64000</v>
      </c>
      <c r="CC43" s="61"/>
      <c r="CD43" s="58"/>
      <c r="CE43" s="61">
        <f>'Filter-new'!R529</f>
        <v>-37600</v>
      </c>
      <c r="CF43" s="57"/>
      <c r="CG43" s="4"/>
    </row>
    <row r="44" spans="1:85" hidden="1" x14ac:dyDescent="0.2">
      <c r="A44">
        <v>0</v>
      </c>
      <c r="B44" s="59">
        <v>38047</v>
      </c>
      <c r="C44" s="59">
        <f>'Filter-new'!C41</f>
        <v>38047</v>
      </c>
      <c r="D44" s="60">
        <f t="shared" si="3"/>
        <v>2004</v>
      </c>
      <c r="E44" s="60">
        <f>VLOOKUP($C44,calendar!$A$2:$D$121,4,FALSE)*(1-(H44=0))</f>
        <v>368</v>
      </c>
      <c r="F44" s="60">
        <f>VLOOKUP($C44,calendar!$A$2:$D$121,3,FALSE)*(1-(I44=0))</f>
        <v>376</v>
      </c>
      <c r="G44" s="36">
        <f t="shared" si="4"/>
        <v>88779.9</v>
      </c>
      <c r="H44" s="36">
        <f t="shared" si="5"/>
        <v>99099.62</v>
      </c>
      <c r="I44" s="36">
        <f t="shared" si="6"/>
        <v>8441</v>
      </c>
      <c r="J44" s="41"/>
      <c r="K44" s="45">
        <f>'Filter-old'!E41</f>
        <v>7324.75</v>
      </c>
      <c r="L44" s="61">
        <f>'Filter-new'!E41</f>
        <v>7777.14</v>
      </c>
      <c r="M44" s="62"/>
      <c r="N44" s="62"/>
      <c r="O44" s="429">
        <f>'Filter-new'!E530</f>
        <v>45141</v>
      </c>
      <c r="P44" s="62"/>
      <c r="Q44" s="45">
        <f>'Filter-old'!H41</f>
        <v>0</v>
      </c>
      <c r="R44" s="61">
        <f>'Filter-new'!H41</f>
        <v>0</v>
      </c>
      <c r="S44" s="62"/>
      <c r="T44" s="62"/>
      <c r="U44" s="445">
        <f>'Filter-new'!H530</f>
        <v>0</v>
      </c>
      <c r="V44" s="62"/>
      <c r="W44" s="45">
        <f>'Filter-old'!J41</f>
        <v>0</v>
      </c>
      <c r="X44" s="61">
        <f>'Filter-new'!J41</f>
        <v>0</v>
      </c>
      <c r="Y44" s="62"/>
      <c r="Z44" s="62"/>
      <c r="AA44" s="45">
        <f>'Filter-old'!F41</f>
        <v>0</v>
      </c>
      <c r="AB44" s="61">
        <f>'Filter-new'!F41</f>
        <v>0</v>
      </c>
      <c r="AC44" s="62"/>
      <c r="AD44" s="62"/>
      <c r="AE44" s="45">
        <f>'Filter-old'!P41</f>
        <v>0</v>
      </c>
      <c r="AF44" s="61">
        <f>'Filter-new'!P41</f>
        <v>0</v>
      </c>
      <c r="AG44" s="62"/>
      <c r="AH44" s="62"/>
      <c r="AI44" s="45">
        <f>'Filter-old'!L41</f>
        <v>0</v>
      </c>
      <c r="AJ44" s="61">
        <f>'Filter-new'!L41</f>
        <v>0</v>
      </c>
      <c r="AK44" s="62"/>
      <c r="AL44" s="62"/>
      <c r="AM44" s="62">
        <f>'Filter-new'!L530</f>
        <v>0</v>
      </c>
      <c r="AN44" s="62"/>
      <c r="AO44" s="45">
        <f>'Filter-old'!G41</f>
        <v>0</v>
      </c>
      <c r="AP44" s="61">
        <f>'Filter-new'!G41</f>
        <v>0</v>
      </c>
      <c r="AQ44" s="62"/>
      <c r="AR44" s="62"/>
      <c r="AS44" s="45"/>
      <c r="AT44" s="61"/>
      <c r="AU44" s="62"/>
      <c r="AV44" s="62"/>
      <c r="AW44" s="45">
        <f>'Filter-old'!I41</f>
        <v>18400</v>
      </c>
      <c r="AX44" s="61">
        <f>'Filter-new'!I41</f>
        <v>36800</v>
      </c>
      <c r="AY44" s="62"/>
      <c r="AZ44" s="62"/>
      <c r="BA44" s="62">
        <f>'Filter-new'!I530</f>
        <v>0</v>
      </c>
      <c r="BB44" s="62"/>
      <c r="BC44" s="45">
        <f>'Filter-old'!K41</f>
        <v>0</v>
      </c>
      <c r="BD44" s="61">
        <f>'Filter-new'!K41</f>
        <v>0</v>
      </c>
      <c r="BE44" s="62"/>
      <c r="BF44" s="62"/>
      <c r="BG44" s="45">
        <f>'Filter-old'!M41</f>
        <v>0</v>
      </c>
      <c r="BH44" s="62">
        <f>'Filter-new'!K530</f>
        <v>0</v>
      </c>
      <c r="BI44" s="61"/>
      <c r="BJ44" s="61">
        <f>'Filter-new'!M41</f>
        <v>-18400</v>
      </c>
      <c r="BK44" s="62"/>
      <c r="BL44" s="62"/>
      <c r="BM44" s="62"/>
      <c r="BN44" s="406">
        <f>'Filter-new'!N41</f>
        <v>0</v>
      </c>
      <c r="BO44" s="62"/>
      <c r="BP44" s="62"/>
      <c r="BQ44" s="45">
        <f>'Filter-old'!O41</f>
        <v>0</v>
      </c>
      <c r="BR44" s="61">
        <f>'Filter-new'!O41</f>
        <v>0</v>
      </c>
      <c r="BS44" s="62"/>
      <c r="BT44" s="62"/>
      <c r="BU44" s="45">
        <f>'Filter-old'!Q41</f>
        <v>63055.15</v>
      </c>
      <c r="BV44" s="61">
        <f>'Filter-new'!Q41</f>
        <v>-677.52</v>
      </c>
      <c r="BW44" s="61"/>
      <c r="BX44" s="61"/>
      <c r="BY44" s="61">
        <f>'Filter-new'!Q530</f>
        <v>0</v>
      </c>
      <c r="BZ44" s="61"/>
      <c r="CA44" s="45">
        <f>'Filter-old'!R41</f>
        <v>0</v>
      </c>
      <c r="CB44" s="61">
        <f>'Filter-new'!R41</f>
        <v>73600</v>
      </c>
      <c r="CC44" s="61"/>
      <c r="CD44" s="58"/>
      <c r="CE44" s="61">
        <f>'Filter-new'!R530</f>
        <v>-36700</v>
      </c>
      <c r="CF44" s="57"/>
      <c r="CG44" s="4"/>
    </row>
    <row r="45" spans="1:85" hidden="1" x14ac:dyDescent="0.2">
      <c r="A45">
        <v>0</v>
      </c>
      <c r="B45" s="59">
        <v>38078</v>
      </c>
      <c r="C45" s="59">
        <f>'Filter-new'!C42</f>
        <v>38078</v>
      </c>
      <c r="D45" s="60">
        <f t="shared" si="3"/>
        <v>2004</v>
      </c>
      <c r="E45" s="60">
        <f>VLOOKUP($C45,calendar!$A$2:$D$121,4,FALSE)*(1-(H45=0))</f>
        <v>352</v>
      </c>
      <c r="F45" s="60">
        <f>VLOOKUP($C45,calendar!$A$2:$D$121,3,FALSE)*(1-(I45=0))</f>
        <v>368</v>
      </c>
      <c r="G45" s="36">
        <f t="shared" si="4"/>
        <v>84283.17</v>
      </c>
      <c r="H45" s="36">
        <f t="shared" si="5"/>
        <v>94438.92</v>
      </c>
      <c r="I45" s="36">
        <f t="shared" si="6"/>
        <v>9752</v>
      </c>
      <c r="J45" s="41"/>
      <c r="K45" s="45">
        <f>'Filter-old'!E42</f>
        <v>6971.63</v>
      </c>
      <c r="L45" s="61">
        <f>'Filter-new'!E42</f>
        <v>7406.86</v>
      </c>
      <c r="M45" s="62"/>
      <c r="N45" s="62"/>
      <c r="O45" s="429">
        <f>'Filter-new'!E531</f>
        <v>52152</v>
      </c>
      <c r="P45" s="62"/>
      <c r="Q45" s="45">
        <f>'Filter-old'!H42</f>
        <v>0</v>
      </c>
      <c r="R45" s="61">
        <f>'Filter-new'!H42</f>
        <v>0</v>
      </c>
      <c r="S45" s="62"/>
      <c r="T45" s="62"/>
      <c r="U45" s="445">
        <f>'Filter-new'!H531</f>
        <v>0</v>
      </c>
      <c r="V45" s="62"/>
      <c r="W45" s="45">
        <f>'Filter-old'!J42</f>
        <v>0</v>
      </c>
      <c r="X45" s="61">
        <f>'Filter-new'!J42</f>
        <v>0</v>
      </c>
      <c r="Y45" s="62"/>
      <c r="Z45" s="62"/>
      <c r="AA45" s="45">
        <f>'Filter-old'!F42</f>
        <v>0</v>
      </c>
      <c r="AB45" s="61">
        <f>'Filter-new'!F42</f>
        <v>0</v>
      </c>
      <c r="AC45" s="62"/>
      <c r="AD45" s="62"/>
      <c r="AE45" s="45">
        <f>'Filter-old'!P42</f>
        <v>0</v>
      </c>
      <c r="AF45" s="61">
        <f>'Filter-new'!P42</f>
        <v>0</v>
      </c>
      <c r="AG45" s="62"/>
      <c r="AH45" s="62"/>
      <c r="AI45" s="45">
        <f>'Filter-old'!L42</f>
        <v>0</v>
      </c>
      <c r="AJ45" s="61">
        <f>'Filter-new'!L42</f>
        <v>0</v>
      </c>
      <c r="AK45" s="62"/>
      <c r="AL45" s="62"/>
      <c r="AM45" s="62">
        <f>'Filter-new'!L531</f>
        <v>0</v>
      </c>
      <c r="AN45" s="62"/>
      <c r="AO45" s="45">
        <f>'Filter-old'!G42</f>
        <v>0</v>
      </c>
      <c r="AP45" s="61">
        <f>'Filter-new'!G42</f>
        <v>0</v>
      </c>
      <c r="AQ45" s="62"/>
      <c r="AR45" s="62"/>
      <c r="AS45" s="45"/>
      <c r="AT45" s="61"/>
      <c r="AU45" s="62"/>
      <c r="AV45" s="62"/>
      <c r="AW45" s="45">
        <f>'Filter-old'!I42</f>
        <v>17600</v>
      </c>
      <c r="AX45" s="61">
        <f>'Filter-new'!I42</f>
        <v>35200</v>
      </c>
      <c r="AY45" s="62"/>
      <c r="AZ45" s="62"/>
      <c r="BA45" s="62">
        <f>'Filter-new'!I531</f>
        <v>0</v>
      </c>
      <c r="BB45" s="62"/>
      <c r="BC45" s="45">
        <f>'Filter-old'!K42</f>
        <v>0</v>
      </c>
      <c r="BD45" s="61">
        <f>'Filter-new'!K42</f>
        <v>0</v>
      </c>
      <c r="BE45" s="62"/>
      <c r="BF45" s="62"/>
      <c r="BG45" s="45">
        <f>'Filter-old'!M42</f>
        <v>0</v>
      </c>
      <c r="BH45" s="62">
        <f>'Filter-new'!K531</f>
        <v>0</v>
      </c>
      <c r="BI45" s="61"/>
      <c r="BJ45" s="61">
        <f>'Filter-new'!M42</f>
        <v>-17600</v>
      </c>
      <c r="BK45" s="62"/>
      <c r="BL45" s="62"/>
      <c r="BM45" s="62"/>
      <c r="BN45" s="406">
        <f>'Filter-new'!N42</f>
        <v>0</v>
      </c>
      <c r="BO45" s="62"/>
      <c r="BP45" s="62"/>
      <c r="BQ45" s="45">
        <f>'Filter-old'!O42</f>
        <v>0</v>
      </c>
      <c r="BR45" s="61">
        <f>'Filter-new'!O42</f>
        <v>0</v>
      </c>
      <c r="BS45" s="62"/>
      <c r="BT45" s="62"/>
      <c r="BU45" s="45">
        <f>'Filter-old'!Q42</f>
        <v>59711.54</v>
      </c>
      <c r="BV45" s="61">
        <f>'Filter-new'!Q42</f>
        <v>-967.94</v>
      </c>
      <c r="BW45" s="61"/>
      <c r="BX45" s="61"/>
      <c r="BY45" s="61">
        <f>'Filter-new'!Q531</f>
        <v>0</v>
      </c>
      <c r="BZ45" s="61"/>
      <c r="CA45" s="45">
        <f>'Filter-old'!R42</f>
        <v>0</v>
      </c>
      <c r="CB45" s="61">
        <f>'Filter-new'!R42</f>
        <v>70400</v>
      </c>
      <c r="CC45" s="61"/>
      <c r="CD45" s="58"/>
      <c r="CE45" s="61">
        <f>'Filter-new'!R531</f>
        <v>-42400</v>
      </c>
      <c r="CF45" s="57"/>
      <c r="CG45" s="4"/>
    </row>
    <row r="46" spans="1:85" hidden="1" x14ac:dyDescent="0.2">
      <c r="A46">
        <v>0</v>
      </c>
      <c r="B46" s="59">
        <v>38108</v>
      </c>
      <c r="C46" s="59">
        <f>'Filter-new'!C43</f>
        <v>38108</v>
      </c>
      <c r="D46" s="60">
        <f t="shared" si="3"/>
        <v>2004</v>
      </c>
      <c r="E46" s="60">
        <f>VLOOKUP($C46,calendar!$A$2:$D$121,4,FALSE)*(1-(H46=0))</f>
        <v>320</v>
      </c>
      <c r="F46" s="60">
        <f>VLOOKUP($C46,calendar!$A$2:$D$121,3,FALSE)*(1-(I46=0))</f>
        <v>424</v>
      </c>
      <c r="G46" s="36">
        <f t="shared" si="4"/>
        <v>76309.789999999994</v>
      </c>
      <c r="H46" s="36">
        <f t="shared" si="5"/>
        <v>85827.08</v>
      </c>
      <c r="I46" s="36">
        <f t="shared" si="6"/>
        <v>8464</v>
      </c>
      <c r="J46" s="41"/>
      <c r="K46" s="45">
        <f>'Filter-old'!E43</f>
        <v>6305.3</v>
      </c>
      <c r="L46" s="61">
        <f>'Filter-new'!E43</f>
        <v>6703.08</v>
      </c>
      <c r="M46" s="62"/>
      <c r="N46" s="62"/>
      <c r="O46" s="429">
        <f>'Filter-new'!E532</f>
        <v>45264</v>
      </c>
      <c r="P46" s="62"/>
      <c r="Q46" s="45">
        <f>'Filter-old'!H43</f>
        <v>0</v>
      </c>
      <c r="R46" s="61">
        <f>'Filter-new'!H43</f>
        <v>0</v>
      </c>
      <c r="S46" s="62"/>
      <c r="T46" s="62"/>
      <c r="U46" s="445">
        <f>'Filter-new'!H532</f>
        <v>0</v>
      </c>
      <c r="V46" s="62"/>
      <c r="W46" s="45">
        <f>'Filter-old'!J43</f>
        <v>0</v>
      </c>
      <c r="X46" s="61">
        <f>'Filter-new'!J43</f>
        <v>0</v>
      </c>
      <c r="Y46" s="62"/>
      <c r="Z46" s="62"/>
      <c r="AA46" s="45">
        <f>'Filter-old'!F43</f>
        <v>0</v>
      </c>
      <c r="AB46" s="61">
        <f>'Filter-new'!F43</f>
        <v>0</v>
      </c>
      <c r="AC46" s="62"/>
      <c r="AD46" s="62"/>
      <c r="AE46" s="45">
        <f>'Filter-old'!P43</f>
        <v>0</v>
      </c>
      <c r="AF46" s="61">
        <f>'Filter-new'!P43</f>
        <v>0</v>
      </c>
      <c r="AG46" s="62"/>
      <c r="AH46" s="62"/>
      <c r="AI46" s="45">
        <f>'Filter-old'!L43</f>
        <v>0</v>
      </c>
      <c r="AJ46" s="61">
        <f>'Filter-new'!L43</f>
        <v>0</v>
      </c>
      <c r="AK46" s="62"/>
      <c r="AL46" s="62"/>
      <c r="AM46" s="62">
        <f>'Filter-new'!L532</f>
        <v>0</v>
      </c>
      <c r="AN46" s="62"/>
      <c r="AO46" s="45">
        <f>'Filter-old'!G43</f>
        <v>0</v>
      </c>
      <c r="AP46" s="61">
        <f>'Filter-new'!G43</f>
        <v>0</v>
      </c>
      <c r="AQ46" s="62"/>
      <c r="AR46" s="62"/>
      <c r="AS46" s="45"/>
      <c r="AT46" s="61"/>
      <c r="AU46" s="62"/>
      <c r="AV46" s="62"/>
      <c r="AW46" s="45">
        <f>'Filter-old'!I43</f>
        <v>16000</v>
      </c>
      <c r="AX46" s="61">
        <f>'Filter-new'!I43</f>
        <v>32000</v>
      </c>
      <c r="AY46" s="62"/>
      <c r="AZ46" s="62"/>
      <c r="BA46" s="62">
        <f>'Filter-new'!I532</f>
        <v>0</v>
      </c>
      <c r="BB46" s="62"/>
      <c r="BC46" s="45">
        <f>'Filter-old'!K43</f>
        <v>0</v>
      </c>
      <c r="BD46" s="61">
        <f>'Filter-new'!K43</f>
        <v>0</v>
      </c>
      <c r="BE46" s="62"/>
      <c r="BF46" s="62"/>
      <c r="BG46" s="45">
        <f>'Filter-old'!M43</f>
        <v>0</v>
      </c>
      <c r="BH46" s="62">
        <f>'Filter-new'!K532</f>
        <v>0</v>
      </c>
      <c r="BI46" s="61"/>
      <c r="BJ46" s="61">
        <f>'Filter-new'!M43</f>
        <v>-16000</v>
      </c>
      <c r="BK46" s="62"/>
      <c r="BL46" s="62"/>
      <c r="BM46" s="62"/>
      <c r="BN46" s="406">
        <f>'Filter-new'!N43</f>
        <v>0</v>
      </c>
      <c r="BO46" s="62"/>
      <c r="BP46" s="62"/>
      <c r="BQ46" s="45">
        <f>'Filter-old'!O43</f>
        <v>0</v>
      </c>
      <c r="BR46" s="61">
        <f>'Filter-new'!O43</f>
        <v>0</v>
      </c>
      <c r="BS46" s="62"/>
      <c r="BT46" s="62"/>
      <c r="BU46" s="45">
        <f>'Filter-old'!Q43</f>
        <v>54004.49</v>
      </c>
      <c r="BV46" s="61">
        <f>'Filter-new'!Q43</f>
        <v>-876</v>
      </c>
      <c r="BW46" s="61"/>
      <c r="BX46" s="61"/>
      <c r="BY46" s="61">
        <f>'Filter-new'!Q532</f>
        <v>0</v>
      </c>
      <c r="BZ46" s="61"/>
      <c r="CA46" s="45">
        <f>'Filter-old'!R43</f>
        <v>0</v>
      </c>
      <c r="CB46" s="61">
        <f>'Filter-new'!R43</f>
        <v>64000</v>
      </c>
      <c r="CC46" s="61"/>
      <c r="CD46" s="58"/>
      <c r="CE46" s="61">
        <f>'Filter-new'!R532</f>
        <v>-36800</v>
      </c>
      <c r="CF46" s="57"/>
      <c r="CG46" s="4"/>
    </row>
    <row r="47" spans="1:85" hidden="1" x14ac:dyDescent="0.2">
      <c r="A47">
        <v>0</v>
      </c>
      <c r="B47" s="59">
        <v>38139</v>
      </c>
      <c r="C47" s="59">
        <f>'Filter-new'!C44</f>
        <v>38139</v>
      </c>
      <c r="D47" s="60">
        <f t="shared" si="3"/>
        <v>2004</v>
      </c>
      <c r="E47" s="60">
        <f>VLOOKUP($C47,calendar!$A$2:$D$121,4,FALSE)*(1-(H47=0))</f>
        <v>352</v>
      </c>
      <c r="F47" s="60">
        <f>VLOOKUP($C47,calendar!$A$2:$D$121,3,FALSE)*(1-(I47=0))</f>
        <v>368</v>
      </c>
      <c r="G47" s="36">
        <f t="shared" si="4"/>
        <v>-156735.99</v>
      </c>
      <c r="H47" s="36">
        <f t="shared" si="5"/>
        <v>-161276.63999999998</v>
      </c>
      <c r="I47" s="36">
        <f t="shared" si="6"/>
        <v>9384</v>
      </c>
      <c r="J47" s="41"/>
      <c r="K47" s="45">
        <f>'Filter-old'!E44</f>
        <v>-158130.47</v>
      </c>
      <c r="L47" s="61">
        <f>'Filter-new'!E44</f>
        <v>-168204.36</v>
      </c>
      <c r="M47" s="62"/>
      <c r="N47" s="62"/>
      <c r="O47" s="429">
        <f>'Filter-new'!E533</f>
        <v>50184</v>
      </c>
      <c r="P47" s="62"/>
      <c r="Q47" s="45">
        <f>'Filter-old'!H44</f>
        <v>0</v>
      </c>
      <c r="R47" s="61">
        <f>'Filter-new'!H44</f>
        <v>0</v>
      </c>
      <c r="S47" s="62"/>
      <c r="T47" s="62"/>
      <c r="U47" s="445">
        <f>'Filter-new'!H533</f>
        <v>0</v>
      </c>
      <c r="V47" s="62"/>
      <c r="W47" s="45">
        <f>'Filter-old'!J44</f>
        <v>0</v>
      </c>
      <c r="X47" s="61">
        <f>'Filter-new'!J44</f>
        <v>0</v>
      </c>
      <c r="Y47" s="62"/>
      <c r="Z47" s="62"/>
      <c r="AA47" s="45">
        <f>'Filter-old'!F44</f>
        <v>0</v>
      </c>
      <c r="AB47" s="61">
        <f>'Filter-new'!F44</f>
        <v>0</v>
      </c>
      <c r="AC47" s="62"/>
      <c r="AD47" s="62"/>
      <c r="AE47" s="45">
        <f>'Filter-old'!P44</f>
        <v>0</v>
      </c>
      <c r="AF47" s="61">
        <f>'Filter-new'!P44</f>
        <v>0</v>
      </c>
      <c r="AG47" s="62"/>
      <c r="AH47" s="62"/>
      <c r="AI47" s="45">
        <f>'Filter-old'!L44</f>
        <v>0</v>
      </c>
      <c r="AJ47" s="61">
        <f>'Filter-new'!L44</f>
        <v>0</v>
      </c>
      <c r="AK47" s="62"/>
      <c r="AL47" s="62"/>
      <c r="AM47" s="62">
        <f>'Filter-new'!L533</f>
        <v>0</v>
      </c>
      <c r="AN47" s="62"/>
      <c r="AO47" s="45">
        <f>'Filter-old'!G44</f>
        <v>0</v>
      </c>
      <c r="AP47" s="61">
        <f>'Filter-new'!G44</f>
        <v>0</v>
      </c>
      <c r="AQ47" s="62"/>
      <c r="AR47" s="62"/>
      <c r="AS47" s="45"/>
      <c r="AT47" s="61"/>
      <c r="AU47" s="62"/>
      <c r="AV47" s="62"/>
      <c r="AW47" s="45">
        <f>'Filter-old'!I44</f>
        <v>17600</v>
      </c>
      <c r="AX47" s="61">
        <f>'Filter-new'!I44</f>
        <v>35200</v>
      </c>
      <c r="AY47" s="62"/>
      <c r="AZ47" s="62"/>
      <c r="BA47" s="62">
        <f>'Filter-new'!I533</f>
        <v>0</v>
      </c>
      <c r="BB47" s="62"/>
      <c r="BC47" s="45">
        <f>'Filter-old'!K44</f>
        <v>0</v>
      </c>
      <c r="BD47" s="61">
        <f>'Filter-new'!K44</f>
        <v>0</v>
      </c>
      <c r="BE47" s="62"/>
      <c r="BF47" s="62"/>
      <c r="BG47" s="45">
        <f>'Filter-old'!M44</f>
        <v>0</v>
      </c>
      <c r="BH47" s="62">
        <f>'Filter-new'!K533</f>
        <v>0</v>
      </c>
      <c r="BI47" s="61"/>
      <c r="BJ47" s="61">
        <f>'Filter-new'!M44</f>
        <v>-17600</v>
      </c>
      <c r="BK47" s="62"/>
      <c r="BL47" s="62"/>
      <c r="BM47" s="62"/>
      <c r="BN47" s="406">
        <f>'Filter-new'!N44</f>
        <v>0</v>
      </c>
      <c r="BO47" s="62"/>
      <c r="BP47" s="62"/>
      <c r="BQ47" s="45">
        <f>'Filter-old'!O44</f>
        <v>0</v>
      </c>
      <c r="BR47" s="61">
        <f>'Filter-new'!O44</f>
        <v>0</v>
      </c>
      <c r="BS47" s="62"/>
      <c r="BT47" s="62"/>
      <c r="BU47" s="45">
        <f>'Filter-old'!Q44</f>
        <v>-16205.52</v>
      </c>
      <c r="BV47" s="61">
        <f>'Filter-new'!Q44</f>
        <v>-81072.28</v>
      </c>
      <c r="BW47" s="61"/>
      <c r="BX47" s="61"/>
      <c r="BY47" s="61">
        <f>'Filter-new'!Q533</f>
        <v>0</v>
      </c>
      <c r="BZ47" s="61"/>
      <c r="CA47" s="45">
        <f>'Filter-old'!R44</f>
        <v>0</v>
      </c>
      <c r="CB47" s="61">
        <f>'Filter-new'!R44</f>
        <v>70400</v>
      </c>
      <c r="CC47" s="61"/>
      <c r="CD47" s="58"/>
      <c r="CE47" s="61">
        <f>'Filter-new'!R533</f>
        <v>-40800</v>
      </c>
      <c r="CF47" s="57"/>
      <c r="CG47" s="4"/>
    </row>
    <row r="48" spans="1:85" hidden="1" x14ac:dyDescent="0.2">
      <c r="A48">
        <v>0</v>
      </c>
      <c r="B48" s="59">
        <v>38169</v>
      </c>
      <c r="C48" s="59">
        <f>'Filter-new'!C45</f>
        <v>38169</v>
      </c>
      <c r="D48" s="60">
        <f t="shared" si="3"/>
        <v>2004</v>
      </c>
      <c r="E48" s="60">
        <f>VLOOKUP($C48,calendar!$A$2:$D$121,4,FALSE)*(1-(H48=0))</f>
        <v>336</v>
      </c>
      <c r="F48" s="60">
        <f>VLOOKUP($C48,calendar!$A$2:$D$121,3,FALSE)*(1-(I48=0))</f>
        <v>408</v>
      </c>
      <c r="G48" s="36">
        <f t="shared" si="4"/>
        <v>-92049.86</v>
      </c>
      <c r="H48" s="36">
        <f t="shared" si="5"/>
        <v>63703.7</v>
      </c>
      <c r="I48" s="36">
        <f t="shared" si="6"/>
        <v>9016</v>
      </c>
      <c r="J48" s="41"/>
      <c r="K48" s="45">
        <f>'Filter-old'!E45</f>
        <v>-121668.75</v>
      </c>
      <c r="L48" s="61">
        <f>'Filter-new'!E45</f>
        <v>-38514.46</v>
      </c>
      <c r="M48" s="62"/>
      <c r="N48" s="62"/>
      <c r="O48" s="429">
        <f>'Filter-new'!E534</f>
        <v>48216</v>
      </c>
      <c r="P48" s="62"/>
      <c r="Q48" s="45">
        <f>'Filter-old'!H45</f>
        <v>0</v>
      </c>
      <c r="R48" s="61">
        <f>'Filter-new'!H45</f>
        <v>0</v>
      </c>
      <c r="S48" s="62"/>
      <c r="T48" s="62"/>
      <c r="U48" s="445">
        <f>'Filter-new'!H534</f>
        <v>0</v>
      </c>
      <c r="V48" s="62"/>
      <c r="W48" s="45">
        <f>'Filter-old'!J45</f>
        <v>0</v>
      </c>
      <c r="X48" s="61">
        <f>'Filter-new'!J45</f>
        <v>0</v>
      </c>
      <c r="Y48" s="62"/>
      <c r="Z48" s="62"/>
      <c r="AA48" s="45">
        <f>'Filter-old'!F45</f>
        <v>0</v>
      </c>
      <c r="AB48" s="61">
        <f>'Filter-new'!F45</f>
        <v>0</v>
      </c>
      <c r="AC48" s="62"/>
      <c r="AD48" s="62"/>
      <c r="AE48" s="45">
        <f>'Filter-old'!P45</f>
        <v>0</v>
      </c>
      <c r="AF48" s="61">
        <f>'Filter-new'!P45</f>
        <v>0</v>
      </c>
      <c r="AG48" s="62"/>
      <c r="AH48" s="62"/>
      <c r="AI48" s="45">
        <f>'Filter-old'!L45</f>
        <v>0</v>
      </c>
      <c r="AJ48" s="61">
        <f>'Filter-new'!L45</f>
        <v>-336</v>
      </c>
      <c r="AK48" s="62"/>
      <c r="AL48" s="62"/>
      <c r="AM48" s="62">
        <f>'Filter-new'!L534</f>
        <v>0</v>
      </c>
      <c r="AN48" s="62"/>
      <c r="AO48" s="45">
        <f>'Filter-old'!G45</f>
        <v>0</v>
      </c>
      <c r="AP48" s="61">
        <f>'Filter-new'!G45</f>
        <v>0</v>
      </c>
      <c r="AQ48" s="62"/>
      <c r="AR48" s="62"/>
      <c r="AS48" s="45"/>
      <c r="AT48" s="61"/>
      <c r="AU48" s="62"/>
      <c r="AV48" s="62"/>
      <c r="AW48" s="45">
        <f>'Filter-old'!I45</f>
        <v>16800</v>
      </c>
      <c r="AX48" s="61">
        <f>'Filter-new'!I45</f>
        <v>33600</v>
      </c>
      <c r="AY48" s="62"/>
      <c r="AZ48" s="62"/>
      <c r="BA48" s="62">
        <f>'Filter-new'!I534</f>
        <v>0</v>
      </c>
      <c r="BB48" s="62"/>
      <c r="BC48" s="45">
        <f>'Filter-old'!K45</f>
        <v>0</v>
      </c>
      <c r="BD48" s="61">
        <f>'Filter-new'!K45</f>
        <v>0</v>
      </c>
      <c r="BE48" s="62"/>
      <c r="BF48" s="62"/>
      <c r="BG48" s="45">
        <f>'Filter-old'!M45</f>
        <v>0</v>
      </c>
      <c r="BH48" s="62">
        <f>'Filter-new'!K534</f>
        <v>0</v>
      </c>
      <c r="BI48" s="61"/>
      <c r="BJ48" s="61">
        <f>'Filter-new'!M45</f>
        <v>-16800</v>
      </c>
      <c r="BK48" s="62"/>
      <c r="BL48" s="62"/>
      <c r="BM48" s="62"/>
      <c r="BN48" s="406">
        <f>'Filter-new'!N45</f>
        <v>0</v>
      </c>
      <c r="BO48" s="62"/>
      <c r="BP48" s="62"/>
      <c r="BQ48" s="45">
        <f>'Filter-old'!O45</f>
        <v>0</v>
      </c>
      <c r="BR48" s="61">
        <f>'Filter-new'!O45</f>
        <v>0</v>
      </c>
      <c r="BS48" s="62"/>
      <c r="BT48" s="62"/>
      <c r="BU48" s="45">
        <f>'Filter-old'!Q45</f>
        <v>12818.89</v>
      </c>
      <c r="BV48" s="61">
        <f>'Filter-new'!Q45</f>
        <v>-31845.84</v>
      </c>
      <c r="BW48" s="61"/>
      <c r="BX48" s="61"/>
      <c r="BY48" s="61">
        <f>'Filter-new'!Q534</f>
        <v>0</v>
      </c>
      <c r="BZ48" s="61"/>
      <c r="CA48" s="45">
        <f>'Filter-old'!R45</f>
        <v>0</v>
      </c>
      <c r="CB48" s="61">
        <f>'Filter-new'!R45</f>
        <v>117600</v>
      </c>
      <c r="CC48" s="61"/>
      <c r="CD48" s="58"/>
      <c r="CE48" s="61">
        <f>'Filter-new'!R534</f>
        <v>-39200</v>
      </c>
      <c r="CF48" s="57"/>
      <c r="CG48" s="4"/>
    </row>
    <row r="49" spans="1:85" hidden="1" x14ac:dyDescent="0.2">
      <c r="A49">
        <v>0</v>
      </c>
      <c r="B49" s="59">
        <v>38200</v>
      </c>
      <c r="C49" s="59">
        <f>'Filter-new'!C46</f>
        <v>38200</v>
      </c>
      <c r="D49" s="60">
        <f t="shared" si="3"/>
        <v>2004</v>
      </c>
      <c r="E49" s="60">
        <f>VLOOKUP($C49,calendar!$A$2:$D$121,4,FALSE)*(1-(H49=0))</f>
        <v>352</v>
      </c>
      <c r="F49" s="60">
        <f>VLOOKUP($C49,calendar!$A$2:$D$121,3,FALSE)*(1-(I49=0))</f>
        <v>392</v>
      </c>
      <c r="G49" s="36">
        <f t="shared" si="4"/>
        <v>-95543.39</v>
      </c>
      <c r="H49" s="36">
        <f t="shared" si="5"/>
        <v>67396.850000000006</v>
      </c>
      <c r="I49" s="36">
        <f t="shared" si="6"/>
        <v>8832</v>
      </c>
      <c r="J49" s="41"/>
      <c r="K49" s="45">
        <f>'Filter-old'!E46</f>
        <v>-126801.06</v>
      </c>
      <c r="L49" s="61">
        <f>'Filter-new'!E46</f>
        <v>-40161.07</v>
      </c>
      <c r="M49" s="62"/>
      <c r="N49" s="62"/>
      <c r="O49" s="429">
        <f>'Filter-new'!E535</f>
        <v>47232</v>
      </c>
      <c r="P49" s="62"/>
      <c r="Q49" s="45">
        <f>'Filter-old'!H46</f>
        <v>0</v>
      </c>
      <c r="R49" s="61">
        <f>'Filter-new'!H46</f>
        <v>0</v>
      </c>
      <c r="S49" s="62"/>
      <c r="T49" s="62"/>
      <c r="U49" s="445">
        <f>'Filter-new'!H535</f>
        <v>0</v>
      </c>
      <c r="V49" s="62"/>
      <c r="W49" s="45">
        <f>'Filter-old'!J46</f>
        <v>0</v>
      </c>
      <c r="X49" s="61">
        <f>'Filter-new'!J46</f>
        <v>0</v>
      </c>
      <c r="Y49" s="62"/>
      <c r="Z49" s="62"/>
      <c r="AA49" s="45">
        <f>'Filter-old'!F46</f>
        <v>0</v>
      </c>
      <c r="AB49" s="61">
        <f>'Filter-new'!F46</f>
        <v>0</v>
      </c>
      <c r="AC49" s="62"/>
      <c r="AD49" s="62"/>
      <c r="AE49" s="45">
        <f>'Filter-old'!P46</f>
        <v>0</v>
      </c>
      <c r="AF49" s="61">
        <f>'Filter-new'!P46</f>
        <v>0</v>
      </c>
      <c r="AG49" s="62"/>
      <c r="AH49" s="62"/>
      <c r="AI49" s="45">
        <f>'Filter-old'!L46</f>
        <v>0</v>
      </c>
      <c r="AJ49" s="61">
        <f>'Filter-new'!L46</f>
        <v>-352</v>
      </c>
      <c r="AK49" s="62"/>
      <c r="AL49" s="62"/>
      <c r="AM49" s="62">
        <f>'Filter-new'!L535</f>
        <v>0</v>
      </c>
      <c r="AN49" s="62"/>
      <c r="AO49" s="45">
        <f>'Filter-old'!G46</f>
        <v>0</v>
      </c>
      <c r="AP49" s="61">
        <f>'Filter-new'!G46</f>
        <v>0</v>
      </c>
      <c r="AQ49" s="62"/>
      <c r="AR49" s="62"/>
      <c r="AS49" s="45"/>
      <c r="AT49" s="61"/>
      <c r="AU49" s="62"/>
      <c r="AV49" s="62"/>
      <c r="AW49" s="45">
        <f>'Filter-old'!I46</f>
        <v>17600</v>
      </c>
      <c r="AX49" s="61">
        <f>'Filter-new'!I46</f>
        <v>35200</v>
      </c>
      <c r="AY49" s="62"/>
      <c r="AZ49" s="62"/>
      <c r="BA49" s="62">
        <f>'Filter-new'!I535</f>
        <v>0</v>
      </c>
      <c r="BB49" s="62"/>
      <c r="BC49" s="45">
        <f>'Filter-old'!K46</f>
        <v>0</v>
      </c>
      <c r="BD49" s="61">
        <f>'Filter-new'!K46</f>
        <v>0</v>
      </c>
      <c r="BE49" s="62"/>
      <c r="BF49" s="62"/>
      <c r="BG49" s="45">
        <f>'Filter-old'!M46</f>
        <v>0</v>
      </c>
      <c r="BH49" s="62">
        <f>'Filter-new'!K535</f>
        <v>0</v>
      </c>
      <c r="BI49" s="61"/>
      <c r="BJ49" s="61">
        <f>'Filter-new'!M46</f>
        <v>-17600</v>
      </c>
      <c r="BK49" s="62"/>
      <c r="BL49" s="62"/>
      <c r="BM49" s="62"/>
      <c r="BN49" s="406">
        <f>'Filter-new'!N46</f>
        <v>0</v>
      </c>
      <c r="BO49" s="62"/>
      <c r="BP49" s="62"/>
      <c r="BQ49" s="45">
        <f>'Filter-old'!O46</f>
        <v>0</v>
      </c>
      <c r="BR49" s="61">
        <f>'Filter-new'!O46</f>
        <v>0</v>
      </c>
      <c r="BS49" s="62"/>
      <c r="BT49" s="62"/>
      <c r="BU49" s="45">
        <f>'Filter-old'!Q46</f>
        <v>13657.67</v>
      </c>
      <c r="BV49" s="61">
        <f>'Filter-new'!Q46</f>
        <v>-32890.080000000002</v>
      </c>
      <c r="BW49" s="61"/>
      <c r="BX49" s="61"/>
      <c r="BY49" s="61">
        <f>'Filter-new'!Q535</f>
        <v>0</v>
      </c>
      <c r="BZ49" s="61"/>
      <c r="CA49" s="45">
        <f>'Filter-old'!R46</f>
        <v>0</v>
      </c>
      <c r="CB49" s="61">
        <f>'Filter-new'!R46</f>
        <v>123200</v>
      </c>
      <c r="CC49" s="61"/>
      <c r="CD49" s="58"/>
      <c r="CE49" s="61">
        <f>'Filter-new'!R535</f>
        <v>-38400</v>
      </c>
      <c r="CF49" s="57"/>
      <c r="CG49" s="4"/>
    </row>
    <row r="50" spans="1:85" hidden="1" x14ac:dyDescent="0.2">
      <c r="A50">
        <v>0</v>
      </c>
      <c r="B50" s="59">
        <v>38231</v>
      </c>
      <c r="C50" s="59">
        <f>'Filter-new'!C47</f>
        <v>38231</v>
      </c>
      <c r="D50" s="60">
        <f t="shared" si="3"/>
        <v>2004</v>
      </c>
      <c r="E50" s="60">
        <f>VLOOKUP($C50,calendar!$A$2:$D$121,4,FALSE)*(1-(H50=0))</f>
        <v>336</v>
      </c>
      <c r="F50" s="60">
        <f>VLOOKUP($C50,calendar!$A$2:$D$121,3,FALSE)*(1-(I50=0))</f>
        <v>384</v>
      </c>
      <c r="G50" s="36">
        <f t="shared" si="4"/>
        <v>78845.87</v>
      </c>
      <c r="H50" s="36">
        <f t="shared" si="5"/>
        <v>90008.14</v>
      </c>
      <c r="I50" s="36">
        <f t="shared" si="6"/>
        <v>9407</v>
      </c>
      <c r="J50" s="41"/>
      <c r="K50" s="45">
        <f>'Filter-old'!E47</f>
        <v>6486.81</v>
      </c>
      <c r="L50" s="61">
        <f>'Filter-new'!E47</f>
        <v>6911.39</v>
      </c>
      <c r="M50" s="62"/>
      <c r="N50" s="62"/>
      <c r="O50" s="429">
        <f>'Filter-new'!E536</f>
        <v>50307</v>
      </c>
      <c r="P50" s="62"/>
      <c r="Q50" s="45">
        <f>'Filter-old'!H47</f>
        <v>0</v>
      </c>
      <c r="R50" s="61">
        <f>'Filter-new'!H47</f>
        <v>0</v>
      </c>
      <c r="S50" s="62"/>
      <c r="T50" s="62"/>
      <c r="U50" s="445">
        <f>'Filter-new'!H536</f>
        <v>0</v>
      </c>
      <c r="V50" s="62"/>
      <c r="W50" s="45">
        <f>'Filter-old'!J47</f>
        <v>0</v>
      </c>
      <c r="X50" s="61">
        <f>'Filter-new'!J47</f>
        <v>0</v>
      </c>
      <c r="Y50" s="62"/>
      <c r="Z50" s="62"/>
      <c r="AA50" s="45">
        <f>'Filter-old'!F47</f>
        <v>0</v>
      </c>
      <c r="AB50" s="61">
        <f>'Filter-new'!F47</f>
        <v>0</v>
      </c>
      <c r="AC50" s="62"/>
      <c r="AD50" s="62"/>
      <c r="AE50" s="45">
        <f>'Filter-old'!P47</f>
        <v>0</v>
      </c>
      <c r="AF50" s="61">
        <f>'Filter-new'!P47</f>
        <v>0</v>
      </c>
      <c r="AG50" s="62"/>
      <c r="AH50" s="62"/>
      <c r="AI50" s="45">
        <f>'Filter-old'!L47</f>
        <v>0</v>
      </c>
      <c r="AJ50" s="61">
        <f>'Filter-new'!L47</f>
        <v>0</v>
      </c>
      <c r="AK50" s="62"/>
      <c r="AL50" s="62"/>
      <c r="AM50" s="62">
        <f>'Filter-new'!L536</f>
        <v>0</v>
      </c>
      <c r="AN50" s="62"/>
      <c r="AO50" s="45">
        <f>'Filter-old'!G47</f>
        <v>0</v>
      </c>
      <c r="AP50" s="61">
        <f>'Filter-new'!G47</f>
        <v>0</v>
      </c>
      <c r="AQ50" s="62"/>
      <c r="AR50" s="62"/>
      <c r="AS50" s="45"/>
      <c r="AT50" s="61"/>
      <c r="AU50" s="62"/>
      <c r="AV50" s="62"/>
      <c r="AW50" s="45">
        <f>'Filter-old'!I47</f>
        <v>16800</v>
      </c>
      <c r="AX50" s="61">
        <f>'Filter-new'!I47</f>
        <v>33600</v>
      </c>
      <c r="AY50" s="62"/>
      <c r="AZ50" s="62"/>
      <c r="BA50" s="62">
        <f>'Filter-new'!I536</f>
        <v>0</v>
      </c>
      <c r="BB50" s="62"/>
      <c r="BC50" s="45">
        <f>'Filter-old'!K47</f>
        <v>0</v>
      </c>
      <c r="BD50" s="61">
        <f>'Filter-new'!K47</f>
        <v>0</v>
      </c>
      <c r="BE50" s="62"/>
      <c r="BF50" s="62"/>
      <c r="BG50" s="45">
        <f>'Filter-old'!M47</f>
        <v>0</v>
      </c>
      <c r="BH50" s="62">
        <f>'Filter-new'!K536</f>
        <v>0</v>
      </c>
      <c r="BI50" s="61"/>
      <c r="BJ50" s="61">
        <f>'Filter-new'!M47</f>
        <v>-16800</v>
      </c>
      <c r="BK50" s="62"/>
      <c r="BL50" s="62"/>
      <c r="BM50" s="62"/>
      <c r="BN50" s="406">
        <f>'Filter-new'!N47</f>
        <v>0</v>
      </c>
      <c r="BO50" s="62"/>
      <c r="BP50" s="62"/>
      <c r="BQ50" s="45">
        <f>'Filter-old'!O47</f>
        <v>0</v>
      </c>
      <c r="BR50" s="61">
        <f>'Filter-new'!O47</f>
        <v>0</v>
      </c>
      <c r="BS50" s="62"/>
      <c r="BT50" s="62"/>
      <c r="BU50" s="45">
        <f>'Filter-old'!Q47</f>
        <v>55559.06</v>
      </c>
      <c r="BV50" s="61">
        <f>'Filter-new'!Q47</f>
        <v>-903.25</v>
      </c>
      <c r="BW50" s="61"/>
      <c r="BX50" s="61"/>
      <c r="BY50" s="61">
        <f>'Filter-new'!Q536</f>
        <v>0</v>
      </c>
      <c r="BZ50" s="61"/>
      <c r="CA50" s="45">
        <f>'Filter-old'!R47</f>
        <v>0</v>
      </c>
      <c r="CB50" s="61">
        <f>'Filter-new'!R47</f>
        <v>67200</v>
      </c>
      <c r="CC50" s="61"/>
      <c r="CD50" s="58"/>
      <c r="CE50" s="61">
        <f>'Filter-new'!R536</f>
        <v>-40900</v>
      </c>
      <c r="CF50" s="57"/>
      <c r="CG50" s="4"/>
    </row>
    <row r="51" spans="1:85" hidden="1" x14ac:dyDescent="0.2">
      <c r="A51">
        <v>0</v>
      </c>
      <c r="B51" s="59">
        <v>38261</v>
      </c>
      <c r="C51" s="59">
        <f>'Filter-new'!C48</f>
        <v>38261</v>
      </c>
      <c r="D51" s="60">
        <f t="shared" si="3"/>
        <v>2004</v>
      </c>
      <c r="E51" s="60">
        <f>VLOOKUP($C51,calendar!$A$2:$D$121,4,FALSE)*(1-(H51=0))</f>
        <v>336</v>
      </c>
      <c r="F51" s="60">
        <f>VLOOKUP($C51,calendar!$A$2:$D$121,3,FALSE)*(1-(I51=0))</f>
        <v>408</v>
      </c>
      <c r="G51" s="36">
        <f t="shared" si="4"/>
        <v>78521.66</v>
      </c>
      <c r="H51" s="36">
        <f t="shared" si="5"/>
        <v>89979.56</v>
      </c>
      <c r="I51" s="36">
        <f t="shared" si="6"/>
        <v>8832</v>
      </c>
      <c r="J51" s="41"/>
      <c r="K51" s="45">
        <f>'Filter-old'!E48</f>
        <v>6452.94</v>
      </c>
      <c r="L51" s="61">
        <f>'Filter-new'!E48</f>
        <v>6878.86</v>
      </c>
      <c r="M51" s="62"/>
      <c r="N51" s="62"/>
      <c r="O51" s="429">
        <f>'Filter-new'!E537</f>
        <v>47232</v>
      </c>
      <c r="P51" s="62"/>
      <c r="Q51" s="45">
        <f>'Filter-old'!H48</f>
        <v>0</v>
      </c>
      <c r="R51" s="61">
        <f>'Filter-new'!H48</f>
        <v>0</v>
      </c>
      <c r="S51" s="62"/>
      <c r="T51" s="62"/>
      <c r="U51" s="445">
        <f>'Filter-new'!H537</f>
        <v>0</v>
      </c>
      <c r="V51" s="62"/>
      <c r="W51" s="45">
        <f>'Filter-old'!J48</f>
        <v>0</v>
      </c>
      <c r="X51" s="61">
        <f>'Filter-new'!J48</f>
        <v>0</v>
      </c>
      <c r="Y51" s="62"/>
      <c r="Z51" s="62"/>
      <c r="AA51" s="45">
        <f>'Filter-old'!F48</f>
        <v>0</v>
      </c>
      <c r="AB51" s="61">
        <f>'Filter-new'!F48</f>
        <v>0</v>
      </c>
      <c r="AC51" s="62"/>
      <c r="AD51" s="62"/>
      <c r="AE51" s="45">
        <f>'Filter-old'!P48</f>
        <v>0</v>
      </c>
      <c r="AF51" s="61">
        <f>'Filter-new'!P48</f>
        <v>0</v>
      </c>
      <c r="AG51" s="62"/>
      <c r="AH51" s="62"/>
      <c r="AI51" s="45">
        <f>'Filter-old'!L48</f>
        <v>0</v>
      </c>
      <c r="AJ51" s="61">
        <f>'Filter-new'!L48</f>
        <v>0</v>
      </c>
      <c r="AK51" s="62"/>
      <c r="AL51" s="62"/>
      <c r="AM51" s="62">
        <f>'Filter-new'!L537</f>
        <v>0</v>
      </c>
      <c r="AN51" s="62"/>
      <c r="AO51" s="45">
        <f>'Filter-old'!G48</f>
        <v>0</v>
      </c>
      <c r="AP51" s="61">
        <f>'Filter-new'!G48</f>
        <v>0</v>
      </c>
      <c r="AQ51" s="62"/>
      <c r="AR51" s="62"/>
      <c r="AS51" s="45"/>
      <c r="AT51" s="61"/>
      <c r="AU51" s="62"/>
      <c r="AV51" s="62"/>
      <c r="AW51" s="45">
        <f>'Filter-old'!I48</f>
        <v>16800</v>
      </c>
      <c r="AX51" s="61">
        <f>'Filter-new'!I48</f>
        <v>33600</v>
      </c>
      <c r="AY51" s="62"/>
      <c r="AZ51" s="62"/>
      <c r="BA51" s="62">
        <f>'Filter-new'!I537</f>
        <v>0</v>
      </c>
      <c r="BB51" s="62"/>
      <c r="BC51" s="45">
        <f>'Filter-old'!K48</f>
        <v>0</v>
      </c>
      <c r="BD51" s="61">
        <f>'Filter-new'!K48</f>
        <v>0</v>
      </c>
      <c r="BE51" s="62"/>
      <c r="BF51" s="62"/>
      <c r="BG51" s="45">
        <f>'Filter-old'!M48</f>
        <v>0</v>
      </c>
      <c r="BH51" s="62">
        <f>'Filter-new'!K537</f>
        <v>0</v>
      </c>
      <c r="BI51" s="61"/>
      <c r="BJ51" s="61">
        <f>'Filter-new'!M48</f>
        <v>-16800</v>
      </c>
      <c r="BK51" s="62"/>
      <c r="BL51" s="62"/>
      <c r="BM51" s="62"/>
      <c r="BN51" s="406">
        <f>'Filter-new'!N48</f>
        <v>0</v>
      </c>
      <c r="BO51" s="62"/>
      <c r="BP51" s="62"/>
      <c r="BQ51" s="45">
        <f>'Filter-old'!O48</f>
        <v>0</v>
      </c>
      <c r="BR51" s="61">
        <f>'Filter-new'!O48</f>
        <v>0</v>
      </c>
      <c r="BS51" s="62"/>
      <c r="BT51" s="62"/>
      <c r="BU51" s="45">
        <f>'Filter-old'!Q48</f>
        <v>55268.72</v>
      </c>
      <c r="BV51" s="61">
        <f>'Filter-new'!Q48</f>
        <v>-899.3</v>
      </c>
      <c r="BW51" s="61"/>
      <c r="BX51" s="61"/>
      <c r="BY51" s="61">
        <f>'Filter-new'!Q537</f>
        <v>0</v>
      </c>
      <c r="BZ51" s="61"/>
      <c r="CA51" s="45">
        <f>'Filter-old'!R48</f>
        <v>0</v>
      </c>
      <c r="CB51" s="61">
        <f>'Filter-new'!R48</f>
        <v>67200</v>
      </c>
      <c r="CC51" s="61"/>
      <c r="CD51" s="58"/>
      <c r="CE51" s="61">
        <f>'Filter-new'!R537</f>
        <v>-38400</v>
      </c>
      <c r="CF51" s="57"/>
      <c r="CG51" s="4"/>
    </row>
    <row r="52" spans="1:85" hidden="1" x14ac:dyDescent="0.2">
      <c r="A52">
        <v>0</v>
      </c>
      <c r="B52" s="59">
        <v>38292</v>
      </c>
      <c r="C52" s="59">
        <f>'Filter-new'!C49</f>
        <v>38292</v>
      </c>
      <c r="D52" s="60">
        <f t="shared" si="3"/>
        <v>2004</v>
      </c>
      <c r="E52" s="60">
        <f>VLOOKUP($C52,calendar!$A$2:$D$121,4,FALSE)*(1-(H52=0))</f>
        <v>336</v>
      </c>
      <c r="F52" s="60">
        <f>VLOOKUP($C52,calendar!$A$2:$D$121,3,FALSE)*(1-(I52=0))</f>
        <v>384</v>
      </c>
      <c r="G52" s="36">
        <f t="shared" si="4"/>
        <v>78208.3</v>
      </c>
      <c r="H52" s="36">
        <f t="shared" si="5"/>
        <v>89952.320000000007</v>
      </c>
      <c r="I52" s="36">
        <f t="shared" si="6"/>
        <v>8648</v>
      </c>
      <c r="J52" s="41"/>
      <c r="K52" s="45">
        <f>'Filter-old'!E49</f>
        <v>6420.15</v>
      </c>
      <c r="L52" s="61">
        <f>'Filter-new'!E49</f>
        <v>6847.22</v>
      </c>
      <c r="M52" s="62"/>
      <c r="N52" s="62"/>
      <c r="O52" s="429">
        <f>'Filter-new'!E538</f>
        <v>46248</v>
      </c>
      <c r="P52" s="62"/>
      <c r="Q52" s="45">
        <f>'Filter-old'!H49</f>
        <v>0</v>
      </c>
      <c r="R52" s="61">
        <f>'Filter-new'!H49</f>
        <v>0</v>
      </c>
      <c r="S52" s="62"/>
      <c r="T52" s="62"/>
      <c r="U52" s="445">
        <f>'Filter-new'!H538</f>
        <v>0</v>
      </c>
      <c r="V52" s="62"/>
      <c r="W52" s="45">
        <f>'Filter-old'!J49</f>
        <v>0</v>
      </c>
      <c r="X52" s="61">
        <f>'Filter-new'!J49</f>
        <v>0</v>
      </c>
      <c r="Y52" s="62"/>
      <c r="Z52" s="62"/>
      <c r="AA52" s="45">
        <f>'Filter-old'!F49</f>
        <v>0</v>
      </c>
      <c r="AB52" s="61">
        <f>'Filter-new'!F49</f>
        <v>0</v>
      </c>
      <c r="AC52" s="62"/>
      <c r="AD52" s="62"/>
      <c r="AE52" s="45">
        <f>'Filter-old'!P49</f>
        <v>0</v>
      </c>
      <c r="AF52" s="61">
        <f>'Filter-new'!P49</f>
        <v>0</v>
      </c>
      <c r="AG52" s="62"/>
      <c r="AH52" s="62"/>
      <c r="AI52" s="45">
        <f>'Filter-old'!L49</f>
        <v>0</v>
      </c>
      <c r="AJ52" s="61">
        <f>'Filter-new'!L49</f>
        <v>0</v>
      </c>
      <c r="AK52" s="62"/>
      <c r="AL52" s="62"/>
      <c r="AM52" s="62">
        <f>'Filter-new'!L538</f>
        <v>0</v>
      </c>
      <c r="AN52" s="62"/>
      <c r="AO52" s="45">
        <f>'Filter-old'!G49</f>
        <v>0</v>
      </c>
      <c r="AP52" s="61">
        <f>'Filter-new'!G49</f>
        <v>0</v>
      </c>
      <c r="AQ52" s="62"/>
      <c r="AR52" s="62"/>
      <c r="AS52" s="45"/>
      <c r="AT52" s="61"/>
      <c r="AU52" s="62"/>
      <c r="AV52" s="62"/>
      <c r="AW52" s="45">
        <f>'Filter-old'!I49</f>
        <v>16800</v>
      </c>
      <c r="AX52" s="61">
        <f>'Filter-new'!I49</f>
        <v>33600</v>
      </c>
      <c r="AY52" s="62"/>
      <c r="AZ52" s="62"/>
      <c r="BA52" s="62">
        <f>'Filter-new'!I538</f>
        <v>0</v>
      </c>
      <c r="BB52" s="62"/>
      <c r="BC52" s="45">
        <f>'Filter-old'!K49</f>
        <v>0</v>
      </c>
      <c r="BD52" s="61">
        <f>'Filter-new'!K49</f>
        <v>0</v>
      </c>
      <c r="BE52" s="62"/>
      <c r="BF52" s="62"/>
      <c r="BG52" s="45">
        <f>'Filter-old'!M49</f>
        <v>0</v>
      </c>
      <c r="BH52" s="62">
        <f>'Filter-new'!K538</f>
        <v>0</v>
      </c>
      <c r="BI52" s="61"/>
      <c r="BJ52" s="61">
        <f>'Filter-new'!M49</f>
        <v>-16800</v>
      </c>
      <c r="BK52" s="62"/>
      <c r="BL52" s="62"/>
      <c r="BM52" s="62"/>
      <c r="BN52" s="406">
        <f>'Filter-new'!N49</f>
        <v>0</v>
      </c>
      <c r="BO52" s="62"/>
      <c r="BP52" s="62"/>
      <c r="BQ52" s="45">
        <f>'Filter-old'!O49</f>
        <v>0</v>
      </c>
      <c r="BR52" s="61">
        <f>'Filter-new'!O49</f>
        <v>0</v>
      </c>
      <c r="BS52" s="62"/>
      <c r="BT52" s="62"/>
      <c r="BU52" s="45">
        <f>'Filter-old'!Q49</f>
        <v>54988.15</v>
      </c>
      <c r="BV52" s="61">
        <f>'Filter-new'!Q49</f>
        <v>-894.9</v>
      </c>
      <c r="BW52" s="61"/>
      <c r="BX52" s="61"/>
      <c r="BY52" s="61">
        <f>'Filter-new'!Q538</f>
        <v>0</v>
      </c>
      <c r="BZ52" s="61"/>
      <c r="CA52" s="45">
        <f>'Filter-old'!R49</f>
        <v>0</v>
      </c>
      <c r="CB52" s="61">
        <f>'Filter-new'!R49</f>
        <v>67200</v>
      </c>
      <c r="CC52" s="61"/>
      <c r="CD52" s="58"/>
      <c r="CE52" s="61">
        <f>'Filter-new'!R538</f>
        <v>-37600</v>
      </c>
      <c r="CF52" s="57"/>
      <c r="CG52" s="4"/>
    </row>
    <row r="53" spans="1:85" hidden="1" x14ac:dyDescent="0.2">
      <c r="A53">
        <v>0</v>
      </c>
      <c r="B53" s="59">
        <v>38322</v>
      </c>
      <c r="C53" s="59">
        <f>'Filter-new'!C50</f>
        <v>38322</v>
      </c>
      <c r="D53" s="60">
        <f t="shared" si="3"/>
        <v>2004</v>
      </c>
      <c r="E53" s="60">
        <f>VLOOKUP($C53,calendar!$A$2:$D$121,4,FALSE)*(1-(H53=0))</f>
        <v>368</v>
      </c>
      <c r="F53" s="60">
        <f>VLOOKUP($C53,calendar!$A$2:$D$121,3,FALSE)*(1-(I53=0))</f>
        <v>376</v>
      </c>
      <c r="G53" s="36">
        <f t="shared" si="4"/>
        <v>85301.87</v>
      </c>
      <c r="H53" s="36">
        <f t="shared" si="5"/>
        <v>98488.01999999999</v>
      </c>
      <c r="I53" s="36">
        <f t="shared" si="6"/>
        <v>70584</v>
      </c>
      <c r="J53" s="41"/>
      <c r="K53" s="45">
        <f>'Filter-old'!E50</f>
        <v>6994.5</v>
      </c>
      <c r="L53" s="61">
        <f>'Filter-new'!E50</f>
        <v>7463.48</v>
      </c>
      <c r="M53" s="62"/>
      <c r="N53" s="62"/>
      <c r="O53" s="429">
        <f>'Filter-new'!E539</f>
        <v>70584</v>
      </c>
      <c r="P53" s="62"/>
      <c r="Q53" s="45">
        <f>'Filter-old'!H50</f>
        <v>0</v>
      </c>
      <c r="R53" s="61">
        <f>'Filter-new'!H50</f>
        <v>0</v>
      </c>
      <c r="S53" s="62"/>
      <c r="T53" s="62"/>
      <c r="U53" s="445">
        <f>'Filter-new'!H539</f>
        <v>0</v>
      </c>
      <c r="V53" s="62"/>
      <c r="W53" s="45">
        <f>'Filter-old'!J50</f>
        <v>0</v>
      </c>
      <c r="X53" s="61">
        <f>'Filter-new'!J50</f>
        <v>0</v>
      </c>
      <c r="Y53" s="62"/>
      <c r="Z53" s="62"/>
      <c r="AA53" s="45">
        <f>'Filter-old'!F50</f>
        <v>0</v>
      </c>
      <c r="AB53" s="61">
        <f>'Filter-new'!F50</f>
        <v>0</v>
      </c>
      <c r="AC53" s="62"/>
      <c r="AD53" s="62"/>
      <c r="AE53" s="45">
        <f>'Filter-old'!P50</f>
        <v>0</v>
      </c>
      <c r="AF53" s="61">
        <f>'Filter-new'!P50</f>
        <v>0</v>
      </c>
      <c r="AG53" s="62"/>
      <c r="AH53" s="62"/>
      <c r="AI53" s="45">
        <f>'Filter-old'!L50</f>
        <v>0</v>
      </c>
      <c r="AJ53" s="61">
        <f>'Filter-new'!L50</f>
        <v>0</v>
      </c>
      <c r="AK53" s="62"/>
      <c r="AL53" s="62"/>
      <c r="AM53" s="62">
        <f>'Filter-new'!L539</f>
        <v>0</v>
      </c>
      <c r="AN53" s="62"/>
      <c r="AO53" s="45">
        <f>'Filter-old'!G50</f>
        <v>0</v>
      </c>
      <c r="AP53" s="61">
        <f>'Filter-new'!G50</f>
        <v>0</v>
      </c>
      <c r="AQ53" s="62"/>
      <c r="AR53" s="62"/>
      <c r="AS53" s="45"/>
      <c r="AT53" s="61"/>
      <c r="AU53" s="62"/>
      <c r="AV53" s="62"/>
      <c r="AW53" s="45">
        <f>'Filter-old'!I50</f>
        <v>18400</v>
      </c>
      <c r="AX53" s="61">
        <f>'Filter-new'!I50</f>
        <v>36800</v>
      </c>
      <c r="AY53" s="62"/>
      <c r="AZ53" s="62"/>
      <c r="BA53" s="62">
        <f>'Filter-new'!I539</f>
        <v>0</v>
      </c>
      <c r="BB53" s="62"/>
      <c r="BC53" s="45">
        <f>'Filter-old'!K50</f>
        <v>0</v>
      </c>
      <c r="BD53" s="61">
        <f>'Filter-new'!K50</f>
        <v>0</v>
      </c>
      <c r="BE53" s="62"/>
      <c r="BF53" s="62"/>
      <c r="BG53" s="45">
        <f>'Filter-old'!M50</f>
        <v>0</v>
      </c>
      <c r="BH53" s="62">
        <f>'Filter-new'!K539</f>
        <v>0</v>
      </c>
      <c r="BI53" s="61"/>
      <c r="BJ53" s="61">
        <f>'Filter-new'!M50</f>
        <v>-18400</v>
      </c>
      <c r="BK53" s="62"/>
      <c r="BL53" s="62"/>
      <c r="BM53" s="62"/>
      <c r="BN53" s="406">
        <f>'Filter-new'!N50</f>
        <v>0</v>
      </c>
      <c r="BO53" s="62"/>
      <c r="BP53" s="62"/>
      <c r="BQ53" s="45">
        <f>'Filter-old'!O50</f>
        <v>0</v>
      </c>
      <c r="BR53" s="61">
        <f>'Filter-new'!O50</f>
        <v>0</v>
      </c>
      <c r="BS53" s="62"/>
      <c r="BT53" s="62"/>
      <c r="BU53" s="45">
        <f>'Filter-old'!Q50</f>
        <v>59907.37</v>
      </c>
      <c r="BV53" s="61">
        <f>'Filter-new'!Q50</f>
        <v>-975.46</v>
      </c>
      <c r="BW53" s="61"/>
      <c r="BX53" s="61"/>
      <c r="BY53" s="61">
        <f>'Filter-new'!Q539</f>
        <v>0</v>
      </c>
      <c r="BZ53" s="61"/>
      <c r="CA53" s="45">
        <f>'Filter-old'!R50</f>
        <v>0</v>
      </c>
      <c r="CB53" s="61">
        <f>'Filter-new'!R50</f>
        <v>73600</v>
      </c>
      <c r="CC53" s="61"/>
      <c r="CD53" s="58"/>
      <c r="CE53" s="61">
        <f>'Filter-new'!R539</f>
        <v>0</v>
      </c>
      <c r="CF53" s="57"/>
      <c r="CG53" s="4"/>
    </row>
    <row r="54" spans="1:85" hidden="1" x14ac:dyDescent="0.2">
      <c r="A54">
        <v>0</v>
      </c>
      <c r="B54" s="59">
        <v>38353</v>
      </c>
      <c r="C54" s="59">
        <f>'Filter-new'!C51</f>
        <v>38353</v>
      </c>
      <c r="D54" s="60">
        <f t="shared" si="3"/>
        <v>2005</v>
      </c>
      <c r="E54" s="60">
        <f>VLOOKUP($C54,calendar!$A$2:$D$121,4,FALSE)*(1-(H54=0))</f>
        <v>336</v>
      </c>
      <c r="F54" s="60">
        <f>VLOOKUP($C54,calendar!$A$2:$D$121,3,FALSE)*(1-(I54=0))</f>
        <v>408</v>
      </c>
      <c r="G54" s="36">
        <f t="shared" si="4"/>
        <v>142398.53999999998</v>
      </c>
      <c r="H54" s="36">
        <f t="shared" si="5"/>
        <v>21961.79</v>
      </c>
      <c r="I54" s="36">
        <f t="shared" si="6"/>
        <v>60896</v>
      </c>
      <c r="J54" s="41"/>
      <c r="K54" s="45">
        <f>'Filter-old'!E51</f>
        <v>75399.89</v>
      </c>
      <c r="L54" s="61">
        <f>'Filter-new'!E51</f>
        <v>-22703.279999999999</v>
      </c>
      <c r="M54" s="62"/>
      <c r="N54" s="62"/>
      <c r="O54" s="429">
        <f>'Filter-new'!E540</f>
        <v>60896</v>
      </c>
      <c r="P54" s="62"/>
      <c r="Q54" s="45">
        <f>'Filter-old'!H51</f>
        <v>16800</v>
      </c>
      <c r="R54" s="61">
        <f>'Filter-new'!H51</f>
        <v>-16800</v>
      </c>
      <c r="S54" s="62"/>
      <c r="T54" s="62"/>
      <c r="U54" s="445">
        <f>'Filter-new'!H540</f>
        <v>0</v>
      </c>
      <c r="V54" s="62"/>
      <c r="W54" s="45">
        <f>'Filter-old'!J51</f>
        <v>0</v>
      </c>
      <c r="X54" s="61">
        <f>'Filter-new'!J51</f>
        <v>0</v>
      </c>
      <c r="Y54" s="62"/>
      <c r="Z54" s="62"/>
      <c r="AA54" s="45">
        <f>'Filter-old'!F51</f>
        <v>0</v>
      </c>
      <c r="AB54" s="61">
        <f>'Filter-new'!F51</f>
        <v>0</v>
      </c>
      <c r="AC54" s="62"/>
      <c r="AD54" s="62"/>
      <c r="AE54" s="45">
        <f>'Filter-old'!P51</f>
        <v>0</v>
      </c>
      <c r="AF54" s="61">
        <f>'Filter-new'!P51</f>
        <v>0</v>
      </c>
      <c r="AG54" s="62"/>
      <c r="AH54" s="62"/>
      <c r="AI54" s="45">
        <f>'Filter-old'!L51</f>
        <v>0</v>
      </c>
      <c r="AJ54" s="61">
        <f>'Filter-new'!L51</f>
        <v>0</v>
      </c>
      <c r="AK54" s="62"/>
      <c r="AL54" s="62"/>
      <c r="AM54" s="62">
        <f>'Filter-new'!L540</f>
        <v>0</v>
      </c>
      <c r="AN54" s="62"/>
      <c r="AO54" s="45">
        <f>'Filter-old'!G51</f>
        <v>0</v>
      </c>
      <c r="AP54" s="61">
        <f>'Filter-new'!G51</f>
        <v>0</v>
      </c>
      <c r="AQ54" s="62"/>
      <c r="AR54" s="62"/>
      <c r="AS54" s="45"/>
      <c r="AT54" s="61"/>
      <c r="AU54" s="62"/>
      <c r="AV54" s="62"/>
      <c r="AW54" s="45">
        <f>'Filter-old'!I51</f>
        <v>-25200</v>
      </c>
      <c r="AX54" s="61">
        <f>'Filter-new'!I51</f>
        <v>8400</v>
      </c>
      <c r="AY54" s="62"/>
      <c r="AZ54" s="62"/>
      <c r="BA54" s="62">
        <f>'Filter-new'!I540</f>
        <v>0</v>
      </c>
      <c r="BB54" s="62"/>
      <c r="BC54" s="45">
        <f>'Filter-old'!K51</f>
        <v>0</v>
      </c>
      <c r="BD54" s="61">
        <f>'Filter-new'!K51</f>
        <v>0</v>
      </c>
      <c r="BE54" s="62"/>
      <c r="BF54" s="62"/>
      <c r="BG54" s="45">
        <f>'Filter-old'!M51</f>
        <v>0</v>
      </c>
      <c r="BH54" s="62">
        <f>'Filter-new'!K540</f>
        <v>0</v>
      </c>
      <c r="BI54" s="61"/>
      <c r="BJ54" s="61">
        <f>'Filter-new'!M51</f>
        <v>0</v>
      </c>
      <c r="BK54" s="62"/>
      <c r="BL54" s="62"/>
      <c r="BM54" s="62"/>
      <c r="BN54" s="406">
        <f>'Filter-new'!N51</f>
        <v>0</v>
      </c>
      <c r="BO54" s="62"/>
      <c r="BP54" s="62"/>
      <c r="BQ54" s="45">
        <f>'Filter-old'!O51</f>
        <v>0</v>
      </c>
      <c r="BR54" s="61">
        <f>'Filter-new'!O51</f>
        <v>0</v>
      </c>
      <c r="BS54" s="62"/>
      <c r="BT54" s="62"/>
      <c r="BU54" s="45">
        <f>'Filter-old'!Q51</f>
        <v>75398.649999999994</v>
      </c>
      <c r="BV54" s="61">
        <f>'Filter-new'!Q51</f>
        <v>36265.07</v>
      </c>
      <c r="BW54" s="61"/>
      <c r="BX54" s="61"/>
      <c r="BY54" s="61">
        <f>'Filter-new'!Q540</f>
        <v>0</v>
      </c>
      <c r="BZ54" s="61"/>
      <c r="CA54" s="45">
        <f>'Filter-old'!R51</f>
        <v>0</v>
      </c>
      <c r="CB54" s="61">
        <f>'Filter-new'!R51</f>
        <v>16800</v>
      </c>
      <c r="CC54" s="61"/>
      <c r="CD54" s="58"/>
      <c r="CE54" s="61">
        <f>'Filter-new'!R540</f>
        <v>0</v>
      </c>
      <c r="CF54" s="57"/>
      <c r="CG54" s="4"/>
    </row>
    <row r="55" spans="1:85" hidden="1" x14ac:dyDescent="0.2">
      <c r="A55">
        <v>0</v>
      </c>
      <c r="B55" s="59">
        <v>38384</v>
      </c>
      <c r="C55" s="59">
        <f>'Filter-new'!C52</f>
        <v>38384</v>
      </c>
      <c r="D55" s="60">
        <f t="shared" si="3"/>
        <v>2005</v>
      </c>
      <c r="E55" s="60">
        <f>VLOOKUP($C55,calendar!$A$2:$D$121,4,FALSE)*(1-(H55=0))</f>
        <v>320</v>
      </c>
      <c r="F55" s="60">
        <f>VLOOKUP($C55,calendar!$A$2:$D$121,3,FALSE)*(1-(I55=0))</f>
        <v>352</v>
      </c>
      <c r="G55" s="36">
        <f t="shared" si="4"/>
        <v>134929.75</v>
      </c>
      <c r="H55" s="36">
        <f t="shared" si="5"/>
        <v>20859.5</v>
      </c>
      <c r="I55" s="36">
        <f t="shared" si="6"/>
        <v>65048</v>
      </c>
      <c r="J55" s="41"/>
      <c r="K55" s="45">
        <f>'Filter-old'!E52</f>
        <v>71465.460000000006</v>
      </c>
      <c r="L55" s="61">
        <f>'Filter-new'!E52</f>
        <v>-21527.599999999999</v>
      </c>
      <c r="M55" s="62"/>
      <c r="N55" s="62"/>
      <c r="O55" s="429">
        <f>'Filter-new'!E541</f>
        <v>65048</v>
      </c>
      <c r="P55" s="62"/>
      <c r="Q55" s="45">
        <f>'Filter-old'!H52</f>
        <v>16000</v>
      </c>
      <c r="R55" s="61">
        <f>'Filter-new'!H52</f>
        <v>-16000</v>
      </c>
      <c r="S55" s="62"/>
      <c r="T55" s="62"/>
      <c r="U55" s="445">
        <f>'Filter-new'!H541</f>
        <v>0</v>
      </c>
      <c r="V55" s="62"/>
      <c r="W55" s="45">
        <f>'Filter-old'!J52</f>
        <v>0</v>
      </c>
      <c r="X55" s="61">
        <f>'Filter-new'!J52</f>
        <v>0</v>
      </c>
      <c r="Y55" s="62"/>
      <c r="Z55" s="62"/>
      <c r="AA55" s="45">
        <f>'Filter-old'!F52</f>
        <v>0</v>
      </c>
      <c r="AB55" s="61">
        <f>'Filter-new'!F52</f>
        <v>0</v>
      </c>
      <c r="AC55" s="62"/>
      <c r="AD55" s="62"/>
      <c r="AE55" s="45">
        <f>'Filter-old'!P52</f>
        <v>0</v>
      </c>
      <c r="AF55" s="61">
        <f>'Filter-new'!P52</f>
        <v>0</v>
      </c>
      <c r="AG55" s="62"/>
      <c r="AH55" s="62"/>
      <c r="AI55" s="45">
        <f>'Filter-old'!L52</f>
        <v>0</v>
      </c>
      <c r="AJ55" s="61">
        <f>'Filter-new'!L52</f>
        <v>0</v>
      </c>
      <c r="AK55" s="62"/>
      <c r="AL55" s="62"/>
      <c r="AM55" s="62">
        <f>'Filter-new'!L541</f>
        <v>0</v>
      </c>
      <c r="AN55" s="62"/>
      <c r="AO55" s="45">
        <f>'Filter-old'!G52</f>
        <v>0</v>
      </c>
      <c r="AP55" s="61">
        <f>'Filter-new'!G52</f>
        <v>0</v>
      </c>
      <c r="AQ55" s="62"/>
      <c r="AR55" s="62"/>
      <c r="AS55" s="45"/>
      <c r="AT55" s="61"/>
      <c r="AU55" s="62"/>
      <c r="AV55" s="62"/>
      <c r="AW55" s="45">
        <f>'Filter-old'!I52</f>
        <v>-24000</v>
      </c>
      <c r="AX55" s="61">
        <f>'Filter-new'!I52</f>
        <v>8000</v>
      </c>
      <c r="AY55" s="62"/>
      <c r="AZ55" s="62"/>
      <c r="BA55" s="62">
        <f>'Filter-new'!I541</f>
        <v>0</v>
      </c>
      <c r="BB55" s="62"/>
      <c r="BC55" s="45">
        <f>'Filter-old'!K52</f>
        <v>0</v>
      </c>
      <c r="BD55" s="61">
        <f>'Filter-new'!K52</f>
        <v>0</v>
      </c>
      <c r="BE55" s="62"/>
      <c r="BF55" s="62"/>
      <c r="BG55" s="45">
        <f>'Filter-old'!M52</f>
        <v>0</v>
      </c>
      <c r="BH55" s="62">
        <f>'Filter-new'!K541</f>
        <v>0</v>
      </c>
      <c r="BI55" s="61"/>
      <c r="BJ55" s="61">
        <f>'Filter-new'!M52</f>
        <v>0</v>
      </c>
      <c r="BK55" s="62"/>
      <c r="BL55" s="62"/>
      <c r="BM55" s="62"/>
      <c r="BN55" s="406">
        <f>'Filter-new'!N52</f>
        <v>0</v>
      </c>
      <c r="BO55" s="62"/>
      <c r="BP55" s="62"/>
      <c r="BQ55" s="45">
        <f>'Filter-old'!O52</f>
        <v>0</v>
      </c>
      <c r="BR55" s="61">
        <f>'Filter-new'!O52</f>
        <v>0</v>
      </c>
      <c r="BS55" s="62"/>
      <c r="BT55" s="62"/>
      <c r="BU55" s="45">
        <f>'Filter-old'!Q52</f>
        <v>71464.289999999994</v>
      </c>
      <c r="BV55" s="61">
        <f>'Filter-new'!Q52</f>
        <v>34387.1</v>
      </c>
      <c r="BW55" s="61"/>
      <c r="BX55" s="61"/>
      <c r="BY55" s="61">
        <f>'Filter-new'!Q541</f>
        <v>0</v>
      </c>
      <c r="BZ55" s="61"/>
      <c r="CA55" s="45">
        <f>'Filter-old'!R52</f>
        <v>0</v>
      </c>
      <c r="CB55" s="61">
        <f>'Filter-new'!R52</f>
        <v>16000</v>
      </c>
      <c r="CC55" s="61"/>
      <c r="CD55" s="58"/>
      <c r="CE55" s="61">
        <f>'Filter-new'!R541</f>
        <v>0</v>
      </c>
      <c r="CF55" s="57"/>
      <c r="CG55" s="4"/>
    </row>
    <row r="56" spans="1:85" hidden="1" x14ac:dyDescent="0.2">
      <c r="A56">
        <v>0</v>
      </c>
      <c r="B56" s="59">
        <v>38412</v>
      </c>
      <c r="C56" s="59">
        <f>'Filter-new'!C53</f>
        <v>38412</v>
      </c>
      <c r="D56" s="60">
        <f t="shared" si="3"/>
        <v>2005</v>
      </c>
      <c r="E56" s="60">
        <f>VLOOKUP($C56,calendar!$A$2:$D$121,4,FALSE)*(1-(H56=0))</f>
        <v>368</v>
      </c>
      <c r="F56" s="60">
        <f>VLOOKUP($C56,calendar!$A$2:$D$121,3,FALSE)*(1-(I56=0))</f>
        <v>376</v>
      </c>
      <c r="G56" s="36">
        <f t="shared" si="4"/>
        <v>154301.84</v>
      </c>
      <c r="H56" s="36">
        <f t="shared" si="5"/>
        <v>23917.199999999997</v>
      </c>
      <c r="I56" s="36">
        <f t="shared" si="6"/>
        <v>66259</v>
      </c>
      <c r="J56" s="41"/>
      <c r="K56" s="45">
        <f>'Filter-old'!E53</f>
        <v>81751.58</v>
      </c>
      <c r="L56" s="61">
        <f>'Filter-new'!E53</f>
        <v>-24637.47</v>
      </c>
      <c r="M56" s="62"/>
      <c r="N56" s="62"/>
      <c r="O56" s="429">
        <f>'Filter-new'!E542</f>
        <v>66259</v>
      </c>
      <c r="P56" s="62"/>
      <c r="Q56" s="45">
        <f>'Filter-old'!H53</f>
        <v>18400</v>
      </c>
      <c r="R56" s="61">
        <f>'Filter-new'!H53</f>
        <v>-18400</v>
      </c>
      <c r="S56" s="62"/>
      <c r="T56" s="62"/>
      <c r="U56" s="445">
        <f>'Filter-new'!H542</f>
        <v>0</v>
      </c>
      <c r="V56" s="62"/>
      <c r="W56" s="45">
        <f>'Filter-old'!J53</f>
        <v>0</v>
      </c>
      <c r="X56" s="61">
        <f>'Filter-new'!J53</f>
        <v>0</v>
      </c>
      <c r="Y56" s="62"/>
      <c r="Z56" s="62"/>
      <c r="AA56" s="45">
        <f>'Filter-old'!F53</f>
        <v>0</v>
      </c>
      <c r="AB56" s="61">
        <f>'Filter-new'!F53</f>
        <v>0</v>
      </c>
      <c r="AC56" s="62"/>
      <c r="AD56" s="62"/>
      <c r="AE56" s="45">
        <f>'Filter-old'!P53</f>
        <v>0</v>
      </c>
      <c r="AF56" s="61">
        <f>'Filter-new'!P53</f>
        <v>0</v>
      </c>
      <c r="AG56" s="62"/>
      <c r="AH56" s="62"/>
      <c r="AI56" s="45">
        <f>'Filter-old'!L53</f>
        <v>0</v>
      </c>
      <c r="AJ56" s="61">
        <f>'Filter-new'!L53</f>
        <v>0</v>
      </c>
      <c r="AK56" s="62"/>
      <c r="AL56" s="62"/>
      <c r="AM56" s="62">
        <f>'Filter-new'!L542</f>
        <v>0</v>
      </c>
      <c r="AN56" s="62"/>
      <c r="AO56" s="45">
        <f>'Filter-old'!G53</f>
        <v>0</v>
      </c>
      <c r="AP56" s="61">
        <f>'Filter-new'!G53</f>
        <v>0</v>
      </c>
      <c r="AQ56" s="62"/>
      <c r="AR56" s="62"/>
      <c r="AS56" s="45"/>
      <c r="AT56" s="61"/>
      <c r="AU56" s="62"/>
      <c r="AV56" s="62"/>
      <c r="AW56" s="45">
        <f>'Filter-old'!I53</f>
        <v>-27600</v>
      </c>
      <c r="AX56" s="61">
        <f>'Filter-new'!I53</f>
        <v>9200</v>
      </c>
      <c r="AY56" s="62"/>
      <c r="AZ56" s="62"/>
      <c r="BA56" s="62">
        <f>'Filter-new'!I542</f>
        <v>0</v>
      </c>
      <c r="BB56" s="62"/>
      <c r="BC56" s="45">
        <f>'Filter-old'!K53</f>
        <v>0</v>
      </c>
      <c r="BD56" s="61">
        <f>'Filter-new'!K53</f>
        <v>0</v>
      </c>
      <c r="BE56" s="62"/>
      <c r="BF56" s="62"/>
      <c r="BG56" s="45">
        <f>'Filter-old'!M53</f>
        <v>0</v>
      </c>
      <c r="BH56" s="62">
        <f>'Filter-new'!K542</f>
        <v>0</v>
      </c>
      <c r="BI56" s="61"/>
      <c r="BJ56" s="61">
        <f>'Filter-new'!M53</f>
        <v>0</v>
      </c>
      <c r="BK56" s="62"/>
      <c r="BL56" s="62"/>
      <c r="BM56" s="62"/>
      <c r="BN56" s="406">
        <f>'Filter-new'!N53</f>
        <v>0</v>
      </c>
      <c r="BO56" s="62"/>
      <c r="BP56" s="62"/>
      <c r="BQ56" s="45">
        <f>'Filter-old'!O53</f>
        <v>0</v>
      </c>
      <c r="BR56" s="61">
        <f>'Filter-new'!O53</f>
        <v>0</v>
      </c>
      <c r="BS56" s="62"/>
      <c r="BT56" s="62"/>
      <c r="BU56" s="45">
        <f>'Filter-old'!Q53</f>
        <v>81750.259999999995</v>
      </c>
      <c r="BV56" s="61">
        <f>'Filter-new'!Q53</f>
        <v>39354.67</v>
      </c>
      <c r="BW56" s="61"/>
      <c r="BX56" s="61"/>
      <c r="BY56" s="61">
        <f>'Filter-new'!Q542</f>
        <v>0</v>
      </c>
      <c r="BZ56" s="61"/>
      <c r="CA56" s="45">
        <f>'Filter-old'!R53</f>
        <v>0</v>
      </c>
      <c r="CB56" s="61">
        <f>'Filter-new'!R53</f>
        <v>18400</v>
      </c>
      <c r="CC56" s="61"/>
      <c r="CD56" s="58"/>
      <c r="CE56" s="61">
        <f>'Filter-new'!R542</f>
        <v>0</v>
      </c>
      <c r="CF56" s="57"/>
      <c r="CG56" s="4"/>
    </row>
    <row r="57" spans="1:85" hidden="1" x14ac:dyDescent="0.2">
      <c r="A57">
        <v>0</v>
      </c>
      <c r="B57" s="59">
        <v>38443</v>
      </c>
      <c r="C57" s="59">
        <f>'Filter-new'!C54</f>
        <v>38443</v>
      </c>
      <c r="D57" s="60">
        <f t="shared" si="3"/>
        <v>2005</v>
      </c>
      <c r="E57" s="60">
        <f>VLOOKUP($C57,calendar!$A$2:$D$121,4,FALSE)*(1-(H57=0))</f>
        <v>336</v>
      </c>
      <c r="F57" s="60">
        <f>VLOOKUP($C57,calendar!$A$2:$D$121,3,FALSE)*(1-(I57=0))</f>
        <v>384</v>
      </c>
      <c r="G57" s="36">
        <f t="shared" si="4"/>
        <v>139847.72</v>
      </c>
      <c r="H57" s="36">
        <f t="shared" si="5"/>
        <v>21482.9</v>
      </c>
      <c r="I57" s="36">
        <f t="shared" si="6"/>
        <v>70584</v>
      </c>
      <c r="J57" s="41"/>
      <c r="K57" s="45">
        <f>'Filter-old'!E54</f>
        <v>74260.850000000006</v>
      </c>
      <c r="L57" s="61">
        <f>'Filter-new'!E54</f>
        <v>-22389.59</v>
      </c>
      <c r="M57" s="62"/>
      <c r="N57" s="62"/>
      <c r="O57" s="429">
        <f>'Filter-new'!E543</f>
        <v>70584</v>
      </c>
      <c r="P57" s="62"/>
      <c r="Q57" s="45">
        <f>'Filter-old'!H54</f>
        <v>16800</v>
      </c>
      <c r="R57" s="61">
        <f>'Filter-new'!H54</f>
        <v>-16800</v>
      </c>
      <c r="S57" s="62"/>
      <c r="T57" s="62"/>
      <c r="U57" s="445">
        <f>'Filter-new'!H543</f>
        <v>0</v>
      </c>
      <c r="V57" s="62"/>
      <c r="W57" s="45">
        <f>'Filter-old'!J54</f>
        <v>0</v>
      </c>
      <c r="X57" s="61">
        <f>'Filter-new'!J54</f>
        <v>0</v>
      </c>
      <c r="Y57" s="62"/>
      <c r="Z57" s="62"/>
      <c r="AA57" s="45">
        <f>'Filter-old'!F54</f>
        <v>0</v>
      </c>
      <c r="AB57" s="61">
        <f>'Filter-new'!F54</f>
        <v>0</v>
      </c>
      <c r="AC57" s="62"/>
      <c r="AD57" s="62"/>
      <c r="AE57" s="45">
        <f>'Filter-old'!P54</f>
        <v>0</v>
      </c>
      <c r="AF57" s="61">
        <f>'Filter-new'!P54</f>
        <v>0</v>
      </c>
      <c r="AG57" s="62"/>
      <c r="AH57" s="62"/>
      <c r="AI57" s="45">
        <f>'Filter-old'!L54</f>
        <v>0</v>
      </c>
      <c r="AJ57" s="61">
        <f>'Filter-new'!L54</f>
        <v>0</v>
      </c>
      <c r="AK57" s="62"/>
      <c r="AL57" s="62"/>
      <c r="AM57" s="62">
        <f>'Filter-new'!L543</f>
        <v>0</v>
      </c>
      <c r="AN57" s="62"/>
      <c r="AO57" s="45">
        <f>'Filter-old'!G54</f>
        <v>0</v>
      </c>
      <c r="AP57" s="61">
        <f>'Filter-new'!G54</f>
        <v>0</v>
      </c>
      <c r="AQ57" s="62"/>
      <c r="AR57" s="62"/>
      <c r="AS57" s="45"/>
      <c r="AT57" s="61"/>
      <c r="AU57" s="62"/>
      <c r="AV57" s="62"/>
      <c r="AW57" s="45">
        <f>'Filter-old'!I54</f>
        <v>-25200</v>
      </c>
      <c r="AX57" s="61">
        <f>'Filter-new'!I54</f>
        <v>8400</v>
      </c>
      <c r="AY57" s="62"/>
      <c r="AZ57" s="62"/>
      <c r="BA57" s="62">
        <f>'Filter-new'!I543</f>
        <v>0</v>
      </c>
      <c r="BB57" s="62"/>
      <c r="BC57" s="45">
        <f>'Filter-old'!K54</f>
        <v>0</v>
      </c>
      <c r="BD57" s="61">
        <f>'Filter-new'!K54</f>
        <v>0</v>
      </c>
      <c r="BE57" s="62"/>
      <c r="BF57" s="62"/>
      <c r="BG57" s="45">
        <f>'Filter-old'!M54</f>
        <v>0</v>
      </c>
      <c r="BH57" s="62">
        <f>'Filter-new'!K543</f>
        <v>0</v>
      </c>
      <c r="BI57" s="61"/>
      <c r="BJ57" s="61">
        <f>'Filter-new'!M54</f>
        <v>0</v>
      </c>
      <c r="BK57" s="62"/>
      <c r="BL57" s="62"/>
      <c r="BM57" s="62"/>
      <c r="BN57" s="406">
        <f>'Filter-new'!N54</f>
        <v>0</v>
      </c>
      <c r="BO57" s="62"/>
      <c r="BP57" s="62"/>
      <c r="BQ57" s="45">
        <f>'Filter-old'!O54</f>
        <v>0</v>
      </c>
      <c r="BR57" s="61">
        <f>'Filter-new'!O54</f>
        <v>0</v>
      </c>
      <c r="BS57" s="62"/>
      <c r="BT57" s="62"/>
      <c r="BU57" s="45">
        <f>'Filter-old'!Q54</f>
        <v>73986.87</v>
      </c>
      <c r="BV57" s="61">
        <f>'Filter-new'!Q54</f>
        <v>35472.49</v>
      </c>
      <c r="BW57" s="61"/>
      <c r="BX57" s="61"/>
      <c r="BY57" s="61">
        <f>'Filter-new'!Q543</f>
        <v>0</v>
      </c>
      <c r="BZ57" s="61"/>
      <c r="CA57" s="45">
        <f>'Filter-old'!R54</f>
        <v>0</v>
      </c>
      <c r="CB57" s="61">
        <f>'Filter-new'!R54</f>
        <v>16800</v>
      </c>
      <c r="CC57" s="61"/>
      <c r="CD57" s="58"/>
      <c r="CE57" s="61">
        <f>'Filter-new'!R543</f>
        <v>0</v>
      </c>
      <c r="CF57" s="57"/>
      <c r="CG57" s="4"/>
    </row>
    <row r="58" spans="1:85" hidden="1" x14ac:dyDescent="0.2">
      <c r="A58">
        <v>0</v>
      </c>
      <c r="B58" s="59">
        <v>38473</v>
      </c>
      <c r="C58" s="59">
        <f>'Filter-new'!C55</f>
        <v>38473</v>
      </c>
      <c r="D58" s="60">
        <f t="shared" si="3"/>
        <v>2005</v>
      </c>
      <c r="E58" s="60">
        <f>VLOOKUP($C58,calendar!$A$2:$D$121,4,FALSE)*(1-(H58=0))</f>
        <v>336</v>
      </c>
      <c r="F58" s="60">
        <f>VLOOKUP($C58,calendar!$A$2:$D$121,3,FALSE)*(1-(I58=0))</f>
        <v>408</v>
      </c>
      <c r="G58" s="36">
        <f t="shared" si="4"/>
        <v>139062.84</v>
      </c>
      <c r="H58" s="36">
        <f t="shared" si="5"/>
        <v>21419.32</v>
      </c>
      <c r="I58" s="36">
        <f t="shared" si="6"/>
        <v>63664</v>
      </c>
      <c r="J58" s="41"/>
      <c r="K58" s="45">
        <f>'Filter-old'!E55</f>
        <v>73867.61</v>
      </c>
      <c r="L58" s="61">
        <f>'Filter-new'!E55</f>
        <v>-22280.54</v>
      </c>
      <c r="M58" s="62"/>
      <c r="N58" s="62"/>
      <c r="O58" s="429">
        <f>'Filter-new'!E544</f>
        <v>63664</v>
      </c>
      <c r="P58" s="62"/>
      <c r="Q58" s="45">
        <f>'Filter-old'!H55</f>
        <v>16800</v>
      </c>
      <c r="R58" s="61">
        <f>'Filter-new'!H55</f>
        <v>-16800</v>
      </c>
      <c r="S58" s="62"/>
      <c r="T58" s="62"/>
      <c r="U58" s="445">
        <f>'Filter-new'!H544</f>
        <v>0</v>
      </c>
      <c r="V58" s="62"/>
      <c r="W58" s="45">
        <f>'Filter-old'!J55</f>
        <v>0</v>
      </c>
      <c r="X58" s="61">
        <f>'Filter-new'!J55</f>
        <v>0</v>
      </c>
      <c r="Y58" s="62"/>
      <c r="Z58" s="62"/>
      <c r="AA58" s="45">
        <f>'Filter-old'!F55</f>
        <v>0</v>
      </c>
      <c r="AB58" s="61">
        <f>'Filter-new'!F55</f>
        <v>0</v>
      </c>
      <c r="AC58" s="62"/>
      <c r="AD58" s="62"/>
      <c r="AE58" s="45">
        <f>'Filter-old'!P55</f>
        <v>0</v>
      </c>
      <c r="AF58" s="61">
        <f>'Filter-new'!P55</f>
        <v>0</v>
      </c>
      <c r="AG58" s="62"/>
      <c r="AH58" s="62"/>
      <c r="AI58" s="45">
        <f>'Filter-old'!L55</f>
        <v>0</v>
      </c>
      <c r="AJ58" s="61">
        <f>'Filter-new'!L55</f>
        <v>0</v>
      </c>
      <c r="AK58" s="62"/>
      <c r="AL58" s="62"/>
      <c r="AM58" s="62">
        <f>'Filter-new'!L544</f>
        <v>0</v>
      </c>
      <c r="AN58" s="62"/>
      <c r="AO58" s="45">
        <f>'Filter-old'!G55</f>
        <v>0</v>
      </c>
      <c r="AP58" s="61">
        <f>'Filter-new'!G55</f>
        <v>0</v>
      </c>
      <c r="AQ58" s="62"/>
      <c r="AR58" s="62"/>
      <c r="AS58" s="45"/>
      <c r="AT58" s="61"/>
      <c r="AU58" s="62"/>
      <c r="AV58" s="62"/>
      <c r="AW58" s="45">
        <f>'Filter-old'!I55</f>
        <v>-25200</v>
      </c>
      <c r="AX58" s="61">
        <f>'Filter-new'!I55</f>
        <v>8400</v>
      </c>
      <c r="AY58" s="62"/>
      <c r="AZ58" s="62"/>
      <c r="BA58" s="62">
        <f>'Filter-new'!I544</f>
        <v>0</v>
      </c>
      <c r="BB58" s="62"/>
      <c r="BC58" s="45">
        <f>'Filter-old'!K55</f>
        <v>0</v>
      </c>
      <c r="BD58" s="61">
        <f>'Filter-new'!K55</f>
        <v>0</v>
      </c>
      <c r="BE58" s="62"/>
      <c r="BF58" s="62"/>
      <c r="BG58" s="45">
        <f>'Filter-old'!M55</f>
        <v>0</v>
      </c>
      <c r="BH58" s="62">
        <f>'Filter-new'!K544</f>
        <v>0</v>
      </c>
      <c r="BI58" s="61"/>
      <c r="BJ58" s="61">
        <f>'Filter-new'!M55</f>
        <v>0</v>
      </c>
      <c r="BK58" s="62"/>
      <c r="BL58" s="62"/>
      <c r="BM58" s="62"/>
      <c r="BN58" s="406">
        <f>'Filter-new'!N55</f>
        <v>0</v>
      </c>
      <c r="BO58" s="62"/>
      <c r="BP58" s="62"/>
      <c r="BQ58" s="45">
        <f>'Filter-old'!O55</f>
        <v>0</v>
      </c>
      <c r="BR58" s="61">
        <f>'Filter-new'!O55</f>
        <v>0</v>
      </c>
      <c r="BS58" s="62"/>
      <c r="BT58" s="62"/>
      <c r="BU58" s="45">
        <f>'Filter-old'!Q55</f>
        <v>73595.23</v>
      </c>
      <c r="BV58" s="61">
        <f>'Filter-new'!Q55</f>
        <v>35299.86</v>
      </c>
      <c r="BW58" s="61"/>
      <c r="BX58" s="61"/>
      <c r="BY58" s="61">
        <f>'Filter-new'!Q544</f>
        <v>0</v>
      </c>
      <c r="BZ58" s="61"/>
      <c r="CA58" s="45">
        <f>'Filter-old'!R55</f>
        <v>0</v>
      </c>
      <c r="CB58" s="61">
        <f>'Filter-new'!R55</f>
        <v>16800</v>
      </c>
      <c r="CC58" s="61"/>
      <c r="CD58" s="58"/>
      <c r="CE58" s="61">
        <f>'Filter-new'!R544</f>
        <v>0</v>
      </c>
      <c r="CF58" s="57"/>
      <c r="CG58" s="4"/>
    </row>
    <row r="59" spans="1:85" hidden="1" x14ac:dyDescent="0.2">
      <c r="A59">
        <v>0</v>
      </c>
      <c r="B59" s="59">
        <v>38504</v>
      </c>
      <c r="C59" s="59">
        <f>'Filter-new'!C56</f>
        <v>38504</v>
      </c>
      <c r="D59" s="60">
        <f t="shared" si="3"/>
        <v>2005</v>
      </c>
      <c r="E59" s="60">
        <f>VLOOKUP($C59,calendar!$A$2:$D$121,4,FALSE)*(1-(H59=0))</f>
        <v>352</v>
      </c>
      <c r="F59" s="60">
        <f>VLOOKUP($C59,calendar!$A$2:$D$121,3,FALSE)*(1-(I59=0))</f>
        <v>368</v>
      </c>
      <c r="G59" s="36">
        <f t="shared" si="4"/>
        <v>130511.47</v>
      </c>
      <c r="H59" s="36">
        <f t="shared" si="5"/>
        <v>6987.43</v>
      </c>
      <c r="I59" s="36">
        <f t="shared" si="6"/>
        <v>73352</v>
      </c>
      <c r="J59" s="41"/>
      <c r="K59" s="45">
        <f>'Filter-old'!E56</f>
        <v>62888.61</v>
      </c>
      <c r="L59" s="61">
        <f>'Filter-new'!E56</f>
        <v>-38317</v>
      </c>
      <c r="M59" s="62"/>
      <c r="N59" s="62"/>
      <c r="O59" s="429">
        <f>'Filter-new'!E545</f>
        <v>73352</v>
      </c>
      <c r="P59" s="62"/>
      <c r="Q59" s="45">
        <f>'Filter-old'!H56</f>
        <v>17600</v>
      </c>
      <c r="R59" s="61">
        <f>'Filter-new'!H56</f>
        <v>-17600</v>
      </c>
      <c r="S59" s="62"/>
      <c r="T59" s="62"/>
      <c r="U59" s="445">
        <f>'Filter-new'!H545</f>
        <v>0</v>
      </c>
      <c r="V59" s="62"/>
      <c r="W59" s="45">
        <f>'Filter-old'!J56</f>
        <v>0</v>
      </c>
      <c r="X59" s="61">
        <f>'Filter-new'!J56</f>
        <v>0</v>
      </c>
      <c r="Y59" s="62"/>
      <c r="Z59" s="62"/>
      <c r="AA59" s="45">
        <f>'Filter-old'!F56</f>
        <v>0</v>
      </c>
      <c r="AB59" s="61">
        <f>'Filter-new'!F56</f>
        <v>0</v>
      </c>
      <c r="AC59" s="62"/>
      <c r="AD59" s="62"/>
      <c r="AE59" s="45">
        <f>'Filter-old'!P56</f>
        <v>0</v>
      </c>
      <c r="AF59" s="61">
        <f>'Filter-new'!P56</f>
        <v>0</v>
      </c>
      <c r="AG59" s="62"/>
      <c r="AH59" s="62"/>
      <c r="AI59" s="45">
        <f>'Filter-old'!L56</f>
        <v>0</v>
      </c>
      <c r="AJ59" s="61">
        <f>'Filter-new'!L56</f>
        <v>0</v>
      </c>
      <c r="AK59" s="62"/>
      <c r="AL59" s="62"/>
      <c r="AM59" s="62">
        <f>'Filter-new'!L545</f>
        <v>0</v>
      </c>
      <c r="AN59" s="62"/>
      <c r="AO59" s="45">
        <f>'Filter-old'!G56</f>
        <v>0</v>
      </c>
      <c r="AP59" s="61">
        <f>'Filter-new'!G56</f>
        <v>0</v>
      </c>
      <c r="AQ59" s="62"/>
      <c r="AR59" s="62"/>
      <c r="AS59" s="45"/>
      <c r="AT59" s="61"/>
      <c r="AU59" s="62"/>
      <c r="AV59" s="62"/>
      <c r="AW59" s="45">
        <f>'Filter-old'!I56</f>
        <v>-26400</v>
      </c>
      <c r="AX59" s="61">
        <f>'Filter-new'!I56</f>
        <v>8800</v>
      </c>
      <c r="AY59" s="62"/>
      <c r="AZ59" s="62"/>
      <c r="BA59" s="62">
        <f>'Filter-new'!I545</f>
        <v>0</v>
      </c>
      <c r="BB59" s="62"/>
      <c r="BC59" s="45">
        <f>'Filter-old'!K56</f>
        <v>0</v>
      </c>
      <c r="BD59" s="61">
        <f>'Filter-new'!K56</f>
        <v>0</v>
      </c>
      <c r="BE59" s="62"/>
      <c r="BF59" s="62"/>
      <c r="BG59" s="45">
        <f>'Filter-old'!M56</f>
        <v>0</v>
      </c>
      <c r="BH59" s="62">
        <f>'Filter-new'!K545</f>
        <v>0</v>
      </c>
      <c r="BI59" s="61"/>
      <c r="BJ59" s="61">
        <f>'Filter-new'!M56</f>
        <v>0</v>
      </c>
      <c r="BK59" s="62"/>
      <c r="BL59" s="62"/>
      <c r="BM59" s="62"/>
      <c r="BN59" s="406">
        <f>'Filter-new'!N56</f>
        <v>0</v>
      </c>
      <c r="BO59" s="62"/>
      <c r="BP59" s="62"/>
      <c r="BQ59" s="45">
        <f>'Filter-old'!O56</f>
        <v>0</v>
      </c>
      <c r="BR59" s="61">
        <f>'Filter-new'!O56</f>
        <v>0</v>
      </c>
      <c r="BS59" s="62"/>
      <c r="BT59" s="62"/>
      <c r="BU59" s="45">
        <f>'Filter-old'!Q56</f>
        <v>76422.86</v>
      </c>
      <c r="BV59" s="61">
        <f>'Filter-new'!Q56</f>
        <v>36504.43</v>
      </c>
      <c r="BW59" s="61"/>
      <c r="BX59" s="61"/>
      <c r="BY59" s="61">
        <f>'Filter-new'!Q545</f>
        <v>0</v>
      </c>
      <c r="BZ59" s="61"/>
      <c r="CA59" s="45">
        <f>'Filter-old'!R56</f>
        <v>0</v>
      </c>
      <c r="CB59" s="61">
        <f>'Filter-new'!R56</f>
        <v>17600</v>
      </c>
      <c r="CC59" s="61"/>
      <c r="CD59" s="58"/>
      <c r="CE59" s="61">
        <f>'Filter-new'!R545</f>
        <v>0</v>
      </c>
      <c r="CF59" s="57"/>
      <c r="CG59" s="4"/>
    </row>
    <row r="60" spans="1:85" hidden="1" x14ac:dyDescent="0.2">
      <c r="A60">
        <v>0</v>
      </c>
      <c r="B60" s="59">
        <v>38534</v>
      </c>
      <c r="C60" s="59">
        <f>'Filter-new'!C57</f>
        <v>38534</v>
      </c>
      <c r="D60" s="60">
        <f t="shared" si="3"/>
        <v>2005</v>
      </c>
      <c r="E60" s="60">
        <f>VLOOKUP($C60,calendar!$A$2:$D$121,4,FALSE)*(1-(H60=0))</f>
        <v>320</v>
      </c>
      <c r="F60" s="60">
        <f>VLOOKUP($C60,calendar!$A$2:$D$121,3,FALSE)*(1-(I60=0))</f>
        <v>424</v>
      </c>
      <c r="G60" s="36">
        <f t="shared" si="4"/>
        <v>104968.39</v>
      </c>
      <c r="H60" s="36">
        <f t="shared" si="5"/>
        <v>19413</v>
      </c>
      <c r="I60" s="36">
        <f t="shared" si="6"/>
        <v>65048</v>
      </c>
      <c r="J60" s="41"/>
      <c r="K60" s="45">
        <f>'Filter-old'!E57</f>
        <v>44117.61</v>
      </c>
      <c r="L60" s="61">
        <f>'Filter-new'!E57</f>
        <v>-21016</v>
      </c>
      <c r="M60" s="62"/>
      <c r="N60" s="62"/>
      <c r="O60" s="429">
        <f>'Filter-new'!E546</f>
        <v>65048</v>
      </c>
      <c r="P60" s="62"/>
      <c r="Q60" s="45">
        <f>'Filter-old'!H57</f>
        <v>16000</v>
      </c>
      <c r="R60" s="61">
        <f>'Filter-new'!H57</f>
        <v>-16000</v>
      </c>
      <c r="S60" s="62"/>
      <c r="T60" s="62"/>
      <c r="U60" s="445">
        <f>'Filter-new'!H546</f>
        <v>0</v>
      </c>
      <c r="V60" s="62"/>
      <c r="W60" s="45">
        <f>'Filter-old'!J57</f>
        <v>0</v>
      </c>
      <c r="X60" s="61">
        <f>'Filter-new'!J57</f>
        <v>0</v>
      </c>
      <c r="Y60" s="62"/>
      <c r="Z60" s="62"/>
      <c r="AA60" s="45">
        <f>'Filter-old'!F57</f>
        <v>0</v>
      </c>
      <c r="AB60" s="61">
        <f>'Filter-new'!F57</f>
        <v>0</v>
      </c>
      <c r="AC60" s="62"/>
      <c r="AD60" s="62"/>
      <c r="AE60" s="45">
        <f>'Filter-old'!P57</f>
        <v>0</v>
      </c>
      <c r="AF60" s="61">
        <f>'Filter-new'!P57</f>
        <v>0</v>
      </c>
      <c r="AG60" s="62"/>
      <c r="AH60" s="62"/>
      <c r="AI60" s="45">
        <f>'Filter-old'!L57</f>
        <v>0</v>
      </c>
      <c r="AJ60" s="61">
        <f>'Filter-new'!L57</f>
        <v>-320</v>
      </c>
      <c r="AK60" s="62"/>
      <c r="AL60" s="62"/>
      <c r="AM60" s="62">
        <f>'Filter-new'!L546</f>
        <v>0</v>
      </c>
      <c r="AN60" s="62"/>
      <c r="AO60" s="45">
        <f>'Filter-old'!G57</f>
        <v>0</v>
      </c>
      <c r="AP60" s="61">
        <f>'Filter-new'!G57</f>
        <v>0</v>
      </c>
      <c r="AQ60" s="62"/>
      <c r="AR60" s="62"/>
      <c r="AS60" s="45"/>
      <c r="AT60" s="61"/>
      <c r="AU60" s="62"/>
      <c r="AV60" s="62"/>
      <c r="AW60" s="45">
        <f>'Filter-old'!I57</f>
        <v>-24000</v>
      </c>
      <c r="AX60" s="61">
        <f>'Filter-new'!I57</f>
        <v>8000</v>
      </c>
      <c r="AY60" s="62"/>
      <c r="AZ60" s="62"/>
      <c r="BA60" s="62">
        <f>'Filter-new'!I546</f>
        <v>0</v>
      </c>
      <c r="BB60" s="62"/>
      <c r="BC60" s="45">
        <f>'Filter-old'!K57</f>
        <v>0</v>
      </c>
      <c r="BD60" s="61">
        <f>'Filter-new'!K57</f>
        <v>0</v>
      </c>
      <c r="BE60" s="62"/>
      <c r="BF60" s="62"/>
      <c r="BG60" s="45">
        <f>'Filter-old'!M57</f>
        <v>0</v>
      </c>
      <c r="BH60" s="62">
        <f>'Filter-new'!K546</f>
        <v>0</v>
      </c>
      <c r="BI60" s="61"/>
      <c r="BJ60" s="61">
        <f>'Filter-new'!M57</f>
        <v>0</v>
      </c>
      <c r="BK60" s="62"/>
      <c r="BL60" s="62"/>
      <c r="BM60" s="62"/>
      <c r="BN60" s="406">
        <f>'Filter-new'!N57</f>
        <v>0</v>
      </c>
      <c r="BO60" s="62"/>
      <c r="BP60" s="62"/>
      <c r="BQ60" s="45">
        <f>'Filter-old'!O57</f>
        <v>0</v>
      </c>
      <c r="BR60" s="61">
        <f>'Filter-new'!O57</f>
        <v>0</v>
      </c>
      <c r="BS60" s="62"/>
      <c r="BT60" s="62"/>
      <c r="BU60" s="45">
        <f>'Filter-old'!Q57</f>
        <v>68850.78</v>
      </c>
      <c r="BV60" s="61">
        <f>'Filter-new'!Q57</f>
        <v>32749</v>
      </c>
      <c r="BW60" s="61"/>
      <c r="BX60" s="61"/>
      <c r="BY60" s="61">
        <f>'Filter-new'!Q546</f>
        <v>0</v>
      </c>
      <c r="BZ60" s="61"/>
      <c r="CA60" s="45">
        <f>'Filter-old'!R57</f>
        <v>0</v>
      </c>
      <c r="CB60" s="61">
        <f>'Filter-new'!R57</f>
        <v>16000</v>
      </c>
      <c r="CC60" s="61"/>
      <c r="CD60" s="58"/>
      <c r="CE60" s="61">
        <f>'Filter-new'!R546</f>
        <v>0</v>
      </c>
      <c r="CF60" s="57"/>
      <c r="CG60" s="4"/>
    </row>
    <row r="61" spans="1:85" hidden="1" x14ac:dyDescent="0.2">
      <c r="A61">
        <v>0</v>
      </c>
      <c r="B61" s="59">
        <v>38565</v>
      </c>
      <c r="C61" s="59">
        <f>'Filter-new'!C58</f>
        <v>38565</v>
      </c>
      <c r="D61" s="60">
        <f t="shared" si="3"/>
        <v>2005</v>
      </c>
      <c r="E61" s="60">
        <f>VLOOKUP($C61,calendar!$A$2:$D$121,4,FALSE)*(1-(H61=0))</f>
        <v>368</v>
      </c>
      <c r="F61" s="60">
        <f>VLOOKUP($C61,calendar!$A$2:$D$121,3,FALSE)*(1-(I61=0))</f>
        <v>376</v>
      </c>
      <c r="G61" s="36">
        <f t="shared" si="4"/>
        <v>120314.04</v>
      </c>
      <c r="H61" s="36">
        <f t="shared" si="5"/>
        <v>22572</v>
      </c>
      <c r="I61" s="36">
        <f t="shared" si="6"/>
        <v>66432</v>
      </c>
      <c r="J61" s="41"/>
      <c r="K61" s="45">
        <f>'Filter-old'!E58</f>
        <v>50464.75</v>
      </c>
      <c r="L61" s="61">
        <f>'Filter-new'!E58</f>
        <v>-24049</v>
      </c>
      <c r="M61" s="62"/>
      <c r="N61" s="62"/>
      <c r="O61" s="429">
        <f>'Filter-new'!E547</f>
        <v>66432</v>
      </c>
      <c r="P61" s="62"/>
      <c r="Q61" s="45">
        <f>'Filter-old'!H58</f>
        <v>18400</v>
      </c>
      <c r="R61" s="61">
        <f>'Filter-new'!H58</f>
        <v>-18400</v>
      </c>
      <c r="S61" s="62"/>
      <c r="T61" s="62"/>
      <c r="U61" s="445">
        <f>'Filter-new'!H547</f>
        <v>0</v>
      </c>
      <c r="V61" s="62"/>
      <c r="W61" s="45">
        <f>'Filter-old'!J58</f>
        <v>0</v>
      </c>
      <c r="X61" s="61">
        <f>'Filter-new'!J58</f>
        <v>0</v>
      </c>
      <c r="Y61" s="62"/>
      <c r="Z61" s="62"/>
      <c r="AA61" s="45">
        <f>'Filter-old'!F58</f>
        <v>0</v>
      </c>
      <c r="AB61" s="61">
        <f>'Filter-new'!F58</f>
        <v>0</v>
      </c>
      <c r="AC61" s="62"/>
      <c r="AD61" s="62"/>
      <c r="AE61" s="45">
        <f>'Filter-old'!P58</f>
        <v>0</v>
      </c>
      <c r="AF61" s="61">
        <f>'Filter-new'!P58</f>
        <v>0</v>
      </c>
      <c r="AG61" s="62"/>
      <c r="AH61" s="62"/>
      <c r="AI61" s="45">
        <f>'Filter-old'!L58</f>
        <v>0</v>
      </c>
      <c r="AJ61" s="61">
        <f>'Filter-new'!L58</f>
        <v>-368</v>
      </c>
      <c r="AK61" s="62"/>
      <c r="AL61" s="62"/>
      <c r="AM61" s="62">
        <f>'Filter-new'!L547</f>
        <v>0</v>
      </c>
      <c r="AN61" s="62"/>
      <c r="AO61" s="45">
        <f>'Filter-old'!G58</f>
        <v>0</v>
      </c>
      <c r="AP61" s="61">
        <f>'Filter-new'!G58</f>
        <v>0</v>
      </c>
      <c r="AQ61" s="62"/>
      <c r="AR61" s="62"/>
      <c r="AS61" s="45"/>
      <c r="AT61" s="61"/>
      <c r="AU61" s="62"/>
      <c r="AV61" s="62"/>
      <c r="AW61" s="45">
        <f>'Filter-old'!I58</f>
        <v>-27600</v>
      </c>
      <c r="AX61" s="61">
        <f>'Filter-new'!I58</f>
        <v>9200</v>
      </c>
      <c r="AY61" s="62"/>
      <c r="AZ61" s="62"/>
      <c r="BA61" s="62">
        <f>'Filter-new'!I547</f>
        <v>0</v>
      </c>
      <c r="BB61" s="62"/>
      <c r="BC61" s="45">
        <f>'Filter-old'!K58</f>
        <v>0</v>
      </c>
      <c r="BD61" s="61">
        <f>'Filter-new'!K58</f>
        <v>0</v>
      </c>
      <c r="BE61" s="62"/>
      <c r="BF61" s="62"/>
      <c r="BG61" s="45">
        <f>'Filter-old'!M58</f>
        <v>0</v>
      </c>
      <c r="BH61" s="62">
        <f>'Filter-new'!K547</f>
        <v>0</v>
      </c>
      <c r="BI61" s="61"/>
      <c r="BJ61" s="61">
        <f>'Filter-new'!M58</f>
        <v>0</v>
      </c>
      <c r="BK61" s="62"/>
      <c r="BL61" s="62"/>
      <c r="BM61" s="62"/>
      <c r="BN61" s="406">
        <f>'Filter-new'!N58</f>
        <v>0</v>
      </c>
      <c r="BO61" s="62"/>
      <c r="BP61" s="62"/>
      <c r="BQ61" s="45">
        <f>'Filter-old'!O58</f>
        <v>0</v>
      </c>
      <c r="BR61" s="61">
        <f>'Filter-new'!O58</f>
        <v>0</v>
      </c>
      <c r="BS61" s="62"/>
      <c r="BT61" s="62"/>
      <c r="BU61" s="45">
        <f>'Filter-old'!Q58</f>
        <v>79049.289999999994</v>
      </c>
      <c r="BV61" s="61">
        <f>'Filter-new'!Q58</f>
        <v>37789</v>
      </c>
      <c r="BW61" s="61"/>
      <c r="BX61" s="61"/>
      <c r="BY61" s="61">
        <f>'Filter-new'!Q547</f>
        <v>0</v>
      </c>
      <c r="BZ61" s="61"/>
      <c r="CA61" s="45">
        <f>'Filter-old'!R58</f>
        <v>0</v>
      </c>
      <c r="CB61" s="61">
        <f>'Filter-new'!R58</f>
        <v>18400</v>
      </c>
      <c r="CC61" s="61"/>
      <c r="CD61" s="58"/>
      <c r="CE61" s="61">
        <f>'Filter-new'!R547</f>
        <v>0</v>
      </c>
      <c r="CF61" s="57"/>
      <c r="CG61" s="4"/>
    </row>
    <row r="62" spans="1:85" hidden="1" x14ac:dyDescent="0.2">
      <c r="A62">
        <v>0</v>
      </c>
      <c r="B62" s="59">
        <v>38596</v>
      </c>
      <c r="C62" s="59">
        <f>'Filter-new'!C59</f>
        <v>38596</v>
      </c>
      <c r="D62" s="60">
        <f t="shared" si="3"/>
        <v>2005</v>
      </c>
      <c r="E62" s="60">
        <f>VLOOKUP($C62,calendar!$A$2:$D$121,4,FALSE)*(1-(H62=0))</f>
        <v>336</v>
      </c>
      <c r="F62" s="60">
        <f>VLOOKUP($C62,calendar!$A$2:$D$121,3,FALSE)*(1-(I62=0))</f>
        <v>384</v>
      </c>
      <c r="G62" s="36">
        <f t="shared" si="4"/>
        <v>135999.28999999998</v>
      </c>
      <c r="H62" s="36">
        <f t="shared" si="5"/>
        <v>21169.54</v>
      </c>
      <c r="I62" s="36">
        <f t="shared" si="6"/>
        <v>70757</v>
      </c>
      <c r="J62" s="41"/>
      <c r="K62" s="45">
        <f>'Filter-old'!E59</f>
        <v>72333</v>
      </c>
      <c r="L62" s="61">
        <f>'Filter-new'!E59</f>
        <v>-21853.11</v>
      </c>
      <c r="M62" s="62"/>
      <c r="N62" s="62"/>
      <c r="O62" s="429">
        <f>'Filter-new'!E548</f>
        <v>70757</v>
      </c>
      <c r="P62" s="62"/>
      <c r="Q62" s="45">
        <f>'Filter-old'!H59</f>
        <v>16800</v>
      </c>
      <c r="R62" s="61">
        <f>'Filter-new'!H59</f>
        <v>-16800</v>
      </c>
      <c r="S62" s="62"/>
      <c r="T62" s="62"/>
      <c r="U62" s="445">
        <f>'Filter-new'!H548</f>
        <v>0</v>
      </c>
      <c r="V62" s="62"/>
      <c r="W62" s="45">
        <f>'Filter-old'!J59</f>
        <v>0</v>
      </c>
      <c r="X62" s="61">
        <f>'Filter-new'!J59</f>
        <v>0</v>
      </c>
      <c r="Y62" s="62"/>
      <c r="Z62" s="62"/>
      <c r="AA62" s="45">
        <f>'Filter-old'!F59</f>
        <v>0</v>
      </c>
      <c r="AB62" s="61">
        <f>'Filter-new'!F59</f>
        <v>0</v>
      </c>
      <c r="AC62" s="62"/>
      <c r="AD62" s="62"/>
      <c r="AE62" s="45">
        <f>'Filter-old'!P59</f>
        <v>0</v>
      </c>
      <c r="AF62" s="61">
        <f>'Filter-new'!P59</f>
        <v>0</v>
      </c>
      <c r="AG62" s="62"/>
      <c r="AH62" s="62"/>
      <c r="AI62" s="45">
        <f>'Filter-old'!L59</f>
        <v>0</v>
      </c>
      <c r="AJ62" s="61">
        <f>'Filter-new'!L59</f>
        <v>0</v>
      </c>
      <c r="AK62" s="62"/>
      <c r="AL62" s="62"/>
      <c r="AM62" s="62">
        <f>'Filter-new'!L548</f>
        <v>0</v>
      </c>
      <c r="AN62" s="62"/>
      <c r="AO62" s="45">
        <f>'Filter-old'!G59</f>
        <v>0</v>
      </c>
      <c r="AP62" s="61">
        <f>'Filter-new'!G59</f>
        <v>0</v>
      </c>
      <c r="AQ62" s="62"/>
      <c r="AR62" s="62"/>
      <c r="AS62" s="45"/>
      <c r="AT62" s="61"/>
      <c r="AU62" s="62"/>
      <c r="AV62" s="62"/>
      <c r="AW62" s="45">
        <f>'Filter-old'!I59</f>
        <v>-25200</v>
      </c>
      <c r="AX62" s="61">
        <f>'Filter-new'!I59</f>
        <v>8400</v>
      </c>
      <c r="AY62" s="62"/>
      <c r="AZ62" s="62"/>
      <c r="BA62" s="62">
        <f>'Filter-new'!I548</f>
        <v>0</v>
      </c>
      <c r="BB62" s="62"/>
      <c r="BC62" s="45">
        <f>'Filter-old'!K59</f>
        <v>0</v>
      </c>
      <c r="BD62" s="61">
        <f>'Filter-new'!K59</f>
        <v>0</v>
      </c>
      <c r="BE62" s="62"/>
      <c r="BF62" s="62"/>
      <c r="BG62" s="45">
        <f>'Filter-old'!M59</f>
        <v>0</v>
      </c>
      <c r="BH62" s="62">
        <f>'Filter-new'!K548</f>
        <v>0</v>
      </c>
      <c r="BI62" s="61"/>
      <c r="BJ62" s="61">
        <f>'Filter-new'!M59</f>
        <v>0</v>
      </c>
      <c r="BK62" s="62"/>
      <c r="BL62" s="62"/>
      <c r="BM62" s="62"/>
      <c r="BN62" s="406">
        <f>'Filter-new'!N59</f>
        <v>0</v>
      </c>
      <c r="BO62" s="62"/>
      <c r="BP62" s="62"/>
      <c r="BQ62" s="45">
        <f>'Filter-old'!O59</f>
        <v>0</v>
      </c>
      <c r="BR62" s="61">
        <f>'Filter-new'!O59</f>
        <v>0</v>
      </c>
      <c r="BS62" s="62"/>
      <c r="BT62" s="62"/>
      <c r="BU62" s="45">
        <f>'Filter-old'!Q59</f>
        <v>72066.289999999994</v>
      </c>
      <c r="BV62" s="61">
        <f>'Filter-new'!Q59</f>
        <v>34622.65</v>
      </c>
      <c r="BW62" s="61"/>
      <c r="BX62" s="61"/>
      <c r="BY62" s="61">
        <f>'Filter-new'!Q548</f>
        <v>0</v>
      </c>
      <c r="BZ62" s="61"/>
      <c r="CA62" s="45">
        <f>'Filter-old'!R59</f>
        <v>0</v>
      </c>
      <c r="CB62" s="61">
        <f>'Filter-new'!R59</f>
        <v>16800</v>
      </c>
      <c r="CC62" s="61"/>
      <c r="CD62" s="58"/>
      <c r="CE62" s="61">
        <f>'Filter-new'!R548</f>
        <v>0</v>
      </c>
      <c r="CF62" s="57"/>
      <c r="CG62" s="4"/>
    </row>
    <row r="63" spans="1:85" hidden="1" x14ac:dyDescent="0.2">
      <c r="A63">
        <v>0</v>
      </c>
      <c r="B63" s="59">
        <v>38626</v>
      </c>
      <c r="C63" s="59">
        <f>'Filter-new'!C60</f>
        <v>38626</v>
      </c>
      <c r="D63" s="60">
        <f t="shared" si="3"/>
        <v>2005</v>
      </c>
      <c r="E63" s="60">
        <f>VLOOKUP($C63,calendar!$A$2:$D$121,4,FALSE)*(1-(H63=0))</f>
        <v>336</v>
      </c>
      <c r="F63" s="60">
        <f>VLOOKUP($C63,calendar!$A$2:$D$121,3,FALSE)*(1-(I63=0))</f>
        <v>408</v>
      </c>
      <c r="G63" s="36">
        <f t="shared" si="4"/>
        <v>135220.85999999999</v>
      </c>
      <c r="H63" s="36">
        <f t="shared" si="5"/>
        <v>21106.300000000003</v>
      </c>
      <c r="I63" s="36">
        <f t="shared" si="6"/>
        <v>66432</v>
      </c>
      <c r="J63" s="41"/>
      <c r="K63" s="45">
        <f>'Filter-old'!E60</f>
        <v>71943.09</v>
      </c>
      <c r="L63" s="61">
        <f>'Filter-new'!E60</f>
        <v>-21744.92</v>
      </c>
      <c r="M63" s="62"/>
      <c r="N63" s="62"/>
      <c r="O63" s="429">
        <f>'Filter-new'!E549</f>
        <v>66432</v>
      </c>
      <c r="P63" s="62"/>
      <c r="Q63" s="45">
        <f>'Filter-old'!H60</f>
        <v>16800</v>
      </c>
      <c r="R63" s="61">
        <f>'Filter-new'!H60</f>
        <v>-16800</v>
      </c>
      <c r="S63" s="62"/>
      <c r="T63" s="62"/>
      <c r="U63" s="445">
        <f>'Filter-new'!H549</f>
        <v>0</v>
      </c>
      <c r="V63" s="62"/>
      <c r="W63" s="45">
        <f>'Filter-old'!J60</f>
        <v>0</v>
      </c>
      <c r="X63" s="61">
        <f>'Filter-new'!J60</f>
        <v>0</v>
      </c>
      <c r="Y63" s="62"/>
      <c r="Z63" s="62"/>
      <c r="AA63" s="45">
        <f>'Filter-old'!F60</f>
        <v>0</v>
      </c>
      <c r="AB63" s="61">
        <f>'Filter-new'!F60</f>
        <v>0</v>
      </c>
      <c r="AC63" s="62"/>
      <c r="AD63" s="62"/>
      <c r="AE63" s="45">
        <f>'Filter-old'!P60</f>
        <v>0</v>
      </c>
      <c r="AF63" s="61">
        <f>'Filter-new'!P60</f>
        <v>0</v>
      </c>
      <c r="AG63" s="62"/>
      <c r="AH63" s="62"/>
      <c r="AI63" s="45">
        <f>'Filter-old'!L60</f>
        <v>0</v>
      </c>
      <c r="AJ63" s="61">
        <f>'Filter-new'!L60</f>
        <v>0</v>
      </c>
      <c r="AK63" s="62"/>
      <c r="AL63" s="62"/>
      <c r="AM63" s="62">
        <f>'Filter-new'!L549</f>
        <v>0</v>
      </c>
      <c r="AN63" s="62"/>
      <c r="AO63" s="45">
        <f>'Filter-old'!G60</f>
        <v>0</v>
      </c>
      <c r="AP63" s="61">
        <f>'Filter-new'!G60</f>
        <v>0</v>
      </c>
      <c r="AQ63" s="62"/>
      <c r="AR63" s="62"/>
      <c r="AS63" s="45"/>
      <c r="AT63" s="61"/>
      <c r="AU63" s="62"/>
      <c r="AV63" s="62"/>
      <c r="AW63" s="45">
        <f>'Filter-old'!I60</f>
        <v>-25200</v>
      </c>
      <c r="AX63" s="61">
        <f>'Filter-new'!I60</f>
        <v>8400</v>
      </c>
      <c r="AY63" s="62"/>
      <c r="AZ63" s="62"/>
      <c r="BA63" s="62">
        <f>'Filter-new'!I549</f>
        <v>0</v>
      </c>
      <c r="BB63" s="62"/>
      <c r="BC63" s="45">
        <f>'Filter-old'!K60</f>
        <v>0</v>
      </c>
      <c r="BD63" s="61">
        <f>'Filter-new'!K60</f>
        <v>0</v>
      </c>
      <c r="BE63" s="62"/>
      <c r="BF63" s="62"/>
      <c r="BG63" s="45">
        <f>'Filter-old'!M60</f>
        <v>0</v>
      </c>
      <c r="BH63" s="62">
        <f>'Filter-new'!K549</f>
        <v>0</v>
      </c>
      <c r="BI63" s="61"/>
      <c r="BJ63" s="61">
        <f>'Filter-new'!M60</f>
        <v>0</v>
      </c>
      <c r="BK63" s="62"/>
      <c r="BL63" s="62"/>
      <c r="BM63" s="62"/>
      <c r="BN63" s="406">
        <f>'Filter-new'!N60</f>
        <v>0</v>
      </c>
      <c r="BO63" s="62"/>
      <c r="BP63" s="62"/>
      <c r="BQ63" s="45">
        <f>'Filter-old'!O60</f>
        <v>0</v>
      </c>
      <c r="BR63" s="61">
        <f>'Filter-new'!O60</f>
        <v>0</v>
      </c>
      <c r="BS63" s="62"/>
      <c r="BT63" s="62"/>
      <c r="BU63" s="45">
        <f>'Filter-old'!Q60</f>
        <v>71677.77</v>
      </c>
      <c r="BV63" s="61">
        <f>'Filter-new'!Q60</f>
        <v>34451.22</v>
      </c>
      <c r="BW63" s="61"/>
      <c r="BX63" s="61"/>
      <c r="BY63" s="61">
        <f>'Filter-new'!Q549</f>
        <v>0</v>
      </c>
      <c r="BZ63" s="61"/>
      <c r="CA63" s="45">
        <f>'Filter-old'!R60</f>
        <v>0</v>
      </c>
      <c r="CB63" s="61">
        <f>'Filter-new'!R60</f>
        <v>16800</v>
      </c>
      <c r="CC63" s="61"/>
      <c r="CD63" s="58"/>
      <c r="CE63" s="61">
        <f>'Filter-new'!R549</f>
        <v>0</v>
      </c>
      <c r="CF63" s="57"/>
      <c r="CG63" s="4"/>
    </row>
    <row r="64" spans="1:85" hidden="1" x14ac:dyDescent="0.2">
      <c r="A64">
        <v>0</v>
      </c>
      <c r="B64" s="59">
        <v>38657</v>
      </c>
      <c r="C64" s="59">
        <f>'Filter-new'!C61</f>
        <v>38657</v>
      </c>
      <c r="D64" s="60">
        <f t="shared" si="3"/>
        <v>2005</v>
      </c>
      <c r="E64" s="60">
        <f>VLOOKUP($C64,calendar!$A$2:$D$121,4,FALSE)*(1-(H64=0))</f>
        <v>336</v>
      </c>
      <c r="F64" s="60">
        <f>VLOOKUP($C64,calendar!$A$2:$D$121,3,FALSE)*(1-(I64=0))</f>
        <v>384</v>
      </c>
      <c r="G64" s="36">
        <f t="shared" si="4"/>
        <v>134467.39000000001</v>
      </c>
      <c r="H64" s="36">
        <f t="shared" si="5"/>
        <v>21045.72</v>
      </c>
      <c r="I64" s="36">
        <f t="shared" si="6"/>
        <v>70584</v>
      </c>
      <c r="J64" s="41"/>
      <c r="K64" s="45">
        <f>'Filter-old'!E61</f>
        <v>71565.67</v>
      </c>
      <c r="L64" s="61">
        <f>'Filter-new'!E61</f>
        <v>-21641.21</v>
      </c>
      <c r="M64" s="62"/>
      <c r="N64" s="62"/>
      <c r="O64" s="429">
        <f>'Filter-new'!E550</f>
        <v>70584</v>
      </c>
      <c r="P64" s="62"/>
      <c r="Q64" s="45">
        <f>'Filter-old'!H61</f>
        <v>16800</v>
      </c>
      <c r="R64" s="61">
        <f>'Filter-new'!H61</f>
        <v>-16800</v>
      </c>
      <c r="S64" s="62"/>
      <c r="T64" s="62"/>
      <c r="U64" s="445">
        <f>'Filter-new'!H550</f>
        <v>0</v>
      </c>
      <c r="V64" s="62"/>
      <c r="W64" s="45">
        <f>'Filter-old'!J61</f>
        <v>0</v>
      </c>
      <c r="X64" s="61">
        <f>'Filter-new'!J61</f>
        <v>0</v>
      </c>
      <c r="Y64" s="62"/>
      <c r="Z64" s="62"/>
      <c r="AA64" s="45">
        <f>'Filter-old'!F61</f>
        <v>0</v>
      </c>
      <c r="AB64" s="61">
        <f>'Filter-new'!F61</f>
        <v>0</v>
      </c>
      <c r="AC64" s="62"/>
      <c r="AD64" s="62"/>
      <c r="AE64" s="45">
        <f>'Filter-old'!P61</f>
        <v>0</v>
      </c>
      <c r="AF64" s="61">
        <f>'Filter-new'!P61</f>
        <v>0</v>
      </c>
      <c r="AG64" s="62"/>
      <c r="AH64" s="62"/>
      <c r="AI64" s="45">
        <f>'Filter-old'!L61</f>
        <v>0</v>
      </c>
      <c r="AJ64" s="61">
        <f>'Filter-new'!L61</f>
        <v>0</v>
      </c>
      <c r="AK64" s="62"/>
      <c r="AL64" s="62"/>
      <c r="AM64" s="62">
        <f>'Filter-new'!L550</f>
        <v>0</v>
      </c>
      <c r="AN64" s="62"/>
      <c r="AO64" s="45">
        <f>'Filter-old'!G61</f>
        <v>0</v>
      </c>
      <c r="AP64" s="61">
        <f>'Filter-new'!G61</f>
        <v>0</v>
      </c>
      <c r="AQ64" s="62"/>
      <c r="AR64" s="62"/>
      <c r="AS64" s="45"/>
      <c r="AT64" s="61"/>
      <c r="AU64" s="62"/>
      <c r="AV64" s="62"/>
      <c r="AW64" s="45">
        <f>'Filter-old'!I61</f>
        <v>-25200</v>
      </c>
      <c r="AX64" s="61">
        <f>'Filter-new'!I61</f>
        <v>8400</v>
      </c>
      <c r="AY64" s="62"/>
      <c r="AZ64" s="62"/>
      <c r="BA64" s="62">
        <f>'Filter-new'!I550</f>
        <v>0</v>
      </c>
      <c r="BB64" s="62"/>
      <c r="BC64" s="45">
        <f>'Filter-old'!K61</f>
        <v>0</v>
      </c>
      <c r="BD64" s="61">
        <f>'Filter-new'!K61</f>
        <v>0</v>
      </c>
      <c r="BE64" s="62"/>
      <c r="BF64" s="62"/>
      <c r="BG64" s="45">
        <f>'Filter-old'!M61</f>
        <v>0</v>
      </c>
      <c r="BH64" s="62">
        <f>'Filter-new'!K550</f>
        <v>0</v>
      </c>
      <c r="BI64" s="61"/>
      <c r="BJ64" s="61">
        <f>'Filter-new'!M61</f>
        <v>0</v>
      </c>
      <c r="BK64" s="62"/>
      <c r="BL64" s="62"/>
      <c r="BM64" s="62"/>
      <c r="BN64" s="406">
        <f>'Filter-new'!N61</f>
        <v>0</v>
      </c>
      <c r="BO64" s="62"/>
      <c r="BP64" s="62"/>
      <c r="BQ64" s="45">
        <f>'Filter-old'!O61</f>
        <v>0</v>
      </c>
      <c r="BR64" s="61">
        <f>'Filter-new'!O61</f>
        <v>0</v>
      </c>
      <c r="BS64" s="62"/>
      <c r="BT64" s="62"/>
      <c r="BU64" s="45">
        <f>'Filter-old'!Q61</f>
        <v>71301.72</v>
      </c>
      <c r="BV64" s="61">
        <f>'Filter-new'!Q61</f>
        <v>34286.93</v>
      </c>
      <c r="BW64" s="61"/>
      <c r="BX64" s="61"/>
      <c r="BY64" s="61">
        <f>'Filter-new'!Q550</f>
        <v>0</v>
      </c>
      <c r="BZ64" s="61"/>
      <c r="CA64" s="45">
        <f>'Filter-old'!R61</f>
        <v>0</v>
      </c>
      <c r="CB64" s="61">
        <f>'Filter-new'!R61</f>
        <v>16800</v>
      </c>
      <c r="CC64" s="61"/>
      <c r="CD64" s="58"/>
      <c r="CE64" s="61">
        <f>'Filter-new'!R550</f>
        <v>0</v>
      </c>
      <c r="CF64" s="57"/>
      <c r="CG64" s="4"/>
    </row>
    <row r="65" spans="1:85" hidden="1" x14ac:dyDescent="0.2">
      <c r="A65">
        <v>0</v>
      </c>
      <c r="B65" s="59">
        <v>38687</v>
      </c>
      <c r="C65" s="59">
        <f>'Filter-new'!C62</f>
        <v>38687</v>
      </c>
      <c r="D65" s="60">
        <f t="shared" si="3"/>
        <v>2005</v>
      </c>
      <c r="E65" s="60">
        <f>VLOOKUP($C65,calendar!$A$2:$D$121,4,FALSE)*(1-(H65=0))</f>
        <v>336</v>
      </c>
      <c r="F65" s="60">
        <f>VLOOKUP($C65,calendar!$A$2:$D$121,3,FALSE)*(1-(I65=0))</f>
        <v>408</v>
      </c>
      <c r="G65" s="36">
        <f t="shared" si="4"/>
        <v>133689</v>
      </c>
      <c r="H65" s="36">
        <f t="shared" si="5"/>
        <v>20985.39</v>
      </c>
      <c r="I65" s="36">
        <f t="shared" si="6"/>
        <v>-816</v>
      </c>
      <c r="J65" s="41"/>
      <c r="K65" s="45">
        <f>'Filter-old'!E62</f>
        <v>71175.62</v>
      </c>
      <c r="L65" s="61">
        <f>'Filter-new'!E62</f>
        <v>-21537.42</v>
      </c>
      <c r="M65" s="62"/>
      <c r="N65" s="62"/>
      <c r="O65" s="429">
        <f>'Filter-new'!E551</f>
        <v>29784</v>
      </c>
      <c r="P65" s="62"/>
      <c r="Q65" s="45">
        <f>'Filter-old'!H62</f>
        <v>16800</v>
      </c>
      <c r="R65" s="61">
        <f>'Filter-new'!H62</f>
        <v>-16800</v>
      </c>
      <c r="S65" s="62"/>
      <c r="T65" s="62"/>
      <c r="U65" s="445">
        <f>'Filter-new'!H551</f>
        <v>-30600</v>
      </c>
      <c r="V65" s="62"/>
      <c r="W65" s="45">
        <f>'Filter-old'!J62</f>
        <v>0</v>
      </c>
      <c r="X65" s="61">
        <f>'Filter-new'!J62</f>
        <v>0</v>
      </c>
      <c r="Y65" s="62"/>
      <c r="Z65" s="62"/>
      <c r="AA65" s="45">
        <f>'Filter-old'!F62</f>
        <v>0</v>
      </c>
      <c r="AB65" s="61">
        <f>'Filter-new'!F62</f>
        <v>0</v>
      </c>
      <c r="AC65" s="62"/>
      <c r="AD65" s="62"/>
      <c r="AE65" s="45">
        <f>'Filter-old'!P62</f>
        <v>0</v>
      </c>
      <c r="AF65" s="61">
        <f>'Filter-new'!P62</f>
        <v>0</v>
      </c>
      <c r="AG65" s="62"/>
      <c r="AH65" s="62"/>
      <c r="AI65" s="45">
        <f>'Filter-old'!L62</f>
        <v>0</v>
      </c>
      <c r="AJ65" s="61">
        <f>'Filter-new'!L62</f>
        <v>0</v>
      </c>
      <c r="AK65" s="62"/>
      <c r="AL65" s="62"/>
      <c r="AM65" s="62">
        <f>'Filter-new'!L551</f>
        <v>0</v>
      </c>
      <c r="AN65" s="62"/>
      <c r="AO65" s="45">
        <f>'Filter-old'!G62</f>
        <v>0</v>
      </c>
      <c r="AP65" s="61">
        <f>'Filter-new'!G62</f>
        <v>0</v>
      </c>
      <c r="AQ65" s="62"/>
      <c r="AR65" s="62"/>
      <c r="AS65" s="45"/>
      <c r="AT65" s="61"/>
      <c r="AU65" s="62"/>
      <c r="AV65" s="62"/>
      <c r="AW65" s="45">
        <f>'Filter-old'!I62</f>
        <v>-25200</v>
      </c>
      <c r="AX65" s="61">
        <f>'Filter-new'!I62</f>
        <v>8400</v>
      </c>
      <c r="AY65" s="62"/>
      <c r="AZ65" s="62"/>
      <c r="BA65" s="62">
        <f>'Filter-new'!I551</f>
        <v>0</v>
      </c>
      <c r="BB65" s="62"/>
      <c r="BC65" s="45">
        <f>'Filter-old'!K62</f>
        <v>0</v>
      </c>
      <c r="BD65" s="61">
        <f>'Filter-new'!K62</f>
        <v>0</v>
      </c>
      <c r="BE65" s="62"/>
      <c r="BF65" s="62"/>
      <c r="BG65" s="45">
        <f>'Filter-old'!M62</f>
        <v>0</v>
      </c>
      <c r="BH65" s="62">
        <f>'Filter-new'!K551</f>
        <v>0</v>
      </c>
      <c r="BI65" s="61"/>
      <c r="BJ65" s="61">
        <f>'Filter-new'!M62</f>
        <v>0</v>
      </c>
      <c r="BK65" s="62"/>
      <c r="BL65" s="62"/>
      <c r="BM65" s="62"/>
      <c r="BN65" s="406">
        <f>'Filter-new'!N62</f>
        <v>0</v>
      </c>
      <c r="BO65" s="62"/>
      <c r="BP65" s="62"/>
      <c r="BQ65" s="45">
        <f>'Filter-old'!O62</f>
        <v>0</v>
      </c>
      <c r="BR65" s="61">
        <f>'Filter-new'!O62</f>
        <v>0</v>
      </c>
      <c r="BS65" s="62"/>
      <c r="BT65" s="62"/>
      <c r="BU65" s="45">
        <f>'Filter-old'!Q62</f>
        <v>70913.38</v>
      </c>
      <c r="BV65" s="61">
        <f>'Filter-new'!Q62</f>
        <v>34122.81</v>
      </c>
      <c r="BW65" s="61"/>
      <c r="BX65" s="61"/>
      <c r="BY65" s="61">
        <f>'Filter-new'!Q551</f>
        <v>0</v>
      </c>
      <c r="BZ65" s="61"/>
      <c r="CA65" s="45">
        <f>'Filter-old'!R62</f>
        <v>0</v>
      </c>
      <c r="CB65" s="61">
        <f>'Filter-new'!R62</f>
        <v>16800</v>
      </c>
      <c r="CC65" s="61"/>
      <c r="CD65" s="58"/>
      <c r="CE65" s="61">
        <f>'Filter-new'!R551</f>
        <v>0</v>
      </c>
      <c r="CF65" s="57"/>
      <c r="CG65" s="4"/>
    </row>
    <row r="66" spans="1:85" hidden="1" x14ac:dyDescent="0.2">
      <c r="A66">
        <v>0</v>
      </c>
      <c r="B66" s="59">
        <v>38718</v>
      </c>
      <c r="C66" s="59">
        <f>'Filter-new'!C63</f>
        <v>38718</v>
      </c>
      <c r="D66" s="60">
        <f t="shared" si="3"/>
        <v>2006</v>
      </c>
      <c r="E66" s="60">
        <f>VLOOKUP($C66,calendar!$A$2:$D$121,4,FALSE)*(1-(H66=0))</f>
        <v>336</v>
      </c>
      <c r="F66" s="60">
        <f>VLOOKUP($C66,calendar!$A$2:$D$121,3,FALSE)*(1-(I66=0))</f>
        <v>0</v>
      </c>
      <c r="G66" s="36">
        <f t="shared" si="4"/>
        <v>-11061.580000000005</v>
      </c>
      <c r="H66" s="36">
        <f t="shared" si="5"/>
        <v>-62509.97</v>
      </c>
      <c r="I66" s="36">
        <f t="shared" si="6"/>
        <v>0</v>
      </c>
      <c r="J66" s="41"/>
      <c r="K66" s="45">
        <f>'Filter-old'!E63</f>
        <v>-7000.77</v>
      </c>
      <c r="L66" s="61">
        <f>'Filter-new'!E63</f>
        <v>6402.69</v>
      </c>
      <c r="M66" s="62"/>
      <c r="N66" s="62"/>
      <c r="O66" s="429">
        <f>'Filter-new'!E552</f>
        <v>25696</v>
      </c>
      <c r="P66" s="62"/>
      <c r="Q66" s="45">
        <f>'Filter-old'!H63</f>
        <v>-27552</v>
      </c>
      <c r="R66" s="61">
        <f>'Filter-new'!H63</f>
        <v>-94752</v>
      </c>
      <c r="S66" s="62"/>
      <c r="T66" s="62"/>
      <c r="U66" s="445">
        <f>'Filter-new'!H552</f>
        <v>-25696</v>
      </c>
      <c r="V66" s="62"/>
      <c r="W66" s="45">
        <f>'Filter-old'!J63</f>
        <v>0</v>
      </c>
      <c r="X66" s="61">
        <f>'Filter-new'!J63</f>
        <v>0</v>
      </c>
      <c r="Y66" s="62"/>
      <c r="Z66" s="62"/>
      <c r="AA66" s="45">
        <f>'Filter-old'!F63</f>
        <v>0</v>
      </c>
      <c r="AB66" s="61">
        <f>'Filter-new'!F63</f>
        <v>0</v>
      </c>
      <c r="AC66" s="62"/>
      <c r="AD66" s="62"/>
      <c r="AE66" s="45">
        <f>'Filter-old'!P63</f>
        <v>0</v>
      </c>
      <c r="AF66" s="61">
        <f>'Filter-new'!P63</f>
        <v>0</v>
      </c>
      <c r="AG66" s="62"/>
      <c r="AH66" s="62"/>
      <c r="AI66" s="45">
        <f>'Filter-old'!L63</f>
        <v>0</v>
      </c>
      <c r="AJ66" s="61">
        <f>'Filter-new'!L63</f>
        <v>0</v>
      </c>
      <c r="AK66" s="62"/>
      <c r="AL66" s="62"/>
      <c r="AM66" s="62">
        <f>'Filter-new'!L552</f>
        <v>0</v>
      </c>
      <c r="AN66" s="62"/>
      <c r="AO66" s="45">
        <f>'Filter-old'!G63</f>
        <v>0</v>
      </c>
      <c r="AP66" s="61">
        <f>'Filter-new'!G63</f>
        <v>0</v>
      </c>
      <c r="AQ66" s="62"/>
      <c r="AR66" s="62"/>
      <c r="AS66" s="45"/>
      <c r="AT66" s="61"/>
      <c r="AU66" s="62"/>
      <c r="AV66" s="62"/>
      <c r="AW66" s="45">
        <f>'Filter-old'!I63</f>
        <v>-8400</v>
      </c>
      <c r="AX66" s="61">
        <f>'Filter-new'!I63</f>
        <v>-8400</v>
      </c>
      <c r="AY66" s="62"/>
      <c r="AZ66" s="62"/>
      <c r="BA66" s="62">
        <f>'Filter-new'!I552</f>
        <v>0</v>
      </c>
      <c r="BB66" s="62"/>
      <c r="BC66" s="45">
        <f>'Filter-old'!K63</f>
        <v>0</v>
      </c>
      <c r="BD66" s="61">
        <f>'Filter-new'!K63</f>
        <v>0</v>
      </c>
      <c r="BE66" s="62"/>
      <c r="BF66" s="62"/>
      <c r="BG66" s="45">
        <f>'Filter-old'!M63</f>
        <v>0</v>
      </c>
      <c r="BH66" s="62">
        <f>'Filter-new'!K552</f>
        <v>0</v>
      </c>
      <c r="BI66" s="61"/>
      <c r="BJ66" s="61">
        <f>'Filter-new'!M63</f>
        <v>0</v>
      </c>
      <c r="BK66" s="62"/>
      <c r="BL66" s="62"/>
      <c r="BM66" s="62"/>
      <c r="BN66" s="406">
        <f>'Filter-new'!N63</f>
        <v>0</v>
      </c>
      <c r="BO66" s="62"/>
      <c r="BP66" s="62"/>
      <c r="BQ66" s="45">
        <f>'Filter-old'!O63</f>
        <v>0</v>
      </c>
      <c r="BR66" s="61">
        <f>'Filter-new'!O63</f>
        <v>0</v>
      </c>
      <c r="BS66" s="62"/>
      <c r="BT66" s="62"/>
      <c r="BU66" s="45">
        <f>'Filter-old'!Q63</f>
        <v>31891.19</v>
      </c>
      <c r="BV66" s="61">
        <f>'Filter-new'!Q63</f>
        <v>34239.339999999997</v>
      </c>
      <c r="BW66" s="61"/>
      <c r="BX66" s="61"/>
      <c r="BY66" s="61">
        <f>'Filter-new'!Q552</f>
        <v>0</v>
      </c>
      <c r="BZ66" s="61"/>
      <c r="CA66" s="45">
        <f>'Filter-old'!R63</f>
        <v>0</v>
      </c>
      <c r="CB66" s="61">
        <f>'Filter-new'!R63</f>
        <v>0</v>
      </c>
      <c r="CC66" s="61"/>
      <c r="CD66" s="58"/>
      <c r="CE66" s="61">
        <f>'Filter-new'!R552</f>
        <v>0</v>
      </c>
      <c r="CF66" s="57"/>
      <c r="CG66" s="4"/>
    </row>
    <row r="67" spans="1:85" hidden="1" x14ac:dyDescent="0.2">
      <c r="A67">
        <v>0</v>
      </c>
      <c r="B67" s="59">
        <v>38749</v>
      </c>
      <c r="C67" s="59">
        <f>'Filter-new'!C64</f>
        <v>38749</v>
      </c>
      <c r="D67" s="60">
        <f t="shared" si="3"/>
        <v>2006</v>
      </c>
      <c r="E67" s="60">
        <f>VLOOKUP($C67,calendar!$A$2:$D$121,4,FALSE)*(1-(H67=0))</f>
        <v>320</v>
      </c>
      <c r="F67" s="60">
        <f>VLOOKUP($C67,calendar!$A$2:$D$121,3,FALSE)*(1-(I67=0))</f>
        <v>352</v>
      </c>
      <c r="G67" s="36">
        <f t="shared" si="4"/>
        <v>-10652.82</v>
      </c>
      <c r="H67" s="36">
        <f t="shared" si="5"/>
        <v>-59700.789999999994</v>
      </c>
      <c r="I67" s="36">
        <f t="shared" si="6"/>
        <v>-752</v>
      </c>
      <c r="J67" s="41"/>
      <c r="K67" s="45">
        <f>'Filter-old'!E64</f>
        <v>-6634.21</v>
      </c>
      <c r="L67" s="61">
        <f>'Filter-new'!E64</f>
        <v>6071.41</v>
      </c>
      <c r="M67" s="62"/>
      <c r="N67" s="62"/>
      <c r="O67" s="429">
        <f>'Filter-new'!E553</f>
        <v>27448</v>
      </c>
      <c r="P67" s="62"/>
      <c r="Q67" s="45">
        <f>'Filter-old'!H64</f>
        <v>-26240</v>
      </c>
      <c r="R67" s="61">
        <f>'Filter-new'!H64</f>
        <v>-90240</v>
      </c>
      <c r="S67" s="62"/>
      <c r="T67" s="62"/>
      <c r="U67" s="445">
        <f>'Filter-new'!H553</f>
        <v>-28200</v>
      </c>
      <c r="V67" s="62"/>
      <c r="W67" s="45">
        <f>'Filter-old'!J64</f>
        <v>0</v>
      </c>
      <c r="X67" s="61">
        <f>'Filter-new'!J64</f>
        <v>0</v>
      </c>
      <c r="Y67" s="62"/>
      <c r="Z67" s="62"/>
      <c r="AA67" s="45">
        <f>'Filter-old'!F64</f>
        <v>0</v>
      </c>
      <c r="AB67" s="61">
        <f>'Filter-new'!F64</f>
        <v>0</v>
      </c>
      <c r="AC67" s="62"/>
      <c r="AD67" s="62"/>
      <c r="AE67" s="45">
        <f>'Filter-old'!P64</f>
        <v>0</v>
      </c>
      <c r="AF67" s="61">
        <f>'Filter-new'!P64</f>
        <v>0</v>
      </c>
      <c r="AG67" s="62"/>
      <c r="AH67" s="62"/>
      <c r="AI67" s="45">
        <f>'Filter-old'!L64</f>
        <v>0</v>
      </c>
      <c r="AJ67" s="61">
        <f>'Filter-new'!L64</f>
        <v>0</v>
      </c>
      <c r="AK67" s="62"/>
      <c r="AL67" s="62"/>
      <c r="AM67" s="62">
        <f>'Filter-new'!L553</f>
        <v>0</v>
      </c>
      <c r="AN67" s="62"/>
      <c r="AO67" s="45">
        <f>'Filter-old'!G64</f>
        <v>0</v>
      </c>
      <c r="AP67" s="61">
        <f>'Filter-new'!G64</f>
        <v>0</v>
      </c>
      <c r="AQ67" s="62"/>
      <c r="AR67" s="62"/>
      <c r="AS67" s="45"/>
      <c r="AT67" s="61"/>
      <c r="AU67" s="62"/>
      <c r="AV67" s="62"/>
      <c r="AW67" s="45">
        <f>'Filter-old'!I64</f>
        <v>-8000</v>
      </c>
      <c r="AX67" s="61">
        <f>'Filter-new'!I64</f>
        <v>-8000</v>
      </c>
      <c r="AY67" s="62"/>
      <c r="AZ67" s="62"/>
      <c r="BA67" s="62">
        <f>'Filter-new'!I553</f>
        <v>0</v>
      </c>
      <c r="BB67" s="62"/>
      <c r="BC67" s="45">
        <f>'Filter-old'!K64</f>
        <v>0</v>
      </c>
      <c r="BD67" s="61">
        <f>'Filter-new'!K64</f>
        <v>0</v>
      </c>
      <c r="BE67" s="62"/>
      <c r="BF67" s="62"/>
      <c r="BG67" s="45">
        <f>'Filter-old'!M64</f>
        <v>0</v>
      </c>
      <c r="BH67" s="62">
        <f>'Filter-new'!K553</f>
        <v>0</v>
      </c>
      <c r="BI67" s="61"/>
      <c r="BJ67" s="61">
        <f>'Filter-new'!M64</f>
        <v>0</v>
      </c>
      <c r="BK67" s="62"/>
      <c r="BL67" s="62"/>
      <c r="BM67" s="62"/>
      <c r="BN67" s="406">
        <f>'Filter-new'!N64</f>
        <v>0</v>
      </c>
      <c r="BO67" s="62"/>
      <c r="BP67" s="62"/>
      <c r="BQ67" s="45">
        <f>'Filter-old'!O64</f>
        <v>0</v>
      </c>
      <c r="BR67" s="61">
        <f>'Filter-new'!O64</f>
        <v>0</v>
      </c>
      <c r="BS67" s="62"/>
      <c r="BT67" s="62"/>
      <c r="BU67" s="45">
        <f>'Filter-old'!Q64</f>
        <v>30221.39</v>
      </c>
      <c r="BV67" s="61">
        <f>'Filter-new'!Q64</f>
        <v>32467.8</v>
      </c>
      <c r="BW67" s="61"/>
      <c r="BX67" s="61"/>
      <c r="BY67" s="61">
        <f>'Filter-new'!Q553</f>
        <v>0</v>
      </c>
      <c r="BZ67" s="61"/>
      <c r="CA67" s="45">
        <f>'Filter-old'!R64</f>
        <v>0</v>
      </c>
      <c r="CB67" s="61">
        <f>'Filter-new'!R64</f>
        <v>0</v>
      </c>
      <c r="CC67" s="61"/>
      <c r="CD67" s="58"/>
      <c r="CE67" s="61">
        <f>'Filter-new'!R553</f>
        <v>0</v>
      </c>
      <c r="CF67" s="57"/>
      <c r="CG67" s="4"/>
    </row>
    <row r="68" spans="1:85" hidden="1" x14ac:dyDescent="0.2">
      <c r="A68">
        <v>0</v>
      </c>
      <c r="B68" s="59">
        <v>38777</v>
      </c>
      <c r="C68" s="59">
        <f>'Filter-new'!C65</f>
        <v>38777</v>
      </c>
      <c r="D68" s="60">
        <f t="shared" si="3"/>
        <v>2006</v>
      </c>
      <c r="E68" s="60">
        <f>VLOOKUP($C68,calendar!$A$2:$D$121,4,FALSE)*(1-(H68=0))</f>
        <v>368</v>
      </c>
      <c r="F68" s="60">
        <f>VLOOKUP($C68,calendar!$A$2:$D$121,3,FALSE)*(1-(I68=0))</f>
        <v>376</v>
      </c>
      <c r="G68" s="36">
        <f t="shared" si="4"/>
        <v>-13872.970000000001</v>
      </c>
      <c r="H68" s="36">
        <f t="shared" si="5"/>
        <v>-70341.84</v>
      </c>
      <c r="I68" s="36">
        <f t="shared" si="6"/>
        <v>-423</v>
      </c>
      <c r="J68" s="41"/>
      <c r="K68" s="45">
        <f>'Filter-old'!E65</f>
        <v>-7587.1</v>
      </c>
      <c r="L68" s="61">
        <f>'Filter-new'!E65</f>
        <v>6948.42</v>
      </c>
      <c r="M68" s="62"/>
      <c r="N68" s="62"/>
      <c r="O68" s="429">
        <f>'Filter-new'!E554</f>
        <v>29127</v>
      </c>
      <c r="P68" s="62"/>
      <c r="Q68" s="45">
        <f>'Filter-old'!H65</f>
        <v>-31648</v>
      </c>
      <c r="R68" s="61">
        <f>'Filter-new'!H65</f>
        <v>-105248</v>
      </c>
      <c r="S68" s="62"/>
      <c r="T68" s="62"/>
      <c r="U68" s="445">
        <f>'Filter-new'!H554</f>
        <v>-29550</v>
      </c>
      <c r="V68" s="62"/>
      <c r="W68" s="45">
        <f>'Filter-old'!J65</f>
        <v>0</v>
      </c>
      <c r="X68" s="61">
        <f>'Filter-new'!J65</f>
        <v>0</v>
      </c>
      <c r="Y68" s="62"/>
      <c r="Z68" s="62"/>
      <c r="AA68" s="45">
        <f>'Filter-old'!F65</f>
        <v>0</v>
      </c>
      <c r="AB68" s="61">
        <f>'Filter-new'!F65</f>
        <v>0</v>
      </c>
      <c r="AC68" s="62"/>
      <c r="AD68" s="62"/>
      <c r="AE68" s="45">
        <f>'Filter-old'!P65</f>
        <v>0</v>
      </c>
      <c r="AF68" s="61">
        <f>'Filter-new'!P65</f>
        <v>0</v>
      </c>
      <c r="AG68" s="62"/>
      <c r="AH68" s="62"/>
      <c r="AI68" s="45">
        <f>'Filter-old'!L65</f>
        <v>0</v>
      </c>
      <c r="AJ68" s="61">
        <f>'Filter-new'!L65</f>
        <v>0</v>
      </c>
      <c r="AK68" s="62"/>
      <c r="AL68" s="62"/>
      <c r="AM68" s="62">
        <f>'Filter-new'!L554</f>
        <v>0</v>
      </c>
      <c r="AN68" s="62"/>
      <c r="AO68" s="45">
        <f>'Filter-old'!G65</f>
        <v>0</v>
      </c>
      <c r="AP68" s="61">
        <f>'Filter-new'!G65</f>
        <v>0</v>
      </c>
      <c r="AQ68" s="62"/>
      <c r="AR68" s="62"/>
      <c r="AS68" s="45"/>
      <c r="AT68" s="61"/>
      <c r="AU68" s="62"/>
      <c r="AV68" s="62"/>
      <c r="AW68" s="45">
        <f>'Filter-old'!I65</f>
        <v>-9200</v>
      </c>
      <c r="AX68" s="61">
        <f>'Filter-new'!I65</f>
        <v>-9200</v>
      </c>
      <c r="AY68" s="62"/>
      <c r="AZ68" s="62"/>
      <c r="BA68" s="62">
        <f>'Filter-new'!I554</f>
        <v>0</v>
      </c>
      <c r="BB68" s="62"/>
      <c r="BC68" s="45">
        <f>'Filter-old'!K65</f>
        <v>0</v>
      </c>
      <c r="BD68" s="61">
        <f>'Filter-new'!K65</f>
        <v>0</v>
      </c>
      <c r="BE68" s="62"/>
      <c r="BF68" s="62"/>
      <c r="BG68" s="45">
        <f>'Filter-old'!M65</f>
        <v>0</v>
      </c>
      <c r="BH68" s="62">
        <f>'Filter-new'!K554</f>
        <v>0</v>
      </c>
      <c r="BI68" s="61"/>
      <c r="BJ68" s="61">
        <f>'Filter-new'!M65</f>
        <v>0</v>
      </c>
      <c r="BK68" s="62"/>
      <c r="BL68" s="62"/>
      <c r="BM68" s="62"/>
      <c r="BN68" s="406">
        <f>'Filter-new'!N65</f>
        <v>0</v>
      </c>
      <c r="BO68" s="62"/>
      <c r="BP68" s="62"/>
      <c r="BQ68" s="45">
        <f>'Filter-old'!O65</f>
        <v>0</v>
      </c>
      <c r="BR68" s="61">
        <f>'Filter-new'!O65</f>
        <v>0</v>
      </c>
      <c r="BS68" s="62"/>
      <c r="BT68" s="62"/>
      <c r="BU68" s="45">
        <f>'Filter-old'!Q65</f>
        <v>34562.129999999997</v>
      </c>
      <c r="BV68" s="61">
        <f>'Filter-new'!Q65</f>
        <v>37157.74</v>
      </c>
      <c r="BW68" s="61"/>
      <c r="BX68" s="61"/>
      <c r="BY68" s="61">
        <f>'Filter-new'!Q554</f>
        <v>0</v>
      </c>
      <c r="BZ68" s="61"/>
      <c r="CA68" s="45">
        <f>'Filter-old'!R65</f>
        <v>0</v>
      </c>
      <c r="CB68" s="61">
        <f>'Filter-new'!R65</f>
        <v>0</v>
      </c>
      <c r="CC68" s="61"/>
      <c r="CD68" s="58"/>
      <c r="CE68" s="61">
        <f>'Filter-new'!R554</f>
        <v>0</v>
      </c>
      <c r="CF68" s="57"/>
      <c r="CG68" s="4"/>
    </row>
    <row r="69" spans="1:85" hidden="1" x14ac:dyDescent="0.2">
      <c r="A69">
        <v>0</v>
      </c>
      <c r="B69" s="59">
        <v>38808</v>
      </c>
      <c r="C69" s="59">
        <f>'Filter-new'!C66</f>
        <v>38808</v>
      </c>
      <c r="D69" s="60">
        <f t="shared" si="3"/>
        <v>2006</v>
      </c>
      <c r="E69" s="60">
        <f>VLOOKUP($C69,calendar!$A$2:$D$121,4,FALSE)*(1-(H69=0))</f>
        <v>320</v>
      </c>
      <c r="F69" s="60">
        <f>VLOOKUP($C69,calendar!$A$2:$D$121,3,FALSE)*(1-(I69=0))</f>
        <v>400</v>
      </c>
      <c r="G69" s="36">
        <f t="shared" si="4"/>
        <v>-12113.71</v>
      </c>
      <c r="H69" s="36">
        <f t="shared" si="5"/>
        <v>-61289.69</v>
      </c>
      <c r="I69" s="36">
        <f t="shared" si="6"/>
        <v>3136</v>
      </c>
      <c r="J69" s="41"/>
      <c r="K69" s="45">
        <f>'Filter-old'!E66</f>
        <v>-6561.93</v>
      </c>
      <c r="L69" s="61">
        <f>'Filter-new'!E66</f>
        <v>6013.65</v>
      </c>
      <c r="M69" s="62"/>
      <c r="N69" s="62"/>
      <c r="O69" s="429">
        <f>'Filter-new'!E555</f>
        <v>28616</v>
      </c>
      <c r="P69" s="62"/>
      <c r="Q69" s="45">
        <f>'Filter-old'!H66</f>
        <v>-27200</v>
      </c>
      <c r="R69" s="61">
        <f>'Filter-new'!H66</f>
        <v>-91200</v>
      </c>
      <c r="S69" s="62"/>
      <c r="T69" s="62"/>
      <c r="U69" s="445">
        <f>'Filter-new'!H555</f>
        <v>-25480</v>
      </c>
      <c r="V69" s="62"/>
      <c r="W69" s="45">
        <f>'Filter-old'!J66</f>
        <v>0</v>
      </c>
      <c r="X69" s="61">
        <f>'Filter-new'!J66</f>
        <v>0</v>
      </c>
      <c r="Y69" s="62"/>
      <c r="Z69" s="62"/>
      <c r="AA69" s="45">
        <f>'Filter-old'!F66</f>
        <v>0</v>
      </c>
      <c r="AB69" s="61">
        <f>'Filter-new'!F66</f>
        <v>0</v>
      </c>
      <c r="AC69" s="62"/>
      <c r="AD69" s="62"/>
      <c r="AE69" s="45">
        <f>'Filter-old'!P66</f>
        <v>0</v>
      </c>
      <c r="AF69" s="61">
        <f>'Filter-new'!P66</f>
        <v>0</v>
      </c>
      <c r="AG69" s="62"/>
      <c r="AH69" s="62"/>
      <c r="AI69" s="45">
        <f>'Filter-old'!L66</f>
        <v>0</v>
      </c>
      <c r="AJ69" s="61">
        <f>'Filter-new'!L66</f>
        <v>0</v>
      </c>
      <c r="AK69" s="62"/>
      <c r="AL69" s="62"/>
      <c r="AM69" s="62">
        <f>'Filter-new'!L555</f>
        <v>0</v>
      </c>
      <c r="AN69" s="62"/>
      <c r="AO69" s="45">
        <f>'Filter-old'!G66</f>
        <v>0</v>
      </c>
      <c r="AP69" s="61">
        <f>'Filter-new'!G66</f>
        <v>0</v>
      </c>
      <c r="AQ69" s="62"/>
      <c r="AR69" s="62"/>
      <c r="AS69" s="45"/>
      <c r="AT69" s="61"/>
      <c r="AU69" s="62"/>
      <c r="AV69" s="62"/>
      <c r="AW69" s="45">
        <f>'Filter-old'!I66</f>
        <v>-8000</v>
      </c>
      <c r="AX69" s="61">
        <f>'Filter-new'!I66</f>
        <v>-8000</v>
      </c>
      <c r="AY69" s="62"/>
      <c r="AZ69" s="62"/>
      <c r="BA69" s="62">
        <f>'Filter-new'!I555</f>
        <v>0</v>
      </c>
      <c r="BB69" s="62"/>
      <c r="BC69" s="45">
        <f>'Filter-old'!K66</f>
        <v>0</v>
      </c>
      <c r="BD69" s="61">
        <f>'Filter-new'!K66</f>
        <v>0</v>
      </c>
      <c r="BE69" s="62"/>
      <c r="BF69" s="62"/>
      <c r="BG69" s="45">
        <f>'Filter-old'!M66</f>
        <v>0</v>
      </c>
      <c r="BH69" s="62">
        <f>'Filter-new'!K555</f>
        <v>0</v>
      </c>
      <c r="BI69" s="61"/>
      <c r="BJ69" s="61">
        <f>'Filter-new'!M66</f>
        <v>0</v>
      </c>
      <c r="BK69" s="62"/>
      <c r="BL69" s="62"/>
      <c r="BM69" s="62"/>
      <c r="BN69" s="406">
        <f>'Filter-new'!N66</f>
        <v>0</v>
      </c>
      <c r="BO69" s="62"/>
      <c r="BP69" s="62"/>
      <c r="BQ69" s="45">
        <f>'Filter-old'!O66</f>
        <v>0</v>
      </c>
      <c r="BR69" s="61">
        <f>'Filter-new'!O66</f>
        <v>0</v>
      </c>
      <c r="BS69" s="62"/>
      <c r="BT69" s="62"/>
      <c r="BU69" s="45">
        <f>'Filter-old'!Q66</f>
        <v>29648.22</v>
      </c>
      <c r="BV69" s="61">
        <f>'Filter-new'!Q66</f>
        <v>31896.66</v>
      </c>
      <c r="BW69" s="61"/>
      <c r="BX69" s="61"/>
      <c r="BY69" s="61">
        <f>'Filter-new'!Q555</f>
        <v>0</v>
      </c>
      <c r="BZ69" s="61"/>
      <c r="CA69" s="45">
        <f>'Filter-old'!R66</f>
        <v>0</v>
      </c>
      <c r="CB69" s="61">
        <f>'Filter-new'!R66</f>
        <v>0</v>
      </c>
      <c r="CC69" s="61"/>
      <c r="CD69" s="58"/>
      <c r="CE69" s="61">
        <f>'Filter-new'!R555</f>
        <v>0</v>
      </c>
      <c r="CF69" s="57"/>
      <c r="CG69" s="4"/>
    </row>
    <row r="70" spans="1:85" hidden="1" x14ac:dyDescent="0.2">
      <c r="A70">
        <v>0</v>
      </c>
      <c r="B70" s="59">
        <v>38838</v>
      </c>
      <c r="C70" s="59">
        <f>'Filter-new'!C67</f>
        <v>38838</v>
      </c>
      <c r="D70" s="60">
        <f t="shared" si="3"/>
        <v>2006</v>
      </c>
      <c r="E70" s="60">
        <f>VLOOKUP($C70,calendar!$A$2:$D$121,4,FALSE)*(1-(H70=0))</f>
        <v>352</v>
      </c>
      <c r="F70" s="60">
        <f>VLOOKUP($C70,calendar!$A$2:$D$121,3,FALSE)*(1-(I70=0))</f>
        <v>392</v>
      </c>
      <c r="G70" s="36">
        <f t="shared" ref="G70:G101" si="7">SUM(K70,AA70,AO70,Q70,AW70,W70,BC70,AI70,BG70,BQ70,AE70,BU70,CA70)</f>
        <v>-10294.789999999997</v>
      </c>
      <c r="H70" s="36">
        <f t="shared" ref="H70:H101" si="8">SUM(L70,AB70,AP70,R70,AX70,X70,BD70,AJ70,BJ70,BR70,AF70,BV70,CB70,BN70)</f>
        <v>-64454.94999999999</v>
      </c>
      <c r="I70" s="36">
        <f t="shared" ref="I70:I101" si="9">SUM(O70,U70,AM70,BA70,BY70,CE70)</f>
        <v>4048</v>
      </c>
      <c r="J70" s="41"/>
      <c r="K70" s="45">
        <f>'Filter-old'!E67</f>
        <v>-7178.88</v>
      </c>
      <c r="L70" s="61">
        <f>'Filter-new'!E67</f>
        <v>6582.57</v>
      </c>
      <c r="M70" s="62"/>
      <c r="N70" s="62"/>
      <c r="O70" s="429">
        <f>'Filter-new'!E556</f>
        <v>26864</v>
      </c>
      <c r="P70" s="62"/>
      <c r="Q70" s="45">
        <f>'Filter-old'!H67</f>
        <v>-26752</v>
      </c>
      <c r="R70" s="61">
        <f>'Filter-new'!H67</f>
        <v>-97152</v>
      </c>
      <c r="S70" s="62"/>
      <c r="T70" s="62"/>
      <c r="U70" s="445">
        <f>'Filter-new'!H556</f>
        <v>-22816</v>
      </c>
      <c r="V70" s="62"/>
      <c r="W70" s="45">
        <f>'Filter-old'!J67</f>
        <v>0</v>
      </c>
      <c r="X70" s="61">
        <f>'Filter-new'!J67</f>
        <v>0</v>
      </c>
      <c r="Y70" s="62"/>
      <c r="Z70" s="62"/>
      <c r="AA70" s="45">
        <f>'Filter-old'!F67</f>
        <v>0</v>
      </c>
      <c r="AB70" s="61">
        <f>'Filter-new'!F67</f>
        <v>0</v>
      </c>
      <c r="AC70" s="62"/>
      <c r="AD70" s="62"/>
      <c r="AE70" s="45">
        <f>'Filter-old'!P67</f>
        <v>0</v>
      </c>
      <c r="AF70" s="61">
        <f>'Filter-new'!P67</f>
        <v>0</v>
      </c>
      <c r="AG70" s="62"/>
      <c r="AH70" s="62"/>
      <c r="AI70" s="45">
        <f>'Filter-old'!L67</f>
        <v>0</v>
      </c>
      <c r="AJ70" s="61">
        <f>'Filter-new'!L67</f>
        <v>0</v>
      </c>
      <c r="AK70" s="62"/>
      <c r="AL70" s="62"/>
      <c r="AM70" s="62">
        <f>'Filter-new'!L556</f>
        <v>0</v>
      </c>
      <c r="AN70" s="62"/>
      <c r="AO70" s="45">
        <f>'Filter-old'!G67</f>
        <v>0</v>
      </c>
      <c r="AP70" s="61">
        <f>'Filter-new'!G67</f>
        <v>0</v>
      </c>
      <c r="AQ70" s="62"/>
      <c r="AR70" s="62"/>
      <c r="AS70" s="45"/>
      <c r="AT70" s="61"/>
      <c r="AU70" s="62"/>
      <c r="AV70" s="62"/>
      <c r="AW70" s="45">
        <f>'Filter-old'!I67</f>
        <v>-8800</v>
      </c>
      <c r="AX70" s="61">
        <f>'Filter-new'!I67</f>
        <v>-8800</v>
      </c>
      <c r="AY70" s="62"/>
      <c r="AZ70" s="62"/>
      <c r="BA70" s="62">
        <f>'Filter-new'!I556</f>
        <v>0</v>
      </c>
      <c r="BB70" s="62"/>
      <c r="BC70" s="45">
        <f>'Filter-old'!K67</f>
        <v>0</v>
      </c>
      <c r="BD70" s="61">
        <f>'Filter-new'!K67</f>
        <v>0</v>
      </c>
      <c r="BE70" s="62"/>
      <c r="BF70" s="62"/>
      <c r="BG70" s="45">
        <f>'Filter-old'!M67</f>
        <v>0</v>
      </c>
      <c r="BH70" s="62">
        <f>'Filter-new'!K556</f>
        <v>0</v>
      </c>
      <c r="BI70" s="61"/>
      <c r="BJ70" s="61">
        <f>'Filter-new'!M67</f>
        <v>0</v>
      </c>
      <c r="BK70" s="62"/>
      <c r="BL70" s="62"/>
      <c r="BM70" s="62"/>
      <c r="BN70" s="406">
        <f>'Filter-new'!N67</f>
        <v>0</v>
      </c>
      <c r="BO70" s="62"/>
      <c r="BP70" s="62"/>
      <c r="BQ70" s="45">
        <f>'Filter-old'!O67</f>
        <v>0</v>
      </c>
      <c r="BR70" s="61">
        <f>'Filter-new'!O67</f>
        <v>0</v>
      </c>
      <c r="BS70" s="62"/>
      <c r="BT70" s="62"/>
      <c r="BU70" s="45">
        <f>'Filter-old'!Q67</f>
        <v>32436.09</v>
      </c>
      <c r="BV70" s="61">
        <f>'Filter-new'!Q67</f>
        <v>34914.480000000003</v>
      </c>
      <c r="BW70" s="61"/>
      <c r="BX70" s="61"/>
      <c r="BY70" s="61">
        <f>'Filter-new'!Q556</f>
        <v>0</v>
      </c>
      <c r="BZ70" s="61"/>
      <c r="CA70" s="45">
        <f>'Filter-old'!R67</f>
        <v>0</v>
      </c>
      <c r="CB70" s="61">
        <f>'Filter-new'!R67</f>
        <v>0</v>
      </c>
      <c r="CC70" s="61"/>
      <c r="CD70" s="58"/>
      <c r="CE70" s="61">
        <f>'Filter-new'!R556</f>
        <v>0</v>
      </c>
      <c r="CF70" s="57"/>
      <c r="CG70" s="4"/>
    </row>
    <row r="71" spans="1:85" hidden="1" x14ac:dyDescent="0.2">
      <c r="A71">
        <v>0</v>
      </c>
      <c r="B71" s="59">
        <v>38869</v>
      </c>
      <c r="C71" s="59">
        <f>'Filter-new'!C68</f>
        <v>38869</v>
      </c>
      <c r="D71" s="60">
        <f t="shared" ref="D71:D125" si="10">YEAR(C71)</f>
        <v>2006</v>
      </c>
      <c r="E71" s="60">
        <f>VLOOKUP($C71,calendar!$A$2:$D$121,4,FALSE)*(1-(H71=0))</f>
        <v>352</v>
      </c>
      <c r="F71" s="60">
        <f>VLOOKUP($C71,calendar!$A$2:$D$121,3,FALSE)*(1-(I71=0))</f>
        <v>368</v>
      </c>
      <c r="G71" s="36">
        <f t="shared" si="7"/>
        <v>-8929.3000000000029</v>
      </c>
      <c r="H71" s="36">
        <f t="shared" si="8"/>
        <v>-63178.39</v>
      </c>
      <c r="I71" s="36">
        <f t="shared" si="9"/>
        <v>5936</v>
      </c>
      <c r="J71" s="41"/>
      <c r="K71" s="45">
        <f>'Filter-old'!E68</f>
        <v>-7141.94</v>
      </c>
      <c r="L71" s="61">
        <f>'Filter-new'!E68</f>
        <v>6551.08</v>
      </c>
      <c r="M71" s="62"/>
      <c r="N71" s="62"/>
      <c r="O71" s="429">
        <f>'Filter-new'!E557</f>
        <v>30952</v>
      </c>
      <c r="P71" s="62"/>
      <c r="Q71" s="45">
        <f>'Filter-old'!H68</f>
        <v>-24992</v>
      </c>
      <c r="R71" s="61">
        <f>'Filter-new'!H68</f>
        <v>-95392</v>
      </c>
      <c r="S71" s="62"/>
      <c r="T71" s="62"/>
      <c r="U71" s="445">
        <f>'Filter-new'!H557</f>
        <v>-25016</v>
      </c>
      <c r="V71" s="62"/>
      <c r="W71" s="45">
        <f>'Filter-old'!J68</f>
        <v>0</v>
      </c>
      <c r="X71" s="61">
        <f>'Filter-new'!J68</f>
        <v>0</v>
      </c>
      <c r="Y71" s="62"/>
      <c r="Z71" s="62"/>
      <c r="AA71" s="45">
        <f>'Filter-old'!F68</f>
        <v>0</v>
      </c>
      <c r="AB71" s="61">
        <f>'Filter-new'!F68</f>
        <v>0</v>
      </c>
      <c r="AC71" s="62"/>
      <c r="AD71" s="62"/>
      <c r="AE71" s="45">
        <f>'Filter-old'!P68</f>
        <v>0</v>
      </c>
      <c r="AF71" s="61">
        <f>'Filter-new'!P68</f>
        <v>0</v>
      </c>
      <c r="AG71" s="62"/>
      <c r="AH71" s="62"/>
      <c r="AI71" s="45">
        <f>'Filter-old'!L68</f>
        <v>0</v>
      </c>
      <c r="AJ71" s="61">
        <f>'Filter-new'!L68</f>
        <v>0</v>
      </c>
      <c r="AK71" s="62"/>
      <c r="AL71" s="62"/>
      <c r="AM71" s="62">
        <f>'Filter-new'!L557</f>
        <v>0</v>
      </c>
      <c r="AN71" s="62"/>
      <c r="AO71" s="45">
        <f>'Filter-old'!G68</f>
        <v>0</v>
      </c>
      <c r="AP71" s="61">
        <f>'Filter-new'!G68</f>
        <v>0</v>
      </c>
      <c r="AQ71" s="62"/>
      <c r="AR71" s="62"/>
      <c r="AS71" s="45"/>
      <c r="AT71" s="61"/>
      <c r="AU71" s="62"/>
      <c r="AV71" s="62"/>
      <c r="AW71" s="45">
        <f>'Filter-old'!I68</f>
        <v>-8800</v>
      </c>
      <c r="AX71" s="61">
        <f>'Filter-new'!I68</f>
        <v>-8800</v>
      </c>
      <c r="AY71" s="62"/>
      <c r="AZ71" s="62"/>
      <c r="BA71" s="62">
        <f>'Filter-new'!I557</f>
        <v>0</v>
      </c>
      <c r="BB71" s="62"/>
      <c r="BC71" s="45">
        <f>'Filter-old'!K68</f>
        <v>0</v>
      </c>
      <c r="BD71" s="61">
        <f>'Filter-new'!K68</f>
        <v>0</v>
      </c>
      <c r="BE71" s="62"/>
      <c r="BF71" s="62"/>
      <c r="BG71" s="45">
        <f>'Filter-old'!M68</f>
        <v>0</v>
      </c>
      <c r="BH71" s="62">
        <f>'Filter-new'!K557</f>
        <v>0</v>
      </c>
      <c r="BI71" s="61"/>
      <c r="BJ71" s="61">
        <f>'Filter-new'!M68</f>
        <v>0</v>
      </c>
      <c r="BK71" s="62"/>
      <c r="BL71" s="62"/>
      <c r="BM71" s="62"/>
      <c r="BN71" s="406">
        <f>'Filter-new'!N68</f>
        <v>0</v>
      </c>
      <c r="BO71" s="62"/>
      <c r="BP71" s="62"/>
      <c r="BQ71" s="45">
        <f>'Filter-old'!O68</f>
        <v>0</v>
      </c>
      <c r="BR71" s="61">
        <f>'Filter-new'!O68</f>
        <v>0</v>
      </c>
      <c r="BS71" s="62"/>
      <c r="BT71" s="62"/>
      <c r="BU71" s="45">
        <f>'Filter-old'!Q68</f>
        <v>32004.639999999999</v>
      </c>
      <c r="BV71" s="61">
        <f>'Filter-new'!Q68</f>
        <v>34462.53</v>
      </c>
      <c r="BW71" s="61"/>
      <c r="BX71" s="61"/>
      <c r="BY71" s="61">
        <f>'Filter-new'!Q557</f>
        <v>0</v>
      </c>
      <c r="BZ71" s="61"/>
      <c r="CA71" s="45">
        <f>'Filter-old'!R68</f>
        <v>0</v>
      </c>
      <c r="CB71" s="61">
        <f>'Filter-new'!R68</f>
        <v>0</v>
      </c>
      <c r="CC71" s="61"/>
      <c r="CD71" s="58"/>
      <c r="CE71" s="61">
        <f>'Filter-new'!R557</f>
        <v>0</v>
      </c>
      <c r="CF71" s="57"/>
      <c r="CG71" s="4"/>
    </row>
    <row r="72" spans="1:85" hidden="1" x14ac:dyDescent="0.2">
      <c r="A72">
        <v>0</v>
      </c>
      <c r="B72" s="59">
        <v>38899</v>
      </c>
      <c r="C72" s="59">
        <f>'Filter-new'!C69</f>
        <v>38899</v>
      </c>
      <c r="D72" s="60">
        <f t="shared" si="10"/>
        <v>2006</v>
      </c>
      <c r="E72" s="60">
        <f>VLOOKUP($C72,calendar!$A$2:$D$121,4,FALSE)*(1-(H72=0))</f>
        <v>320</v>
      </c>
      <c r="F72" s="60">
        <f>VLOOKUP($C72,calendar!$A$2:$D$121,3,FALSE)*(1-(I72=0))</f>
        <v>424</v>
      </c>
      <c r="G72" s="36">
        <f t="shared" si="7"/>
        <v>-5917.8300000000017</v>
      </c>
      <c r="H72" s="36">
        <f t="shared" si="8"/>
        <v>-55639.39</v>
      </c>
      <c r="I72" s="36">
        <f t="shared" si="9"/>
        <v>5264</v>
      </c>
      <c r="J72" s="41"/>
      <c r="K72" s="45">
        <f>'Filter-old'!E69</f>
        <v>-6458.18</v>
      </c>
      <c r="L72" s="61">
        <f>'Filter-new'!E69</f>
        <v>5925.85</v>
      </c>
      <c r="M72" s="62"/>
      <c r="N72" s="62"/>
      <c r="O72" s="429">
        <f>'Filter-new'!E558</f>
        <v>27448</v>
      </c>
      <c r="P72" s="62"/>
      <c r="Q72" s="45">
        <f>'Filter-old'!H69</f>
        <v>-20160</v>
      </c>
      <c r="R72" s="61">
        <f>'Filter-new'!H69</f>
        <v>-84160</v>
      </c>
      <c r="S72" s="62"/>
      <c r="T72" s="62"/>
      <c r="U72" s="445">
        <f>'Filter-new'!H558</f>
        <v>-22184</v>
      </c>
      <c r="V72" s="62"/>
      <c r="W72" s="45">
        <f>'Filter-old'!J69</f>
        <v>0</v>
      </c>
      <c r="X72" s="61">
        <f>'Filter-new'!J69</f>
        <v>0</v>
      </c>
      <c r="Y72" s="62"/>
      <c r="Z72" s="62"/>
      <c r="AA72" s="45">
        <f>'Filter-old'!F69</f>
        <v>0</v>
      </c>
      <c r="AB72" s="61">
        <f>'Filter-new'!F69</f>
        <v>0</v>
      </c>
      <c r="AC72" s="62"/>
      <c r="AD72" s="62"/>
      <c r="AE72" s="45">
        <f>'Filter-old'!P69</f>
        <v>0</v>
      </c>
      <c r="AF72" s="61">
        <f>'Filter-new'!P69</f>
        <v>0</v>
      </c>
      <c r="AG72" s="62"/>
      <c r="AH72" s="62"/>
      <c r="AI72" s="45">
        <f>'Filter-old'!L69</f>
        <v>0</v>
      </c>
      <c r="AJ72" s="61">
        <f>'Filter-new'!L69</f>
        <v>-320</v>
      </c>
      <c r="AK72" s="62"/>
      <c r="AL72" s="62"/>
      <c r="AM72" s="62">
        <f>'Filter-new'!L558</f>
        <v>0</v>
      </c>
      <c r="AN72" s="62"/>
      <c r="AO72" s="45">
        <f>'Filter-old'!G69</f>
        <v>0</v>
      </c>
      <c r="AP72" s="61">
        <f>'Filter-new'!G69</f>
        <v>0</v>
      </c>
      <c r="AQ72" s="62"/>
      <c r="AR72" s="62"/>
      <c r="AS72" s="45"/>
      <c r="AT72" s="61"/>
      <c r="AU72" s="62"/>
      <c r="AV72" s="62"/>
      <c r="AW72" s="45">
        <f>'Filter-old'!I69</f>
        <v>-8000</v>
      </c>
      <c r="AX72" s="61">
        <f>'Filter-new'!I69</f>
        <v>-8000</v>
      </c>
      <c r="AY72" s="62"/>
      <c r="AZ72" s="62"/>
      <c r="BA72" s="62">
        <f>'Filter-new'!I558</f>
        <v>0</v>
      </c>
      <c r="BB72" s="62"/>
      <c r="BC72" s="45">
        <f>'Filter-old'!K69</f>
        <v>0</v>
      </c>
      <c r="BD72" s="61">
        <f>'Filter-new'!K69</f>
        <v>0</v>
      </c>
      <c r="BE72" s="62"/>
      <c r="BF72" s="62"/>
      <c r="BG72" s="45">
        <f>'Filter-old'!M69</f>
        <v>0</v>
      </c>
      <c r="BH72" s="62">
        <f>'Filter-new'!K558</f>
        <v>0</v>
      </c>
      <c r="BI72" s="61"/>
      <c r="BJ72" s="61">
        <f>'Filter-new'!M69</f>
        <v>0</v>
      </c>
      <c r="BK72" s="62"/>
      <c r="BL72" s="62"/>
      <c r="BM72" s="62"/>
      <c r="BN72" s="406">
        <f>'Filter-new'!N69</f>
        <v>0</v>
      </c>
      <c r="BO72" s="62"/>
      <c r="BP72" s="62"/>
      <c r="BQ72" s="45">
        <f>'Filter-old'!O69</f>
        <v>0</v>
      </c>
      <c r="BR72" s="61">
        <f>'Filter-new'!O69</f>
        <v>0</v>
      </c>
      <c r="BS72" s="62"/>
      <c r="BT72" s="62"/>
      <c r="BU72" s="45">
        <f>'Filter-old'!Q69</f>
        <v>28700.35</v>
      </c>
      <c r="BV72" s="61">
        <f>'Filter-new'!Q69</f>
        <v>30914.76</v>
      </c>
      <c r="BW72" s="61"/>
      <c r="BX72" s="61"/>
      <c r="BY72" s="61">
        <f>'Filter-new'!Q558</f>
        <v>0</v>
      </c>
      <c r="BZ72" s="61"/>
      <c r="CA72" s="45">
        <f>'Filter-old'!R69</f>
        <v>0</v>
      </c>
      <c r="CB72" s="61">
        <f>'Filter-new'!R69</f>
        <v>0</v>
      </c>
      <c r="CC72" s="61"/>
      <c r="CD72" s="58"/>
      <c r="CE72" s="61">
        <f>'Filter-new'!R558</f>
        <v>0</v>
      </c>
      <c r="CF72" s="57"/>
      <c r="CG72" s="4"/>
    </row>
    <row r="73" spans="1:85" hidden="1" x14ac:dyDescent="0.2">
      <c r="A73">
        <v>0</v>
      </c>
      <c r="B73" s="59">
        <v>38930</v>
      </c>
      <c r="C73" s="59">
        <f>'Filter-new'!C70</f>
        <v>38930</v>
      </c>
      <c r="D73" s="60">
        <f t="shared" si="10"/>
        <v>2006</v>
      </c>
      <c r="E73" s="60">
        <f>VLOOKUP($C73,calendar!$A$2:$D$121,4,FALSE)*(1-(H73=0))</f>
        <v>368</v>
      </c>
      <c r="F73" s="60">
        <f>VLOOKUP($C73,calendar!$A$2:$D$121,3,FALSE)*(1-(I73=0))</f>
        <v>376</v>
      </c>
      <c r="G73" s="36">
        <f t="shared" si="7"/>
        <v>-6299.4700000000012</v>
      </c>
      <c r="H73" s="36">
        <f t="shared" si="8"/>
        <v>-63534.5</v>
      </c>
      <c r="I73" s="36">
        <f t="shared" si="9"/>
        <v>3200</v>
      </c>
      <c r="J73" s="41"/>
      <c r="K73" s="45">
        <f>'Filter-old'!E70</f>
        <v>-7387.32</v>
      </c>
      <c r="L73" s="61">
        <f>'Filter-new'!E70</f>
        <v>6780.5</v>
      </c>
      <c r="M73" s="62"/>
      <c r="N73" s="62"/>
      <c r="O73" s="429">
        <f>'Filter-new'!E559</f>
        <v>29200</v>
      </c>
      <c r="P73" s="62"/>
      <c r="Q73" s="45">
        <f>'Filter-old'!H70</f>
        <v>-22816</v>
      </c>
      <c r="R73" s="61">
        <f>'Filter-new'!H70</f>
        <v>-96416</v>
      </c>
      <c r="S73" s="62"/>
      <c r="T73" s="62"/>
      <c r="U73" s="445">
        <f>'Filter-new'!H559</f>
        <v>-26000</v>
      </c>
      <c r="V73" s="62"/>
      <c r="W73" s="45">
        <f>'Filter-old'!J70</f>
        <v>0</v>
      </c>
      <c r="X73" s="61">
        <f>'Filter-new'!J70</f>
        <v>0</v>
      </c>
      <c r="Y73" s="62"/>
      <c r="Z73" s="62"/>
      <c r="AA73" s="45">
        <f>'Filter-old'!F70</f>
        <v>0</v>
      </c>
      <c r="AB73" s="61">
        <f>'Filter-new'!F70</f>
        <v>0</v>
      </c>
      <c r="AC73" s="62"/>
      <c r="AD73" s="62"/>
      <c r="AE73" s="45">
        <f>'Filter-old'!P70</f>
        <v>0</v>
      </c>
      <c r="AF73" s="61">
        <f>'Filter-new'!P70</f>
        <v>0</v>
      </c>
      <c r="AG73" s="62"/>
      <c r="AH73" s="62"/>
      <c r="AI73" s="45">
        <f>'Filter-old'!L70</f>
        <v>0</v>
      </c>
      <c r="AJ73" s="61">
        <f>'Filter-new'!L70</f>
        <v>-368</v>
      </c>
      <c r="AK73" s="62"/>
      <c r="AL73" s="62"/>
      <c r="AM73" s="62">
        <f>'Filter-new'!L559</f>
        <v>0</v>
      </c>
      <c r="AN73" s="62"/>
      <c r="AO73" s="45">
        <f>'Filter-old'!G70</f>
        <v>0</v>
      </c>
      <c r="AP73" s="61">
        <f>'Filter-new'!G70</f>
        <v>0</v>
      </c>
      <c r="AQ73" s="62"/>
      <c r="AR73" s="62"/>
      <c r="AS73" s="45"/>
      <c r="AT73" s="61"/>
      <c r="AU73" s="62"/>
      <c r="AV73" s="62"/>
      <c r="AW73" s="45">
        <f>'Filter-old'!I70</f>
        <v>-9200</v>
      </c>
      <c r="AX73" s="61">
        <f>'Filter-new'!I70</f>
        <v>-9200</v>
      </c>
      <c r="AY73" s="62"/>
      <c r="AZ73" s="62"/>
      <c r="BA73" s="62">
        <f>'Filter-new'!I559</f>
        <v>0</v>
      </c>
      <c r="BB73" s="62"/>
      <c r="BC73" s="45">
        <f>'Filter-old'!K70</f>
        <v>0</v>
      </c>
      <c r="BD73" s="61">
        <f>'Filter-new'!K70</f>
        <v>0</v>
      </c>
      <c r="BE73" s="62"/>
      <c r="BF73" s="62"/>
      <c r="BG73" s="45">
        <f>'Filter-old'!M70</f>
        <v>0</v>
      </c>
      <c r="BH73" s="62">
        <f>'Filter-new'!K559</f>
        <v>0</v>
      </c>
      <c r="BI73" s="61"/>
      <c r="BJ73" s="61">
        <f>'Filter-new'!M70</f>
        <v>0</v>
      </c>
      <c r="BK73" s="62"/>
      <c r="BL73" s="62"/>
      <c r="BM73" s="62"/>
      <c r="BN73" s="406">
        <f>'Filter-new'!N70</f>
        <v>0</v>
      </c>
      <c r="BO73" s="62"/>
      <c r="BP73" s="62"/>
      <c r="BQ73" s="45">
        <f>'Filter-old'!O70</f>
        <v>0</v>
      </c>
      <c r="BR73" s="61">
        <f>'Filter-new'!O70</f>
        <v>0</v>
      </c>
      <c r="BS73" s="62"/>
      <c r="BT73" s="62"/>
      <c r="BU73" s="45">
        <f>'Filter-old'!Q70</f>
        <v>33103.85</v>
      </c>
      <c r="BV73" s="61">
        <f>'Filter-new'!Q70</f>
        <v>35669</v>
      </c>
      <c r="BW73" s="61"/>
      <c r="BX73" s="61"/>
      <c r="BY73" s="61">
        <f>'Filter-new'!Q559</f>
        <v>0</v>
      </c>
      <c r="BZ73" s="61"/>
      <c r="CA73" s="45">
        <f>'Filter-old'!R70</f>
        <v>0</v>
      </c>
      <c r="CB73" s="61">
        <f>'Filter-new'!R70</f>
        <v>0</v>
      </c>
      <c r="CC73" s="61"/>
      <c r="CD73" s="58"/>
      <c r="CE73" s="61">
        <f>'Filter-new'!R559</f>
        <v>0</v>
      </c>
      <c r="CF73" s="57"/>
      <c r="CG73" s="4"/>
    </row>
    <row r="74" spans="1:85" hidden="1" x14ac:dyDescent="0.2">
      <c r="A74">
        <v>0</v>
      </c>
      <c r="B74" s="59">
        <v>38961</v>
      </c>
      <c r="C74" s="59">
        <f>'Filter-new'!C71</f>
        <v>38961</v>
      </c>
      <c r="D74" s="60">
        <f t="shared" si="10"/>
        <v>2006</v>
      </c>
      <c r="E74" s="60">
        <f>VLOOKUP($C74,calendar!$A$2:$D$121,4,FALSE)*(1-(H74=0))</f>
        <v>320</v>
      </c>
      <c r="F74" s="60">
        <f>VLOOKUP($C74,calendar!$A$2:$D$121,3,FALSE)*(1-(I74=0))</f>
        <v>400</v>
      </c>
      <c r="G74" s="36">
        <f t="shared" si="7"/>
        <v>-10476.649999999998</v>
      </c>
      <c r="H74" s="36">
        <f t="shared" si="8"/>
        <v>-59972.89</v>
      </c>
      <c r="I74" s="36">
        <f t="shared" si="9"/>
        <v>2767</v>
      </c>
      <c r="J74" s="41"/>
      <c r="K74" s="45">
        <f>'Filter-old'!E71</f>
        <v>-6390.49</v>
      </c>
      <c r="L74" s="61">
        <f>'Filter-new'!E71</f>
        <v>5867.2</v>
      </c>
      <c r="M74" s="62"/>
      <c r="N74" s="62"/>
      <c r="O74" s="429">
        <f>'Filter-new'!E560</f>
        <v>28689</v>
      </c>
      <c r="P74" s="62"/>
      <c r="Q74" s="45">
        <f>'Filter-old'!H71</f>
        <v>-24960</v>
      </c>
      <c r="R74" s="61">
        <f>'Filter-new'!H71</f>
        <v>-88960</v>
      </c>
      <c r="S74" s="62"/>
      <c r="T74" s="62"/>
      <c r="U74" s="445">
        <f>'Filter-new'!H560</f>
        <v>-25922</v>
      </c>
      <c r="V74" s="62"/>
      <c r="W74" s="45">
        <f>'Filter-old'!J71</f>
        <v>0</v>
      </c>
      <c r="X74" s="61">
        <f>'Filter-new'!J71</f>
        <v>0</v>
      </c>
      <c r="Y74" s="62"/>
      <c r="Z74" s="62"/>
      <c r="AA74" s="45">
        <f>'Filter-old'!F71</f>
        <v>0</v>
      </c>
      <c r="AB74" s="61">
        <f>'Filter-new'!F71</f>
        <v>0</v>
      </c>
      <c r="AC74" s="62"/>
      <c r="AD74" s="62"/>
      <c r="AE74" s="45">
        <f>'Filter-old'!P71</f>
        <v>0</v>
      </c>
      <c r="AF74" s="61">
        <f>'Filter-new'!P71</f>
        <v>0</v>
      </c>
      <c r="AG74" s="62"/>
      <c r="AH74" s="62"/>
      <c r="AI74" s="45">
        <f>'Filter-old'!L71</f>
        <v>0</v>
      </c>
      <c r="AJ74" s="61">
        <f>'Filter-new'!L71</f>
        <v>0</v>
      </c>
      <c r="AK74" s="62"/>
      <c r="AL74" s="62"/>
      <c r="AM74" s="62">
        <f>'Filter-new'!L560</f>
        <v>0</v>
      </c>
      <c r="AN74" s="62"/>
      <c r="AO74" s="45">
        <f>'Filter-old'!G71</f>
        <v>0</v>
      </c>
      <c r="AP74" s="61">
        <f>'Filter-new'!G71</f>
        <v>0</v>
      </c>
      <c r="AQ74" s="62"/>
      <c r="AR74" s="62"/>
      <c r="AS74" s="45"/>
      <c r="AT74" s="61"/>
      <c r="AU74" s="62"/>
      <c r="AV74" s="62"/>
      <c r="AW74" s="45">
        <f>'Filter-old'!I71</f>
        <v>-8000</v>
      </c>
      <c r="AX74" s="61">
        <f>'Filter-new'!I71</f>
        <v>-8000</v>
      </c>
      <c r="AY74" s="62"/>
      <c r="AZ74" s="62"/>
      <c r="BA74" s="62">
        <f>'Filter-new'!I560</f>
        <v>0</v>
      </c>
      <c r="BB74" s="62"/>
      <c r="BC74" s="45">
        <f>'Filter-old'!K71</f>
        <v>0</v>
      </c>
      <c r="BD74" s="61">
        <f>'Filter-new'!K71</f>
        <v>0</v>
      </c>
      <c r="BE74" s="62"/>
      <c r="BF74" s="62"/>
      <c r="BG74" s="45">
        <f>'Filter-old'!M71</f>
        <v>0</v>
      </c>
      <c r="BH74" s="62">
        <f>'Filter-new'!K560</f>
        <v>0</v>
      </c>
      <c r="BI74" s="61"/>
      <c r="BJ74" s="61">
        <f>'Filter-new'!M71</f>
        <v>0</v>
      </c>
      <c r="BK74" s="62"/>
      <c r="BL74" s="62"/>
      <c r="BM74" s="62"/>
      <c r="BN74" s="406">
        <f>'Filter-new'!N71</f>
        <v>0</v>
      </c>
      <c r="BO74" s="62"/>
      <c r="BP74" s="62"/>
      <c r="BQ74" s="45">
        <f>'Filter-old'!O71</f>
        <v>0</v>
      </c>
      <c r="BR74" s="61">
        <f>'Filter-new'!O71</f>
        <v>0</v>
      </c>
      <c r="BS74" s="62"/>
      <c r="BT74" s="62"/>
      <c r="BU74" s="45">
        <f>'Filter-old'!Q71</f>
        <v>28873.84</v>
      </c>
      <c r="BV74" s="61">
        <f>'Filter-new'!Q71</f>
        <v>31119.91</v>
      </c>
      <c r="BW74" s="61"/>
      <c r="BX74" s="61"/>
      <c r="BY74" s="61">
        <f>'Filter-new'!Q560</f>
        <v>0</v>
      </c>
      <c r="BZ74" s="61"/>
      <c r="CA74" s="45">
        <f>'Filter-old'!R71</f>
        <v>0</v>
      </c>
      <c r="CB74" s="61">
        <f>'Filter-new'!R71</f>
        <v>0</v>
      </c>
      <c r="CC74" s="61"/>
      <c r="CD74" s="58"/>
      <c r="CE74" s="61">
        <f>'Filter-new'!R560</f>
        <v>0</v>
      </c>
      <c r="CF74" s="57"/>
      <c r="CG74" s="4"/>
    </row>
    <row r="75" spans="1:85" hidden="1" x14ac:dyDescent="0.2">
      <c r="A75">
        <v>0</v>
      </c>
      <c r="B75" s="59">
        <v>38991</v>
      </c>
      <c r="C75" s="59">
        <f>'Filter-new'!C72</f>
        <v>38991</v>
      </c>
      <c r="D75" s="60">
        <f t="shared" si="10"/>
        <v>2006</v>
      </c>
      <c r="E75" s="60">
        <f>VLOOKUP($C75,calendar!$A$2:$D$121,4,FALSE)*(1-(H75=0))</f>
        <v>352</v>
      </c>
      <c r="F75" s="60">
        <f>VLOOKUP($C75,calendar!$A$2:$D$121,3,FALSE)*(1-(I75=0))</f>
        <v>392</v>
      </c>
      <c r="G75" s="36">
        <f t="shared" si="7"/>
        <v>-12008.960000000003</v>
      </c>
      <c r="H75" s="36">
        <f t="shared" si="8"/>
        <v>-66529.58</v>
      </c>
      <c r="I75" s="36">
        <f t="shared" si="9"/>
        <v>-384</v>
      </c>
      <c r="J75" s="41"/>
      <c r="K75" s="45">
        <f>'Filter-old'!E72</f>
        <v>-6991.8</v>
      </c>
      <c r="L75" s="61">
        <f>'Filter-new'!E72</f>
        <v>6421</v>
      </c>
      <c r="M75" s="62"/>
      <c r="N75" s="62"/>
      <c r="O75" s="429">
        <f>'Filter-new'!E561</f>
        <v>28032</v>
      </c>
      <c r="P75" s="62"/>
      <c r="Q75" s="45">
        <f>'Filter-old'!H72</f>
        <v>-27808</v>
      </c>
      <c r="R75" s="61">
        <f>'Filter-new'!H72</f>
        <v>-98208</v>
      </c>
      <c r="S75" s="62"/>
      <c r="T75" s="62"/>
      <c r="U75" s="445">
        <f>'Filter-new'!H561</f>
        <v>-28416</v>
      </c>
      <c r="V75" s="62"/>
      <c r="W75" s="45">
        <f>'Filter-old'!J72</f>
        <v>0</v>
      </c>
      <c r="X75" s="61">
        <f>'Filter-new'!J72</f>
        <v>0</v>
      </c>
      <c r="Y75" s="62"/>
      <c r="Z75" s="62"/>
      <c r="AA75" s="45">
        <f>'Filter-old'!F72</f>
        <v>0</v>
      </c>
      <c r="AB75" s="61">
        <f>'Filter-new'!F72</f>
        <v>0</v>
      </c>
      <c r="AC75" s="62"/>
      <c r="AD75" s="62"/>
      <c r="AE75" s="45">
        <f>'Filter-old'!P72</f>
        <v>0</v>
      </c>
      <c r="AF75" s="61">
        <f>'Filter-new'!P72</f>
        <v>0</v>
      </c>
      <c r="AG75" s="62"/>
      <c r="AH75" s="62"/>
      <c r="AI75" s="45">
        <f>'Filter-old'!L72</f>
        <v>0</v>
      </c>
      <c r="AJ75" s="61">
        <f>'Filter-new'!L72</f>
        <v>0</v>
      </c>
      <c r="AK75" s="62"/>
      <c r="AL75" s="62"/>
      <c r="AM75" s="62">
        <f>'Filter-new'!L561</f>
        <v>0</v>
      </c>
      <c r="AN75" s="62"/>
      <c r="AO75" s="45">
        <f>'Filter-old'!G72</f>
        <v>0</v>
      </c>
      <c r="AP75" s="61">
        <f>'Filter-new'!G72</f>
        <v>0</v>
      </c>
      <c r="AQ75" s="62"/>
      <c r="AR75" s="62"/>
      <c r="AS75" s="45"/>
      <c r="AT75" s="61"/>
      <c r="AU75" s="62"/>
      <c r="AV75" s="62"/>
      <c r="AW75" s="45">
        <f>'Filter-old'!I72</f>
        <v>-8800</v>
      </c>
      <c r="AX75" s="61">
        <f>'Filter-new'!I72</f>
        <v>-8800</v>
      </c>
      <c r="AY75" s="62"/>
      <c r="AZ75" s="62"/>
      <c r="BA75" s="62">
        <f>'Filter-new'!I561</f>
        <v>0</v>
      </c>
      <c r="BB75" s="62"/>
      <c r="BC75" s="45">
        <f>'Filter-old'!K72</f>
        <v>0</v>
      </c>
      <c r="BD75" s="61">
        <f>'Filter-new'!K72</f>
        <v>0</v>
      </c>
      <c r="BE75" s="62"/>
      <c r="BF75" s="62"/>
      <c r="BG75" s="45">
        <f>'Filter-old'!M72</f>
        <v>0</v>
      </c>
      <c r="BH75" s="62">
        <f>'Filter-new'!K561</f>
        <v>0</v>
      </c>
      <c r="BI75" s="61"/>
      <c r="BJ75" s="61">
        <f>'Filter-new'!M72</f>
        <v>0</v>
      </c>
      <c r="BK75" s="62"/>
      <c r="BL75" s="62"/>
      <c r="BM75" s="62"/>
      <c r="BN75" s="406">
        <f>'Filter-new'!N72</f>
        <v>0</v>
      </c>
      <c r="BO75" s="62"/>
      <c r="BP75" s="62"/>
      <c r="BQ75" s="45">
        <f>'Filter-old'!O72</f>
        <v>0</v>
      </c>
      <c r="BR75" s="61">
        <f>'Filter-new'!O72</f>
        <v>0</v>
      </c>
      <c r="BS75" s="62"/>
      <c r="BT75" s="62"/>
      <c r="BU75" s="45">
        <f>'Filter-old'!Q72</f>
        <v>31590.84</v>
      </c>
      <c r="BV75" s="61">
        <f>'Filter-new'!Q72</f>
        <v>34057.42</v>
      </c>
      <c r="BW75" s="61"/>
      <c r="BX75" s="61"/>
      <c r="BY75" s="61">
        <f>'Filter-new'!Q561</f>
        <v>0</v>
      </c>
      <c r="BZ75" s="61"/>
      <c r="CA75" s="45">
        <f>'Filter-old'!R72</f>
        <v>0</v>
      </c>
      <c r="CB75" s="61">
        <f>'Filter-new'!R72</f>
        <v>0</v>
      </c>
      <c r="CC75" s="61"/>
      <c r="CD75" s="58"/>
      <c r="CE75" s="61">
        <f>'Filter-new'!R561</f>
        <v>0</v>
      </c>
      <c r="CF75" s="57"/>
      <c r="CG75" s="4"/>
    </row>
    <row r="76" spans="1:85" hidden="1" x14ac:dyDescent="0.2">
      <c r="A76">
        <v>0</v>
      </c>
      <c r="B76" s="59">
        <v>39022</v>
      </c>
      <c r="C76" s="59">
        <f>'Filter-new'!C73</f>
        <v>39022</v>
      </c>
      <c r="D76" s="60">
        <f t="shared" si="10"/>
        <v>2006</v>
      </c>
      <c r="E76" s="60">
        <f>VLOOKUP($C76,calendar!$A$2:$D$121,4,FALSE)*(1-(H76=0))</f>
        <v>336</v>
      </c>
      <c r="F76" s="60">
        <f>VLOOKUP($C76,calendar!$A$2:$D$121,3,FALSE)*(1-(I76=0))</f>
        <v>0</v>
      </c>
      <c r="G76" s="36">
        <f t="shared" si="7"/>
        <v>-11921.549999999996</v>
      </c>
      <c r="H76" s="36">
        <f t="shared" si="8"/>
        <v>-64026.98</v>
      </c>
      <c r="I76" s="36">
        <f t="shared" si="9"/>
        <v>0</v>
      </c>
      <c r="J76" s="41"/>
      <c r="K76" s="45">
        <f>'Filter-old'!E73</f>
        <v>-6639.2</v>
      </c>
      <c r="L76" s="61">
        <f>'Filter-new'!E73</f>
        <v>6099.7</v>
      </c>
      <c r="M76" s="62"/>
      <c r="N76" s="62"/>
      <c r="O76" s="429">
        <f>'Filter-new'!E562</f>
        <v>30952</v>
      </c>
      <c r="P76" s="62"/>
      <c r="Q76" s="45">
        <f>'Filter-old'!H73</f>
        <v>-26880</v>
      </c>
      <c r="R76" s="61">
        <f>'Filter-new'!H73</f>
        <v>-94080</v>
      </c>
      <c r="S76" s="62"/>
      <c r="T76" s="62"/>
      <c r="U76" s="445">
        <f>'Filter-new'!H562</f>
        <v>-30952</v>
      </c>
      <c r="V76" s="62"/>
      <c r="W76" s="45">
        <f>'Filter-old'!J73</f>
        <v>0</v>
      </c>
      <c r="X76" s="61">
        <f>'Filter-new'!J73</f>
        <v>0</v>
      </c>
      <c r="Y76" s="62"/>
      <c r="Z76" s="62"/>
      <c r="AA76" s="45">
        <f>'Filter-old'!F73</f>
        <v>0</v>
      </c>
      <c r="AB76" s="61">
        <f>'Filter-new'!F73</f>
        <v>0</v>
      </c>
      <c r="AC76" s="62"/>
      <c r="AD76" s="62"/>
      <c r="AE76" s="45">
        <f>'Filter-old'!P73</f>
        <v>0</v>
      </c>
      <c r="AF76" s="61">
        <f>'Filter-new'!P73</f>
        <v>0</v>
      </c>
      <c r="AG76" s="62"/>
      <c r="AH76" s="62"/>
      <c r="AI76" s="45">
        <f>'Filter-old'!L73</f>
        <v>0</v>
      </c>
      <c r="AJ76" s="61">
        <f>'Filter-new'!L73</f>
        <v>0</v>
      </c>
      <c r="AK76" s="62"/>
      <c r="AL76" s="62"/>
      <c r="AM76" s="62">
        <f>'Filter-new'!L562</f>
        <v>0</v>
      </c>
      <c r="AN76" s="62"/>
      <c r="AO76" s="45">
        <f>'Filter-old'!G73</f>
        <v>0</v>
      </c>
      <c r="AP76" s="61">
        <f>'Filter-new'!G73</f>
        <v>0</v>
      </c>
      <c r="AQ76" s="62"/>
      <c r="AR76" s="62"/>
      <c r="AS76" s="45"/>
      <c r="AT76" s="61"/>
      <c r="AU76" s="62"/>
      <c r="AV76" s="62"/>
      <c r="AW76" s="45">
        <f>'Filter-old'!I73</f>
        <v>-8400</v>
      </c>
      <c r="AX76" s="61">
        <f>'Filter-new'!I73</f>
        <v>-8400</v>
      </c>
      <c r="AY76" s="62"/>
      <c r="AZ76" s="62"/>
      <c r="BA76" s="62">
        <f>'Filter-new'!I562</f>
        <v>0</v>
      </c>
      <c r="BB76" s="62"/>
      <c r="BC76" s="45">
        <f>'Filter-old'!K73</f>
        <v>0</v>
      </c>
      <c r="BD76" s="61">
        <f>'Filter-new'!K73</f>
        <v>0</v>
      </c>
      <c r="BE76" s="62"/>
      <c r="BF76" s="62"/>
      <c r="BG76" s="45">
        <f>'Filter-old'!M73</f>
        <v>0</v>
      </c>
      <c r="BH76" s="62">
        <f>'Filter-new'!K562</f>
        <v>0</v>
      </c>
      <c r="BI76" s="61"/>
      <c r="BJ76" s="61">
        <f>'Filter-new'!M73</f>
        <v>0</v>
      </c>
      <c r="BK76" s="62"/>
      <c r="BL76" s="62"/>
      <c r="BM76" s="62"/>
      <c r="BN76" s="406">
        <f>'Filter-new'!N73</f>
        <v>0</v>
      </c>
      <c r="BO76" s="62"/>
      <c r="BP76" s="62"/>
      <c r="BQ76" s="45">
        <f>'Filter-old'!O73</f>
        <v>0</v>
      </c>
      <c r="BR76" s="61">
        <f>'Filter-new'!O73</f>
        <v>0</v>
      </c>
      <c r="BS76" s="62"/>
      <c r="BT76" s="62"/>
      <c r="BU76" s="45">
        <f>'Filter-old'!Q73</f>
        <v>29997.65</v>
      </c>
      <c r="BV76" s="61">
        <f>'Filter-new'!Q73</f>
        <v>32353.32</v>
      </c>
      <c r="BW76" s="61"/>
      <c r="BX76" s="61"/>
      <c r="BY76" s="61">
        <f>'Filter-new'!Q562</f>
        <v>0</v>
      </c>
      <c r="BZ76" s="61"/>
      <c r="CA76" s="45">
        <f>'Filter-old'!R73</f>
        <v>0</v>
      </c>
      <c r="CB76" s="61">
        <f>'Filter-new'!R73</f>
        <v>0</v>
      </c>
      <c r="CC76" s="61"/>
      <c r="CD76" s="58"/>
      <c r="CE76" s="61">
        <f>'Filter-new'!R562</f>
        <v>0</v>
      </c>
      <c r="CF76" s="57"/>
      <c r="CG76" s="4"/>
    </row>
    <row r="77" spans="1:85" hidden="1" x14ac:dyDescent="0.2">
      <c r="A77">
        <v>0</v>
      </c>
      <c r="B77" s="59">
        <v>39052</v>
      </c>
      <c r="C77" s="59">
        <f>'Filter-new'!C74</f>
        <v>39052</v>
      </c>
      <c r="D77" s="60">
        <f t="shared" si="10"/>
        <v>2006</v>
      </c>
      <c r="E77" s="60">
        <f>VLOOKUP($C77,calendar!$A$2:$D$121,4,FALSE)*(1-(H77=0))</f>
        <v>320</v>
      </c>
      <c r="F77" s="60">
        <f>VLOOKUP($C77,calendar!$A$2:$D$121,3,FALSE)*(1-(I77=0))</f>
        <v>424</v>
      </c>
      <c r="G77" s="36">
        <f t="shared" si="7"/>
        <v>-11154</v>
      </c>
      <c r="H77" s="36">
        <f t="shared" si="8"/>
        <v>-60835.839999999997</v>
      </c>
      <c r="I77" s="36">
        <f t="shared" si="9"/>
        <v>-20384</v>
      </c>
      <c r="J77" s="41"/>
      <c r="K77" s="45">
        <f>'Filter-old'!E74</f>
        <v>-6288.86</v>
      </c>
      <c r="L77" s="61">
        <f>'Filter-new'!E74</f>
        <v>5781</v>
      </c>
      <c r="M77" s="62"/>
      <c r="N77" s="62"/>
      <c r="O77" s="429">
        <f>'Filter-new'!E563</f>
        <v>9016</v>
      </c>
      <c r="P77" s="62"/>
      <c r="Q77" s="45">
        <f>'Filter-old'!H74</f>
        <v>-25280</v>
      </c>
      <c r="R77" s="61">
        <f>'Filter-new'!H74</f>
        <v>-89280</v>
      </c>
      <c r="S77" s="62"/>
      <c r="T77" s="62"/>
      <c r="U77" s="445">
        <f>'Filter-new'!H563</f>
        <v>-29400</v>
      </c>
      <c r="V77" s="62"/>
      <c r="W77" s="45">
        <f>'Filter-old'!J74</f>
        <v>0</v>
      </c>
      <c r="X77" s="61">
        <f>'Filter-new'!J74</f>
        <v>0</v>
      </c>
      <c r="Y77" s="62"/>
      <c r="Z77" s="62"/>
      <c r="AA77" s="45">
        <f>'Filter-old'!F74</f>
        <v>0</v>
      </c>
      <c r="AB77" s="61">
        <f>'Filter-new'!F74</f>
        <v>0</v>
      </c>
      <c r="AC77" s="62"/>
      <c r="AD77" s="62"/>
      <c r="AE77" s="45">
        <f>'Filter-old'!P74</f>
        <v>0</v>
      </c>
      <c r="AF77" s="61">
        <f>'Filter-new'!P74</f>
        <v>0</v>
      </c>
      <c r="AG77" s="62"/>
      <c r="AH77" s="62"/>
      <c r="AI77" s="45">
        <f>'Filter-old'!L74</f>
        <v>0</v>
      </c>
      <c r="AJ77" s="61">
        <f>'Filter-new'!L74</f>
        <v>0</v>
      </c>
      <c r="AK77" s="62"/>
      <c r="AL77" s="62"/>
      <c r="AM77" s="62">
        <f>'Filter-new'!L563</f>
        <v>0</v>
      </c>
      <c r="AN77" s="62"/>
      <c r="AO77" s="45">
        <f>'Filter-old'!G74</f>
        <v>0</v>
      </c>
      <c r="AP77" s="61">
        <f>'Filter-new'!G74</f>
        <v>0</v>
      </c>
      <c r="AQ77" s="62"/>
      <c r="AR77" s="62"/>
      <c r="AS77" s="45"/>
      <c r="AT77" s="61"/>
      <c r="AU77" s="62"/>
      <c r="AV77" s="62"/>
      <c r="AW77" s="45">
        <f>'Filter-old'!I74</f>
        <v>-8000</v>
      </c>
      <c r="AX77" s="61">
        <f>'Filter-new'!I74</f>
        <v>-8000</v>
      </c>
      <c r="AY77" s="62"/>
      <c r="AZ77" s="62"/>
      <c r="BA77" s="62">
        <f>'Filter-new'!I563</f>
        <v>0</v>
      </c>
      <c r="BB77" s="62"/>
      <c r="BC77" s="45">
        <f>'Filter-old'!K74</f>
        <v>0</v>
      </c>
      <c r="BD77" s="61">
        <f>'Filter-new'!K74</f>
        <v>0</v>
      </c>
      <c r="BE77" s="62"/>
      <c r="BF77" s="62"/>
      <c r="BG77" s="45">
        <f>'Filter-old'!M74</f>
        <v>0</v>
      </c>
      <c r="BH77" s="62">
        <f>'Filter-new'!K563</f>
        <v>0</v>
      </c>
      <c r="BI77" s="61"/>
      <c r="BJ77" s="61">
        <f>'Filter-new'!M74</f>
        <v>0</v>
      </c>
      <c r="BK77" s="62"/>
      <c r="BL77" s="62"/>
      <c r="BM77" s="62"/>
      <c r="BN77" s="406">
        <f>'Filter-new'!N74</f>
        <v>0</v>
      </c>
      <c r="BO77" s="62"/>
      <c r="BP77" s="62"/>
      <c r="BQ77" s="45">
        <f>'Filter-old'!O74</f>
        <v>0</v>
      </c>
      <c r="BR77" s="61">
        <f>'Filter-new'!O74</f>
        <v>0</v>
      </c>
      <c r="BS77" s="62"/>
      <c r="BT77" s="62"/>
      <c r="BU77" s="45">
        <f>'Filter-old'!Q74</f>
        <v>28414.86</v>
      </c>
      <c r="BV77" s="61">
        <f>'Filter-new'!Q74</f>
        <v>30663.16</v>
      </c>
      <c r="BW77" s="61"/>
      <c r="BX77" s="61"/>
      <c r="BY77" s="61">
        <f>'Filter-new'!Q563</f>
        <v>0</v>
      </c>
      <c r="BZ77" s="61"/>
      <c r="CA77" s="45">
        <f>'Filter-old'!R74</f>
        <v>0</v>
      </c>
      <c r="CB77" s="61">
        <f>'Filter-new'!R74</f>
        <v>0</v>
      </c>
      <c r="CC77" s="61"/>
      <c r="CD77" s="58"/>
      <c r="CE77" s="61">
        <f>'Filter-new'!R563</f>
        <v>0</v>
      </c>
      <c r="CF77" s="57"/>
      <c r="CG77" s="4"/>
    </row>
    <row r="78" spans="1:85" hidden="1" x14ac:dyDescent="0.2">
      <c r="A78">
        <v>0</v>
      </c>
      <c r="B78" s="59">
        <v>39083</v>
      </c>
      <c r="C78" s="59">
        <f>'Filter-new'!C75</f>
        <v>39083</v>
      </c>
      <c r="D78" s="60">
        <f t="shared" si="10"/>
        <v>2007</v>
      </c>
      <c r="E78" s="60">
        <f>VLOOKUP($C78,calendar!$A$2:$D$121,4,FALSE)*(1-(H78=0))</f>
        <v>352</v>
      </c>
      <c r="F78" s="60">
        <f>VLOOKUP($C78,calendar!$A$2:$D$121,3,FALSE)*(1-(I78=0))</f>
        <v>392</v>
      </c>
      <c r="G78" s="36">
        <f t="shared" si="7"/>
        <v>-5319.909999999998</v>
      </c>
      <c r="H78" s="36">
        <f t="shared" si="8"/>
        <v>-36537.93</v>
      </c>
      <c r="I78" s="36">
        <f t="shared" si="9"/>
        <v>-17600</v>
      </c>
      <c r="J78" s="41"/>
      <c r="K78" s="45">
        <f>'Filter-old'!E75</f>
        <v>44084.33</v>
      </c>
      <c r="L78" s="61">
        <f>'Filter-new'!E75</f>
        <v>47599</v>
      </c>
      <c r="M78" s="62"/>
      <c r="N78" s="62"/>
      <c r="O78" s="429">
        <f>'Filter-new'!E564</f>
        <v>8096</v>
      </c>
      <c r="P78" s="62"/>
      <c r="Q78" s="45">
        <f>'Filter-old'!H75</f>
        <v>-46464</v>
      </c>
      <c r="R78" s="61">
        <f>'Filter-new'!H75</f>
        <v>-81664</v>
      </c>
      <c r="S78" s="62"/>
      <c r="T78" s="62"/>
      <c r="U78" s="445">
        <f>'Filter-new'!H564</f>
        <v>-25696</v>
      </c>
      <c r="V78" s="62"/>
      <c r="W78" s="45">
        <f>'Filter-old'!J75</f>
        <v>0</v>
      </c>
      <c r="X78" s="61">
        <f>'Filter-new'!J75</f>
        <v>0</v>
      </c>
      <c r="Y78" s="62"/>
      <c r="Z78" s="62"/>
      <c r="AA78" s="45">
        <f>'Filter-old'!F75</f>
        <v>0</v>
      </c>
      <c r="AB78" s="61">
        <f>'Filter-new'!F75</f>
        <v>0</v>
      </c>
      <c r="AC78" s="62"/>
      <c r="AD78" s="62"/>
      <c r="AE78" s="45">
        <f>'Filter-old'!P75</f>
        <v>0</v>
      </c>
      <c r="AF78" s="61">
        <f>'Filter-new'!P75</f>
        <v>0</v>
      </c>
      <c r="AG78" s="62"/>
      <c r="AH78" s="62"/>
      <c r="AI78" s="45">
        <f>'Filter-old'!L75</f>
        <v>0</v>
      </c>
      <c r="AJ78" s="61">
        <f>'Filter-new'!L75</f>
        <v>0</v>
      </c>
      <c r="AK78" s="62"/>
      <c r="AL78" s="62"/>
      <c r="AM78" s="62">
        <f>'Filter-new'!L564</f>
        <v>0</v>
      </c>
      <c r="AN78" s="62"/>
      <c r="AO78" s="45">
        <f>'Filter-old'!G75</f>
        <v>0</v>
      </c>
      <c r="AP78" s="61">
        <f>'Filter-new'!G75</f>
        <v>0</v>
      </c>
      <c r="AQ78" s="62"/>
      <c r="AR78" s="62"/>
      <c r="AS78" s="45"/>
      <c r="AT78" s="61"/>
      <c r="AU78" s="62"/>
      <c r="AV78" s="62"/>
      <c r="AW78" s="45">
        <f>'Filter-old'!I75</f>
        <v>-8800</v>
      </c>
      <c r="AX78" s="61">
        <f>'Filter-new'!I75</f>
        <v>-8800</v>
      </c>
      <c r="AY78" s="62"/>
      <c r="AZ78" s="62"/>
      <c r="BA78" s="62">
        <f>'Filter-new'!I564</f>
        <v>0</v>
      </c>
      <c r="BB78" s="62"/>
      <c r="BC78" s="45">
        <f>'Filter-old'!K75</f>
        <v>0</v>
      </c>
      <c r="BD78" s="61">
        <f>'Filter-new'!K75</f>
        <v>0</v>
      </c>
      <c r="BE78" s="62"/>
      <c r="BF78" s="62"/>
      <c r="BG78" s="45">
        <f>'Filter-old'!M75</f>
        <v>0</v>
      </c>
      <c r="BH78" s="62">
        <f>'Filter-new'!K564</f>
        <v>0</v>
      </c>
      <c r="BI78" s="61"/>
      <c r="BJ78" s="61">
        <f>'Filter-new'!M75</f>
        <v>0</v>
      </c>
      <c r="BK78" s="62"/>
      <c r="BL78" s="62"/>
      <c r="BM78" s="62"/>
      <c r="BN78" s="406">
        <f>'Filter-new'!N75</f>
        <v>0</v>
      </c>
      <c r="BO78" s="62"/>
      <c r="BP78" s="62"/>
      <c r="BQ78" s="45">
        <f>'Filter-old'!O75</f>
        <v>0</v>
      </c>
      <c r="BR78" s="61">
        <f>'Filter-new'!O75</f>
        <v>0</v>
      </c>
      <c r="BS78" s="62"/>
      <c r="BT78" s="62"/>
      <c r="BU78" s="45">
        <f>'Filter-old'!Q75</f>
        <v>5859.76</v>
      </c>
      <c r="BV78" s="61">
        <f>'Filter-new'!Q75</f>
        <v>6327.07</v>
      </c>
      <c r="BW78" s="61"/>
      <c r="BX78" s="61"/>
      <c r="BY78" s="61">
        <f>'Filter-new'!Q564</f>
        <v>0</v>
      </c>
      <c r="BZ78" s="61"/>
      <c r="CA78" s="45">
        <f>'Filter-old'!R75</f>
        <v>0</v>
      </c>
      <c r="CB78" s="61">
        <f>'Filter-new'!R75</f>
        <v>0</v>
      </c>
      <c r="CC78" s="61"/>
      <c r="CD78" s="58"/>
      <c r="CE78" s="61">
        <f>'Filter-new'!R564</f>
        <v>0</v>
      </c>
      <c r="CF78" s="57"/>
      <c r="CG78" s="4"/>
    </row>
    <row r="79" spans="1:85" hidden="1" x14ac:dyDescent="0.2">
      <c r="A79">
        <v>0</v>
      </c>
      <c r="B79" s="59">
        <v>39114</v>
      </c>
      <c r="C79" s="59">
        <f>'Filter-new'!C76</f>
        <v>39114</v>
      </c>
      <c r="D79" s="60">
        <f t="shared" si="10"/>
        <v>2007</v>
      </c>
      <c r="E79" s="60">
        <f>VLOOKUP($C79,calendar!$A$2:$D$121,4,FALSE)*(1-(H79=0))</f>
        <v>320</v>
      </c>
      <c r="F79" s="60">
        <f>VLOOKUP($C79,calendar!$A$2:$D$121,3,FALSE)*(1-(I79=0))</f>
        <v>352</v>
      </c>
      <c r="G79" s="36">
        <f t="shared" si="7"/>
        <v>-5059.590000000002</v>
      </c>
      <c r="H79" s="36">
        <f t="shared" si="8"/>
        <v>-33432.9</v>
      </c>
      <c r="I79" s="36">
        <f t="shared" si="9"/>
        <v>-20384</v>
      </c>
      <c r="J79" s="41"/>
      <c r="K79" s="45">
        <f>'Filter-old'!E76</f>
        <v>39879.56</v>
      </c>
      <c r="L79" s="61">
        <f>'Filter-new'!E76</f>
        <v>43080.639999999999</v>
      </c>
      <c r="M79" s="62"/>
      <c r="N79" s="62"/>
      <c r="O79" s="429">
        <f>'Filter-new'!E565</f>
        <v>9016</v>
      </c>
      <c r="P79" s="62"/>
      <c r="Q79" s="45">
        <f>'Filter-old'!H76</f>
        <v>-42240</v>
      </c>
      <c r="R79" s="61">
        <f>'Filter-new'!H76</f>
        <v>-74240</v>
      </c>
      <c r="S79" s="62"/>
      <c r="T79" s="62"/>
      <c r="U79" s="445">
        <f>'Filter-new'!H565</f>
        <v>-29400</v>
      </c>
      <c r="V79" s="62"/>
      <c r="W79" s="45">
        <f>'Filter-old'!J76</f>
        <v>0</v>
      </c>
      <c r="X79" s="61">
        <f>'Filter-new'!J76</f>
        <v>0</v>
      </c>
      <c r="Y79" s="62"/>
      <c r="Z79" s="62"/>
      <c r="AA79" s="45">
        <f>'Filter-old'!F76</f>
        <v>0</v>
      </c>
      <c r="AB79" s="61">
        <f>'Filter-new'!F76</f>
        <v>0</v>
      </c>
      <c r="AC79" s="62"/>
      <c r="AD79" s="62"/>
      <c r="AE79" s="45">
        <f>'Filter-old'!P76</f>
        <v>0</v>
      </c>
      <c r="AF79" s="61">
        <f>'Filter-new'!P76</f>
        <v>0</v>
      </c>
      <c r="AG79" s="62"/>
      <c r="AH79" s="62"/>
      <c r="AI79" s="45">
        <f>'Filter-old'!L76</f>
        <v>0</v>
      </c>
      <c r="AJ79" s="61">
        <f>'Filter-new'!L76</f>
        <v>0</v>
      </c>
      <c r="AK79" s="62"/>
      <c r="AL79" s="62"/>
      <c r="AM79" s="62">
        <f>'Filter-new'!L565</f>
        <v>0</v>
      </c>
      <c r="AN79" s="62"/>
      <c r="AO79" s="45">
        <f>'Filter-old'!G76</f>
        <v>0</v>
      </c>
      <c r="AP79" s="61">
        <f>'Filter-new'!G76</f>
        <v>0</v>
      </c>
      <c r="AQ79" s="62"/>
      <c r="AR79" s="62"/>
      <c r="AS79" s="45"/>
      <c r="AT79" s="61"/>
      <c r="AU79" s="62"/>
      <c r="AV79" s="62"/>
      <c r="AW79" s="45">
        <f>'Filter-old'!I76</f>
        <v>-8000</v>
      </c>
      <c r="AX79" s="61">
        <f>'Filter-new'!I76</f>
        <v>-8000</v>
      </c>
      <c r="AY79" s="62"/>
      <c r="AZ79" s="62"/>
      <c r="BA79" s="62">
        <f>'Filter-new'!I565</f>
        <v>0</v>
      </c>
      <c r="BB79" s="62"/>
      <c r="BC79" s="45">
        <f>'Filter-old'!K76</f>
        <v>0</v>
      </c>
      <c r="BD79" s="61">
        <f>'Filter-new'!K76</f>
        <v>0</v>
      </c>
      <c r="BE79" s="62"/>
      <c r="BF79" s="62"/>
      <c r="BG79" s="45">
        <f>'Filter-old'!M76</f>
        <v>0</v>
      </c>
      <c r="BH79" s="62">
        <f>'Filter-new'!K565</f>
        <v>0</v>
      </c>
      <c r="BI79" s="61"/>
      <c r="BJ79" s="61">
        <f>'Filter-new'!M76</f>
        <v>0</v>
      </c>
      <c r="BK79" s="62"/>
      <c r="BL79" s="62"/>
      <c r="BM79" s="62"/>
      <c r="BN79" s="406">
        <f>'Filter-new'!N76</f>
        <v>0</v>
      </c>
      <c r="BO79" s="62"/>
      <c r="BP79" s="62"/>
      <c r="BQ79" s="45">
        <f>'Filter-old'!O76</f>
        <v>0</v>
      </c>
      <c r="BR79" s="61">
        <f>'Filter-new'!O76</f>
        <v>0</v>
      </c>
      <c r="BS79" s="62"/>
      <c r="BT79" s="62"/>
      <c r="BU79" s="45">
        <f>'Filter-old'!Q76</f>
        <v>5300.85</v>
      </c>
      <c r="BV79" s="61">
        <f>'Filter-new'!Q76</f>
        <v>5726.46</v>
      </c>
      <c r="BW79" s="61"/>
      <c r="BX79" s="61"/>
      <c r="BY79" s="61">
        <f>'Filter-new'!Q565</f>
        <v>0</v>
      </c>
      <c r="BZ79" s="61"/>
      <c r="CA79" s="45">
        <f>'Filter-old'!R76</f>
        <v>0</v>
      </c>
      <c r="CB79" s="61">
        <f>'Filter-new'!R76</f>
        <v>0</v>
      </c>
      <c r="CC79" s="61"/>
      <c r="CD79" s="58"/>
      <c r="CE79" s="61">
        <f>'Filter-new'!R565</f>
        <v>0</v>
      </c>
      <c r="CF79" s="57"/>
      <c r="CG79" s="4"/>
    </row>
    <row r="80" spans="1:85" hidden="1" x14ac:dyDescent="0.2">
      <c r="A80">
        <v>0</v>
      </c>
      <c r="B80" s="59">
        <v>39142</v>
      </c>
      <c r="C80" s="59">
        <f>'Filter-new'!C77</f>
        <v>39142</v>
      </c>
      <c r="D80" s="60">
        <f t="shared" si="10"/>
        <v>2007</v>
      </c>
      <c r="E80" s="60">
        <f>VLOOKUP($C80,calendar!$A$2:$D$121,4,FALSE)*(1-(H80=0))</f>
        <v>352</v>
      </c>
      <c r="F80" s="60">
        <f>VLOOKUP($C80,calendar!$A$2:$D$121,3,FALSE)*(1-(I80=0))</f>
        <v>392</v>
      </c>
      <c r="G80" s="36">
        <f t="shared" si="7"/>
        <v>-7245.0800000000017</v>
      </c>
      <c r="H80" s="36">
        <f t="shared" si="8"/>
        <v>-38448.379999999997</v>
      </c>
      <c r="I80" s="36">
        <f t="shared" si="9"/>
        <v>-19557</v>
      </c>
      <c r="J80" s="41"/>
      <c r="K80" s="45">
        <f>'Filter-old'!E77</f>
        <v>43627.92</v>
      </c>
      <c r="L80" s="61">
        <f>'Filter-new'!E77</f>
        <v>47155.62</v>
      </c>
      <c r="M80" s="62"/>
      <c r="N80" s="62"/>
      <c r="O80" s="429">
        <f>'Filter-new'!E566</f>
        <v>8809</v>
      </c>
      <c r="P80" s="62"/>
      <c r="Q80" s="45">
        <f>'Filter-old'!H77</f>
        <v>-47872</v>
      </c>
      <c r="R80" s="61">
        <f>'Filter-new'!H77</f>
        <v>-83072</v>
      </c>
      <c r="S80" s="62"/>
      <c r="T80" s="62"/>
      <c r="U80" s="445">
        <f>'Filter-new'!H566</f>
        <v>-28366</v>
      </c>
      <c r="V80" s="62"/>
      <c r="W80" s="45">
        <f>'Filter-old'!J77</f>
        <v>0</v>
      </c>
      <c r="X80" s="61">
        <f>'Filter-new'!J77</f>
        <v>0</v>
      </c>
      <c r="Y80" s="62"/>
      <c r="Z80" s="62"/>
      <c r="AA80" s="45">
        <f>'Filter-old'!F77</f>
        <v>0</v>
      </c>
      <c r="AB80" s="61">
        <f>'Filter-new'!F77</f>
        <v>0</v>
      </c>
      <c r="AC80" s="62"/>
      <c r="AD80" s="62"/>
      <c r="AE80" s="45">
        <f>'Filter-old'!P77</f>
        <v>0</v>
      </c>
      <c r="AF80" s="61">
        <f>'Filter-new'!P77</f>
        <v>0</v>
      </c>
      <c r="AG80" s="62"/>
      <c r="AH80" s="62"/>
      <c r="AI80" s="45">
        <f>'Filter-old'!L77</f>
        <v>0</v>
      </c>
      <c r="AJ80" s="61">
        <f>'Filter-new'!L77</f>
        <v>0</v>
      </c>
      <c r="AK80" s="62"/>
      <c r="AL80" s="62"/>
      <c r="AM80" s="62">
        <f>'Filter-new'!L566</f>
        <v>0</v>
      </c>
      <c r="AN80" s="62"/>
      <c r="AO80" s="45">
        <f>'Filter-old'!G77</f>
        <v>0</v>
      </c>
      <c r="AP80" s="61">
        <f>'Filter-new'!G77</f>
        <v>0</v>
      </c>
      <c r="AQ80" s="62"/>
      <c r="AR80" s="62"/>
      <c r="AS80" s="45"/>
      <c r="AT80" s="61"/>
      <c r="AU80" s="62"/>
      <c r="AV80" s="62"/>
      <c r="AW80" s="45">
        <f>'Filter-old'!I77</f>
        <v>-8800</v>
      </c>
      <c r="AX80" s="61">
        <f>'Filter-new'!I77</f>
        <v>-8800</v>
      </c>
      <c r="AY80" s="62"/>
      <c r="AZ80" s="62"/>
      <c r="BA80" s="62">
        <f>'Filter-new'!I566</f>
        <v>0</v>
      </c>
      <c r="BB80" s="62"/>
      <c r="BC80" s="45">
        <f>'Filter-old'!K77</f>
        <v>0</v>
      </c>
      <c r="BD80" s="61">
        <f>'Filter-new'!K77</f>
        <v>0</v>
      </c>
      <c r="BE80" s="62"/>
      <c r="BF80" s="62"/>
      <c r="BG80" s="45">
        <f>'Filter-old'!M77</f>
        <v>0</v>
      </c>
      <c r="BH80" s="62">
        <f>'Filter-new'!K566</f>
        <v>0</v>
      </c>
      <c r="BI80" s="61"/>
      <c r="BJ80" s="61">
        <f>'Filter-new'!M77</f>
        <v>0</v>
      </c>
      <c r="BK80" s="62"/>
      <c r="BL80" s="62"/>
      <c r="BM80" s="62"/>
      <c r="BN80" s="406">
        <f>'Filter-new'!N77</f>
        <v>0</v>
      </c>
      <c r="BO80" s="62"/>
      <c r="BP80" s="62"/>
      <c r="BQ80" s="45">
        <f>'Filter-old'!O77</f>
        <v>0</v>
      </c>
      <c r="BR80" s="61">
        <f>'Filter-new'!O77</f>
        <v>0</v>
      </c>
      <c r="BS80" s="62"/>
      <c r="BT80" s="62"/>
      <c r="BU80" s="45">
        <f>'Filter-old'!Q77</f>
        <v>5799</v>
      </c>
      <c r="BV80" s="61">
        <f>'Filter-new'!Q77</f>
        <v>6268</v>
      </c>
      <c r="BW80" s="61"/>
      <c r="BX80" s="61"/>
      <c r="BY80" s="61">
        <f>'Filter-new'!Q566</f>
        <v>0</v>
      </c>
      <c r="BZ80" s="61"/>
      <c r="CA80" s="45">
        <f>'Filter-old'!R77</f>
        <v>0</v>
      </c>
      <c r="CB80" s="61">
        <f>'Filter-new'!R77</f>
        <v>0</v>
      </c>
      <c r="CC80" s="61"/>
      <c r="CD80" s="58"/>
      <c r="CE80" s="61">
        <f>'Filter-new'!R566</f>
        <v>0</v>
      </c>
      <c r="CF80" s="57"/>
      <c r="CG80" s="4"/>
    </row>
    <row r="81" spans="1:85" hidden="1" x14ac:dyDescent="0.2">
      <c r="A81">
        <v>0</v>
      </c>
      <c r="B81" s="59">
        <v>39173</v>
      </c>
      <c r="C81" s="59">
        <f>'Filter-new'!C78</f>
        <v>39173</v>
      </c>
      <c r="D81" s="60">
        <f t="shared" si="10"/>
        <v>2007</v>
      </c>
      <c r="E81" s="60">
        <f>VLOOKUP($C81,calendar!$A$2:$D$121,4,FALSE)*(1-(H81=0))</f>
        <v>336</v>
      </c>
      <c r="F81" s="60">
        <f>VLOOKUP($C81,calendar!$A$2:$D$121,3,FALSE)*(1-(I81=0))</f>
        <v>384</v>
      </c>
      <c r="G81" s="36">
        <f t="shared" si="7"/>
        <v>-7069.9299999999976</v>
      </c>
      <c r="H81" s="36">
        <f t="shared" si="8"/>
        <v>-36868.230000000003</v>
      </c>
      <c r="I81" s="36">
        <f t="shared" si="9"/>
        <v>-16464</v>
      </c>
      <c r="J81" s="41"/>
      <c r="K81" s="45">
        <f>'Filter-old'!E78</f>
        <v>41423.94</v>
      </c>
      <c r="L81" s="61">
        <f>'Filter-new'!E78</f>
        <v>44796.7</v>
      </c>
      <c r="M81" s="62"/>
      <c r="N81" s="62"/>
      <c r="O81" s="429">
        <f>'Filter-new'!E567</f>
        <v>9016</v>
      </c>
      <c r="P81" s="62"/>
      <c r="Q81" s="45">
        <f>'Filter-old'!H78</f>
        <v>-45360</v>
      </c>
      <c r="R81" s="61">
        <f>'Filter-new'!H78</f>
        <v>-78960</v>
      </c>
      <c r="S81" s="62"/>
      <c r="T81" s="62"/>
      <c r="U81" s="445">
        <f>'Filter-new'!H567</f>
        <v>-25480</v>
      </c>
      <c r="V81" s="62"/>
      <c r="W81" s="45">
        <f>'Filter-old'!J78</f>
        <v>0</v>
      </c>
      <c r="X81" s="61">
        <f>'Filter-new'!J78</f>
        <v>0</v>
      </c>
      <c r="Y81" s="62"/>
      <c r="Z81" s="62"/>
      <c r="AA81" s="45">
        <f>'Filter-old'!F78</f>
        <v>0</v>
      </c>
      <c r="AB81" s="61">
        <f>'Filter-new'!F78</f>
        <v>0</v>
      </c>
      <c r="AC81" s="62"/>
      <c r="AD81" s="62"/>
      <c r="AE81" s="45">
        <f>'Filter-old'!P78</f>
        <v>0</v>
      </c>
      <c r="AF81" s="61">
        <f>'Filter-new'!P78</f>
        <v>0</v>
      </c>
      <c r="AG81" s="62"/>
      <c r="AH81" s="62"/>
      <c r="AI81" s="45">
        <f>'Filter-old'!L78</f>
        <v>0</v>
      </c>
      <c r="AJ81" s="61">
        <f>'Filter-new'!L78</f>
        <v>0</v>
      </c>
      <c r="AK81" s="62"/>
      <c r="AL81" s="62"/>
      <c r="AM81" s="62">
        <f>'Filter-new'!L567</f>
        <v>0</v>
      </c>
      <c r="AN81" s="62"/>
      <c r="AO81" s="45">
        <f>'Filter-old'!G78</f>
        <v>0</v>
      </c>
      <c r="AP81" s="61">
        <f>'Filter-new'!G78</f>
        <v>0</v>
      </c>
      <c r="AQ81" s="62"/>
      <c r="AR81" s="62"/>
      <c r="AS81" s="45"/>
      <c r="AT81" s="61"/>
      <c r="AU81" s="62"/>
      <c r="AV81" s="62"/>
      <c r="AW81" s="45">
        <f>'Filter-old'!I78</f>
        <v>-8400</v>
      </c>
      <c r="AX81" s="61">
        <f>'Filter-new'!I78</f>
        <v>-8400</v>
      </c>
      <c r="AY81" s="62"/>
      <c r="AZ81" s="62"/>
      <c r="BA81" s="62">
        <f>'Filter-new'!I567</f>
        <v>0</v>
      </c>
      <c r="BB81" s="62"/>
      <c r="BC81" s="45">
        <f>'Filter-old'!K78</f>
        <v>0</v>
      </c>
      <c r="BD81" s="61">
        <f>'Filter-new'!K78</f>
        <v>0</v>
      </c>
      <c r="BE81" s="62"/>
      <c r="BF81" s="62"/>
      <c r="BG81" s="45">
        <f>'Filter-old'!M78</f>
        <v>0</v>
      </c>
      <c r="BH81" s="62">
        <f>'Filter-new'!K567</f>
        <v>0</v>
      </c>
      <c r="BI81" s="61"/>
      <c r="BJ81" s="61">
        <f>'Filter-new'!M78</f>
        <v>0</v>
      </c>
      <c r="BK81" s="62"/>
      <c r="BL81" s="62"/>
      <c r="BM81" s="62"/>
      <c r="BN81" s="406">
        <f>'Filter-new'!N78</f>
        <v>0</v>
      </c>
      <c r="BO81" s="62"/>
      <c r="BP81" s="62"/>
      <c r="BQ81" s="45">
        <f>'Filter-old'!O78</f>
        <v>0</v>
      </c>
      <c r="BR81" s="61">
        <f>'Filter-new'!O78</f>
        <v>0</v>
      </c>
      <c r="BS81" s="62"/>
      <c r="BT81" s="62"/>
      <c r="BU81" s="45">
        <f>'Filter-old'!Q78</f>
        <v>5266.13</v>
      </c>
      <c r="BV81" s="61">
        <f>'Filter-new'!Q78</f>
        <v>5695.07</v>
      </c>
      <c r="BW81" s="61"/>
      <c r="BX81" s="61"/>
      <c r="BY81" s="61">
        <f>'Filter-new'!Q567</f>
        <v>0</v>
      </c>
      <c r="BZ81" s="61"/>
      <c r="CA81" s="45">
        <f>'Filter-old'!R78</f>
        <v>0</v>
      </c>
      <c r="CB81" s="61">
        <f>'Filter-new'!R78</f>
        <v>0</v>
      </c>
      <c r="CC81" s="61"/>
      <c r="CD81" s="58"/>
      <c r="CE81" s="61">
        <f>'Filter-new'!R567</f>
        <v>0</v>
      </c>
      <c r="CF81" s="57"/>
      <c r="CG81" s="4"/>
    </row>
    <row r="82" spans="1:85" hidden="1" x14ac:dyDescent="0.2">
      <c r="A82">
        <v>0</v>
      </c>
      <c r="B82" s="59">
        <v>39203</v>
      </c>
      <c r="C82" s="59">
        <f>'Filter-new'!C79</f>
        <v>39203</v>
      </c>
      <c r="D82" s="60">
        <f t="shared" si="10"/>
        <v>2007</v>
      </c>
      <c r="E82" s="60">
        <f>VLOOKUP($C82,calendar!$A$2:$D$121,4,FALSE)*(1-(H82=0))</f>
        <v>352</v>
      </c>
      <c r="F82" s="60">
        <f>VLOOKUP($C82,calendar!$A$2:$D$121,3,FALSE)*(1-(I82=0))</f>
        <v>392</v>
      </c>
      <c r="G82" s="36">
        <f t="shared" si="7"/>
        <v>-4507.6000000000013</v>
      </c>
      <c r="H82" s="36">
        <f t="shared" si="8"/>
        <v>-35718.99</v>
      </c>
      <c r="I82" s="36">
        <f t="shared" si="9"/>
        <v>-14976</v>
      </c>
      <c r="J82" s="41"/>
      <c r="K82" s="45">
        <f>'Filter-old'!E79</f>
        <v>43157.85</v>
      </c>
      <c r="L82" s="61">
        <f>'Filter-new'!E79</f>
        <v>46696.43</v>
      </c>
      <c r="M82" s="62"/>
      <c r="N82" s="62"/>
      <c r="O82" s="429">
        <f>'Filter-new'!E568</f>
        <v>8832</v>
      </c>
      <c r="P82" s="62"/>
      <c r="Q82" s="45">
        <f>'Filter-old'!H79</f>
        <v>-44352</v>
      </c>
      <c r="R82" s="61">
        <f>'Filter-new'!H79</f>
        <v>-79552</v>
      </c>
      <c r="S82" s="62"/>
      <c r="T82" s="62"/>
      <c r="U82" s="445">
        <f>'Filter-new'!H568</f>
        <v>-23808</v>
      </c>
      <c r="V82" s="62"/>
      <c r="W82" s="45">
        <f>'Filter-old'!J79</f>
        <v>0</v>
      </c>
      <c r="X82" s="61">
        <f>'Filter-new'!J79</f>
        <v>0</v>
      </c>
      <c r="Y82" s="62"/>
      <c r="Z82" s="62"/>
      <c r="AA82" s="45">
        <f>'Filter-old'!F79</f>
        <v>0</v>
      </c>
      <c r="AB82" s="61">
        <f>'Filter-new'!F79</f>
        <v>0</v>
      </c>
      <c r="AC82" s="62"/>
      <c r="AD82" s="62"/>
      <c r="AE82" s="45">
        <f>'Filter-old'!P79</f>
        <v>0</v>
      </c>
      <c r="AF82" s="61">
        <f>'Filter-new'!P79</f>
        <v>0</v>
      </c>
      <c r="AG82" s="62"/>
      <c r="AH82" s="62"/>
      <c r="AI82" s="45">
        <f>'Filter-old'!L79</f>
        <v>0</v>
      </c>
      <c r="AJ82" s="61">
        <f>'Filter-new'!L79</f>
        <v>0</v>
      </c>
      <c r="AK82" s="62"/>
      <c r="AL82" s="62"/>
      <c r="AM82" s="62">
        <f>'Filter-new'!L568</f>
        <v>0</v>
      </c>
      <c r="AN82" s="62"/>
      <c r="AO82" s="45">
        <f>'Filter-old'!G79</f>
        <v>0</v>
      </c>
      <c r="AP82" s="61">
        <f>'Filter-new'!G79</f>
        <v>0</v>
      </c>
      <c r="AQ82" s="62"/>
      <c r="AR82" s="62"/>
      <c r="AS82" s="45"/>
      <c r="AT82" s="61"/>
      <c r="AU82" s="62"/>
      <c r="AV82" s="62"/>
      <c r="AW82" s="45">
        <f>'Filter-old'!I79</f>
        <v>-8800</v>
      </c>
      <c r="AX82" s="61">
        <f>'Filter-new'!I79</f>
        <v>-8800</v>
      </c>
      <c r="AY82" s="62"/>
      <c r="AZ82" s="62"/>
      <c r="BA82" s="62">
        <f>'Filter-new'!I568</f>
        <v>0</v>
      </c>
      <c r="BB82" s="62"/>
      <c r="BC82" s="45">
        <f>'Filter-old'!K79</f>
        <v>0</v>
      </c>
      <c r="BD82" s="61">
        <f>'Filter-new'!K79</f>
        <v>0</v>
      </c>
      <c r="BE82" s="62"/>
      <c r="BF82" s="62"/>
      <c r="BG82" s="45">
        <f>'Filter-old'!M79</f>
        <v>0</v>
      </c>
      <c r="BH82" s="62">
        <f>'Filter-new'!K568</f>
        <v>0</v>
      </c>
      <c r="BI82" s="61"/>
      <c r="BJ82" s="61">
        <f>'Filter-new'!M79</f>
        <v>0</v>
      </c>
      <c r="BK82" s="62"/>
      <c r="BL82" s="62"/>
      <c r="BM82" s="62"/>
      <c r="BN82" s="406">
        <f>'Filter-new'!N79</f>
        <v>0</v>
      </c>
      <c r="BO82" s="62"/>
      <c r="BP82" s="62"/>
      <c r="BQ82" s="45">
        <f>'Filter-old'!O79</f>
        <v>0</v>
      </c>
      <c r="BR82" s="61">
        <f>'Filter-new'!O79</f>
        <v>0</v>
      </c>
      <c r="BS82" s="62"/>
      <c r="BT82" s="62"/>
      <c r="BU82" s="45">
        <f>'Filter-old'!Q79</f>
        <v>5486.55</v>
      </c>
      <c r="BV82" s="61">
        <f>'Filter-new'!Q79</f>
        <v>5936.58</v>
      </c>
      <c r="BW82" s="61"/>
      <c r="BX82" s="61"/>
      <c r="BY82" s="61">
        <f>'Filter-new'!Q568</f>
        <v>0</v>
      </c>
      <c r="BZ82" s="61"/>
      <c r="CA82" s="45">
        <f>'Filter-old'!R79</f>
        <v>0</v>
      </c>
      <c r="CB82" s="61">
        <f>'Filter-new'!R79</f>
        <v>0</v>
      </c>
      <c r="CC82" s="61"/>
      <c r="CD82" s="58"/>
      <c r="CE82" s="61">
        <f>'Filter-new'!R568</f>
        <v>0</v>
      </c>
      <c r="CF82" s="57"/>
      <c r="CG82" s="4"/>
    </row>
    <row r="83" spans="1:85" hidden="1" x14ac:dyDescent="0.2">
      <c r="A83">
        <v>0</v>
      </c>
      <c r="B83" s="59">
        <v>39234</v>
      </c>
      <c r="C83" s="59">
        <f>'Filter-new'!C80</f>
        <v>39234</v>
      </c>
      <c r="D83" s="60">
        <f t="shared" si="10"/>
        <v>2007</v>
      </c>
      <c r="E83" s="60">
        <f>VLOOKUP($C83,calendar!$A$2:$D$121,4,FALSE)*(1-(H83=0))</f>
        <v>336</v>
      </c>
      <c r="F83" s="60">
        <f>VLOOKUP($C83,calendar!$A$2:$D$121,3,FALSE)*(1-(I83=0))</f>
        <v>384</v>
      </c>
      <c r="G83" s="36">
        <f t="shared" si="7"/>
        <v>-3107.7799999999997</v>
      </c>
      <c r="H83" s="36">
        <f t="shared" si="8"/>
        <v>-32915.25</v>
      </c>
      <c r="I83" s="36">
        <f t="shared" si="9"/>
        <v>-14688</v>
      </c>
      <c r="J83" s="41"/>
      <c r="K83" s="45">
        <f>'Filter-old'!E80</f>
        <v>40976.11</v>
      </c>
      <c r="L83" s="61">
        <f>'Filter-new'!E80</f>
        <v>44358.07</v>
      </c>
      <c r="M83" s="62"/>
      <c r="N83" s="62"/>
      <c r="O83" s="429">
        <f>'Filter-new'!E569</f>
        <v>9384</v>
      </c>
      <c r="P83" s="62"/>
      <c r="Q83" s="45">
        <f>'Filter-old'!H80</f>
        <v>-40656</v>
      </c>
      <c r="R83" s="61">
        <f>'Filter-new'!H80</f>
        <v>-74256</v>
      </c>
      <c r="S83" s="62"/>
      <c r="T83" s="62"/>
      <c r="U83" s="445">
        <f>'Filter-new'!H569</f>
        <v>-24072</v>
      </c>
      <c r="V83" s="62"/>
      <c r="W83" s="45">
        <f>'Filter-old'!J80</f>
        <v>0</v>
      </c>
      <c r="X83" s="61">
        <f>'Filter-new'!J80</f>
        <v>0</v>
      </c>
      <c r="Y83" s="62"/>
      <c r="Z83" s="62"/>
      <c r="AA83" s="45">
        <f>'Filter-old'!F80</f>
        <v>0</v>
      </c>
      <c r="AB83" s="61">
        <f>'Filter-new'!F80</f>
        <v>0</v>
      </c>
      <c r="AC83" s="62"/>
      <c r="AD83" s="62"/>
      <c r="AE83" s="45">
        <f>'Filter-old'!P80</f>
        <v>0</v>
      </c>
      <c r="AF83" s="61">
        <f>'Filter-new'!P80</f>
        <v>0</v>
      </c>
      <c r="AG83" s="62"/>
      <c r="AH83" s="62"/>
      <c r="AI83" s="45">
        <f>'Filter-old'!L80</f>
        <v>0</v>
      </c>
      <c r="AJ83" s="61">
        <f>'Filter-new'!L80</f>
        <v>0</v>
      </c>
      <c r="AK83" s="62"/>
      <c r="AL83" s="62"/>
      <c r="AM83" s="62">
        <f>'Filter-new'!L569</f>
        <v>0</v>
      </c>
      <c r="AN83" s="62"/>
      <c r="AO83" s="45">
        <f>'Filter-old'!G80</f>
        <v>0</v>
      </c>
      <c r="AP83" s="61">
        <f>'Filter-new'!G80</f>
        <v>0</v>
      </c>
      <c r="AQ83" s="62"/>
      <c r="AR83" s="62"/>
      <c r="AS83" s="45"/>
      <c r="AT83" s="61"/>
      <c r="AU83" s="62"/>
      <c r="AV83" s="62"/>
      <c r="AW83" s="45">
        <f>'Filter-old'!I80</f>
        <v>-8400</v>
      </c>
      <c r="AX83" s="61">
        <f>'Filter-new'!I80</f>
        <v>-8400</v>
      </c>
      <c r="AY83" s="62"/>
      <c r="AZ83" s="62"/>
      <c r="BA83" s="62">
        <f>'Filter-new'!I569</f>
        <v>0</v>
      </c>
      <c r="BB83" s="62"/>
      <c r="BC83" s="45">
        <f>'Filter-old'!K80</f>
        <v>0</v>
      </c>
      <c r="BD83" s="61">
        <f>'Filter-new'!K80</f>
        <v>0</v>
      </c>
      <c r="BE83" s="62"/>
      <c r="BF83" s="62"/>
      <c r="BG83" s="45">
        <f>'Filter-old'!M80</f>
        <v>0</v>
      </c>
      <c r="BH83" s="62">
        <f>'Filter-new'!K569</f>
        <v>0</v>
      </c>
      <c r="BI83" s="61"/>
      <c r="BJ83" s="61">
        <f>'Filter-new'!M80</f>
        <v>0</v>
      </c>
      <c r="BK83" s="62"/>
      <c r="BL83" s="62"/>
      <c r="BM83" s="62"/>
      <c r="BN83" s="406">
        <f>'Filter-new'!N80</f>
        <v>0</v>
      </c>
      <c r="BO83" s="62"/>
      <c r="BP83" s="62"/>
      <c r="BQ83" s="45">
        <f>'Filter-old'!O80</f>
        <v>0</v>
      </c>
      <c r="BR83" s="61">
        <f>'Filter-new'!O80</f>
        <v>0</v>
      </c>
      <c r="BS83" s="62"/>
      <c r="BT83" s="62"/>
      <c r="BU83" s="45">
        <f>'Filter-old'!Q80</f>
        <v>4972.1099999999997</v>
      </c>
      <c r="BV83" s="61">
        <f>'Filter-new'!Q80</f>
        <v>5382.68</v>
      </c>
      <c r="BW83" s="61"/>
      <c r="BX83" s="61"/>
      <c r="BY83" s="61">
        <f>'Filter-new'!Q569</f>
        <v>0</v>
      </c>
      <c r="BZ83" s="61"/>
      <c r="CA83" s="45">
        <f>'Filter-old'!R80</f>
        <v>0</v>
      </c>
      <c r="CB83" s="61">
        <f>'Filter-new'!R80</f>
        <v>0</v>
      </c>
      <c r="CC83" s="61"/>
      <c r="CD83" s="58"/>
      <c r="CE83" s="61">
        <f>'Filter-new'!R569</f>
        <v>0</v>
      </c>
      <c r="CF83" s="57"/>
      <c r="CG83" s="4"/>
    </row>
    <row r="84" spans="1:85" hidden="1" x14ac:dyDescent="0.2">
      <c r="A84">
        <v>0</v>
      </c>
      <c r="B84" s="59">
        <v>39264</v>
      </c>
      <c r="C84" s="59">
        <f>'Filter-new'!C81</f>
        <v>39264</v>
      </c>
      <c r="D84" s="60">
        <f t="shared" si="10"/>
        <v>2007</v>
      </c>
      <c r="E84" s="60">
        <f>VLOOKUP($C84,calendar!$A$2:$D$121,4,FALSE)*(1-(H84=0))</f>
        <v>336</v>
      </c>
      <c r="F84" s="60">
        <f>VLOOKUP($C84,calendar!$A$2:$D$121,3,FALSE)*(1-(I84=0))</f>
        <v>408</v>
      </c>
      <c r="G84" s="36">
        <f t="shared" si="7"/>
        <v>-910.63999999999851</v>
      </c>
      <c r="H84" s="36">
        <f t="shared" si="8"/>
        <v>-31069.47</v>
      </c>
      <c r="I84" s="36">
        <f t="shared" si="9"/>
        <v>-13536</v>
      </c>
      <c r="J84" s="41"/>
      <c r="K84" s="45">
        <f>'Filter-old'!E81</f>
        <v>40749.22</v>
      </c>
      <c r="L84" s="61">
        <f>'Filter-new'!E81</f>
        <v>44134.93</v>
      </c>
      <c r="M84" s="62"/>
      <c r="N84" s="62"/>
      <c r="O84" s="429">
        <f>'Filter-new'!E570</f>
        <v>8648</v>
      </c>
      <c r="P84" s="62"/>
      <c r="Q84" s="45">
        <f>'Filter-old'!H81</f>
        <v>-37968</v>
      </c>
      <c r="R84" s="61">
        <f>'Filter-new'!H81</f>
        <v>-71568</v>
      </c>
      <c r="S84" s="62"/>
      <c r="T84" s="62"/>
      <c r="U84" s="445">
        <f>'Filter-new'!H570</f>
        <v>-22184</v>
      </c>
      <c r="V84" s="62"/>
      <c r="W84" s="45">
        <f>'Filter-old'!J81</f>
        <v>0</v>
      </c>
      <c r="X84" s="61">
        <f>'Filter-new'!J81</f>
        <v>0</v>
      </c>
      <c r="Y84" s="62"/>
      <c r="Z84" s="62"/>
      <c r="AA84" s="45">
        <f>'Filter-old'!F81</f>
        <v>0</v>
      </c>
      <c r="AB84" s="61">
        <f>'Filter-new'!F81</f>
        <v>0</v>
      </c>
      <c r="AC84" s="62"/>
      <c r="AD84" s="62"/>
      <c r="AE84" s="45">
        <f>'Filter-old'!P81</f>
        <v>0</v>
      </c>
      <c r="AF84" s="61">
        <f>'Filter-new'!P81</f>
        <v>0</v>
      </c>
      <c r="AG84" s="62"/>
      <c r="AH84" s="62"/>
      <c r="AI84" s="45">
        <f>'Filter-old'!L81</f>
        <v>0</v>
      </c>
      <c r="AJ84" s="61">
        <f>'Filter-new'!L81</f>
        <v>-336</v>
      </c>
      <c r="AK84" s="62"/>
      <c r="AL84" s="62"/>
      <c r="AM84" s="62">
        <f>'Filter-new'!L570</f>
        <v>0</v>
      </c>
      <c r="AN84" s="62"/>
      <c r="AO84" s="45">
        <f>'Filter-old'!G81</f>
        <v>0</v>
      </c>
      <c r="AP84" s="61">
        <f>'Filter-new'!G81</f>
        <v>0</v>
      </c>
      <c r="AQ84" s="62"/>
      <c r="AR84" s="62"/>
      <c r="AS84" s="45"/>
      <c r="AT84" s="61"/>
      <c r="AU84" s="62"/>
      <c r="AV84" s="62"/>
      <c r="AW84" s="45">
        <f>'Filter-old'!I81</f>
        <v>-8400</v>
      </c>
      <c r="AX84" s="61">
        <f>'Filter-new'!I81</f>
        <v>-8400</v>
      </c>
      <c r="AY84" s="62"/>
      <c r="AZ84" s="62"/>
      <c r="BA84" s="62">
        <f>'Filter-new'!I570</f>
        <v>0</v>
      </c>
      <c r="BB84" s="62"/>
      <c r="BC84" s="45">
        <f>'Filter-old'!K81</f>
        <v>0</v>
      </c>
      <c r="BD84" s="61">
        <f>'Filter-new'!K81</f>
        <v>0</v>
      </c>
      <c r="BE84" s="62"/>
      <c r="BF84" s="62"/>
      <c r="BG84" s="45">
        <f>'Filter-old'!M81</f>
        <v>0</v>
      </c>
      <c r="BH84" s="62">
        <f>'Filter-new'!K570</f>
        <v>0</v>
      </c>
      <c r="BI84" s="61"/>
      <c r="BJ84" s="61">
        <f>'Filter-new'!M81</f>
        <v>0</v>
      </c>
      <c r="BK84" s="62"/>
      <c r="BL84" s="62"/>
      <c r="BM84" s="62"/>
      <c r="BN84" s="406">
        <f>'Filter-new'!N81</f>
        <v>0</v>
      </c>
      <c r="BO84" s="62"/>
      <c r="BP84" s="62"/>
      <c r="BQ84" s="45">
        <f>'Filter-old'!O81</f>
        <v>0</v>
      </c>
      <c r="BR84" s="61">
        <f>'Filter-new'!O81</f>
        <v>0</v>
      </c>
      <c r="BS84" s="62"/>
      <c r="BT84" s="62"/>
      <c r="BU84" s="45">
        <f>'Filter-old'!Q81</f>
        <v>4708.1400000000003</v>
      </c>
      <c r="BV84" s="61">
        <f>'Filter-new'!Q81</f>
        <v>5099.6000000000004</v>
      </c>
      <c r="BW84" s="61"/>
      <c r="BX84" s="61"/>
      <c r="BY84" s="61">
        <f>'Filter-new'!Q570</f>
        <v>0</v>
      </c>
      <c r="BZ84" s="61"/>
      <c r="CA84" s="45">
        <f>'Filter-old'!R81</f>
        <v>0</v>
      </c>
      <c r="CB84" s="61">
        <f>'Filter-new'!R81</f>
        <v>0</v>
      </c>
      <c r="CC84" s="61"/>
      <c r="CD84" s="58"/>
      <c r="CE84" s="61">
        <f>'Filter-new'!R570</f>
        <v>0</v>
      </c>
      <c r="CF84" s="57"/>
      <c r="CG84" s="4"/>
    </row>
    <row r="85" spans="1:85" hidden="1" x14ac:dyDescent="0.2">
      <c r="A85">
        <v>0</v>
      </c>
      <c r="B85" s="59">
        <v>39295</v>
      </c>
      <c r="C85" s="59">
        <f>'Filter-new'!C82</f>
        <v>39295</v>
      </c>
      <c r="D85" s="60">
        <f t="shared" si="10"/>
        <v>2007</v>
      </c>
      <c r="E85" s="60">
        <f>VLOOKUP($C85,calendar!$A$2:$D$121,4,FALSE)*(1-(H85=0))</f>
        <v>368</v>
      </c>
      <c r="F85" s="60">
        <f>VLOOKUP($C85,calendar!$A$2:$D$121,3,FALSE)*(1-(I85=0))</f>
        <v>376</v>
      </c>
      <c r="G85" s="36">
        <f t="shared" si="7"/>
        <v>-648.29999999999745</v>
      </c>
      <c r="H85" s="36">
        <f t="shared" si="8"/>
        <v>-33654.129999999997</v>
      </c>
      <c r="I85" s="36">
        <f t="shared" si="9"/>
        <v>-17472</v>
      </c>
      <c r="J85" s="41"/>
      <c r="K85" s="45">
        <f>'Filter-old'!E82</f>
        <v>44382.12</v>
      </c>
      <c r="L85" s="61">
        <f>'Filter-new'!E82</f>
        <v>48093.73</v>
      </c>
      <c r="M85" s="62"/>
      <c r="N85" s="62"/>
      <c r="O85" s="429">
        <f>'Filter-new'!E571</f>
        <v>9568</v>
      </c>
      <c r="P85" s="62"/>
      <c r="Q85" s="45">
        <f>'Filter-old'!H82</f>
        <v>-41216</v>
      </c>
      <c r="R85" s="61">
        <f>'Filter-new'!H82</f>
        <v>-78016</v>
      </c>
      <c r="S85" s="62"/>
      <c r="T85" s="62"/>
      <c r="U85" s="445">
        <f>'Filter-new'!H571</f>
        <v>-27040</v>
      </c>
      <c r="V85" s="62"/>
      <c r="W85" s="45">
        <f>'Filter-old'!J82</f>
        <v>0</v>
      </c>
      <c r="X85" s="61">
        <f>'Filter-new'!J82</f>
        <v>0</v>
      </c>
      <c r="Y85" s="62"/>
      <c r="Z85" s="62"/>
      <c r="AA85" s="45">
        <f>'Filter-old'!F82</f>
        <v>0</v>
      </c>
      <c r="AB85" s="61">
        <f>'Filter-new'!F82</f>
        <v>0</v>
      </c>
      <c r="AC85" s="62"/>
      <c r="AD85" s="62"/>
      <c r="AE85" s="45">
        <f>'Filter-old'!P82</f>
        <v>0</v>
      </c>
      <c r="AF85" s="61">
        <f>'Filter-new'!P82</f>
        <v>0</v>
      </c>
      <c r="AG85" s="62"/>
      <c r="AH85" s="62"/>
      <c r="AI85" s="45">
        <f>'Filter-old'!L82</f>
        <v>0</v>
      </c>
      <c r="AJ85" s="61">
        <f>'Filter-new'!L82</f>
        <v>-368</v>
      </c>
      <c r="AK85" s="62"/>
      <c r="AL85" s="62"/>
      <c r="AM85" s="62">
        <f>'Filter-new'!L571</f>
        <v>0</v>
      </c>
      <c r="AN85" s="62"/>
      <c r="AO85" s="45">
        <f>'Filter-old'!G82</f>
        <v>0</v>
      </c>
      <c r="AP85" s="61">
        <f>'Filter-new'!G82</f>
        <v>0</v>
      </c>
      <c r="AQ85" s="62"/>
      <c r="AR85" s="62"/>
      <c r="AS85" s="45"/>
      <c r="AT85" s="61"/>
      <c r="AU85" s="62"/>
      <c r="AV85" s="62"/>
      <c r="AW85" s="45">
        <f>'Filter-old'!I82</f>
        <v>-9200</v>
      </c>
      <c r="AX85" s="61">
        <f>'Filter-new'!I82</f>
        <v>-9200</v>
      </c>
      <c r="AY85" s="62"/>
      <c r="AZ85" s="62"/>
      <c r="BA85" s="62">
        <f>'Filter-new'!I571</f>
        <v>0</v>
      </c>
      <c r="BB85" s="62"/>
      <c r="BC85" s="45">
        <f>'Filter-old'!K82</f>
        <v>0</v>
      </c>
      <c r="BD85" s="61">
        <f>'Filter-new'!K82</f>
        <v>0</v>
      </c>
      <c r="BE85" s="62"/>
      <c r="BF85" s="62"/>
      <c r="BG85" s="45">
        <f>'Filter-old'!M82</f>
        <v>0</v>
      </c>
      <c r="BH85" s="62">
        <f>'Filter-new'!K571</f>
        <v>0</v>
      </c>
      <c r="BI85" s="61"/>
      <c r="BJ85" s="61">
        <f>'Filter-new'!M82</f>
        <v>0</v>
      </c>
      <c r="BK85" s="62"/>
      <c r="BL85" s="62"/>
      <c r="BM85" s="62"/>
      <c r="BN85" s="406">
        <f>'Filter-new'!N82</f>
        <v>0</v>
      </c>
      <c r="BO85" s="62"/>
      <c r="BP85" s="62"/>
      <c r="BQ85" s="45">
        <f>'Filter-old'!O82</f>
        <v>0</v>
      </c>
      <c r="BR85" s="61">
        <f>'Filter-new'!O82</f>
        <v>0</v>
      </c>
      <c r="BS85" s="62"/>
      <c r="BT85" s="62"/>
      <c r="BU85" s="45">
        <f>'Filter-old'!Q82</f>
        <v>5385.58</v>
      </c>
      <c r="BV85" s="61">
        <f>'Filter-new'!Q82</f>
        <v>5836.14</v>
      </c>
      <c r="BW85" s="61"/>
      <c r="BX85" s="61"/>
      <c r="BY85" s="61">
        <f>'Filter-new'!Q571</f>
        <v>0</v>
      </c>
      <c r="BZ85" s="61"/>
      <c r="CA85" s="45">
        <f>'Filter-old'!R82</f>
        <v>0</v>
      </c>
      <c r="CB85" s="61">
        <f>'Filter-new'!R82</f>
        <v>0</v>
      </c>
      <c r="CC85" s="61"/>
      <c r="CD85" s="58"/>
      <c r="CE85" s="61">
        <f>'Filter-new'!R571</f>
        <v>0</v>
      </c>
      <c r="CF85" s="57"/>
      <c r="CG85" s="4"/>
    </row>
    <row r="86" spans="1:85" hidden="1" x14ac:dyDescent="0.2">
      <c r="A86">
        <v>0</v>
      </c>
      <c r="B86" s="59">
        <v>39326</v>
      </c>
      <c r="C86" s="59">
        <f>'Filter-new'!C83</f>
        <v>39326</v>
      </c>
      <c r="D86" s="60">
        <f t="shared" si="10"/>
        <v>2007</v>
      </c>
      <c r="E86" s="60">
        <f>VLOOKUP($C86,calendar!$A$2:$D$121,4,FALSE)*(1-(H86=0))</f>
        <v>304</v>
      </c>
      <c r="F86" s="60">
        <f>VLOOKUP($C86,calendar!$A$2:$D$121,3,FALSE)*(1-(I86=0))</f>
        <v>416</v>
      </c>
      <c r="G86" s="36">
        <f t="shared" si="7"/>
        <v>-5410.7999999999965</v>
      </c>
      <c r="H86" s="36">
        <f t="shared" si="8"/>
        <v>-32352.25</v>
      </c>
      <c r="I86" s="36">
        <f t="shared" si="9"/>
        <v>-16195</v>
      </c>
      <c r="J86" s="41"/>
      <c r="K86" s="45">
        <f>'Filter-old'!E83</f>
        <v>36465.660000000003</v>
      </c>
      <c r="L86" s="61">
        <f>'Filter-new'!E83</f>
        <v>39534</v>
      </c>
      <c r="M86" s="62"/>
      <c r="N86" s="62"/>
      <c r="O86" s="429">
        <f>'Filter-new'!E572</f>
        <v>8671</v>
      </c>
      <c r="P86" s="62"/>
      <c r="Q86" s="45">
        <f>'Filter-old'!H83</f>
        <v>-38912</v>
      </c>
      <c r="R86" s="61">
        <f>'Filter-new'!H83</f>
        <v>-69312</v>
      </c>
      <c r="S86" s="62"/>
      <c r="T86" s="62"/>
      <c r="U86" s="445">
        <f>'Filter-new'!H572</f>
        <v>-24866</v>
      </c>
      <c r="V86" s="62"/>
      <c r="W86" s="45">
        <f>'Filter-old'!J83</f>
        <v>0</v>
      </c>
      <c r="X86" s="61">
        <f>'Filter-new'!J83</f>
        <v>0</v>
      </c>
      <c r="Y86" s="62"/>
      <c r="Z86" s="62"/>
      <c r="AA86" s="45">
        <f>'Filter-old'!F83</f>
        <v>0</v>
      </c>
      <c r="AB86" s="61">
        <f>'Filter-new'!F83</f>
        <v>0</v>
      </c>
      <c r="AC86" s="62"/>
      <c r="AD86" s="62"/>
      <c r="AE86" s="45">
        <f>'Filter-old'!P83</f>
        <v>0</v>
      </c>
      <c r="AF86" s="61">
        <f>'Filter-new'!P83</f>
        <v>0</v>
      </c>
      <c r="AG86" s="62"/>
      <c r="AH86" s="62"/>
      <c r="AI86" s="45">
        <f>'Filter-old'!L83</f>
        <v>0</v>
      </c>
      <c r="AJ86" s="61">
        <f>'Filter-new'!L83</f>
        <v>0</v>
      </c>
      <c r="AK86" s="62"/>
      <c r="AL86" s="62"/>
      <c r="AM86" s="62">
        <f>'Filter-new'!L572</f>
        <v>0</v>
      </c>
      <c r="AN86" s="62"/>
      <c r="AO86" s="45">
        <f>'Filter-old'!G83</f>
        <v>0</v>
      </c>
      <c r="AP86" s="61">
        <f>'Filter-new'!G83</f>
        <v>0</v>
      </c>
      <c r="AQ86" s="62"/>
      <c r="AR86" s="62"/>
      <c r="AS86" s="45"/>
      <c r="AT86" s="61"/>
      <c r="AU86" s="62"/>
      <c r="AV86" s="62"/>
      <c r="AW86" s="45">
        <f>'Filter-old'!I83</f>
        <v>-7600</v>
      </c>
      <c r="AX86" s="61">
        <f>'Filter-new'!I83</f>
        <v>-7600</v>
      </c>
      <c r="AY86" s="62"/>
      <c r="AZ86" s="62"/>
      <c r="BA86" s="62">
        <f>'Filter-new'!I572</f>
        <v>0</v>
      </c>
      <c r="BB86" s="62"/>
      <c r="BC86" s="45">
        <f>'Filter-old'!K83</f>
        <v>0</v>
      </c>
      <c r="BD86" s="61">
        <f>'Filter-new'!K83</f>
        <v>0</v>
      </c>
      <c r="BE86" s="62"/>
      <c r="BF86" s="62"/>
      <c r="BG86" s="45">
        <f>'Filter-old'!M83</f>
        <v>0</v>
      </c>
      <c r="BH86" s="62">
        <f>'Filter-new'!K572</f>
        <v>0</v>
      </c>
      <c r="BI86" s="61"/>
      <c r="BJ86" s="61">
        <f>'Filter-new'!M83</f>
        <v>0</v>
      </c>
      <c r="BK86" s="62"/>
      <c r="BL86" s="62"/>
      <c r="BM86" s="62"/>
      <c r="BN86" s="406">
        <f>'Filter-new'!N83</f>
        <v>0</v>
      </c>
      <c r="BO86" s="62"/>
      <c r="BP86" s="62"/>
      <c r="BQ86" s="45">
        <f>'Filter-old'!O83</f>
        <v>0</v>
      </c>
      <c r="BR86" s="61">
        <f>'Filter-new'!O83</f>
        <v>0</v>
      </c>
      <c r="BS86" s="62"/>
      <c r="BT86" s="62"/>
      <c r="BU86" s="45">
        <f>'Filter-old'!Q83</f>
        <v>4635.54</v>
      </c>
      <c r="BV86" s="61">
        <f>'Filter-new'!Q83</f>
        <v>5025.75</v>
      </c>
      <c r="BW86" s="61"/>
      <c r="BX86" s="61"/>
      <c r="BY86" s="61">
        <f>'Filter-new'!Q572</f>
        <v>0</v>
      </c>
      <c r="BZ86" s="61"/>
      <c r="CA86" s="45">
        <f>'Filter-old'!R83</f>
        <v>0</v>
      </c>
      <c r="CB86" s="61">
        <f>'Filter-new'!R83</f>
        <v>0</v>
      </c>
      <c r="CC86" s="61"/>
      <c r="CD86" s="58"/>
      <c r="CE86" s="61">
        <f>'Filter-new'!R572</f>
        <v>0</v>
      </c>
      <c r="CF86" s="57"/>
      <c r="CG86" s="4"/>
    </row>
    <row r="87" spans="1:85" hidden="1" x14ac:dyDescent="0.2">
      <c r="A87">
        <v>0</v>
      </c>
      <c r="B87" s="59">
        <v>39356</v>
      </c>
      <c r="C87" s="59">
        <f>'Filter-new'!C84</f>
        <v>39356</v>
      </c>
      <c r="D87" s="60">
        <f t="shared" si="10"/>
        <v>2007</v>
      </c>
      <c r="E87" s="60">
        <f>VLOOKUP($C87,calendar!$A$2:$D$121,4,FALSE)*(1-(H87=0))</f>
        <v>368</v>
      </c>
      <c r="F87" s="60">
        <f>VLOOKUP($C87,calendar!$A$2:$D$121,3,FALSE)*(1-(I87=0))</f>
        <v>376</v>
      </c>
      <c r="G87" s="36">
        <f t="shared" si="7"/>
        <v>-7195.9700000000012</v>
      </c>
      <c r="H87" s="36">
        <f t="shared" si="8"/>
        <v>-39806.800000000003</v>
      </c>
      <c r="I87" s="36">
        <f t="shared" si="9"/>
        <v>-19584</v>
      </c>
      <c r="J87" s="41"/>
      <c r="K87" s="45">
        <f>'Filter-old'!E84</f>
        <v>43895.71</v>
      </c>
      <c r="L87" s="61">
        <f>'Filter-new'!E84</f>
        <v>47612.2</v>
      </c>
      <c r="M87" s="62"/>
      <c r="N87" s="62"/>
      <c r="O87" s="429">
        <f>'Filter-new'!E573</f>
        <v>8832</v>
      </c>
      <c r="P87" s="62"/>
      <c r="Q87" s="45">
        <f>'Filter-old'!H84</f>
        <v>-47472</v>
      </c>
      <c r="R87" s="61">
        <f>'Filter-new'!H84</f>
        <v>-84272</v>
      </c>
      <c r="S87" s="62"/>
      <c r="T87" s="62"/>
      <c r="U87" s="445">
        <f>'Filter-new'!H573</f>
        <v>-28416</v>
      </c>
      <c r="V87" s="62"/>
      <c r="W87" s="45">
        <f>'Filter-old'!J84</f>
        <v>0</v>
      </c>
      <c r="X87" s="61">
        <f>'Filter-new'!J84</f>
        <v>0</v>
      </c>
      <c r="Y87" s="62"/>
      <c r="Z87" s="62"/>
      <c r="AA87" s="45">
        <f>'Filter-old'!F84</f>
        <v>0</v>
      </c>
      <c r="AB87" s="61">
        <f>'Filter-new'!F84</f>
        <v>0</v>
      </c>
      <c r="AC87" s="62"/>
      <c r="AD87" s="62"/>
      <c r="AE87" s="45">
        <f>'Filter-old'!P84</f>
        <v>0</v>
      </c>
      <c r="AF87" s="61">
        <f>'Filter-new'!P84</f>
        <v>0</v>
      </c>
      <c r="AG87" s="62"/>
      <c r="AH87" s="62"/>
      <c r="AI87" s="45">
        <f>'Filter-old'!L84</f>
        <v>0</v>
      </c>
      <c r="AJ87" s="61">
        <f>'Filter-new'!L84</f>
        <v>0</v>
      </c>
      <c r="AK87" s="62"/>
      <c r="AL87" s="62"/>
      <c r="AM87" s="62">
        <f>'Filter-new'!L573</f>
        <v>0</v>
      </c>
      <c r="AN87" s="62"/>
      <c r="AO87" s="45">
        <f>'Filter-old'!G84</f>
        <v>0</v>
      </c>
      <c r="AP87" s="61">
        <f>'Filter-new'!G84</f>
        <v>0</v>
      </c>
      <c r="AQ87" s="62"/>
      <c r="AR87" s="62"/>
      <c r="AS87" s="45"/>
      <c r="AT87" s="61"/>
      <c r="AU87" s="62"/>
      <c r="AV87" s="62"/>
      <c r="AW87" s="45">
        <f>'Filter-old'!I84</f>
        <v>-9200</v>
      </c>
      <c r="AX87" s="61">
        <f>'Filter-new'!I84</f>
        <v>-9200</v>
      </c>
      <c r="AY87" s="62"/>
      <c r="AZ87" s="62"/>
      <c r="BA87" s="62">
        <f>'Filter-new'!I573</f>
        <v>0</v>
      </c>
      <c r="BB87" s="62"/>
      <c r="BC87" s="45">
        <f>'Filter-old'!K84</f>
        <v>0</v>
      </c>
      <c r="BD87" s="61">
        <f>'Filter-new'!K84</f>
        <v>0</v>
      </c>
      <c r="BE87" s="62"/>
      <c r="BF87" s="62"/>
      <c r="BG87" s="45">
        <f>'Filter-old'!M84</f>
        <v>0</v>
      </c>
      <c r="BH87" s="62">
        <f>'Filter-new'!K573</f>
        <v>0</v>
      </c>
      <c r="BI87" s="61"/>
      <c r="BJ87" s="61">
        <f>'Filter-new'!M84</f>
        <v>0</v>
      </c>
      <c r="BK87" s="62"/>
      <c r="BL87" s="62"/>
      <c r="BM87" s="62"/>
      <c r="BN87" s="406">
        <f>'Filter-new'!N84</f>
        <v>0</v>
      </c>
      <c r="BO87" s="62"/>
      <c r="BP87" s="62"/>
      <c r="BQ87" s="45">
        <f>'Filter-old'!O84</f>
        <v>0</v>
      </c>
      <c r="BR87" s="61">
        <f>'Filter-new'!O84</f>
        <v>0</v>
      </c>
      <c r="BS87" s="62"/>
      <c r="BT87" s="62"/>
      <c r="BU87" s="45">
        <f>'Filter-old'!Q84</f>
        <v>5580.32</v>
      </c>
      <c r="BV87" s="61">
        <f>'Filter-new'!Q84</f>
        <v>6053</v>
      </c>
      <c r="BW87" s="61"/>
      <c r="BX87" s="61"/>
      <c r="BY87" s="61">
        <f>'Filter-new'!Q573</f>
        <v>0</v>
      </c>
      <c r="BZ87" s="61"/>
      <c r="CA87" s="45">
        <f>'Filter-old'!R84</f>
        <v>0</v>
      </c>
      <c r="CB87" s="61">
        <f>'Filter-new'!R84</f>
        <v>0</v>
      </c>
      <c r="CC87" s="61"/>
      <c r="CD87" s="58"/>
      <c r="CE87" s="61">
        <f>'Filter-new'!R573</f>
        <v>0</v>
      </c>
      <c r="CF87" s="57"/>
      <c r="CG87" s="4"/>
    </row>
    <row r="88" spans="1:85" hidden="1" x14ac:dyDescent="0.2">
      <c r="A88">
        <v>0</v>
      </c>
      <c r="B88" s="59">
        <v>39387</v>
      </c>
      <c r="C88" s="59">
        <f>'Filter-new'!C85</f>
        <v>39387</v>
      </c>
      <c r="D88" s="60">
        <f t="shared" si="10"/>
        <v>2007</v>
      </c>
      <c r="E88" s="60">
        <f>VLOOKUP($C88,calendar!$A$2:$D$121,4,FALSE)*(1-(H88=0))</f>
        <v>336</v>
      </c>
      <c r="F88" s="60">
        <f>VLOOKUP($C88,calendar!$A$2:$D$121,3,FALSE)*(1-(I88=0))</f>
        <v>384</v>
      </c>
      <c r="G88" s="36">
        <f t="shared" si="7"/>
        <v>-7151.61</v>
      </c>
      <c r="H88" s="36">
        <f t="shared" si="8"/>
        <v>-36925.259999999995</v>
      </c>
      <c r="I88" s="36">
        <f t="shared" si="9"/>
        <v>-21200</v>
      </c>
      <c r="J88" s="41"/>
      <c r="K88" s="45">
        <f>'Filter-old'!E85</f>
        <v>39861</v>
      </c>
      <c r="L88" s="61">
        <f>'Filter-new'!E85</f>
        <v>43255.65</v>
      </c>
      <c r="M88" s="62"/>
      <c r="N88" s="62"/>
      <c r="O88" s="429">
        <f>'Filter-new'!E574</f>
        <v>9752</v>
      </c>
      <c r="P88" s="62"/>
      <c r="Q88" s="45">
        <f>'Filter-old'!H85</f>
        <v>-43680</v>
      </c>
      <c r="R88" s="61">
        <f>'Filter-new'!H85</f>
        <v>-77280</v>
      </c>
      <c r="S88" s="62"/>
      <c r="T88" s="62"/>
      <c r="U88" s="445">
        <f>'Filter-new'!H574</f>
        <v>-30952</v>
      </c>
      <c r="V88" s="62"/>
      <c r="W88" s="45">
        <f>'Filter-old'!J85</f>
        <v>0</v>
      </c>
      <c r="X88" s="61">
        <f>'Filter-new'!J85</f>
        <v>0</v>
      </c>
      <c r="Y88" s="62"/>
      <c r="Z88" s="62"/>
      <c r="AA88" s="45">
        <f>'Filter-old'!F85</f>
        <v>0</v>
      </c>
      <c r="AB88" s="61">
        <f>'Filter-new'!F85</f>
        <v>0</v>
      </c>
      <c r="AC88" s="62"/>
      <c r="AD88" s="62"/>
      <c r="AE88" s="45">
        <f>'Filter-old'!P85</f>
        <v>0</v>
      </c>
      <c r="AF88" s="61">
        <f>'Filter-new'!P85</f>
        <v>0</v>
      </c>
      <c r="AG88" s="62"/>
      <c r="AH88" s="62"/>
      <c r="AI88" s="45">
        <f>'Filter-old'!L85</f>
        <v>0</v>
      </c>
      <c r="AJ88" s="61">
        <f>'Filter-new'!L85</f>
        <v>0</v>
      </c>
      <c r="AK88" s="62"/>
      <c r="AL88" s="62"/>
      <c r="AM88" s="62">
        <f>'Filter-new'!L574</f>
        <v>0</v>
      </c>
      <c r="AN88" s="62"/>
      <c r="AO88" s="45">
        <f>'Filter-old'!G85</f>
        <v>0</v>
      </c>
      <c r="AP88" s="61">
        <f>'Filter-new'!G85</f>
        <v>0</v>
      </c>
      <c r="AQ88" s="62"/>
      <c r="AR88" s="62"/>
      <c r="AS88" s="45"/>
      <c r="AT88" s="61"/>
      <c r="AU88" s="62"/>
      <c r="AV88" s="62"/>
      <c r="AW88" s="45">
        <f>'Filter-old'!I85</f>
        <v>-8400</v>
      </c>
      <c r="AX88" s="61">
        <f>'Filter-new'!I85</f>
        <v>-8400</v>
      </c>
      <c r="AY88" s="62"/>
      <c r="AZ88" s="62"/>
      <c r="BA88" s="62">
        <f>'Filter-new'!I574</f>
        <v>0</v>
      </c>
      <c r="BB88" s="62"/>
      <c r="BC88" s="45">
        <f>'Filter-old'!K85</f>
        <v>0</v>
      </c>
      <c r="BD88" s="61">
        <f>'Filter-new'!K85</f>
        <v>0</v>
      </c>
      <c r="BE88" s="62"/>
      <c r="BF88" s="62"/>
      <c r="BG88" s="45">
        <f>'Filter-old'!M85</f>
        <v>0</v>
      </c>
      <c r="BH88" s="62">
        <f>'Filter-new'!K574</f>
        <v>0</v>
      </c>
      <c r="BI88" s="61"/>
      <c r="BJ88" s="61">
        <f>'Filter-new'!M85</f>
        <v>0</v>
      </c>
      <c r="BK88" s="62"/>
      <c r="BL88" s="62"/>
      <c r="BM88" s="62"/>
      <c r="BN88" s="406">
        <f>'Filter-new'!N85</f>
        <v>0</v>
      </c>
      <c r="BO88" s="62"/>
      <c r="BP88" s="62"/>
      <c r="BQ88" s="45">
        <f>'Filter-old'!O85</f>
        <v>0</v>
      </c>
      <c r="BR88" s="61">
        <f>'Filter-new'!O85</f>
        <v>0</v>
      </c>
      <c r="BS88" s="62"/>
      <c r="BT88" s="62"/>
      <c r="BU88" s="45">
        <f>'Filter-old'!Q85</f>
        <v>5067.3900000000003</v>
      </c>
      <c r="BV88" s="61">
        <f>'Filter-new'!Q85</f>
        <v>5499.09</v>
      </c>
      <c r="BW88" s="61"/>
      <c r="BX88" s="61"/>
      <c r="BY88" s="61">
        <f>'Filter-new'!Q574</f>
        <v>0</v>
      </c>
      <c r="BZ88" s="61"/>
      <c r="CA88" s="45">
        <f>'Filter-old'!R85</f>
        <v>0</v>
      </c>
      <c r="CB88" s="61">
        <f>'Filter-new'!R85</f>
        <v>0</v>
      </c>
      <c r="CC88" s="61"/>
      <c r="CD88" s="58"/>
      <c r="CE88" s="61">
        <f>'Filter-new'!R574</f>
        <v>0</v>
      </c>
      <c r="CF88" s="57"/>
      <c r="CG88" s="4"/>
    </row>
    <row r="89" spans="1:85" hidden="1" x14ac:dyDescent="0.2">
      <c r="A89">
        <v>0</v>
      </c>
      <c r="B89" s="59">
        <v>39417</v>
      </c>
      <c r="C89" s="59">
        <f>'Filter-new'!C86</f>
        <v>39417</v>
      </c>
      <c r="D89" s="60">
        <f t="shared" si="10"/>
        <v>2007</v>
      </c>
      <c r="E89" s="60">
        <f>VLOOKUP($C89,calendar!$A$2:$D$121,4,FALSE)*(1-(H89=0))</f>
        <v>320</v>
      </c>
      <c r="F89" s="60">
        <f>VLOOKUP($C89,calendar!$A$2:$D$121,3,FALSE)*(1-(I89=0))</f>
        <v>424</v>
      </c>
      <c r="G89" s="36">
        <f t="shared" si="7"/>
        <v>-6731.9499999999971</v>
      </c>
      <c r="H89" s="36">
        <f t="shared" si="8"/>
        <v>-35086.879999999997</v>
      </c>
      <c r="I89" s="36">
        <f t="shared" si="9"/>
        <v>-59584</v>
      </c>
      <c r="J89" s="41"/>
      <c r="K89" s="45">
        <f>'Filter-old'!E86</f>
        <v>37749.050000000003</v>
      </c>
      <c r="L89" s="61">
        <f>'Filter-new'!E86</f>
        <v>40982.86</v>
      </c>
      <c r="M89" s="62"/>
      <c r="N89" s="62"/>
      <c r="O89" s="429">
        <f>'Filter-new'!E575</f>
        <v>-10584</v>
      </c>
      <c r="P89" s="62"/>
      <c r="Q89" s="45">
        <f>'Filter-old'!H86</f>
        <v>-41280</v>
      </c>
      <c r="R89" s="61">
        <f>'Filter-new'!H86</f>
        <v>-73280</v>
      </c>
      <c r="S89" s="62"/>
      <c r="T89" s="62"/>
      <c r="U89" s="445">
        <f>'Filter-new'!H575</f>
        <v>-29400</v>
      </c>
      <c r="V89" s="62"/>
      <c r="W89" s="45">
        <f>'Filter-old'!J86</f>
        <v>0</v>
      </c>
      <c r="X89" s="61">
        <f>'Filter-new'!J86</f>
        <v>0</v>
      </c>
      <c r="Y89" s="62"/>
      <c r="Z89" s="62"/>
      <c r="AA89" s="45">
        <f>'Filter-old'!F86</f>
        <v>0</v>
      </c>
      <c r="AB89" s="61">
        <f>'Filter-new'!F86</f>
        <v>0</v>
      </c>
      <c r="AC89" s="62"/>
      <c r="AD89" s="62"/>
      <c r="AE89" s="45">
        <f>'Filter-old'!P86</f>
        <v>0</v>
      </c>
      <c r="AF89" s="61">
        <f>'Filter-new'!P86</f>
        <v>0</v>
      </c>
      <c r="AG89" s="62"/>
      <c r="AH89" s="62"/>
      <c r="AI89" s="45">
        <f>'Filter-old'!L86</f>
        <v>0</v>
      </c>
      <c r="AJ89" s="61">
        <f>'Filter-new'!L86</f>
        <v>0</v>
      </c>
      <c r="AK89" s="62"/>
      <c r="AL89" s="62"/>
      <c r="AM89" s="62">
        <f>'Filter-new'!L575</f>
        <v>0</v>
      </c>
      <c r="AN89" s="62"/>
      <c r="AO89" s="45">
        <f>'Filter-old'!G86</f>
        <v>0</v>
      </c>
      <c r="AP89" s="61">
        <f>'Filter-new'!G86</f>
        <v>0</v>
      </c>
      <c r="AQ89" s="62"/>
      <c r="AR89" s="62"/>
      <c r="AS89" s="45"/>
      <c r="AT89" s="61"/>
      <c r="AU89" s="62"/>
      <c r="AV89" s="62"/>
      <c r="AW89" s="45">
        <f>'Filter-old'!I86</f>
        <v>-8000</v>
      </c>
      <c r="AX89" s="61">
        <f>'Filter-new'!I86</f>
        <v>-8000</v>
      </c>
      <c r="AY89" s="62"/>
      <c r="AZ89" s="62"/>
      <c r="BA89" s="62">
        <f>'Filter-new'!I575</f>
        <v>-19600</v>
      </c>
      <c r="BB89" s="62"/>
      <c r="BC89" s="45">
        <f>'Filter-old'!K86</f>
        <v>0</v>
      </c>
      <c r="BD89" s="61">
        <f>'Filter-new'!K86</f>
        <v>0</v>
      </c>
      <c r="BE89" s="62"/>
      <c r="BF89" s="62"/>
      <c r="BG89" s="45">
        <f>'Filter-old'!M86</f>
        <v>0</v>
      </c>
      <c r="BH89" s="62">
        <f>'Filter-new'!K575</f>
        <v>0</v>
      </c>
      <c r="BI89" s="61"/>
      <c r="BJ89" s="61">
        <f>'Filter-new'!M86</f>
        <v>0</v>
      </c>
      <c r="BK89" s="62"/>
      <c r="BL89" s="62"/>
      <c r="BM89" s="62"/>
      <c r="BN89" s="406">
        <f>'Filter-new'!N86</f>
        <v>0</v>
      </c>
      <c r="BO89" s="62"/>
      <c r="BP89" s="62"/>
      <c r="BQ89" s="45">
        <f>'Filter-old'!O86</f>
        <v>0</v>
      </c>
      <c r="BR89" s="61">
        <f>'Filter-new'!O86</f>
        <v>0</v>
      </c>
      <c r="BS89" s="62"/>
      <c r="BT89" s="62"/>
      <c r="BU89" s="45">
        <f>'Filter-old'!Q86</f>
        <v>4799</v>
      </c>
      <c r="BV89" s="61">
        <f>'Filter-new'!Q86</f>
        <v>5210.26</v>
      </c>
      <c r="BW89" s="61"/>
      <c r="BX89" s="61"/>
      <c r="BY89" s="61">
        <f>'Filter-new'!Q575</f>
        <v>0</v>
      </c>
      <c r="BZ89" s="61"/>
      <c r="CA89" s="45">
        <f>'Filter-old'!R86</f>
        <v>0</v>
      </c>
      <c r="CB89" s="61">
        <f>'Filter-new'!R86</f>
        <v>0</v>
      </c>
      <c r="CC89" s="61"/>
      <c r="CD89" s="58"/>
      <c r="CE89" s="61">
        <f>'Filter-new'!R575</f>
        <v>0</v>
      </c>
      <c r="CF89" s="57"/>
      <c r="CG89" s="4"/>
    </row>
    <row r="90" spans="1:85" hidden="1" x14ac:dyDescent="0.2">
      <c r="A90">
        <v>0</v>
      </c>
      <c r="B90" s="59">
        <v>39448</v>
      </c>
      <c r="C90" s="59">
        <f>'Filter-new'!C87</f>
        <v>39448</v>
      </c>
      <c r="D90" s="60">
        <f t="shared" si="10"/>
        <v>2008</v>
      </c>
      <c r="E90" s="60">
        <f>VLOOKUP($C90,calendar!$A$2:$D$121,4,FALSE)*(1-(H90=0))</f>
        <v>352</v>
      </c>
      <c r="F90" s="60">
        <f>VLOOKUP($C90,calendar!$A$2:$D$121,3,FALSE)*(1-(I90=0))</f>
        <v>392</v>
      </c>
      <c r="G90" s="36">
        <f t="shared" si="7"/>
        <v>-9086.48</v>
      </c>
      <c r="H90" s="36">
        <f t="shared" si="8"/>
        <v>-17417.57</v>
      </c>
      <c r="I90" s="36">
        <f t="shared" si="9"/>
        <v>-54000</v>
      </c>
      <c r="J90" s="41"/>
      <c r="K90" s="45">
        <f>'Filter-old'!E87</f>
        <v>5489.33</v>
      </c>
      <c r="L90" s="61">
        <f>'Filter-new'!E87</f>
        <v>31885.279999999999</v>
      </c>
      <c r="M90" s="62"/>
      <c r="N90" s="62"/>
      <c r="O90" s="429">
        <f>'Filter-new'!E576</f>
        <v>-9720</v>
      </c>
      <c r="P90" s="62"/>
      <c r="Q90" s="45">
        <f>'Filter-old'!H87</f>
        <v>-11264</v>
      </c>
      <c r="R90" s="61">
        <f>'Filter-new'!H87</f>
        <v>-46464</v>
      </c>
      <c r="S90" s="62"/>
      <c r="T90" s="62"/>
      <c r="U90" s="445">
        <f>'Filter-new'!H576</f>
        <v>-26280</v>
      </c>
      <c r="V90" s="62"/>
      <c r="W90" s="45">
        <f>'Filter-old'!J87</f>
        <v>0</v>
      </c>
      <c r="X90" s="61">
        <f>'Filter-new'!J87</f>
        <v>0</v>
      </c>
      <c r="Y90" s="62"/>
      <c r="Z90" s="62"/>
      <c r="AA90" s="45">
        <f>'Filter-old'!F87</f>
        <v>0</v>
      </c>
      <c r="AB90" s="61">
        <f>'Filter-new'!F87</f>
        <v>0</v>
      </c>
      <c r="AC90" s="62"/>
      <c r="AD90" s="62"/>
      <c r="AE90" s="45">
        <f>'Filter-old'!P87</f>
        <v>0</v>
      </c>
      <c r="AF90" s="61">
        <f>'Filter-new'!P87</f>
        <v>0</v>
      </c>
      <c r="AG90" s="62"/>
      <c r="AH90" s="62"/>
      <c r="AI90" s="45">
        <f>'Filter-old'!L87</f>
        <v>0</v>
      </c>
      <c r="AJ90" s="61">
        <f>'Filter-new'!L87</f>
        <v>0</v>
      </c>
      <c r="AK90" s="62"/>
      <c r="AL90" s="62"/>
      <c r="AM90" s="62">
        <f>'Filter-new'!L576</f>
        <v>0</v>
      </c>
      <c r="AN90" s="62"/>
      <c r="AO90" s="45">
        <f>'Filter-old'!G87</f>
        <v>0</v>
      </c>
      <c r="AP90" s="61">
        <f>'Filter-new'!G87</f>
        <v>0</v>
      </c>
      <c r="AQ90" s="62"/>
      <c r="AR90" s="62"/>
      <c r="AS90" s="45"/>
      <c r="AT90" s="61"/>
      <c r="AU90" s="62"/>
      <c r="AV90" s="62"/>
      <c r="AW90" s="45">
        <f>'Filter-old'!I87</f>
        <v>-8800</v>
      </c>
      <c r="AX90" s="61">
        <f>'Filter-new'!I87</f>
        <v>-8800</v>
      </c>
      <c r="AY90" s="62"/>
      <c r="AZ90" s="62"/>
      <c r="BA90" s="62">
        <f>'Filter-new'!I576</f>
        <v>-18000</v>
      </c>
      <c r="BB90" s="62"/>
      <c r="BC90" s="45">
        <f>'Filter-old'!K87</f>
        <v>0</v>
      </c>
      <c r="BD90" s="61">
        <f>'Filter-new'!K87</f>
        <v>0</v>
      </c>
      <c r="BE90" s="62"/>
      <c r="BF90" s="62"/>
      <c r="BG90" s="45">
        <f>'Filter-old'!M87</f>
        <v>0</v>
      </c>
      <c r="BH90" s="62">
        <f>'Filter-new'!K576</f>
        <v>0</v>
      </c>
      <c r="BI90" s="61"/>
      <c r="BJ90" s="61">
        <f>'Filter-new'!M87</f>
        <v>0</v>
      </c>
      <c r="BK90" s="62"/>
      <c r="BL90" s="62"/>
      <c r="BM90" s="62"/>
      <c r="BN90" s="406">
        <f>'Filter-new'!N87</f>
        <v>0</v>
      </c>
      <c r="BO90" s="62"/>
      <c r="BP90" s="62"/>
      <c r="BQ90" s="45">
        <f>'Filter-old'!O87</f>
        <v>0</v>
      </c>
      <c r="BR90" s="61">
        <f>'Filter-new'!O87</f>
        <v>0</v>
      </c>
      <c r="BS90" s="62"/>
      <c r="BT90" s="62"/>
      <c r="BU90" s="45">
        <f>'Filter-old'!Q87</f>
        <v>5488.19</v>
      </c>
      <c r="BV90" s="61">
        <f>'Filter-new'!Q87</f>
        <v>5961.15</v>
      </c>
      <c r="BW90" s="61"/>
      <c r="BX90" s="61"/>
      <c r="BY90" s="61">
        <f>'Filter-new'!Q576</f>
        <v>0</v>
      </c>
      <c r="BZ90" s="61"/>
      <c r="CA90" s="45">
        <f>'Filter-old'!R87</f>
        <v>0</v>
      </c>
      <c r="CB90" s="61">
        <f>'Filter-new'!R87</f>
        <v>0</v>
      </c>
      <c r="CC90" s="61"/>
      <c r="CD90" s="58"/>
      <c r="CE90" s="61">
        <f>'Filter-new'!R576</f>
        <v>0</v>
      </c>
      <c r="CF90" s="57"/>
      <c r="CG90" s="4"/>
    </row>
    <row r="91" spans="1:85" hidden="1" x14ac:dyDescent="0.2">
      <c r="A91">
        <v>0</v>
      </c>
      <c r="B91" s="59">
        <v>39479</v>
      </c>
      <c r="C91" s="59">
        <f>'Filter-new'!C88</f>
        <v>39479</v>
      </c>
      <c r="D91" s="60">
        <f t="shared" si="10"/>
        <v>2008</v>
      </c>
      <c r="E91" s="60">
        <f>VLOOKUP($C91,calendar!$A$2:$D$121,4,FALSE)*(1-(H91=0))</f>
        <v>336</v>
      </c>
      <c r="F91" s="60">
        <f>VLOOKUP($C91,calendar!$A$2:$D$121,3,FALSE)*(1-(I91=0))</f>
        <v>360</v>
      </c>
      <c r="G91" s="36">
        <f t="shared" si="7"/>
        <v>-8729.0600000000013</v>
      </c>
      <c r="H91" s="36">
        <f t="shared" si="8"/>
        <v>-16802.52</v>
      </c>
      <c r="I91" s="36">
        <f t="shared" si="9"/>
        <v>-62016</v>
      </c>
      <c r="J91" s="41"/>
      <c r="K91" s="45">
        <f>'Filter-old'!E88</f>
        <v>5212</v>
      </c>
      <c r="L91" s="61">
        <f>'Filter-new'!E88</f>
        <v>30287.119999999999</v>
      </c>
      <c r="M91" s="62"/>
      <c r="N91" s="62"/>
      <c r="O91" s="429">
        <f>'Filter-new'!E577</f>
        <v>-11016</v>
      </c>
      <c r="P91" s="62"/>
      <c r="Q91" s="45">
        <f>'Filter-old'!H88</f>
        <v>-10752</v>
      </c>
      <c r="R91" s="61">
        <f>'Filter-new'!H88</f>
        <v>-44352</v>
      </c>
      <c r="S91" s="62"/>
      <c r="T91" s="62"/>
      <c r="U91" s="445">
        <f>'Filter-new'!H577</f>
        <v>-30600</v>
      </c>
      <c r="V91" s="62"/>
      <c r="W91" s="45">
        <f>'Filter-old'!J88</f>
        <v>0</v>
      </c>
      <c r="X91" s="61">
        <f>'Filter-new'!J88</f>
        <v>0</v>
      </c>
      <c r="Y91" s="62"/>
      <c r="Z91" s="62"/>
      <c r="AA91" s="45">
        <f>'Filter-old'!F88</f>
        <v>0</v>
      </c>
      <c r="AB91" s="61">
        <f>'Filter-new'!F88</f>
        <v>0</v>
      </c>
      <c r="AC91" s="62"/>
      <c r="AD91" s="62"/>
      <c r="AE91" s="45">
        <f>'Filter-old'!P88</f>
        <v>0</v>
      </c>
      <c r="AF91" s="61">
        <f>'Filter-new'!P88</f>
        <v>0</v>
      </c>
      <c r="AG91" s="62"/>
      <c r="AH91" s="62"/>
      <c r="AI91" s="45">
        <f>'Filter-old'!L88</f>
        <v>0</v>
      </c>
      <c r="AJ91" s="61">
        <f>'Filter-new'!L88</f>
        <v>0</v>
      </c>
      <c r="AK91" s="62"/>
      <c r="AL91" s="62"/>
      <c r="AM91" s="62">
        <f>'Filter-new'!L577</f>
        <v>0</v>
      </c>
      <c r="AN91" s="62"/>
      <c r="AO91" s="45">
        <f>'Filter-old'!G88</f>
        <v>0</v>
      </c>
      <c r="AP91" s="61">
        <f>'Filter-new'!G88</f>
        <v>0</v>
      </c>
      <c r="AQ91" s="62"/>
      <c r="AR91" s="62"/>
      <c r="AS91" s="45"/>
      <c r="AT91" s="61"/>
      <c r="AU91" s="62"/>
      <c r="AV91" s="62"/>
      <c r="AW91" s="45">
        <f>'Filter-old'!I88</f>
        <v>-8400</v>
      </c>
      <c r="AX91" s="61">
        <f>'Filter-new'!I88</f>
        <v>-8400</v>
      </c>
      <c r="AY91" s="62"/>
      <c r="AZ91" s="62"/>
      <c r="BA91" s="62">
        <f>'Filter-new'!I577</f>
        <v>-20400</v>
      </c>
      <c r="BB91" s="62"/>
      <c r="BC91" s="45">
        <f>'Filter-old'!K88</f>
        <v>0</v>
      </c>
      <c r="BD91" s="61">
        <f>'Filter-new'!K88</f>
        <v>0</v>
      </c>
      <c r="BE91" s="62"/>
      <c r="BF91" s="62"/>
      <c r="BG91" s="45">
        <f>'Filter-old'!M88</f>
        <v>0</v>
      </c>
      <c r="BH91" s="62">
        <f>'Filter-new'!K577</f>
        <v>0</v>
      </c>
      <c r="BI91" s="61"/>
      <c r="BJ91" s="61">
        <f>'Filter-new'!M88</f>
        <v>0</v>
      </c>
      <c r="BK91" s="62"/>
      <c r="BL91" s="62"/>
      <c r="BM91" s="62"/>
      <c r="BN91" s="406">
        <f>'Filter-new'!N88</f>
        <v>0</v>
      </c>
      <c r="BO91" s="62"/>
      <c r="BP91" s="62"/>
      <c r="BQ91" s="45">
        <f>'Filter-old'!O88</f>
        <v>0</v>
      </c>
      <c r="BR91" s="61">
        <f>'Filter-new'!O88</f>
        <v>0</v>
      </c>
      <c r="BS91" s="62"/>
      <c r="BT91" s="62"/>
      <c r="BU91" s="45">
        <f>'Filter-old'!Q88</f>
        <v>5210.9399999999996</v>
      </c>
      <c r="BV91" s="61">
        <f>'Filter-new'!Q88</f>
        <v>5662.36</v>
      </c>
      <c r="BW91" s="61"/>
      <c r="BX91" s="61"/>
      <c r="BY91" s="61">
        <f>'Filter-new'!Q577</f>
        <v>0</v>
      </c>
      <c r="BZ91" s="61"/>
      <c r="CA91" s="45">
        <f>'Filter-old'!R88</f>
        <v>0</v>
      </c>
      <c r="CB91" s="61">
        <f>'Filter-new'!R88</f>
        <v>0</v>
      </c>
      <c r="CC91" s="61"/>
      <c r="CD91" s="58"/>
      <c r="CE91" s="61">
        <f>'Filter-new'!R577</f>
        <v>0</v>
      </c>
      <c r="CF91" s="57"/>
      <c r="CG91" s="4"/>
    </row>
    <row r="92" spans="1:85" hidden="1" x14ac:dyDescent="0.2">
      <c r="A92">
        <v>0</v>
      </c>
      <c r="B92" s="59">
        <v>39508</v>
      </c>
      <c r="C92" s="59">
        <f>'Filter-new'!C89</f>
        <v>39508</v>
      </c>
      <c r="D92" s="60">
        <f t="shared" si="10"/>
        <v>2008</v>
      </c>
      <c r="E92" s="60">
        <f>VLOOKUP($C92,calendar!$A$2:$D$121,4,FALSE)*(1-(H92=0))</f>
        <v>336</v>
      </c>
      <c r="F92" s="60">
        <f>VLOOKUP($C92,calendar!$A$2:$D$121,3,FALSE)*(1-(I92=0))</f>
        <v>408</v>
      </c>
      <c r="G92" s="36">
        <f t="shared" si="7"/>
        <v>-10132.32</v>
      </c>
      <c r="H92" s="36">
        <f t="shared" si="8"/>
        <v>-18335.39</v>
      </c>
      <c r="I92" s="36">
        <f t="shared" si="9"/>
        <v>-55441</v>
      </c>
      <c r="J92" s="41"/>
      <c r="K92" s="45">
        <f>'Filter-old'!E89</f>
        <v>5182.38</v>
      </c>
      <c r="L92" s="61">
        <f>'Filter-new'!E89</f>
        <v>30128</v>
      </c>
      <c r="M92" s="62"/>
      <c r="N92" s="62"/>
      <c r="O92" s="429">
        <f>'Filter-new'!E578</f>
        <v>-9909</v>
      </c>
      <c r="P92" s="62"/>
      <c r="Q92" s="45">
        <f>'Filter-old'!H89</f>
        <v>-12096</v>
      </c>
      <c r="R92" s="61">
        <f>'Filter-new'!H89</f>
        <v>-45696</v>
      </c>
      <c r="S92" s="62"/>
      <c r="T92" s="62"/>
      <c r="U92" s="445">
        <f>'Filter-new'!H578</f>
        <v>-27182</v>
      </c>
      <c r="V92" s="62"/>
      <c r="W92" s="45">
        <f>'Filter-old'!J89</f>
        <v>0</v>
      </c>
      <c r="X92" s="61">
        <f>'Filter-new'!J89</f>
        <v>0</v>
      </c>
      <c r="Y92" s="62"/>
      <c r="Z92" s="62"/>
      <c r="AA92" s="45">
        <f>'Filter-old'!F89</f>
        <v>0</v>
      </c>
      <c r="AB92" s="61">
        <f>'Filter-new'!F89</f>
        <v>0</v>
      </c>
      <c r="AC92" s="62"/>
      <c r="AD92" s="62"/>
      <c r="AE92" s="45">
        <f>'Filter-old'!P89</f>
        <v>0</v>
      </c>
      <c r="AF92" s="61">
        <f>'Filter-new'!P89</f>
        <v>0</v>
      </c>
      <c r="AG92" s="62"/>
      <c r="AH92" s="62"/>
      <c r="AI92" s="45">
        <f>'Filter-old'!L89</f>
        <v>0</v>
      </c>
      <c r="AJ92" s="61">
        <f>'Filter-new'!L89</f>
        <v>0</v>
      </c>
      <c r="AK92" s="62"/>
      <c r="AL92" s="62"/>
      <c r="AM92" s="62">
        <f>'Filter-new'!L578</f>
        <v>0</v>
      </c>
      <c r="AN92" s="62"/>
      <c r="AO92" s="45">
        <f>'Filter-old'!G89</f>
        <v>0</v>
      </c>
      <c r="AP92" s="61">
        <f>'Filter-new'!G89</f>
        <v>0</v>
      </c>
      <c r="AQ92" s="62"/>
      <c r="AR92" s="62"/>
      <c r="AS92" s="45"/>
      <c r="AT92" s="61"/>
      <c r="AU92" s="62"/>
      <c r="AV92" s="62"/>
      <c r="AW92" s="45">
        <f>'Filter-old'!I89</f>
        <v>-8400</v>
      </c>
      <c r="AX92" s="61">
        <f>'Filter-new'!I89</f>
        <v>-8400</v>
      </c>
      <c r="AY92" s="62"/>
      <c r="AZ92" s="62"/>
      <c r="BA92" s="62">
        <f>'Filter-new'!I578</f>
        <v>-18350</v>
      </c>
      <c r="BB92" s="62"/>
      <c r="BC92" s="45">
        <f>'Filter-old'!K89</f>
        <v>0</v>
      </c>
      <c r="BD92" s="61">
        <f>'Filter-new'!K89</f>
        <v>0</v>
      </c>
      <c r="BE92" s="62"/>
      <c r="BF92" s="62"/>
      <c r="BG92" s="45">
        <f>'Filter-old'!M89</f>
        <v>0</v>
      </c>
      <c r="BH92" s="62">
        <f>'Filter-new'!K578</f>
        <v>0</v>
      </c>
      <c r="BI92" s="61"/>
      <c r="BJ92" s="61">
        <f>'Filter-new'!M89</f>
        <v>0</v>
      </c>
      <c r="BK92" s="62"/>
      <c r="BL92" s="62"/>
      <c r="BM92" s="62"/>
      <c r="BN92" s="406">
        <f>'Filter-new'!N89</f>
        <v>0</v>
      </c>
      <c r="BO92" s="62"/>
      <c r="BP92" s="62"/>
      <c r="BQ92" s="45">
        <f>'Filter-old'!O89</f>
        <v>0</v>
      </c>
      <c r="BR92" s="61">
        <f>'Filter-new'!O89</f>
        <v>0</v>
      </c>
      <c r="BS92" s="62"/>
      <c r="BT92" s="62"/>
      <c r="BU92" s="45">
        <f>'Filter-old'!Q89</f>
        <v>5181.3</v>
      </c>
      <c r="BV92" s="61">
        <f>'Filter-new'!Q89</f>
        <v>5632.61</v>
      </c>
      <c r="BW92" s="61"/>
      <c r="BX92" s="61"/>
      <c r="BY92" s="61">
        <f>'Filter-new'!Q578</f>
        <v>0</v>
      </c>
      <c r="BZ92" s="61"/>
      <c r="CA92" s="45">
        <f>'Filter-old'!R89</f>
        <v>0</v>
      </c>
      <c r="CB92" s="61">
        <f>'Filter-new'!R89</f>
        <v>0</v>
      </c>
      <c r="CC92" s="61"/>
      <c r="CD92" s="58"/>
      <c r="CE92" s="61">
        <f>'Filter-new'!R578</f>
        <v>0</v>
      </c>
      <c r="CF92" s="57"/>
      <c r="CG92" s="4"/>
    </row>
    <row r="93" spans="1:85" hidden="1" x14ac:dyDescent="0.2">
      <c r="A93">
        <v>0</v>
      </c>
      <c r="B93" s="59">
        <v>39539</v>
      </c>
      <c r="C93" s="59">
        <f>'Filter-new'!C90</f>
        <v>39539</v>
      </c>
      <c r="D93" s="60">
        <f t="shared" si="10"/>
        <v>2008</v>
      </c>
      <c r="E93" s="60">
        <f>VLOOKUP($C93,calendar!$A$2:$D$121,4,FALSE)*(1-(H93=0))</f>
        <v>352</v>
      </c>
      <c r="F93" s="60">
        <f>VLOOKUP($C93,calendar!$A$2:$D$121,3,FALSE)*(1-(I93=0))</f>
        <v>368</v>
      </c>
      <c r="G93" s="36">
        <f t="shared" si="7"/>
        <v>-10558.1</v>
      </c>
      <c r="H93" s="36">
        <f t="shared" si="8"/>
        <v>-19303.879999999997</v>
      </c>
      <c r="I93" s="36">
        <f t="shared" si="9"/>
        <v>-57936</v>
      </c>
      <c r="J93" s="41"/>
      <c r="K93" s="45">
        <f>'Filter-old'!E90</f>
        <v>5399.17</v>
      </c>
      <c r="L93" s="61">
        <f>'Filter-new'!E90</f>
        <v>31401.33</v>
      </c>
      <c r="M93" s="62"/>
      <c r="N93" s="62"/>
      <c r="O93" s="429">
        <f>'Filter-new'!E579</f>
        <v>-11016</v>
      </c>
      <c r="P93" s="62"/>
      <c r="Q93" s="45">
        <f>'Filter-old'!H90</f>
        <v>-12320</v>
      </c>
      <c r="R93" s="61">
        <f>'Filter-new'!H90</f>
        <v>-47520</v>
      </c>
      <c r="S93" s="62"/>
      <c r="T93" s="62"/>
      <c r="U93" s="445">
        <f>'Filter-new'!H579</f>
        <v>-26520</v>
      </c>
      <c r="V93" s="62"/>
      <c r="W93" s="45">
        <f>'Filter-old'!J90</f>
        <v>0</v>
      </c>
      <c r="X93" s="61">
        <f>'Filter-new'!J90</f>
        <v>0</v>
      </c>
      <c r="Y93" s="62"/>
      <c r="Z93" s="62"/>
      <c r="AA93" s="45">
        <f>'Filter-old'!F90</f>
        <v>0</v>
      </c>
      <c r="AB93" s="61">
        <f>'Filter-new'!F90</f>
        <v>0</v>
      </c>
      <c r="AC93" s="62"/>
      <c r="AD93" s="62"/>
      <c r="AE93" s="45">
        <f>'Filter-old'!P90</f>
        <v>0</v>
      </c>
      <c r="AF93" s="61">
        <f>'Filter-new'!P90</f>
        <v>0</v>
      </c>
      <c r="AG93" s="62"/>
      <c r="AH93" s="62"/>
      <c r="AI93" s="45">
        <f>'Filter-old'!L90</f>
        <v>0</v>
      </c>
      <c r="AJ93" s="61">
        <f>'Filter-new'!L90</f>
        <v>0</v>
      </c>
      <c r="AK93" s="62"/>
      <c r="AL93" s="62"/>
      <c r="AM93" s="62">
        <f>'Filter-new'!L579</f>
        <v>0</v>
      </c>
      <c r="AN93" s="62"/>
      <c r="AO93" s="45">
        <f>'Filter-old'!G90</f>
        <v>0</v>
      </c>
      <c r="AP93" s="61">
        <f>'Filter-new'!G90</f>
        <v>0</v>
      </c>
      <c r="AQ93" s="62"/>
      <c r="AR93" s="62"/>
      <c r="AS93" s="45"/>
      <c r="AT93" s="61"/>
      <c r="AU93" s="62"/>
      <c r="AV93" s="62"/>
      <c r="AW93" s="45">
        <f>'Filter-old'!I90</f>
        <v>-8800</v>
      </c>
      <c r="AX93" s="61">
        <f>'Filter-new'!I90</f>
        <v>-8800</v>
      </c>
      <c r="AY93" s="62"/>
      <c r="AZ93" s="62"/>
      <c r="BA93" s="62">
        <f>'Filter-new'!I579</f>
        <v>-20400</v>
      </c>
      <c r="BB93" s="62"/>
      <c r="BC93" s="45">
        <f>'Filter-old'!K90</f>
        <v>0</v>
      </c>
      <c r="BD93" s="61">
        <f>'Filter-new'!K90</f>
        <v>0</v>
      </c>
      <c r="BE93" s="62"/>
      <c r="BF93" s="62"/>
      <c r="BG93" s="45">
        <f>'Filter-old'!M90</f>
        <v>0</v>
      </c>
      <c r="BH93" s="62">
        <f>'Filter-new'!K579</f>
        <v>0</v>
      </c>
      <c r="BI93" s="61"/>
      <c r="BJ93" s="61">
        <f>'Filter-new'!M90</f>
        <v>0</v>
      </c>
      <c r="BK93" s="62"/>
      <c r="BL93" s="62"/>
      <c r="BM93" s="62"/>
      <c r="BN93" s="406">
        <f>'Filter-new'!N90</f>
        <v>0</v>
      </c>
      <c r="BO93" s="62"/>
      <c r="BP93" s="62"/>
      <c r="BQ93" s="45">
        <f>'Filter-old'!O90</f>
        <v>0</v>
      </c>
      <c r="BR93" s="61">
        <f>'Filter-new'!O90</f>
        <v>0</v>
      </c>
      <c r="BS93" s="62"/>
      <c r="BT93" s="62"/>
      <c r="BU93" s="45">
        <f>'Filter-old'!Q90</f>
        <v>5162.7299999999996</v>
      </c>
      <c r="BV93" s="61">
        <f>'Filter-new'!Q90</f>
        <v>5614.79</v>
      </c>
      <c r="BW93" s="61"/>
      <c r="BX93" s="61"/>
      <c r="BY93" s="61">
        <f>'Filter-new'!Q579</f>
        <v>0</v>
      </c>
      <c r="BZ93" s="61"/>
      <c r="CA93" s="45">
        <f>'Filter-old'!R90</f>
        <v>0</v>
      </c>
      <c r="CB93" s="61">
        <f>'Filter-new'!R90</f>
        <v>0</v>
      </c>
      <c r="CC93" s="61"/>
      <c r="CD93" s="58"/>
      <c r="CE93" s="61">
        <f>'Filter-new'!R579</f>
        <v>0</v>
      </c>
      <c r="CF93" s="57"/>
      <c r="CG93" s="4"/>
    </row>
    <row r="94" spans="1:85" hidden="1" x14ac:dyDescent="0.2">
      <c r="A94">
        <v>0</v>
      </c>
      <c r="B94" s="59">
        <v>39569</v>
      </c>
      <c r="C94" s="59">
        <f>'Filter-new'!C91</f>
        <v>39569</v>
      </c>
      <c r="D94" s="60">
        <f t="shared" si="10"/>
        <v>2008</v>
      </c>
      <c r="E94" s="60">
        <f>VLOOKUP($C94,calendar!$A$2:$D$121,4,FALSE)*(1-(H94=0))</f>
        <v>336</v>
      </c>
      <c r="F94" s="60">
        <f>VLOOKUP($C94,calendar!$A$2:$D$121,3,FALSE)*(1-(I94=0))</f>
        <v>408</v>
      </c>
      <c r="G94" s="36">
        <f t="shared" si="7"/>
        <v>-7110.54</v>
      </c>
      <c r="H94" s="36">
        <f t="shared" si="8"/>
        <v>-15590.150000000001</v>
      </c>
      <c r="I94" s="36">
        <f t="shared" si="9"/>
        <v>-53376</v>
      </c>
      <c r="J94" s="41"/>
      <c r="K94" s="45">
        <f>'Filter-old'!E91</f>
        <v>5125</v>
      </c>
      <c r="L94" s="61">
        <f>'Filter-new'!E91</f>
        <v>29814.85</v>
      </c>
      <c r="M94" s="62"/>
      <c r="N94" s="62"/>
      <c r="O94" s="429">
        <f>'Filter-new'!E580</f>
        <v>-10368</v>
      </c>
      <c r="P94" s="62"/>
      <c r="Q94" s="45">
        <f>'Filter-old'!H91</f>
        <v>-8736</v>
      </c>
      <c r="R94" s="61">
        <f>'Filter-new'!H91</f>
        <v>-42336</v>
      </c>
      <c r="S94" s="62"/>
      <c r="T94" s="62"/>
      <c r="U94" s="445">
        <f>'Filter-new'!H580</f>
        <v>-23808</v>
      </c>
      <c r="V94" s="62"/>
      <c r="W94" s="45">
        <f>'Filter-old'!J91</f>
        <v>0</v>
      </c>
      <c r="X94" s="61">
        <f>'Filter-new'!J91</f>
        <v>0</v>
      </c>
      <c r="Y94" s="62"/>
      <c r="Z94" s="62"/>
      <c r="AA94" s="45">
        <f>'Filter-old'!F91</f>
        <v>0</v>
      </c>
      <c r="AB94" s="61">
        <f>'Filter-new'!F91</f>
        <v>0</v>
      </c>
      <c r="AC94" s="62"/>
      <c r="AD94" s="62"/>
      <c r="AE94" s="45">
        <f>'Filter-old'!P91</f>
        <v>0</v>
      </c>
      <c r="AF94" s="61">
        <f>'Filter-new'!P91</f>
        <v>0</v>
      </c>
      <c r="AG94" s="62"/>
      <c r="AH94" s="62"/>
      <c r="AI94" s="45">
        <f>'Filter-old'!L91</f>
        <v>0</v>
      </c>
      <c r="AJ94" s="61">
        <f>'Filter-new'!L91</f>
        <v>0</v>
      </c>
      <c r="AK94" s="62"/>
      <c r="AL94" s="62"/>
      <c r="AM94" s="62">
        <f>'Filter-new'!L580</f>
        <v>0</v>
      </c>
      <c r="AN94" s="62"/>
      <c r="AO94" s="45">
        <f>'Filter-old'!G91</f>
        <v>0</v>
      </c>
      <c r="AP94" s="61">
        <f>'Filter-new'!G91</f>
        <v>0</v>
      </c>
      <c r="AQ94" s="62"/>
      <c r="AR94" s="62"/>
      <c r="AS94" s="45"/>
      <c r="AT94" s="61"/>
      <c r="AU94" s="62"/>
      <c r="AV94" s="62"/>
      <c r="AW94" s="45">
        <f>'Filter-old'!I91</f>
        <v>-8400</v>
      </c>
      <c r="AX94" s="61">
        <f>'Filter-new'!I91</f>
        <v>-8400</v>
      </c>
      <c r="AY94" s="62"/>
      <c r="AZ94" s="62"/>
      <c r="BA94" s="62">
        <f>'Filter-new'!I580</f>
        <v>-19200</v>
      </c>
      <c r="BB94" s="62"/>
      <c r="BC94" s="45">
        <f>'Filter-old'!K91</f>
        <v>0</v>
      </c>
      <c r="BD94" s="61">
        <f>'Filter-new'!K91</f>
        <v>0</v>
      </c>
      <c r="BE94" s="62"/>
      <c r="BF94" s="62"/>
      <c r="BG94" s="45">
        <f>'Filter-old'!M91</f>
        <v>0</v>
      </c>
      <c r="BH94" s="62">
        <f>'Filter-new'!K580</f>
        <v>0</v>
      </c>
      <c r="BI94" s="61"/>
      <c r="BJ94" s="61">
        <f>'Filter-new'!M91</f>
        <v>0</v>
      </c>
      <c r="BK94" s="62"/>
      <c r="BL94" s="62"/>
      <c r="BM94" s="62"/>
      <c r="BN94" s="406">
        <f>'Filter-new'!N91</f>
        <v>0</v>
      </c>
      <c r="BO94" s="62"/>
      <c r="BP94" s="62"/>
      <c r="BQ94" s="45">
        <f>'Filter-old'!O91</f>
        <v>0</v>
      </c>
      <c r="BR94" s="61">
        <f>'Filter-new'!O91</f>
        <v>0</v>
      </c>
      <c r="BS94" s="62"/>
      <c r="BT94" s="62"/>
      <c r="BU94" s="45">
        <f>'Filter-old'!Q91</f>
        <v>4900.46</v>
      </c>
      <c r="BV94" s="61">
        <f>'Filter-new'!Q91</f>
        <v>5331</v>
      </c>
      <c r="BW94" s="61"/>
      <c r="BX94" s="61"/>
      <c r="BY94" s="61">
        <f>'Filter-new'!Q580</f>
        <v>0</v>
      </c>
      <c r="BZ94" s="61"/>
      <c r="CA94" s="45">
        <f>'Filter-old'!R91</f>
        <v>0</v>
      </c>
      <c r="CB94" s="61">
        <f>'Filter-new'!R91</f>
        <v>0</v>
      </c>
      <c r="CC94" s="61"/>
      <c r="CD94" s="58"/>
      <c r="CE94" s="61">
        <f>'Filter-new'!R580</f>
        <v>0</v>
      </c>
      <c r="CF94" s="57"/>
      <c r="CG94" s="4"/>
    </row>
    <row r="95" spans="1:85" hidden="1" x14ac:dyDescent="0.2">
      <c r="A95">
        <v>0</v>
      </c>
      <c r="B95" s="59">
        <v>39600</v>
      </c>
      <c r="C95" s="59">
        <f>'Filter-new'!C92</f>
        <v>39600</v>
      </c>
      <c r="D95" s="60">
        <f t="shared" si="10"/>
        <v>2008</v>
      </c>
      <c r="E95" s="60">
        <f>VLOOKUP($C95,calendar!$A$2:$D$121,4,FALSE)*(1-(H95=0))</f>
        <v>336</v>
      </c>
      <c r="F95" s="60">
        <f>VLOOKUP($C95,calendar!$A$2:$D$121,3,FALSE)*(1-(I95=0))</f>
        <v>384</v>
      </c>
      <c r="G95" s="36">
        <f t="shared" si="7"/>
        <v>-5705.46</v>
      </c>
      <c r="H95" s="36">
        <f t="shared" si="8"/>
        <v>-14333.16</v>
      </c>
      <c r="I95" s="36">
        <f t="shared" si="9"/>
        <v>-53312</v>
      </c>
      <c r="J95" s="41"/>
      <c r="K95" s="45">
        <f>'Filter-old'!E92</f>
        <v>5097.8500000000004</v>
      </c>
      <c r="L95" s="61">
        <f>'Filter-new'!E92</f>
        <v>29660.84</v>
      </c>
      <c r="M95" s="62"/>
      <c r="N95" s="62"/>
      <c r="O95" s="429">
        <f>'Filter-new'!E581</f>
        <v>-10584</v>
      </c>
      <c r="P95" s="62"/>
      <c r="Q95" s="45">
        <f>'Filter-old'!H92</f>
        <v>-7056</v>
      </c>
      <c r="R95" s="61">
        <f>'Filter-new'!H92</f>
        <v>-40656</v>
      </c>
      <c r="S95" s="62"/>
      <c r="T95" s="62"/>
      <c r="U95" s="445">
        <f>'Filter-new'!H581</f>
        <v>-23128</v>
      </c>
      <c r="V95" s="62"/>
      <c r="W95" s="45">
        <f>'Filter-old'!J92</f>
        <v>0</v>
      </c>
      <c r="X95" s="61">
        <f>'Filter-new'!J92</f>
        <v>0</v>
      </c>
      <c r="Y95" s="62"/>
      <c r="Z95" s="62"/>
      <c r="AA95" s="45">
        <f>'Filter-old'!F92</f>
        <v>0</v>
      </c>
      <c r="AB95" s="61">
        <f>'Filter-new'!F92</f>
        <v>0</v>
      </c>
      <c r="AC95" s="62"/>
      <c r="AD95" s="62"/>
      <c r="AE95" s="45">
        <f>'Filter-old'!P92</f>
        <v>0</v>
      </c>
      <c r="AF95" s="61">
        <f>'Filter-new'!P92</f>
        <v>0</v>
      </c>
      <c r="AG95" s="62"/>
      <c r="AH95" s="62"/>
      <c r="AI95" s="45">
        <f>'Filter-old'!L92</f>
        <v>0</v>
      </c>
      <c r="AJ95" s="61">
        <f>'Filter-new'!L92</f>
        <v>0</v>
      </c>
      <c r="AK95" s="62"/>
      <c r="AL95" s="62"/>
      <c r="AM95" s="62">
        <f>'Filter-new'!L581</f>
        <v>0</v>
      </c>
      <c r="AN95" s="62"/>
      <c r="AO95" s="45">
        <f>'Filter-old'!G92</f>
        <v>0</v>
      </c>
      <c r="AP95" s="61">
        <f>'Filter-new'!G92</f>
        <v>0</v>
      </c>
      <c r="AQ95" s="62"/>
      <c r="AR95" s="62"/>
      <c r="AS95" s="45"/>
      <c r="AT95" s="61"/>
      <c r="AU95" s="62"/>
      <c r="AV95" s="62"/>
      <c r="AW95" s="45">
        <f>'Filter-old'!I92</f>
        <v>-8400</v>
      </c>
      <c r="AX95" s="61">
        <f>'Filter-new'!I92</f>
        <v>-8400</v>
      </c>
      <c r="AY95" s="62"/>
      <c r="AZ95" s="62"/>
      <c r="BA95" s="62">
        <f>'Filter-new'!I581</f>
        <v>-19600</v>
      </c>
      <c r="BB95" s="62"/>
      <c r="BC95" s="45">
        <f>'Filter-old'!K92</f>
        <v>0</v>
      </c>
      <c r="BD95" s="61">
        <f>'Filter-new'!K92</f>
        <v>0</v>
      </c>
      <c r="BE95" s="62"/>
      <c r="BF95" s="62"/>
      <c r="BG95" s="45">
        <f>'Filter-old'!M92</f>
        <v>0</v>
      </c>
      <c r="BH95" s="62">
        <f>'Filter-new'!K581</f>
        <v>0</v>
      </c>
      <c r="BI95" s="61"/>
      <c r="BJ95" s="61">
        <f>'Filter-new'!M92</f>
        <v>0</v>
      </c>
      <c r="BK95" s="62"/>
      <c r="BL95" s="62"/>
      <c r="BM95" s="62"/>
      <c r="BN95" s="406">
        <f>'Filter-new'!N92</f>
        <v>0</v>
      </c>
      <c r="BO95" s="62"/>
      <c r="BP95" s="62"/>
      <c r="BQ95" s="45">
        <f>'Filter-old'!O92</f>
        <v>0</v>
      </c>
      <c r="BR95" s="61">
        <f>'Filter-new'!O92</f>
        <v>0</v>
      </c>
      <c r="BS95" s="62"/>
      <c r="BT95" s="62"/>
      <c r="BU95" s="45">
        <f>'Filter-old'!Q92</f>
        <v>4652.6899999999996</v>
      </c>
      <c r="BV95" s="61">
        <f>'Filter-new'!Q92</f>
        <v>5062</v>
      </c>
      <c r="BW95" s="61"/>
      <c r="BX95" s="61"/>
      <c r="BY95" s="61">
        <f>'Filter-new'!Q581</f>
        <v>0</v>
      </c>
      <c r="BZ95" s="61"/>
      <c r="CA95" s="45">
        <f>'Filter-old'!R92</f>
        <v>0</v>
      </c>
      <c r="CB95" s="61">
        <f>'Filter-new'!R92</f>
        <v>0</v>
      </c>
      <c r="CC95" s="61"/>
      <c r="CD95" s="58"/>
      <c r="CE95" s="61">
        <f>'Filter-new'!R581</f>
        <v>0</v>
      </c>
      <c r="CF95" s="57"/>
      <c r="CG95" s="4"/>
    </row>
    <row r="96" spans="1:85" hidden="1" x14ac:dyDescent="0.2">
      <c r="A96">
        <v>0</v>
      </c>
      <c r="B96" s="59">
        <v>39630</v>
      </c>
      <c r="C96" s="59">
        <f>'Filter-new'!C93</f>
        <v>39630</v>
      </c>
      <c r="D96" s="60">
        <f t="shared" si="10"/>
        <v>2008</v>
      </c>
      <c r="E96" s="60">
        <f>VLOOKUP($C96,calendar!$A$2:$D$121,4,FALSE)*(1-(H96=0))</f>
        <v>352</v>
      </c>
      <c r="F96" s="60">
        <f>VLOOKUP($C96,calendar!$A$2:$D$121,3,FALSE)*(1-(I96=0))</f>
        <v>392</v>
      </c>
      <c r="G96" s="36">
        <f t="shared" si="7"/>
        <v>-3448.4199999999992</v>
      </c>
      <c r="H96" s="36">
        <f t="shared" si="8"/>
        <v>-12998.849999999999</v>
      </c>
      <c r="I96" s="36">
        <f t="shared" si="9"/>
        <v>-55488</v>
      </c>
      <c r="J96" s="41"/>
      <c r="K96" s="45">
        <f>'Filter-old'!E93</f>
        <v>5311.52</v>
      </c>
      <c r="L96" s="61">
        <f>'Filter-new'!E93</f>
        <v>30906.54</v>
      </c>
      <c r="M96" s="62"/>
      <c r="N96" s="62"/>
      <c r="O96" s="429">
        <f>'Filter-new'!E582</f>
        <v>-11016</v>
      </c>
      <c r="P96" s="62"/>
      <c r="Q96" s="45">
        <f>'Filter-old'!H93</f>
        <v>-4576</v>
      </c>
      <c r="R96" s="61">
        <f>'Filter-new'!H93</f>
        <v>-39776</v>
      </c>
      <c r="S96" s="62"/>
      <c r="T96" s="62"/>
      <c r="U96" s="445">
        <f>'Filter-new'!H582</f>
        <v>-24072</v>
      </c>
      <c r="V96" s="62"/>
      <c r="W96" s="45">
        <f>'Filter-old'!J93</f>
        <v>0</v>
      </c>
      <c r="X96" s="61">
        <f>'Filter-new'!J93</f>
        <v>0</v>
      </c>
      <c r="Y96" s="62"/>
      <c r="Z96" s="62"/>
      <c r="AA96" s="45">
        <f>'Filter-old'!F93</f>
        <v>0</v>
      </c>
      <c r="AB96" s="61">
        <f>'Filter-new'!F93</f>
        <v>0</v>
      </c>
      <c r="AC96" s="62"/>
      <c r="AD96" s="62"/>
      <c r="AE96" s="45">
        <f>'Filter-old'!P93</f>
        <v>0</v>
      </c>
      <c r="AF96" s="61">
        <f>'Filter-new'!P93</f>
        <v>0</v>
      </c>
      <c r="AG96" s="62"/>
      <c r="AH96" s="62"/>
      <c r="AI96" s="45">
        <f>'Filter-old'!L93</f>
        <v>0</v>
      </c>
      <c r="AJ96" s="61">
        <f>'Filter-new'!L93</f>
        <v>-352</v>
      </c>
      <c r="AK96" s="62"/>
      <c r="AL96" s="62"/>
      <c r="AM96" s="62">
        <f>'Filter-new'!L582</f>
        <v>0</v>
      </c>
      <c r="AN96" s="62"/>
      <c r="AO96" s="45">
        <f>'Filter-old'!G93</f>
        <v>0</v>
      </c>
      <c r="AP96" s="61">
        <f>'Filter-new'!G93</f>
        <v>0</v>
      </c>
      <c r="AQ96" s="62"/>
      <c r="AR96" s="62"/>
      <c r="AS96" s="45"/>
      <c r="AT96" s="61"/>
      <c r="AU96" s="62"/>
      <c r="AV96" s="62"/>
      <c r="AW96" s="45">
        <f>'Filter-old'!I93</f>
        <v>-8800</v>
      </c>
      <c r="AX96" s="61">
        <f>'Filter-new'!I93</f>
        <v>-8800</v>
      </c>
      <c r="AY96" s="62"/>
      <c r="AZ96" s="62"/>
      <c r="BA96" s="62">
        <f>'Filter-new'!I582</f>
        <v>-20400</v>
      </c>
      <c r="BB96" s="62"/>
      <c r="BC96" s="45">
        <f>'Filter-old'!K93</f>
        <v>0</v>
      </c>
      <c r="BD96" s="61">
        <f>'Filter-new'!K93</f>
        <v>0</v>
      </c>
      <c r="BE96" s="62"/>
      <c r="BF96" s="62"/>
      <c r="BG96" s="45">
        <f>'Filter-old'!M93</f>
        <v>0</v>
      </c>
      <c r="BH96" s="62">
        <f>'Filter-new'!K582</f>
        <v>0</v>
      </c>
      <c r="BI96" s="61"/>
      <c r="BJ96" s="61">
        <f>'Filter-new'!M93</f>
        <v>0</v>
      </c>
      <c r="BK96" s="62"/>
      <c r="BL96" s="62"/>
      <c r="BM96" s="62"/>
      <c r="BN96" s="406">
        <f>'Filter-new'!N93</f>
        <v>0</v>
      </c>
      <c r="BO96" s="62"/>
      <c r="BP96" s="62"/>
      <c r="BQ96" s="45">
        <f>'Filter-old'!O93</f>
        <v>0</v>
      </c>
      <c r="BR96" s="61">
        <f>'Filter-new'!O93</f>
        <v>0</v>
      </c>
      <c r="BS96" s="62"/>
      <c r="BT96" s="62"/>
      <c r="BU96" s="45">
        <f>'Filter-old'!Q93</f>
        <v>4616.0600000000004</v>
      </c>
      <c r="BV96" s="61">
        <f>'Filter-new'!Q93</f>
        <v>5022.6099999999997</v>
      </c>
      <c r="BW96" s="61"/>
      <c r="BX96" s="61"/>
      <c r="BY96" s="61">
        <f>'Filter-new'!Q582</f>
        <v>0</v>
      </c>
      <c r="BZ96" s="61"/>
      <c r="CA96" s="45">
        <f>'Filter-old'!R93</f>
        <v>0</v>
      </c>
      <c r="CB96" s="61">
        <f>'Filter-new'!R93</f>
        <v>0</v>
      </c>
      <c r="CC96" s="61"/>
      <c r="CD96" s="58"/>
      <c r="CE96" s="61">
        <f>'Filter-new'!R582</f>
        <v>0</v>
      </c>
      <c r="CF96" s="57"/>
      <c r="CG96" s="4"/>
    </row>
    <row r="97" spans="1:85" hidden="1" x14ac:dyDescent="0.2">
      <c r="A97">
        <v>0</v>
      </c>
      <c r="B97" s="59">
        <v>39661</v>
      </c>
      <c r="C97" s="59">
        <f>'Filter-new'!C94</f>
        <v>39661</v>
      </c>
      <c r="D97" s="60">
        <f t="shared" si="10"/>
        <v>2008</v>
      </c>
      <c r="E97" s="60">
        <f>VLOOKUP($C97,calendar!$A$2:$D$121,4,FALSE)*(1-(H97=0))</f>
        <v>336</v>
      </c>
      <c r="F97" s="60">
        <f>VLOOKUP($C97,calendar!$A$2:$D$121,3,FALSE)*(1-(I97=0))</f>
        <v>408</v>
      </c>
      <c r="G97" s="36">
        <f t="shared" si="7"/>
        <v>-2787.5</v>
      </c>
      <c r="H97" s="36">
        <f t="shared" si="8"/>
        <v>-12017.71</v>
      </c>
      <c r="I97" s="36">
        <f t="shared" si="9"/>
        <v>-48768</v>
      </c>
      <c r="J97" s="41"/>
      <c r="K97" s="45">
        <f>'Filter-old'!E94</f>
        <v>5042.42</v>
      </c>
      <c r="L97" s="61">
        <f>'Filter-new'!E94</f>
        <v>29342.58</v>
      </c>
      <c r="M97" s="62"/>
      <c r="N97" s="62"/>
      <c r="O97" s="429">
        <f>'Filter-new'!E583</f>
        <v>-10368</v>
      </c>
      <c r="P97" s="62"/>
      <c r="Q97" s="45">
        <f>'Filter-old'!H94</f>
        <v>-4032</v>
      </c>
      <c r="R97" s="61">
        <f>'Filter-new'!H94</f>
        <v>-37632</v>
      </c>
      <c r="S97" s="62"/>
      <c r="T97" s="62"/>
      <c r="U97" s="445">
        <f>'Filter-new'!H583</f>
        <v>-19200</v>
      </c>
      <c r="V97" s="62"/>
      <c r="W97" s="45">
        <f>'Filter-old'!J94</f>
        <v>0</v>
      </c>
      <c r="X97" s="61">
        <f>'Filter-new'!J94</f>
        <v>0</v>
      </c>
      <c r="Y97" s="62"/>
      <c r="Z97" s="62"/>
      <c r="AA97" s="45">
        <f>'Filter-old'!F94</f>
        <v>0</v>
      </c>
      <c r="AB97" s="61">
        <f>'Filter-new'!F94</f>
        <v>0</v>
      </c>
      <c r="AC97" s="62"/>
      <c r="AD97" s="62"/>
      <c r="AE97" s="45">
        <f>'Filter-old'!P94</f>
        <v>0</v>
      </c>
      <c r="AF97" s="61">
        <f>'Filter-new'!P94</f>
        <v>0</v>
      </c>
      <c r="AG97" s="62"/>
      <c r="AH97" s="62"/>
      <c r="AI97" s="45">
        <f>'Filter-old'!L94</f>
        <v>0</v>
      </c>
      <c r="AJ97" s="61">
        <f>'Filter-new'!L94</f>
        <v>-336</v>
      </c>
      <c r="AK97" s="62"/>
      <c r="AL97" s="62"/>
      <c r="AM97" s="62">
        <f>'Filter-new'!L583</f>
        <v>0</v>
      </c>
      <c r="AN97" s="62"/>
      <c r="AO97" s="45">
        <f>'Filter-old'!G94</f>
        <v>0</v>
      </c>
      <c r="AP97" s="61">
        <f>'Filter-new'!G94</f>
        <v>0</v>
      </c>
      <c r="AQ97" s="62"/>
      <c r="AR97" s="62"/>
      <c r="AS97" s="45"/>
      <c r="AT97" s="61"/>
      <c r="AU97" s="62"/>
      <c r="AV97" s="62"/>
      <c r="AW97" s="45">
        <f>'Filter-old'!I94</f>
        <v>-8400</v>
      </c>
      <c r="AX97" s="61">
        <f>'Filter-new'!I94</f>
        <v>-8400</v>
      </c>
      <c r="AY97" s="62"/>
      <c r="AZ97" s="62"/>
      <c r="BA97" s="62">
        <f>'Filter-new'!I583</f>
        <v>-19200</v>
      </c>
      <c r="BB97" s="62"/>
      <c r="BC97" s="45">
        <f>'Filter-old'!K94</f>
        <v>0</v>
      </c>
      <c r="BD97" s="61">
        <f>'Filter-new'!K94</f>
        <v>0</v>
      </c>
      <c r="BE97" s="62"/>
      <c r="BF97" s="62"/>
      <c r="BG97" s="45">
        <f>'Filter-old'!M94</f>
        <v>0</v>
      </c>
      <c r="BH97" s="62">
        <f>'Filter-new'!K583</f>
        <v>0</v>
      </c>
      <c r="BI97" s="61"/>
      <c r="BJ97" s="61">
        <f>'Filter-new'!M94</f>
        <v>0</v>
      </c>
      <c r="BK97" s="62"/>
      <c r="BL97" s="62"/>
      <c r="BM97" s="62"/>
      <c r="BN97" s="406">
        <f>'Filter-new'!N94</f>
        <v>0</v>
      </c>
      <c r="BO97" s="62"/>
      <c r="BP97" s="62"/>
      <c r="BQ97" s="45">
        <f>'Filter-old'!O94</f>
        <v>0</v>
      </c>
      <c r="BR97" s="61">
        <f>'Filter-new'!O94</f>
        <v>0</v>
      </c>
      <c r="BS97" s="62"/>
      <c r="BT97" s="62"/>
      <c r="BU97" s="45">
        <f>'Filter-old'!Q94</f>
        <v>4602.08</v>
      </c>
      <c r="BV97" s="61">
        <f>'Filter-new'!Q94</f>
        <v>5007.71</v>
      </c>
      <c r="BW97" s="61"/>
      <c r="BX97" s="61"/>
      <c r="BY97" s="61">
        <f>'Filter-new'!Q583</f>
        <v>0</v>
      </c>
      <c r="BZ97" s="61"/>
      <c r="CA97" s="45">
        <f>'Filter-old'!R94</f>
        <v>0</v>
      </c>
      <c r="CB97" s="61">
        <f>'Filter-new'!R94</f>
        <v>0</v>
      </c>
      <c r="CC97" s="61"/>
      <c r="CD97" s="58"/>
      <c r="CE97" s="61">
        <f>'Filter-new'!R583</f>
        <v>0</v>
      </c>
      <c r="CF97" s="57"/>
      <c r="CG97" s="4"/>
    </row>
    <row r="98" spans="1:85" hidden="1" x14ac:dyDescent="0.2">
      <c r="A98">
        <v>0</v>
      </c>
      <c r="B98" s="59">
        <v>39692</v>
      </c>
      <c r="C98" s="59">
        <f>'Filter-new'!C95</f>
        <v>39692</v>
      </c>
      <c r="D98" s="60">
        <f t="shared" si="10"/>
        <v>2008</v>
      </c>
      <c r="E98" s="60">
        <f>VLOOKUP($C98,calendar!$A$2:$D$121,4,FALSE)*(1-(H98=0))</f>
        <v>336</v>
      </c>
      <c r="F98" s="60">
        <f>VLOOKUP($C98,calendar!$A$2:$D$121,3,FALSE)*(1-(I98=0))</f>
        <v>384</v>
      </c>
      <c r="G98" s="36">
        <f t="shared" si="7"/>
        <v>1411.8600000000006</v>
      </c>
      <c r="H98" s="36">
        <f t="shared" si="8"/>
        <v>-7592.2800000000007</v>
      </c>
      <c r="I98" s="36">
        <f t="shared" si="9"/>
        <v>-47879</v>
      </c>
      <c r="J98" s="41"/>
      <c r="K98" s="45">
        <f>'Filter-old'!E95</f>
        <v>5015.72</v>
      </c>
      <c r="L98" s="61">
        <f>'Filter-new'!E95</f>
        <v>29188.62</v>
      </c>
      <c r="M98" s="62"/>
      <c r="N98" s="62"/>
      <c r="O98" s="429">
        <f>'Filter-new'!E584</f>
        <v>-10179</v>
      </c>
      <c r="P98" s="62"/>
      <c r="Q98" s="45">
        <f>'Filter-old'!H95</f>
        <v>0</v>
      </c>
      <c r="R98" s="61">
        <f>'Filter-new'!H95</f>
        <v>-33600</v>
      </c>
      <c r="S98" s="62"/>
      <c r="T98" s="62"/>
      <c r="U98" s="445">
        <f>'Filter-new'!H584</f>
        <v>-18850</v>
      </c>
      <c r="V98" s="62"/>
      <c r="W98" s="45">
        <f>'Filter-old'!J95</f>
        <v>0</v>
      </c>
      <c r="X98" s="61">
        <f>'Filter-new'!J95</f>
        <v>0</v>
      </c>
      <c r="Y98" s="62"/>
      <c r="Z98" s="62"/>
      <c r="AA98" s="45">
        <f>'Filter-old'!F95</f>
        <v>0</v>
      </c>
      <c r="AB98" s="61">
        <f>'Filter-new'!F95</f>
        <v>0</v>
      </c>
      <c r="AC98" s="62"/>
      <c r="AD98" s="62"/>
      <c r="AE98" s="45">
        <f>'Filter-old'!P95</f>
        <v>0</v>
      </c>
      <c r="AF98" s="61">
        <f>'Filter-new'!P95</f>
        <v>0</v>
      </c>
      <c r="AG98" s="62"/>
      <c r="AH98" s="62"/>
      <c r="AI98" s="45">
        <f>'Filter-old'!L95</f>
        <v>0</v>
      </c>
      <c r="AJ98" s="61">
        <f>'Filter-new'!L95</f>
        <v>0</v>
      </c>
      <c r="AK98" s="62"/>
      <c r="AL98" s="62"/>
      <c r="AM98" s="62">
        <f>'Filter-new'!L584</f>
        <v>0</v>
      </c>
      <c r="AN98" s="62"/>
      <c r="AO98" s="45">
        <f>'Filter-old'!G95</f>
        <v>0</v>
      </c>
      <c r="AP98" s="61">
        <f>'Filter-new'!G95</f>
        <v>0</v>
      </c>
      <c r="AQ98" s="62"/>
      <c r="AR98" s="62"/>
      <c r="AS98" s="45"/>
      <c r="AT98" s="61"/>
      <c r="AU98" s="62"/>
      <c r="AV98" s="62"/>
      <c r="AW98" s="45">
        <f>'Filter-old'!I95</f>
        <v>-8400</v>
      </c>
      <c r="AX98" s="61">
        <f>'Filter-new'!I95</f>
        <v>-8400</v>
      </c>
      <c r="AY98" s="62"/>
      <c r="AZ98" s="62"/>
      <c r="BA98" s="62">
        <f>'Filter-new'!I584</f>
        <v>-18850</v>
      </c>
      <c r="BB98" s="62"/>
      <c r="BC98" s="45">
        <f>'Filter-old'!K95</f>
        <v>0</v>
      </c>
      <c r="BD98" s="61">
        <f>'Filter-new'!K95</f>
        <v>0</v>
      </c>
      <c r="BE98" s="62"/>
      <c r="BF98" s="62"/>
      <c r="BG98" s="45">
        <f>'Filter-old'!M95</f>
        <v>0</v>
      </c>
      <c r="BH98" s="62">
        <f>'Filter-new'!K584</f>
        <v>0</v>
      </c>
      <c r="BI98" s="61"/>
      <c r="BJ98" s="61">
        <f>'Filter-new'!M95</f>
        <v>0</v>
      </c>
      <c r="BK98" s="62"/>
      <c r="BL98" s="62"/>
      <c r="BM98" s="62"/>
      <c r="BN98" s="406">
        <f>'Filter-new'!N95</f>
        <v>0</v>
      </c>
      <c r="BO98" s="62"/>
      <c r="BP98" s="62"/>
      <c r="BQ98" s="45">
        <f>'Filter-old'!O95</f>
        <v>0</v>
      </c>
      <c r="BR98" s="61">
        <f>'Filter-new'!O95</f>
        <v>0</v>
      </c>
      <c r="BS98" s="62"/>
      <c r="BT98" s="62"/>
      <c r="BU98" s="45">
        <f>'Filter-old'!Q95</f>
        <v>4796.1400000000003</v>
      </c>
      <c r="BV98" s="61">
        <f>'Filter-new'!Q95</f>
        <v>5219.1000000000004</v>
      </c>
      <c r="BW98" s="61"/>
      <c r="BX98" s="61"/>
      <c r="BY98" s="61">
        <f>'Filter-new'!Q584</f>
        <v>0</v>
      </c>
      <c r="BZ98" s="61"/>
      <c r="CA98" s="45">
        <f>'Filter-old'!R95</f>
        <v>0</v>
      </c>
      <c r="CB98" s="61">
        <f>'Filter-new'!R95</f>
        <v>0</v>
      </c>
      <c r="CC98" s="61"/>
      <c r="CD98" s="58"/>
      <c r="CE98" s="61">
        <f>'Filter-new'!R584</f>
        <v>0</v>
      </c>
      <c r="CF98" s="57"/>
      <c r="CG98" s="4"/>
    </row>
    <row r="99" spans="1:85" hidden="1" x14ac:dyDescent="0.2">
      <c r="A99">
        <v>0</v>
      </c>
      <c r="B99" s="59">
        <v>39722</v>
      </c>
      <c r="C99" s="59">
        <f>'Filter-new'!C96</f>
        <v>39722</v>
      </c>
      <c r="D99" s="60">
        <f t="shared" si="10"/>
        <v>2008</v>
      </c>
      <c r="E99" s="60">
        <f>VLOOKUP($C99,calendar!$A$2:$D$121,4,FALSE)*(1-(H99=0))</f>
        <v>368</v>
      </c>
      <c r="F99" s="60">
        <f>VLOOKUP($C99,calendar!$A$2:$D$121,3,FALSE)*(1-(I99=0))</f>
        <v>376</v>
      </c>
      <c r="G99" s="36">
        <f t="shared" si="7"/>
        <v>1487.42</v>
      </c>
      <c r="H99" s="36">
        <f t="shared" si="8"/>
        <v>-8520.7200000000012</v>
      </c>
      <c r="I99" s="36">
        <f t="shared" si="9"/>
        <v>-52832</v>
      </c>
      <c r="J99" s="41"/>
      <c r="K99" s="45">
        <f>'Filter-old'!E96</f>
        <v>5463.3</v>
      </c>
      <c r="L99" s="61">
        <f>'Filter-new'!E96</f>
        <v>31794.28</v>
      </c>
      <c r="M99" s="62"/>
      <c r="N99" s="62"/>
      <c r="O99" s="429">
        <f>'Filter-new'!E585</f>
        <v>-11232</v>
      </c>
      <c r="P99" s="62"/>
      <c r="Q99" s="45">
        <f>'Filter-old'!H96</f>
        <v>0</v>
      </c>
      <c r="R99" s="61">
        <f>'Filter-new'!H96</f>
        <v>-36800</v>
      </c>
      <c r="S99" s="62"/>
      <c r="T99" s="62"/>
      <c r="U99" s="445">
        <f>'Filter-new'!H585</f>
        <v>-20800</v>
      </c>
      <c r="V99" s="62"/>
      <c r="W99" s="45">
        <f>'Filter-old'!J96</f>
        <v>0</v>
      </c>
      <c r="X99" s="61">
        <f>'Filter-new'!J96</f>
        <v>0</v>
      </c>
      <c r="Y99" s="62"/>
      <c r="Z99" s="62"/>
      <c r="AA99" s="45">
        <f>'Filter-old'!F96</f>
        <v>0</v>
      </c>
      <c r="AB99" s="61">
        <f>'Filter-new'!F96</f>
        <v>0</v>
      </c>
      <c r="AC99" s="62"/>
      <c r="AD99" s="62"/>
      <c r="AE99" s="45">
        <f>'Filter-old'!P96</f>
        <v>0</v>
      </c>
      <c r="AF99" s="61">
        <f>'Filter-new'!P96</f>
        <v>0</v>
      </c>
      <c r="AG99" s="62"/>
      <c r="AH99" s="62"/>
      <c r="AI99" s="45">
        <f>'Filter-old'!L96</f>
        <v>0</v>
      </c>
      <c r="AJ99" s="61">
        <f>'Filter-new'!L96</f>
        <v>0</v>
      </c>
      <c r="AK99" s="62"/>
      <c r="AL99" s="62"/>
      <c r="AM99" s="62">
        <f>'Filter-new'!L585</f>
        <v>0</v>
      </c>
      <c r="AN99" s="62"/>
      <c r="AO99" s="45">
        <f>'Filter-old'!G96</f>
        <v>0</v>
      </c>
      <c r="AP99" s="61">
        <f>'Filter-new'!G96</f>
        <v>0</v>
      </c>
      <c r="AQ99" s="62"/>
      <c r="AR99" s="62"/>
      <c r="AS99" s="45"/>
      <c r="AT99" s="61"/>
      <c r="AU99" s="62"/>
      <c r="AV99" s="62"/>
      <c r="AW99" s="45">
        <f>'Filter-old'!I96</f>
        <v>-9200</v>
      </c>
      <c r="AX99" s="61">
        <f>'Filter-new'!I96</f>
        <v>-9200</v>
      </c>
      <c r="AY99" s="62"/>
      <c r="AZ99" s="62"/>
      <c r="BA99" s="62">
        <f>'Filter-new'!I585</f>
        <v>-20800</v>
      </c>
      <c r="BB99" s="62"/>
      <c r="BC99" s="45">
        <f>'Filter-old'!K96</f>
        <v>0</v>
      </c>
      <c r="BD99" s="61">
        <f>'Filter-new'!K96</f>
        <v>0</v>
      </c>
      <c r="BE99" s="62"/>
      <c r="BF99" s="62"/>
      <c r="BG99" s="45">
        <f>'Filter-old'!M96</f>
        <v>0</v>
      </c>
      <c r="BH99" s="62">
        <f>'Filter-new'!K585</f>
        <v>0</v>
      </c>
      <c r="BI99" s="61"/>
      <c r="BJ99" s="61">
        <f>'Filter-new'!M96</f>
        <v>0</v>
      </c>
      <c r="BK99" s="62"/>
      <c r="BL99" s="62"/>
      <c r="BM99" s="62"/>
      <c r="BN99" s="406">
        <f>'Filter-new'!N96</f>
        <v>0</v>
      </c>
      <c r="BO99" s="62"/>
      <c r="BP99" s="62"/>
      <c r="BQ99" s="45">
        <f>'Filter-old'!O96</f>
        <v>0</v>
      </c>
      <c r="BR99" s="61">
        <f>'Filter-new'!O96</f>
        <v>0</v>
      </c>
      <c r="BS99" s="62"/>
      <c r="BT99" s="62"/>
      <c r="BU99" s="45">
        <f>'Filter-old'!Q96</f>
        <v>5224.12</v>
      </c>
      <c r="BV99" s="61">
        <f>'Filter-new'!Q96</f>
        <v>5685</v>
      </c>
      <c r="BW99" s="61"/>
      <c r="BX99" s="61"/>
      <c r="BY99" s="61">
        <f>'Filter-new'!Q585</f>
        <v>0</v>
      </c>
      <c r="BZ99" s="61"/>
      <c r="CA99" s="45">
        <f>'Filter-old'!R96</f>
        <v>0</v>
      </c>
      <c r="CB99" s="61">
        <f>'Filter-new'!R96</f>
        <v>0</v>
      </c>
      <c r="CC99" s="61"/>
      <c r="CD99" s="58"/>
      <c r="CE99" s="61">
        <f>'Filter-new'!R585</f>
        <v>0</v>
      </c>
      <c r="CF99" s="57"/>
      <c r="CG99" s="4"/>
    </row>
    <row r="100" spans="1:85" hidden="1" x14ac:dyDescent="0.2">
      <c r="A100">
        <v>0</v>
      </c>
      <c r="B100" s="59">
        <v>39753</v>
      </c>
      <c r="C100" s="59">
        <f>'Filter-new'!C97</f>
        <v>39753</v>
      </c>
      <c r="D100" s="60">
        <f t="shared" si="10"/>
        <v>2008</v>
      </c>
      <c r="E100" s="60">
        <f>VLOOKUP($C100,calendar!$A$2:$D$121,4,FALSE)*(1-(H100=0))</f>
        <v>304</v>
      </c>
      <c r="F100" s="60">
        <f>VLOOKUP($C100,calendar!$A$2:$D$121,3,FALSE)*(1-(I100=0))</f>
        <v>416</v>
      </c>
      <c r="G100" s="36">
        <f t="shared" si="7"/>
        <v>1181.5900000000001</v>
      </c>
      <c r="H100" s="36">
        <f t="shared" si="8"/>
        <v>-7196.1899999999987</v>
      </c>
      <c r="I100" s="36">
        <f t="shared" si="9"/>
        <v>-49784</v>
      </c>
      <c r="J100" s="41"/>
      <c r="K100" s="45">
        <f>'Filter-old'!E97</f>
        <v>4489.17</v>
      </c>
      <c r="L100" s="61">
        <f>'Filter-new'!E97</f>
        <v>26131.47</v>
      </c>
      <c r="M100" s="62"/>
      <c r="N100" s="62"/>
      <c r="O100" s="429">
        <f>'Filter-new'!E586</f>
        <v>-10584</v>
      </c>
      <c r="P100" s="62"/>
      <c r="Q100" s="45">
        <f>'Filter-old'!H97</f>
        <v>0</v>
      </c>
      <c r="R100" s="61">
        <f>'Filter-new'!H97</f>
        <v>-30400</v>
      </c>
      <c r="S100" s="62"/>
      <c r="T100" s="62"/>
      <c r="U100" s="445">
        <f>'Filter-new'!H586</f>
        <v>-19600</v>
      </c>
      <c r="V100" s="62"/>
      <c r="W100" s="45">
        <f>'Filter-old'!J97</f>
        <v>0</v>
      </c>
      <c r="X100" s="61">
        <f>'Filter-new'!J97</f>
        <v>0</v>
      </c>
      <c r="Y100" s="62"/>
      <c r="Z100" s="62"/>
      <c r="AA100" s="45">
        <f>'Filter-old'!F97</f>
        <v>0</v>
      </c>
      <c r="AB100" s="61">
        <f>'Filter-new'!F97</f>
        <v>0</v>
      </c>
      <c r="AC100" s="62"/>
      <c r="AD100" s="62"/>
      <c r="AE100" s="45">
        <f>'Filter-old'!P97</f>
        <v>0</v>
      </c>
      <c r="AF100" s="61">
        <f>'Filter-new'!P97</f>
        <v>0</v>
      </c>
      <c r="AG100" s="62"/>
      <c r="AH100" s="62"/>
      <c r="AI100" s="45">
        <f>'Filter-old'!L97</f>
        <v>0</v>
      </c>
      <c r="AJ100" s="61">
        <f>'Filter-new'!L97</f>
        <v>0</v>
      </c>
      <c r="AK100" s="62"/>
      <c r="AL100" s="62"/>
      <c r="AM100" s="62">
        <f>'Filter-new'!L586</f>
        <v>0</v>
      </c>
      <c r="AN100" s="62"/>
      <c r="AO100" s="45">
        <f>'Filter-old'!G97</f>
        <v>0</v>
      </c>
      <c r="AP100" s="61">
        <f>'Filter-new'!G97</f>
        <v>0</v>
      </c>
      <c r="AQ100" s="62"/>
      <c r="AR100" s="62"/>
      <c r="AS100" s="45"/>
      <c r="AT100" s="61"/>
      <c r="AU100" s="62"/>
      <c r="AV100" s="62"/>
      <c r="AW100" s="45">
        <f>'Filter-old'!I97</f>
        <v>-7600</v>
      </c>
      <c r="AX100" s="61">
        <f>'Filter-new'!I97</f>
        <v>-7600</v>
      </c>
      <c r="AY100" s="62"/>
      <c r="AZ100" s="62"/>
      <c r="BA100" s="62">
        <f>'Filter-new'!I586</f>
        <v>-19600</v>
      </c>
      <c r="BB100" s="62"/>
      <c r="BC100" s="45">
        <f>'Filter-old'!K97</f>
        <v>0</v>
      </c>
      <c r="BD100" s="61">
        <f>'Filter-new'!K97</f>
        <v>0</v>
      </c>
      <c r="BE100" s="62"/>
      <c r="BF100" s="62"/>
      <c r="BG100" s="45">
        <f>'Filter-old'!M97</f>
        <v>0</v>
      </c>
      <c r="BH100" s="62">
        <f>'Filter-new'!K586</f>
        <v>0</v>
      </c>
      <c r="BI100" s="61"/>
      <c r="BJ100" s="61">
        <f>'Filter-new'!M97</f>
        <v>0</v>
      </c>
      <c r="BK100" s="62"/>
      <c r="BL100" s="62"/>
      <c r="BM100" s="62"/>
      <c r="BN100" s="406">
        <f>'Filter-new'!N97</f>
        <v>0</v>
      </c>
      <c r="BO100" s="62"/>
      <c r="BP100" s="62"/>
      <c r="BQ100" s="45">
        <f>'Filter-old'!O97</f>
        <v>0</v>
      </c>
      <c r="BR100" s="61">
        <f>'Filter-new'!O97</f>
        <v>0</v>
      </c>
      <c r="BS100" s="62"/>
      <c r="BT100" s="62"/>
      <c r="BU100" s="45">
        <f>'Filter-old'!Q97</f>
        <v>4292.42</v>
      </c>
      <c r="BV100" s="61">
        <f>'Filter-new'!Q97</f>
        <v>4672.34</v>
      </c>
      <c r="BW100" s="61"/>
      <c r="BX100" s="61"/>
      <c r="BY100" s="61">
        <f>'Filter-new'!Q586</f>
        <v>0</v>
      </c>
      <c r="BZ100" s="61"/>
      <c r="CA100" s="45">
        <f>'Filter-old'!R97</f>
        <v>0</v>
      </c>
      <c r="CB100" s="61">
        <f>'Filter-new'!R97</f>
        <v>0</v>
      </c>
      <c r="CC100" s="61"/>
      <c r="CD100" s="58"/>
      <c r="CE100" s="61">
        <f>'Filter-new'!R586</f>
        <v>0</v>
      </c>
      <c r="CF100" s="57"/>
      <c r="CG100" s="4"/>
    </row>
    <row r="101" spans="1:85" hidden="1" x14ac:dyDescent="0.2">
      <c r="A101">
        <v>0</v>
      </c>
      <c r="B101" s="59">
        <v>39783</v>
      </c>
      <c r="C101" s="59">
        <f>'Filter-new'!C98</f>
        <v>39783</v>
      </c>
      <c r="D101" s="60">
        <f t="shared" si="10"/>
        <v>2008</v>
      </c>
      <c r="E101" s="60">
        <f>VLOOKUP($C101,calendar!$A$2:$D$121,4,FALSE)*(1-(H101=0))</f>
        <v>352</v>
      </c>
      <c r="F101" s="60">
        <f>VLOOKUP($C101,calendar!$A$2:$D$121,3,FALSE)*(1-(I101=0))</f>
        <v>392</v>
      </c>
      <c r="G101" s="36">
        <f t="shared" si="7"/>
        <v>1312.54</v>
      </c>
      <c r="H101" s="36">
        <f t="shared" si="8"/>
        <v>-8512.86</v>
      </c>
      <c r="I101" s="36">
        <f t="shared" si="9"/>
        <v>-20400</v>
      </c>
      <c r="J101" s="41"/>
      <c r="K101" s="45">
        <f>'Filter-old'!E98</f>
        <v>5169.37</v>
      </c>
      <c r="L101" s="61">
        <f>'Filter-new'!E98</f>
        <v>30104.14</v>
      </c>
      <c r="M101" s="62"/>
      <c r="N101" s="62"/>
      <c r="O101" s="429">
        <f>'Filter-new'!E587</f>
        <v>0</v>
      </c>
      <c r="P101" s="62"/>
      <c r="Q101" s="45">
        <f>'Filter-old'!H98</f>
        <v>0</v>
      </c>
      <c r="R101" s="61">
        <f>'Filter-new'!H98</f>
        <v>-35200</v>
      </c>
      <c r="S101" s="62"/>
      <c r="T101" s="62"/>
      <c r="U101" s="445">
        <f>'Filter-new'!H587</f>
        <v>-20400</v>
      </c>
      <c r="V101" s="62"/>
      <c r="W101" s="45">
        <f>'Filter-old'!J98</f>
        <v>0</v>
      </c>
      <c r="X101" s="61">
        <f>'Filter-new'!J98</f>
        <v>0</v>
      </c>
      <c r="Y101" s="62"/>
      <c r="Z101" s="62"/>
      <c r="AA101" s="45">
        <f>'Filter-old'!F98</f>
        <v>0</v>
      </c>
      <c r="AB101" s="61">
        <f>'Filter-new'!F98</f>
        <v>0</v>
      </c>
      <c r="AC101" s="62"/>
      <c r="AD101" s="62"/>
      <c r="AE101" s="45">
        <f>'Filter-old'!P98</f>
        <v>0</v>
      </c>
      <c r="AF101" s="61">
        <f>'Filter-new'!P98</f>
        <v>0</v>
      </c>
      <c r="AG101" s="62"/>
      <c r="AH101" s="62"/>
      <c r="AI101" s="45">
        <f>'Filter-old'!L98</f>
        <v>0</v>
      </c>
      <c r="AJ101" s="61">
        <f>'Filter-new'!L98</f>
        <v>0</v>
      </c>
      <c r="AK101" s="62"/>
      <c r="AL101" s="62"/>
      <c r="AM101" s="62">
        <f>'Filter-new'!L587</f>
        <v>0</v>
      </c>
      <c r="AN101" s="62"/>
      <c r="AO101" s="45">
        <f>'Filter-old'!G98</f>
        <v>0</v>
      </c>
      <c r="AP101" s="61">
        <f>'Filter-new'!G98</f>
        <v>0</v>
      </c>
      <c r="AQ101" s="62"/>
      <c r="AR101" s="62"/>
      <c r="AS101" s="45"/>
      <c r="AT101" s="61"/>
      <c r="AU101" s="62"/>
      <c r="AV101" s="62"/>
      <c r="AW101" s="45">
        <f>'Filter-old'!I98</f>
        <v>-8800</v>
      </c>
      <c r="AX101" s="61">
        <f>'Filter-new'!I98</f>
        <v>-8800</v>
      </c>
      <c r="AY101" s="62"/>
      <c r="AZ101" s="62"/>
      <c r="BA101" s="62">
        <f>'Filter-new'!I587</f>
        <v>0</v>
      </c>
      <c r="BB101" s="62"/>
      <c r="BC101" s="45">
        <f>'Filter-old'!K98</f>
        <v>0</v>
      </c>
      <c r="BD101" s="61">
        <f>'Filter-new'!K98</f>
        <v>0</v>
      </c>
      <c r="BE101" s="62"/>
      <c r="BF101" s="62"/>
      <c r="BG101" s="45">
        <f>'Filter-old'!M98</f>
        <v>0</v>
      </c>
      <c r="BH101" s="62">
        <f>'Filter-new'!K587</f>
        <v>0</v>
      </c>
      <c r="BI101" s="61"/>
      <c r="BJ101" s="61">
        <f>'Filter-new'!M98</f>
        <v>0</v>
      </c>
      <c r="BK101" s="62"/>
      <c r="BL101" s="62"/>
      <c r="BM101" s="62"/>
      <c r="BN101" s="406">
        <f>'Filter-new'!N98</f>
        <v>0</v>
      </c>
      <c r="BO101" s="62"/>
      <c r="BP101" s="62"/>
      <c r="BQ101" s="45">
        <f>'Filter-old'!O98</f>
        <v>0</v>
      </c>
      <c r="BR101" s="61">
        <f>'Filter-new'!O98</f>
        <v>0</v>
      </c>
      <c r="BS101" s="62"/>
      <c r="BT101" s="62"/>
      <c r="BU101" s="45">
        <f>'Filter-old'!Q98</f>
        <v>4943.17</v>
      </c>
      <c r="BV101" s="61">
        <f>'Filter-new'!Q98</f>
        <v>5383</v>
      </c>
      <c r="BW101" s="61"/>
      <c r="BX101" s="61"/>
      <c r="BY101" s="61">
        <f>'Filter-new'!Q587</f>
        <v>0</v>
      </c>
      <c r="BZ101" s="61"/>
      <c r="CA101" s="45">
        <f>'Filter-old'!R98</f>
        <v>0</v>
      </c>
      <c r="CB101" s="61">
        <f>'Filter-new'!R98</f>
        <v>0</v>
      </c>
      <c r="CC101" s="61"/>
      <c r="CD101" s="58"/>
      <c r="CE101" s="61">
        <f>'Filter-new'!R587</f>
        <v>0</v>
      </c>
      <c r="CF101" s="57"/>
      <c r="CG101" s="4"/>
    </row>
    <row r="102" spans="1:85" hidden="1" x14ac:dyDescent="0.2">
      <c r="A102">
        <v>0</v>
      </c>
      <c r="B102" s="59">
        <v>39814</v>
      </c>
      <c r="C102" s="59">
        <f>'Filter-new'!C99</f>
        <v>39814</v>
      </c>
      <c r="D102" s="60">
        <f t="shared" si="10"/>
        <v>2009</v>
      </c>
      <c r="E102" s="60">
        <f>VLOOKUP($C102,calendar!$A$2:$D$121,4,FALSE)*(1-(H102=0))</f>
        <v>336</v>
      </c>
      <c r="F102" s="60">
        <f>VLOOKUP($C102,calendar!$A$2:$D$121,3,FALSE)*(1-(I102=0))</f>
        <v>408</v>
      </c>
      <c r="G102" s="36">
        <f t="shared" ref="G102:G125" si="11">SUM(K102,AA102,AO102,Q102,AW102,W102,BC102,AI102,BG102,BQ102,AE102,BU102,CA102)</f>
        <v>-17227.78</v>
      </c>
      <c r="H102" s="36">
        <f t="shared" ref="H102:H125" si="12">SUM(L102,AB102,AP102,R102,AX102,X102,BD102,AJ102,BJ102,BR102,AF102,BV102,CB102,BN102)</f>
        <v>-62488.29</v>
      </c>
      <c r="I102" s="36">
        <f t="shared" ref="I102:I125" si="13">SUM(O102,U102,AM102,BA102,BY102,CE102)</f>
        <v>-17600</v>
      </c>
      <c r="J102" s="41"/>
      <c r="K102" s="45">
        <f>'Filter-old'!E99</f>
        <v>0</v>
      </c>
      <c r="L102" s="61">
        <f>'Filter-new'!E99</f>
        <v>-11622.29</v>
      </c>
      <c r="M102" s="62"/>
      <c r="N102" s="62"/>
      <c r="O102" s="429">
        <f>'Filter-new'!E588</f>
        <v>0</v>
      </c>
      <c r="P102" s="62"/>
      <c r="Q102" s="45">
        <f>'Filter-old'!H99</f>
        <v>-16800</v>
      </c>
      <c r="R102" s="61">
        <f>'Filter-new'!H99</f>
        <v>-50400</v>
      </c>
      <c r="S102" s="62"/>
      <c r="T102" s="62"/>
      <c r="U102" s="445">
        <f>'Filter-new'!H588</f>
        <v>-17600</v>
      </c>
      <c r="V102" s="62"/>
      <c r="W102" s="45">
        <f>'Filter-old'!J99</f>
        <v>0</v>
      </c>
      <c r="X102" s="61">
        <f>'Filter-new'!J99</f>
        <v>0</v>
      </c>
      <c r="Y102" s="62"/>
      <c r="Z102" s="62"/>
      <c r="AA102" s="45">
        <f>'Filter-old'!F99</f>
        <v>0</v>
      </c>
      <c r="AB102" s="61">
        <f>'Filter-new'!F99</f>
        <v>0</v>
      </c>
      <c r="AC102" s="62"/>
      <c r="AD102" s="62"/>
      <c r="AE102" s="45">
        <f>'Filter-old'!P99</f>
        <v>0</v>
      </c>
      <c r="AF102" s="61">
        <f>'Filter-new'!P99</f>
        <v>0</v>
      </c>
      <c r="AG102" s="62"/>
      <c r="AH102" s="62"/>
      <c r="AI102" s="45">
        <f>'Filter-old'!L99</f>
        <v>0</v>
      </c>
      <c r="AJ102" s="61">
        <f>'Filter-new'!L99</f>
        <v>0</v>
      </c>
      <c r="AK102" s="62"/>
      <c r="AL102" s="62"/>
      <c r="AM102" s="62">
        <f>'Filter-new'!L588</f>
        <v>0</v>
      </c>
      <c r="AN102" s="62"/>
      <c r="AO102" s="45">
        <f>'Filter-old'!G99</f>
        <v>0</v>
      </c>
      <c r="AP102" s="61">
        <f>'Filter-new'!G99</f>
        <v>0</v>
      </c>
      <c r="AQ102" s="62"/>
      <c r="AR102" s="62"/>
      <c r="AS102" s="45"/>
      <c r="AT102" s="61"/>
      <c r="AU102" s="62"/>
      <c r="AV102" s="62"/>
      <c r="AW102" s="45">
        <f>'Filter-old'!I99</f>
        <v>0</v>
      </c>
      <c r="AX102" s="61">
        <f>'Filter-new'!I99</f>
        <v>0</v>
      </c>
      <c r="AY102" s="62"/>
      <c r="AZ102" s="62"/>
      <c r="BA102" s="62">
        <f>'Filter-new'!I588</f>
        <v>0</v>
      </c>
      <c r="BB102" s="62"/>
      <c r="BC102" s="45">
        <f>'Filter-old'!K99</f>
        <v>0</v>
      </c>
      <c r="BD102" s="61">
        <f>'Filter-new'!K99</f>
        <v>0</v>
      </c>
      <c r="BE102" s="62"/>
      <c r="BF102" s="62"/>
      <c r="BG102" s="45">
        <f>'Filter-old'!M99</f>
        <v>0</v>
      </c>
      <c r="BH102" s="62">
        <f>'Filter-new'!K588</f>
        <v>0</v>
      </c>
      <c r="BI102" s="61"/>
      <c r="BJ102" s="61">
        <f>'Filter-new'!M99</f>
        <v>0</v>
      </c>
      <c r="BK102" s="62"/>
      <c r="BL102" s="62"/>
      <c r="BM102" s="62"/>
      <c r="BN102" s="406">
        <f>'Filter-new'!N99</f>
        <v>0</v>
      </c>
      <c r="BO102" s="62"/>
      <c r="BP102" s="62"/>
      <c r="BQ102" s="45">
        <f>'Filter-old'!O99</f>
        <v>0</v>
      </c>
      <c r="BR102" s="61">
        <f>'Filter-new'!O99</f>
        <v>0</v>
      </c>
      <c r="BS102" s="62"/>
      <c r="BT102" s="62"/>
      <c r="BU102" s="45">
        <f>'Filter-old'!Q99</f>
        <v>-427.78</v>
      </c>
      <c r="BV102" s="61">
        <f>'Filter-new'!Q99</f>
        <v>-466</v>
      </c>
      <c r="BW102" s="61"/>
      <c r="BX102" s="61"/>
      <c r="BY102" s="61">
        <f>'Filter-new'!Q588</f>
        <v>0</v>
      </c>
      <c r="BZ102" s="61"/>
      <c r="CA102" s="45">
        <f>'Filter-old'!R99</f>
        <v>0</v>
      </c>
      <c r="CB102" s="61">
        <f>'Filter-new'!R99</f>
        <v>0</v>
      </c>
      <c r="CC102" s="61"/>
      <c r="CD102" s="58"/>
      <c r="CE102" s="61">
        <f>'Filter-new'!R588</f>
        <v>0</v>
      </c>
      <c r="CF102" s="57"/>
      <c r="CG102" s="4"/>
    </row>
    <row r="103" spans="1:85" hidden="1" x14ac:dyDescent="0.2">
      <c r="A103">
        <v>0</v>
      </c>
      <c r="B103" s="59">
        <v>39845</v>
      </c>
      <c r="C103" s="59">
        <f>'Filter-new'!C100</f>
        <v>39845</v>
      </c>
      <c r="D103" s="60">
        <f t="shared" si="10"/>
        <v>2009</v>
      </c>
      <c r="E103" s="60">
        <f>VLOOKUP($C103,calendar!$A$2:$D$121,4,FALSE)*(1-(H103=0))</f>
        <v>320</v>
      </c>
      <c r="F103" s="60">
        <f>VLOOKUP($C103,calendar!$A$2:$D$121,3,FALSE)*(1-(I103=0))</f>
        <v>352</v>
      </c>
      <c r="G103" s="36">
        <f t="shared" si="11"/>
        <v>-16405.38</v>
      </c>
      <c r="H103" s="36">
        <f t="shared" si="12"/>
        <v>-59459.979999999996</v>
      </c>
      <c r="I103" s="36">
        <f t="shared" si="13"/>
        <v>-19600</v>
      </c>
      <c r="J103" s="41"/>
      <c r="K103" s="45">
        <f>'Filter-old'!E100</f>
        <v>0</v>
      </c>
      <c r="L103" s="61">
        <f>'Filter-new'!E100</f>
        <v>-11018.24</v>
      </c>
      <c r="M103" s="62"/>
      <c r="N103" s="62"/>
      <c r="O103" s="429">
        <f>'Filter-new'!E589</f>
        <v>0</v>
      </c>
      <c r="P103" s="62"/>
      <c r="Q103" s="45">
        <f>'Filter-old'!H100</f>
        <v>-16000</v>
      </c>
      <c r="R103" s="61">
        <f>'Filter-new'!H100</f>
        <v>-48000</v>
      </c>
      <c r="S103" s="62"/>
      <c r="T103" s="62"/>
      <c r="U103" s="445">
        <f>'Filter-new'!H589</f>
        <v>-19600</v>
      </c>
      <c r="V103" s="62"/>
      <c r="W103" s="45">
        <f>'Filter-old'!J100</f>
        <v>0</v>
      </c>
      <c r="X103" s="61">
        <f>'Filter-new'!J100</f>
        <v>0</v>
      </c>
      <c r="Y103" s="62"/>
      <c r="Z103" s="62"/>
      <c r="AA103" s="45">
        <f>'Filter-old'!F100</f>
        <v>0</v>
      </c>
      <c r="AB103" s="61">
        <f>'Filter-new'!F100</f>
        <v>0</v>
      </c>
      <c r="AC103" s="62"/>
      <c r="AD103" s="62"/>
      <c r="AE103" s="45">
        <f>'Filter-old'!P100</f>
        <v>0</v>
      </c>
      <c r="AF103" s="61">
        <f>'Filter-new'!P100</f>
        <v>0</v>
      </c>
      <c r="AG103" s="62"/>
      <c r="AH103" s="62"/>
      <c r="AI103" s="45">
        <f>'Filter-old'!L100</f>
        <v>0</v>
      </c>
      <c r="AJ103" s="61">
        <f>'Filter-new'!L100</f>
        <v>0</v>
      </c>
      <c r="AK103" s="62"/>
      <c r="AL103" s="62"/>
      <c r="AM103" s="62">
        <f>'Filter-new'!L589</f>
        <v>0</v>
      </c>
      <c r="AN103" s="62"/>
      <c r="AO103" s="45">
        <f>'Filter-old'!G100</f>
        <v>0</v>
      </c>
      <c r="AP103" s="61">
        <f>'Filter-new'!G100</f>
        <v>0</v>
      </c>
      <c r="AQ103" s="62"/>
      <c r="AR103" s="62"/>
      <c r="AS103" s="45"/>
      <c r="AT103" s="61"/>
      <c r="AU103" s="62"/>
      <c r="AV103" s="62"/>
      <c r="AW103" s="45">
        <f>'Filter-old'!I100</f>
        <v>0</v>
      </c>
      <c r="AX103" s="61">
        <f>'Filter-new'!I100</f>
        <v>0</v>
      </c>
      <c r="AY103" s="62"/>
      <c r="AZ103" s="62"/>
      <c r="BA103" s="62">
        <f>'Filter-new'!I589</f>
        <v>0</v>
      </c>
      <c r="BB103" s="62"/>
      <c r="BC103" s="45">
        <f>'Filter-old'!K100</f>
        <v>0</v>
      </c>
      <c r="BD103" s="61">
        <f>'Filter-new'!K100</f>
        <v>0</v>
      </c>
      <c r="BE103" s="62"/>
      <c r="BF103" s="62"/>
      <c r="BG103" s="45">
        <f>'Filter-old'!M100</f>
        <v>0</v>
      </c>
      <c r="BH103" s="62">
        <f>'Filter-new'!K589</f>
        <v>0</v>
      </c>
      <c r="BI103" s="61"/>
      <c r="BJ103" s="61">
        <f>'Filter-new'!M100</f>
        <v>0</v>
      </c>
      <c r="BK103" s="62"/>
      <c r="BL103" s="62"/>
      <c r="BM103" s="62"/>
      <c r="BN103" s="406">
        <f>'Filter-new'!N100</f>
        <v>0</v>
      </c>
      <c r="BO103" s="62"/>
      <c r="BP103" s="62"/>
      <c r="BQ103" s="45">
        <f>'Filter-old'!O100</f>
        <v>0</v>
      </c>
      <c r="BR103" s="61">
        <f>'Filter-new'!O100</f>
        <v>0</v>
      </c>
      <c r="BS103" s="62"/>
      <c r="BT103" s="62"/>
      <c r="BU103" s="45">
        <f>'Filter-old'!Q100</f>
        <v>-405.38</v>
      </c>
      <c r="BV103" s="61">
        <f>'Filter-new'!Q100</f>
        <v>-441.74</v>
      </c>
      <c r="BW103" s="61"/>
      <c r="BX103" s="61"/>
      <c r="BY103" s="61">
        <f>'Filter-new'!Q589</f>
        <v>0</v>
      </c>
      <c r="BZ103" s="61"/>
      <c r="CA103" s="45">
        <f>'Filter-old'!R100</f>
        <v>0</v>
      </c>
      <c r="CB103" s="61">
        <f>'Filter-new'!R100</f>
        <v>0</v>
      </c>
      <c r="CC103" s="61"/>
      <c r="CD103" s="58"/>
      <c r="CE103" s="61">
        <f>'Filter-new'!R589</f>
        <v>0</v>
      </c>
      <c r="CF103" s="57"/>
      <c r="CG103" s="4"/>
    </row>
    <row r="104" spans="1:85" hidden="1" x14ac:dyDescent="0.2">
      <c r="A104">
        <v>0</v>
      </c>
      <c r="B104" s="59">
        <v>39873</v>
      </c>
      <c r="C104" s="59">
        <f>'Filter-new'!C101</f>
        <v>39873</v>
      </c>
      <c r="D104" s="60">
        <f t="shared" si="10"/>
        <v>2009</v>
      </c>
      <c r="E104" s="60">
        <f>VLOOKUP($C104,calendar!$A$2:$D$121,4,FALSE)*(1-(H104=0))</f>
        <v>352</v>
      </c>
      <c r="F104" s="60">
        <f>VLOOKUP($C104,calendar!$A$2:$D$121,3,FALSE)*(1-(I104=0))</f>
        <v>392</v>
      </c>
      <c r="G104" s="36">
        <f t="shared" si="11"/>
        <v>-18043.37</v>
      </c>
      <c r="H104" s="36">
        <f t="shared" si="12"/>
        <v>-65341.91</v>
      </c>
      <c r="I104" s="36">
        <f t="shared" si="13"/>
        <v>-18350</v>
      </c>
      <c r="J104" s="41"/>
      <c r="K104" s="45">
        <f>'Filter-old'!E101</f>
        <v>0</v>
      </c>
      <c r="L104" s="61">
        <f>'Filter-new'!E101</f>
        <v>-12058.54</v>
      </c>
      <c r="M104" s="62"/>
      <c r="N104" s="62"/>
      <c r="O104" s="429">
        <f>'Filter-new'!E590</f>
        <v>0</v>
      </c>
      <c r="P104" s="62"/>
      <c r="Q104" s="45">
        <f>'Filter-old'!H101</f>
        <v>-17600</v>
      </c>
      <c r="R104" s="61">
        <f>'Filter-new'!H101</f>
        <v>-52800</v>
      </c>
      <c r="S104" s="62"/>
      <c r="T104" s="62"/>
      <c r="U104" s="445">
        <f>'Filter-new'!H590</f>
        <v>-18350</v>
      </c>
      <c r="V104" s="62"/>
      <c r="W104" s="45">
        <f>'Filter-old'!J101</f>
        <v>0</v>
      </c>
      <c r="X104" s="61">
        <f>'Filter-new'!J101</f>
        <v>0</v>
      </c>
      <c r="Y104" s="62"/>
      <c r="Z104" s="62"/>
      <c r="AA104" s="45">
        <f>'Filter-old'!F101</f>
        <v>0</v>
      </c>
      <c r="AB104" s="61">
        <f>'Filter-new'!F101</f>
        <v>0</v>
      </c>
      <c r="AC104" s="62"/>
      <c r="AD104" s="62"/>
      <c r="AE104" s="45">
        <f>'Filter-old'!P101</f>
        <v>0</v>
      </c>
      <c r="AF104" s="61">
        <f>'Filter-new'!P101</f>
        <v>0</v>
      </c>
      <c r="AG104" s="62"/>
      <c r="AH104" s="62"/>
      <c r="AI104" s="45">
        <f>'Filter-old'!L101</f>
        <v>0</v>
      </c>
      <c r="AJ104" s="61">
        <f>'Filter-new'!L101</f>
        <v>0</v>
      </c>
      <c r="AK104" s="62"/>
      <c r="AL104" s="62"/>
      <c r="AM104" s="62">
        <f>'Filter-new'!L590</f>
        <v>0</v>
      </c>
      <c r="AN104" s="62"/>
      <c r="AO104" s="45">
        <f>'Filter-old'!G101</f>
        <v>0</v>
      </c>
      <c r="AP104" s="61">
        <f>'Filter-new'!G101</f>
        <v>0</v>
      </c>
      <c r="AQ104" s="62"/>
      <c r="AR104" s="62"/>
      <c r="AS104" s="45"/>
      <c r="AT104" s="61"/>
      <c r="AU104" s="62"/>
      <c r="AV104" s="62"/>
      <c r="AW104" s="45">
        <f>'Filter-old'!I101</f>
        <v>0</v>
      </c>
      <c r="AX104" s="61">
        <f>'Filter-new'!I101</f>
        <v>0</v>
      </c>
      <c r="AY104" s="62"/>
      <c r="AZ104" s="62"/>
      <c r="BA104" s="62">
        <f>'Filter-new'!I590</f>
        <v>0</v>
      </c>
      <c r="BB104" s="62"/>
      <c r="BC104" s="45">
        <f>'Filter-old'!K101</f>
        <v>0</v>
      </c>
      <c r="BD104" s="61">
        <f>'Filter-new'!K101</f>
        <v>0</v>
      </c>
      <c r="BE104" s="62"/>
      <c r="BF104" s="62"/>
      <c r="BG104" s="45">
        <f>'Filter-old'!M101</f>
        <v>0</v>
      </c>
      <c r="BH104" s="62">
        <f>'Filter-new'!K590</f>
        <v>0</v>
      </c>
      <c r="BI104" s="61"/>
      <c r="BJ104" s="61">
        <f>'Filter-new'!M101</f>
        <v>0</v>
      </c>
      <c r="BK104" s="62"/>
      <c r="BL104" s="62"/>
      <c r="BM104" s="62"/>
      <c r="BN104" s="406">
        <f>'Filter-new'!N101</f>
        <v>0</v>
      </c>
      <c r="BO104" s="62"/>
      <c r="BP104" s="62"/>
      <c r="BQ104" s="45">
        <f>'Filter-old'!O101</f>
        <v>0</v>
      </c>
      <c r="BR104" s="61">
        <f>'Filter-new'!O101</f>
        <v>0</v>
      </c>
      <c r="BS104" s="62"/>
      <c r="BT104" s="62"/>
      <c r="BU104" s="45">
        <f>'Filter-old'!Q101</f>
        <v>-443.37</v>
      </c>
      <c r="BV104" s="61">
        <f>'Filter-new'!Q101</f>
        <v>-483.37</v>
      </c>
      <c r="BW104" s="61"/>
      <c r="BX104" s="61"/>
      <c r="BY104" s="61">
        <f>'Filter-new'!Q590</f>
        <v>0</v>
      </c>
      <c r="BZ104" s="61"/>
      <c r="CA104" s="45">
        <f>'Filter-old'!R101</f>
        <v>0</v>
      </c>
      <c r="CB104" s="61">
        <f>'Filter-new'!R101</f>
        <v>0</v>
      </c>
      <c r="CC104" s="61"/>
      <c r="CD104" s="58"/>
      <c r="CE104" s="61">
        <f>'Filter-new'!R590</f>
        <v>0</v>
      </c>
      <c r="CF104" s="57"/>
      <c r="CG104" s="4"/>
    </row>
    <row r="105" spans="1:85" hidden="1" x14ac:dyDescent="0.2">
      <c r="A105">
        <v>0</v>
      </c>
      <c r="B105" s="59">
        <v>39904</v>
      </c>
      <c r="C105" s="59">
        <f>'Filter-new'!C102</f>
        <v>39904</v>
      </c>
      <c r="D105" s="60">
        <f t="shared" si="10"/>
        <v>2009</v>
      </c>
      <c r="E105" s="60">
        <f>VLOOKUP($C105,calendar!$A$2:$D$121,4,FALSE)*(1-(H105=0))</f>
        <v>352</v>
      </c>
      <c r="F105" s="60">
        <f>VLOOKUP($C105,calendar!$A$2:$D$121,3,FALSE)*(1-(I105=0))</f>
        <v>368</v>
      </c>
      <c r="G105" s="36">
        <f t="shared" si="11"/>
        <v>-18261.48</v>
      </c>
      <c r="H105" s="36">
        <f t="shared" si="12"/>
        <v>-65520.59</v>
      </c>
      <c r="I105" s="36">
        <f t="shared" si="13"/>
        <v>-21200</v>
      </c>
      <c r="J105" s="41"/>
      <c r="K105" s="45">
        <f>'Filter-old'!E102</f>
        <v>0</v>
      </c>
      <c r="L105" s="61">
        <f>'Filter-new'!E102</f>
        <v>-11999.1</v>
      </c>
      <c r="M105" s="62"/>
      <c r="N105" s="62"/>
      <c r="O105" s="429">
        <f>'Filter-new'!E591</f>
        <v>0</v>
      </c>
      <c r="P105" s="62"/>
      <c r="Q105" s="45">
        <f>'Filter-old'!H102</f>
        <v>-17600</v>
      </c>
      <c r="R105" s="61">
        <f>'Filter-new'!H102</f>
        <v>-52800</v>
      </c>
      <c r="S105" s="62"/>
      <c r="T105" s="62"/>
      <c r="U105" s="445">
        <f>'Filter-new'!H591</f>
        <v>-21200</v>
      </c>
      <c r="V105" s="62"/>
      <c r="W105" s="45">
        <f>'Filter-old'!J102</f>
        <v>0</v>
      </c>
      <c r="X105" s="61">
        <f>'Filter-new'!J102</f>
        <v>0</v>
      </c>
      <c r="Y105" s="62"/>
      <c r="Z105" s="62"/>
      <c r="AA105" s="45">
        <f>'Filter-old'!F102</f>
        <v>0</v>
      </c>
      <c r="AB105" s="61">
        <f>'Filter-new'!F102</f>
        <v>0</v>
      </c>
      <c r="AC105" s="62"/>
      <c r="AD105" s="62"/>
      <c r="AE105" s="45">
        <f>'Filter-old'!P102</f>
        <v>0</v>
      </c>
      <c r="AF105" s="61">
        <f>'Filter-new'!P102</f>
        <v>0</v>
      </c>
      <c r="AG105" s="62"/>
      <c r="AH105" s="62"/>
      <c r="AI105" s="45">
        <f>'Filter-old'!L102</f>
        <v>0</v>
      </c>
      <c r="AJ105" s="61">
        <f>'Filter-new'!L102</f>
        <v>0</v>
      </c>
      <c r="AK105" s="62"/>
      <c r="AL105" s="62"/>
      <c r="AM105" s="62">
        <f>'Filter-new'!L591</f>
        <v>0</v>
      </c>
      <c r="AN105" s="62"/>
      <c r="AO105" s="45">
        <f>'Filter-old'!G102</f>
        <v>0</v>
      </c>
      <c r="AP105" s="61">
        <f>'Filter-new'!G102</f>
        <v>0</v>
      </c>
      <c r="AQ105" s="62"/>
      <c r="AR105" s="62"/>
      <c r="AS105" s="45"/>
      <c r="AT105" s="61"/>
      <c r="AU105" s="62"/>
      <c r="AV105" s="62"/>
      <c r="AW105" s="45">
        <f>'Filter-old'!I102</f>
        <v>0</v>
      </c>
      <c r="AX105" s="61">
        <f>'Filter-new'!I102</f>
        <v>0</v>
      </c>
      <c r="AY105" s="62"/>
      <c r="AZ105" s="62"/>
      <c r="BA105" s="62">
        <f>'Filter-new'!I591</f>
        <v>0</v>
      </c>
      <c r="BB105" s="62"/>
      <c r="BC105" s="45">
        <f>'Filter-old'!K102</f>
        <v>0</v>
      </c>
      <c r="BD105" s="61">
        <f>'Filter-new'!K102</f>
        <v>0</v>
      </c>
      <c r="BE105" s="62"/>
      <c r="BF105" s="62"/>
      <c r="BG105" s="45">
        <f>'Filter-old'!M102</f>
        <v>0</v>
      </c>
      <c r="BH105" s="62">
        <f>'Filter-new'!K591</f>
        <v>0</v>
      </c>
      <c r="BI105" s="61"/>
      <c r="BJ105" s="61">
        <f>'Filter-new'!M102</f>
        <v>0</v>
      </c>
      <c r="BK105" s="62"/>
      <c r="BL105" s="62"/>
      <c r="BM105" s="62"/>
      <c r="BN105" s="406">
        <f>'Filter-new'!N102</f>
        <v>0</v>
      </c>
      <c r="BO105" s="62"/>
      <c r="BP105" s="62"/>
      <c r="BQ105" s="45">
        <f>'Filter-old'!O102</f>
        <v>0</v>
      </c>
      <c r="BR105" s="61">
        <f>'Filter-new'!O102</f>
        <v>0</v>
      </c>
      <c r="BS105" s="62"/>
      <c r="BT105" s="62"/>
      <c r="BU105" s="45">
        <f>'Filter-old'!Q102</f>
        <v>-661.48</v>
      </c>
      <c r="BV105" s="61">
        <f>'Filter-new'!Q102</f>
        <v>-721.49</v>
      </c>
      <c r="BW105" s="61"/>
      <c r="BX105" s="61"/>
      <c r="BY105" s="61">
        <f>'Filter-new'!Q591</f>
        <v>0</v>
      </c>
      <c r="BZ105" s="61"/>
      <c r="CA105" s="45">
        <f>'Filter-old'!R102</f>
        <v>0</v>
      </c>
      <c r="CB105" s="61">
        <f>'Filter-new'!R102</f>
        <v>0</v>
      </c>
      <c r="CC105" s="61"/>
      <c r="CD105" s="58"/>
      <c r="CE105" s="61">
        <f>'Filter-new'!R591</f>
        <v>0</v>
      </c>
      <c r="CF105" s="57"/>
      <c r="CG105" s="4"/>
    </row>
    <row r="106" spans="1:85" hidden="1" x14ac:dyDescent="0.2">
      <c r="A106">
        <v>0</v>
      </c>
      <c r="B106" s="59">
        <v>39934</v>
      </c>
      <c r="C106" s="59">
        <f>'Filter-new'!C103</f>
        <v>39934</v>
      </c>
      <c r="D106" s="60">
        <f t="shared" si="10"/>
        <v>2009</v>
      </c>
      <c r="E106" s="60">
        <f>VLOOKUP($C106,calendar!$A$2:$D$121,4,FALSE)*(1-(H106=0))</f>
        <v>320</v>
      </c>
      <c r="F106" s="60">
        <f>VLOOKUP($C106,calendar!$A$2:$D$121,3,FALSE)*(1-(I106=0))</f>
        <v>424</v>
      </c>
      <c r="G106" s="36">
        <f t="shared" si="11"/>
        <v>-16598.22</v>
      </c>
      <c r="H106" s="36">
        <f t="shared" si="12"/>
        <v>-59505.299999999996</v>
      </c>
      <c r="I106" s="36">
        <f t="shared" si="13"/>
        <v>-18400</v>
      </c>
      <c r="J106" s="41"/>
      <c r="K106" s="45">
        <f>'Filter-old'!E103</f>
        <v>0</v>
      </c>
      <c r="L106" s="61">
        <f>'Filter-new'!E103</f>
        <v>-10852.53</v>
      </c>
      <c r="M106" s="62"/>
      <c r="N106" s="62"/>
      <c r="O106" s="429">
        <f>'Filter-new'!E592</f>
        <v>0</v>
      </c>
      <c r="P106" s="62"/>
      <c r="Q106" s="45">
        <f>'Filter-old'!H103</f>
        <v>-16000</v>
      </c>
      <c r="R106" s="61">
        <f>'Filter-new'!H103</f>
        <v>-48000</v>
      </c>
      <c r="S106" s="62"/>
      <c r="T106" s="62"/>
      <c r="U106" s="445">
        <f>'Filter-new'!H592</f>
        <v>-18400</v>
      </c>
      <c r="V106" s="62"/>
      <c r="W106" s="45">
        <f>'Filter-old'!J103</f>
        <v>0</v>
      </c>
      <c r="X106" s="61">
        <f>'Filter-new'!J103</f>
        <v>0</v>
      </c>
      <c r="Y106" s="62"/>
      <c r="Z106" s="62"/>
      <c r="AA106" s="45">
        <f>'Filter-old'!F103</f>
        <v>0</v>
      </c>
      <c r="AB106" s="61">
        <f>'Filter-new'!F103</f>
        <v>0</v>
      </c>
      <c r="AC106" s="62"/>
      <c r="AD106" s="62"/>
      <c r="AE106" s="45">
        <f>'Filter-old'!P103</f>
        <v>0</v>
      </c>
      <c r="AF106" s="61">
        <f>'Filter-new'!P103</f>
        <v>0</v>
      </c>
      <c r="AG106" s="62"/>
      <c r="AH106" s="62"/>
      <c r="AI106" s="45">
        <f>'Filter-old'!L103</f>
        <v>0</v>
      </c>
      <c r="AJ106" s="61">
        <f>'Filter-new'!L103</f>
        <v>0</v>
      </c>
      <c r="AK106" s="62"/>
      <c r="AL106" s="62"/>
      <c r="AM106" s="62">
        <f>'Filter-new'!L592</f>
        <v>0</v>
      </c>
      <c r="AN106" s="62"/>
      <c r="AO106" s="45">
        <f>'Filter-old'!G103</f>
        <v>0</v>
      </c>
      <c r="AP106" s="61">
        <f>'Filter-new'!G103</f>
        <v>0</v>
      </c>
      <c r="AQ106" s="62"/>
      <c r="AR106" s="62"/>
      <c r="AS106" s="45"/>
      <c r="AT106" s="61"/>
      <c r="AU106" s="62"/>
      <c r="AV106" s="62"/>
      <c r="AW106" s="45">
        <f>'Filter-old'!I103</f>
        <v>0</v>
      </c>
      <c r="AX106" s="61">
        <f>'Filter-new'!I103</f>
        <v>0</v>
      </c>
      <c r="AY106" s="62"/>
      <c r="AZ106" s="62"/>
      <c r="BA106" s="62">
        <f>'Filter-new'!I592</f>
        <v>0</v>
      </c>
      <c r="BB106" s="62"/>
      <c r="BC106" s="45">
        <f>'Filter-old'!K103</f>
        <v>0</v>
      </c>
      <c r="BD106" s="61">
        <f>'Filter-new'!K103</f>
        <v>0</v>
      </c>
      <c r="BE106" s="62"/>
      <c r="BF106" s="62"/>
      <c r="BG106" s="45">
        <f>'Filter-old'!M103</f>
        <v>0</v>
      </c>
      <c r="BH106" s="62">
        <f>'Filter-new'!K592</f>
        <v>0</v>
      </c>
      <c r="BI106" s="61"/>
      <c r="BJ106" s="61">
        <f>'Filter-new'!M103</f>
        <v>0</v>
      </c>
      <c r="BK106" s="62"/>
      <c r="BL106" s="62"/>
      <c r="BM106" s="62"/>
      <c r="BN106" s="406">
        <f>'Filter-new'!N103</f>
        <v>0</v>
      </c>
      <c r="BO106" s="62"/>
      <c r="BP106" s="62"/>
      <c r="BQ106" s="45">
        <f>'Filter-old'!O103</f>
        <v>0</v>
      </c>
      <c r="BR106" s="61">
        <f>'Filter-new'!O103</f>
        <v>0</v>
      </c>
      <c r="BS106" s="62"/>
      <c r="BT106" s="62"/>
      <c r="BU106" s="45">
        <f>'Filter-old'!Q103</f>
        <v>-598.22</v>
      </c>
      <c r="BV106" s="61">
        <f>'Filter-new'!Q103</f>
        <v>-652.77</v>
      </c>
      <c r="BW106" s="61"/>
      <c r="BX106" s="61"/>
      <c r="BY106" s="61">
        <f>'Filter-new'!Q592</f>
        <v>0</v>
      </c>
      <c r="BZ106" s="61"/>
      <c r="CA106" s="45">
        <f>'Filter-old'!R103</f>
        <v>0</v>
      </c>
      <c r="CB106" s="61">
        <f>'Filter-new'!R103</f>
        <v>0</v>
      </c>
      <c r="CC106" s="61"/>
      <c r="CD106" s="58"/>
      <c r="CE106" s="61">
        <f>'Filter-new'!R592</f>
        <v>0</v>
      </c>
      <c r="CF106" s="57"/>
      <c r="CG106" s="4"/>
    </row>
    <row r="107" spans="1:85" hidden="1" x14ac:dyDescent="0.2">
      <c r="A107">
        <v>0</v>
      </c>
      <c r="B107" s="59">
        <v>39965</v>
      </c>
      <c r="C107" s="59">
        <f>'Filter-new'!C104</f>
        <v>39965</v>
      </c>
      <c r="D107" s="60">
        <f t="shared" si="10"/>
        <v>2009</v>
      </c>
      <c r="E107" s="60">
        <f>VLOOKUP($C107,calendar!$A$2:$D$121,4,FALSE)*(1-(H107=0))</f>
        <v>352</v>
      </c>
      <c r="F107" s="60">
        <f>VLOOKUP($C107,calendar!$A$2:$D$121,3,FALSE)*(1-(I107=0))</f>
        <v>368</v>
      </c>
      <c r="G107" s="36">
        <f t="shared" si="11"/>
        <v>-18472.349999999999</v>
      </c>
      <c r="H107" s="36">
        <f t="shared" si="12"/>
        <v>-65630.89</v>
      </c>
      <c r="I107" s="36">
        <f t="shared" si="13"/>
        <v>-18800</v>
      </c>
      <c r="J107" s="41"/>
      <c r="K107" s="45">
        <f>'Filter-old'!E104</f>
        <v>0</v>
      </c>
      <c r="L107" s="61">
        <f>'Filter-new'!E104</f>
        <v>-11878.55</v>
      </c>
      <c r="M107" s="62"/>
      <c r="N107" s="62"/>
      <c r="O107" s="429">
        <f>'Filter-new'!E593</f>
        <v>0</v>
      </c>
      <c r="P107" s="62"/>
      <c r="Q107" s="45">
        <f>'Filter-old'!H104</f>
        <v>-17600</v>
      </c>
      <c r="R107" s="61">
        <f>'Filter-new'!H104</f>
        <v>-52800</v>
      </c>
      <c r="S107" s="62"/>
      <c r="T107" s="62"/>
      <c r="U107" s="445">
        <f>'Filter-new'!H593</f>
        <v>-18800</v>
      </c>
      <c r="V107" s="62"/>
      <c r="W107" s="45">
        <f>'Filter-old'!J104</f>
        <v>0</v>
      </c>
      <c r="X107" s="61">
        <f>'Filter-new'!J104</f>
        <v>0</v>
      </c>
      <c r="Y107" s="62"/>
      <c r="Z107" s="62"/>
      <c r="AA107" s="45">
        <f>'Filter-old'!F104</f>
        <v>0</v>
      </c>
      <c r="AB107" s="61">
        <f>'Filter-new'!F104</f>
        <v>0</v>
      </c>
      <c r="AC107" s="62"/>
      <c r="AD107" s="62"/>
      <c r="AE107" s="45">
        <f>'Filter-old'!P104</f>
        <v>0</v>
      </c>
      <c r="AF107" s="61">
        <f>'Filter-new'!P104</f>
        <v>0</v>
      </c>
      <c r="AG107" s="62"/>
      <c r="AH107" s="62"/>
      <c r="AI107" s="45">
        <f>'Filter-old'!L104</f>
        <v>0</v>
      </c>
      <c r="AJ107" s="61">
        <f>'Filter-new'!L104</f>
        <v>0</v>
      </c>
      <c r="AK107" s="62"/>
      <c r="AL107" s="62"/>
      <c r="AM107" s="62">
        <f>'Filter-new'!L593</f>
        <v>0</v>
      </c>
      <c r="AN107" s="62"/>
      <c r="AO107" s="45">
        <f>'Filter-old'!G104</f>
        <v>0</v>
      </c>
      <c r="AP107" s="61">
        <f>'Filter-new'!G104</f>
        <v>0</v>
      </c>
      <c r="AQ107" s="62"/>
      <c r="AR107" s="62"/>
      <c r="AS107" s="45"/>
      <c r="AT107" s="61"/>
      <c r="AU107" s="62"/>
      <c r="AV107" s="62"/>
      <c r="AW107" s="45">
        <f>'Filter-old'!I104</f>
        <v>0</v>
      </c>
      <c r="AX107" s="61">
        <f>'Filter-new'!I104</f>
        <v>0</v>
      </c>
      <c r="AY107" s="62"/>
      <c r="AZ107" s="62"/>
      <c r="BA107" s="62">
        <f>'Filter-new'!I593</f>
        <v>0</v>
      </c>
      <c r="BB107" s="62"/>
      <c r="BC107" s="45">
        <f>'Filter-old'!K104</f>
        <v>0</v>
      </c>
      <c r="BD107" s="61">
        <f>'Filter-new'!K104</f>
        <v>0</v>
      </c>
      <c r="BE107" s="62"/>
      <c r="BF107" s="62"/>
      <c r="BG107" s="45">
        <f>'Filter-old'!M104</f>
        <v>0</v>
      </c>
      <c r="BH107" s="62">
        <f>'Filter-new'!K593</f>
        <v>0</v>
      </c>
      <c r="BI107" s="61"/>
      <c r="BJ107" s="61">
        <f>'Filter-new'!M104</f>
        <v>0</v>
      </c>
      <c r="BK107" s="62"/>
      <c r="BL107" s="62"/>
      <c r="BM107" s="62"/>
      <c r="BN107" s="406">
        <f>'Filter-new'!N104</f>
        <v>0</v>
      </c>
      <c r="BO107" s="62"/>
      <c r="BP107" s="62"/>
      <c r="BQ107" s="45">
        <f>'Filter-old'!O104</f>
        <v>0</v>
      </c>
      <c r="BR107" s="61">
        <f>'Filter-new'!O104</f>
        <v>0</v>
      </c>
      <c r="BS107" s="62"/>
      <c r="BT107" s="62"/>
      <c r="BU107" s="45">
        <f>'Filter-old'!Q104</f>
        <v>-872.35</v>
      </c>
      <c r="BV107" s="61">
        <f>'Filter-new'!Q104</f>
        <v>-952.34</v>
      </c>
      <c r="BW107" s="61"/>
      <c r="BX107" s="61"/>
      <c r="BY107" s="61">
        <f>'Filter-new'!Q593</f>
        <v>0</v>
      </c>
      <c r="BZ107" s="61"/>
      <c r="CA107" s="45">
        <f>'Filter-old'!R104</f>
        <v>0</v>
      </c>
      <c r="CB107" s="61">
        <f>'Filter-new'!R104</f>
        <v>0</v>
      </c>
      <c r="CC107" s="61"/>
      <c r="CD107" s="58"/>
      <c r="CE107" s="61">
        <f>'Filter-new'!R593</f>
        <v>0</v>
      </c>
      <c r="CF107" s="57"/>
      <c r="CG107" s="4"/>
    </row>
    <row r="108" spans="1:85" hidden="1" x14ac:dyDescent="0.2">
      <c r="A108">
        <v>0</v>
      </c>
      <c r="B108" s="59">
        <v>39995</v>
      </c>
      <c r="C108" s="59">
        <f>'Filter-new'!C105</f>
        <v>39995</v>
      </c>
      <c r="D108" s="60">
        <f t="shared" si="10"/>
        <v>2009</v>
      </c>
      <c r="E108" s="60">
        <f>VLOOKUP($C108,calendar!$A$2:$D$121,4,FALSE)*(1-(H108=0))</f>
        <v>368</v>
      </c>
      <c r="F108" s="60">
        <f>VLOOKUP($C108,calendar!$A$2:$D$121,3,FALSE)*(1-(I108=0))</f>
        <v>376</v>
      </c>
      <c r="G108" s="36">
        <f t="shared" si="11"/>
        <v>-18400</v>
      </c>
      <c r="H108" s="36">
        <f t="shared" si="12"/>
        <v>-67554.61</v>
      </c>
      <c r="I108" s="36">
        <f t="shared" si="13"/>
        <v>-20400</v>
      </c>
      <c r="J108" s="41"/>
      <c r="K108" s="45">
        <f>'Filter-old'!E105</f>
        <v>0</v>
      </c>
      <c r="L108" s="61">
        <f>'Filter-new'!E105</f>
        <v>-12354.61</v>
      </c>
      <c r="M108" s="62"/>
      <c r="N108" s="62"/>
      <c r="O108" s="429">
        <f>'Filter-new'!E594</f>
        <v>0</v>
      </c>
      <c r="P108" s="62"/>
      <c r="Q108" s="45">
        <f>'Filter-old'!H105</f>
        <v>-18400</v>
      </c>
      <c r="R108" s="61">
        <f>'Filter-new'!H105</f>
        <v>-55200</v>
      </c>
      <c r="S108" s="62"/>
      <c r="T108" s="62"/>
      <c r="U108" s="445">
        <f>'Filter-new'!H594</f>
        <v>-20400</v>
      </c>
      <c r="V108" s="62"/>
      <c r="W108" s="45">
        <f>'Filter-old'!J105</f>
        <v>0</v>
      </c>
      <c r="X108" s="61">
        <f>'Filter-new'!J105</f>
        <v>0</v>
      </c>
      <c r="Y108" s="62"/>
      <c r="Z108" s="62"/>
      <c r="AA108" s="45">
        <f>'Filter-old'!F105</f>
        <v>0</v>
      </c>
      <c r="AB108" s="61">
        <f>'Filter-new'!F105</f>
        <v>0</v>
      </c>
      <c r="AC108" s="62"/>
      <c r="AD108" s="62"/>
      <c r="AE108" s="45">
        <f>'Filter-old'!P105</f>
        <v>0</v>
      </c>
      <c r="AF108" s="61">
        <f>'Filter-new'!P105</f>
        <v>0</v>
      </c>
      <c r="AG108" s="62"/>
      <c r="AH108" s="62"/>
      <c r="AI108" s="45">
        <f>'Filter-old'!L105</f>
        <v>0</v>
      </c>
      <c r="AJ108" s="61">
        <f>'Filter-new'!L105</f>
        <v>0</v>
      </c>
      <c r="AK108" s="62"/>
      <c r="AL108" s="62"/>
      <c r="AM108" s="62">
        <f>'Filter-new'!L594</f>
        <v>0</v>
      </c>
      <c r="AN108" s="62"/>
      <c r="AO108" s="45">
        <f>'Filter-old'!G105</f>
        <v>0</v>
      </c>
      <c r="AP108" s="61">
        <f>'Filter-new'!G105</f>
        <v>0</v>
      </c>
      <c r="AQ108" s="62"/>
      <c r="AR108" s="62"/>
      <c r="AS108" s="45"/>
      <c r="AT108" s="61"/>
      <c r="AU108" s="62"/>
      <c r="AV108" s="62"/>
      <c r="AW108" s="45">
        <f>'Filter-old'!I105</f>
        <v>0</v>
      </c>
      <c r="AX108" s="61">
        <f>'Filter-new'!I105</f>
        <v>0</v>
      </c>
      <c r="AY108" s="62"/>
      <c r="AZ108" s="62"/>
      <c r="BA108" s="62">
        <f>'Filter-new'!I594</f>
        <v>0</v>
      </c>
      <c r="BB108" s="62"/>
      <c r="BC108" s="45">
        <f>'Filter-old'!K105</f>
        <v>0</v>
      </c>
      <c r="BD108" s="61">
        <f>'Filter-new'!K105</f>
        <v>0</v>
      </c>
      <c r="BE108" s="62"/>
      <c r="BF108" s="62"/>
      <c r="BG108" s="45">
        <f>'Filter-old'!M105</f>
        <v>0</v>
      </c>
      <c r="BH108" s="62">
        <f>'Filter-new'!K594</f>
        <v>0</v>
      </c>
      <c r="BI108" s="61"/>
      <c r="BJ108" s="61">
        <f>'Filter-new'!M105</f>
        <v>0</v>
      </c>
      <c r="BK108" s="62"/>
      <c r="BL108" s="62"/>
      <c r="BM108" s="62"/>
      <c r="BN108" s="406">
        <f>'Filter-new'!N105</f>
        <v>0</v>
      </c>
      <c r="BO108" s="62"/>
      <c r="BP108" s="62"/>
      <c r="BQ108" s="45">
        <f>'Filter-old'!O105</f>
        <v>0</v>
      </c>
      <c r="BR108" s="61">
        <f>'Filter-new'!O105</f>
        <v>0</v>
      </c>
      <c r="BS108" s="62"/>
      <c r="BT108" s="62"/>
      <c r="BU108" s="45">
        <f>'Filter-old'!Q105</f>
        <v>0</v>
      </c>
      <c r="BV108" s="61">
        <f>'Filter-new'!Q105</f>
        <v>0</v>
      </c>
      <c r="BW108" s="61"/>
      <c r="BX108" s="61"/>
      <c r="BY108" s="61">
        <f>'Filter-new'!Q594</f>
        <v>0</v>
      </c>
      <c r="BZ108" s="61"/>
      <c r="CA108" s="45">
        <f>'Filter-old'!R105</f>
        <v>0</v>
      </c>
      <c r="CB108" s="61">
        <f>'Filter-new'!R105</f>
        <v>0</v>
      </c>
      <c r="CC108" s="61"/>
      <c r="CD108" s="58"/>
      <c r="CE108" s="61">
        <f>'Filter-new'!R594</f>
        <v>0</v>
      </c>
      <c r="CF108" s="57"/>
      <c r="CG108" s="4"/>
    </row>
    <row r="109" spans="1:85" hidden="1" x14ac:dyDescent="0.2">
      <c r="A109">
        <v>0</v>
      </c>
      <c r="B109" s="59">
        <v>40026</v>
      </c>
      <c r="C109" s="59">
        <f>'Filter-new'!C106</f>
        <v>40026</v>
      </c>
      <c r="D109" s="60">
        <f t="shared" si="10"/>
        <v>2009</v>
      </c>
      <c r="E109" s="60">
        <f>VLOOKUP($C109,calendar!$A$2:$D$121,4,FALSE)*(1-(H109=0))</f>
        <v>336</v>
      </c>
      <c r="F109" s="60">
        <f>VLOOKUP($C109,calendar!$A$2:$D$121,3,FALSE)*(1-(I109=0))</f>
        <v>408</v>
      </c>
      <c r="G109" s="36">
        <f t="shared" si="11"/>
        <v>-16800</v>
      </c>
      <c r="H109" s="36">
        <f t="shared" si="12"/>
        <v>-61622.080000000002</v>
      </c>
      <c r="I109" s="36">
        <f t="shared" si="13"/>
        <v>-19200</v>
      </c>
      <c r="J109" s="41"/>
      <c r="K109" s="45">
        <f>'Filter-old'!E106</f>
        <v>0</v>
      </c>
      <c r="L109" s="61">
        <f>'Filter-new'!E106</f>
        <v>-11222.08</v>
      </c>
      <c r="M109" s="62"/>
      <c r="N109" s="62"/>
      <c r="O109" s="429">
        <f>'Filter-new'!E595</f>
        <v>0</v>
      </c>
      <c r="P109" s="62"/>
      <c r="Q109" s="45">
        <f>'Filter-old'!H106</f>
        <v>-16800</v>
      </c>
      <c r="R109" s="61">
        <f>'Filter-new'!H106</f>
        <v>-50400</v>
      </c>
      <c r="S109" s="62"/>
      <c r="T109" s="62"/>
      <c r="U109" s="445">
        <f>'Filter-new'!H595</f>
        <v>-19200</v>
      </c>
      <c r="V109" s="62"/>
      <c r="W109" s="45">
        <f>'Filter-old'!J106</f>
        <v>0</v>
      </c>
      <c r="X109" s="61">
        <f>'Filter-new'!J106</f>
        <v>0</v>
      </c>
      <c r="Y109" s="62"/>
      <c r="Z109" s="62"/>
      <c r="AA109" s="45">
        <f>'Filter-old'!F106</f>
        <v>0</v>
      </c>
      <c r="AB109" s="61">
        <f>'Filter-new'!F106</f>
        <v>0</v>
      </c>
      <c r="AC109" s="62"/>
      <c r="AD109" s="62"/>
      <c r="AE109" s="45">
        <f>'Filter-old'!P106</f>
        <v>0</v>
      </c>
      <c r="AF109" s="61">
        <f>'Filter-new'!P106</f>
        <v>0</v>
      </c>
      <c r="AG109" s="62"/>
      <c r="AH109" s="62"/>
      <c r="AI109" s="45">
        <f>'Filter-old'!L106</f>
        <v>0</v>
      </c>
      <c r="AJ109" s="61">
        <f>'Filter-new'!L106</f>
        <v>0</v>
      </c>
      <c r="AK109" s="62"/>
      <c r="AL109" s="62"/>
      <c r="AM109" s="62">
        <f>'Filter-new'!L595</f>
        <v>0</v>
      </c>
      <c r="AN109" s="62"/>
      <c r="AO109" s="45">
        <f>'Filter-old'!G106</f>
        <v>0</v>
      </c>
      <c r="AP109" s="61">
        <f>'Filter-new'!G106</f>
        <v>0</v>
      </c>
      <c r="AQ109" s="62"/>
      <c r="AR109" s="62"/>
      <c r="AS109" s="45"/>
      <c r="AT109" s="61"/>
      <c r="AU109" s="62"/>
      <c r="AV109" s="62"/>
      <c r="AW109" s="45">
        <f>'Filter-old'!I106</f>
        <v>0</v>
      </c>
      <c r="AX109" s="61">
        <f>'Filter-new'!I106</f>
        <v>0</v>
      </c>
      <c r="AY109" s="62"/>
      <c r="AZ109" s="62"/>
      <c r="BA109" s="62">
        <f>'Filter-new'!I595</f>
        <v>0</v>
      </c>
      <c r="BB109" s="62"/>
      <c r="BC109" s="45">
        <f>'Filter-old'!K106</f>
        <v>0</v>
      </c>
      <c r="BD109" s="61">
        <f>'Filter-new'!K106</f>
        <v>0</v>
      </c>
      <c r="BE109" s="62"/>
      <c r="BF109" s="62"/>
      <c r="BG109" s="45">
        <f>'Filter-old'!M106</f>
        <v>0</v>
      </c>
      <c r="BH109" s="62">
        <f>'Filter-new'!K595</f>
        <v>0</v>
      </c>
      <c r="BI109" s="61"/>
      <c r="BJ109" s="61">
        <f>'Filter-new'!M106</f>
        <v>0</v>
      </c>
      <c r="BK109" s="62"/>
      <c r="BL109" s="62"/>
      <c r="BM109" s="62"/>
      <c r="BN109" s="406">
        <f>'Filter-new'!N106</f>
        <v>0</v>
      </c>
      <c r="BO109" s="62"/>
      <c r="BP109" s="62"/>
      <c r="BQ109" s="45">
        <f>'Filter-old'!O106</f>
        <v>0</v>
      </c>
      <c r="BR109" s="61">
        <f>'Filter-new'!O106</f>
        <v>0</v>
      </c>
      <c r="BS109" s="62"/>
      <c r="BT109" s="62"/>
      <c r="BU109" s="45">
        <f>'Filter-old'!Q106</f>
        <v>0</v>
      </c>
      <c r="BV109" s="61">
        <f>'Filter-new'!Q106</f>
        <v>0</v>
      </c>
      <c r="BW109" s="61"/>
      <c r="BX109" s="61"/>
      <c r="BY109" s="61">
        <f>'Filter-new'!Q595</f>
        <v>0</v>
      </c>
      <c r="BZ109" s="61"/>
      <c r="CA109" s="45">
        <f>'Filter-old'!R106</f>
        <v>0</v>
      </c>
      <c r="CB109" s="61">
        <f>'Filter-new'!R106</f>
        <v>0</v>
      </c>
      <c r="CC109" s="61"/>
      <c r="CD109" s="58"/>
      <c r="CE109" s="61">
        <f>'Filter-new'!R595</f>
        <v>0</v>
      </c>
      <c r="CF109" s="57"/>
      <c r="CG109" s="4"/>
    </row>
    <row r="110" spans="1:85" hidden="1" x14ac:dyDescent="0.2">
      <c r="A110">
        <v>0</v>
      </c>
      <c r="B110" s="59">
        <v>40057</v>
      </c>
      <c r="C110" s="59">
        <f>'Filter-new'!C107</f>
        <v>40057</v>
      </c>
      <c r="D110" s="60">
        <f t="shared" si="10"/>
        <v>2009</v>
      </c>
      <c r="E110" s="60">
        <f>VLOOKUP($C110,calendar!$A$2:$D$121,4,FALSE)*(1-(H110=0))</f>
        <v>336</v>
      </c>
      <c r="F110" s="60">
        <f>VLOOKUP($C110,calendar!$A$2:$D$121,3,FALSE)*(1-(I110=0))</f>
        <v>384</v>
      </c>
      <c r="G110" s="36">
        <f t="shared" si="11"/>
        <v>-16800</v>
      </c>
      <c r="H110" s="36">
        <f t="shared" si="12"/>
        <v>-61565.85</v>
      </c>
      <c r="I110" s="36">
        <f t="shared" si="13"/>
        <v>-19650</v>
      </c>
      <c r="J110" s="41"/>
      <c r="K110" s="45">
        <f>'Filter-old'!E107</f>
        <v>0</v>
      </c>
      <c r="L110" s="61">
        <f>'Filter-new'!E107</f>
        <v>-11165.85</v>
      </c>
      <c r="M110" s="62"/>
      <c r="N110" s="62"/>
      <c r="O110" s="429">
        <f>'Filter-new'!E596</f>
        <v>0</v>
      </c>
      <c r="P110" s="62"/>
      <c r="Q110" s="45">
        <f>'Filter-old'!H107</f>
        <v>-16800</v>
      </c>
      <c r="R110" s="61">
        <f>'Filter-new'!H107</f>
        <v>-50400</v>
      </c>
      <c r="S110" s="62"/>
      <c r="T110" s="62"/>
      <c r="U110" s="445">
        <f>'Filter-new'!H596</f>
        <v>-19650</v>
      </c>
      <c r="V110" s="62"/>
      <c r="W110" s="45">
        <f>'Filter-old'!J107</f>
        <v>0</v>
      </c>
      <c r="X110" s="61">
        <f>'Filter-new'!J107</f>
        <v>0</v>
      </c>
      <c r="Y110" s="62"/>
      <c r="Z110" s="62"/>
      <c r="AA110" s="45">
        <f>'Filter-old'!F107</f>
        <v>0</v>
      </c>
      <c r="AB110" s="61">
        <f>'Filter-new'!F107</f>
        <v>0</v>
      </c>
      <c r="AC110" s="62"/>
      <c r="AD110" s="62"/>
      <c r="AE110" s="45">
        <f>'Filter-old'!P107</f>
        <v>0</v>
      </c>
      <c r="AF110" s="61">
        <f>'Filter-new'!P107</f>
        <v>0</v>
      </c>
      <c r="AG110" s="62"/>
      <c r="AH110" s="62"/>
      <c r="AI110" s="45">
        <f>'Filter-old'!L107</f>
        <v>0</v>
      </c>
      <c r="AJ110" s="61">
        <f>'Filter-new'!L107</f>
        <v>0</v>
      </c>
      <c r="AK110" s="62"/>
      <c r="AL110" s="62"/>
      <c r="AM110" s="62">
        <f>'Filter-new'!L596</f>
        <v>0</v>
      </c>
      <c r="AN110" s="62"/>
      <c r="AO110" s="45">
        <f>'Filter-old'!G107</f>
        <v>0</v>
      </c>
      <c r="AP110" s="61">
        <f>'Filter-new'!G107</f>
        <v>0</v>
      </c>
      <c r="AQ110" s="62"/>
      <c r="AR110" s="62"/>
      <c r="AS110" s="45"/>
      <c r="AT110" s="61"/>
      <c r="AU110" s="62"/>
      <c r="AV110" s="62"/>
      <c r="AW110" s="45">
        <f>'Filter-old'!I107</f>
        <v>0</v>
      </c>
      <c r="AX110" s="61">
        <f>'Filter-new'!I107</f>
        <v>0</v>
      </c>
      <c r="AY110" s="62"/>
      <c r="AZ110" s="62"/>
      <c r="BA110" s="62">
        <f>'Filter-new'!I596</f>
        <v>0</v>
      </c>
      <c r="BB110" s="62"/>
      <c r="BC110" s="45">
        <f>'Filter-old'!K107</f>
        <v>0</v>
      </c>
      <c r="BD110" s="61">
        <f>'Filter-new'!K107</f>
        <v>0</v>
      </c>
      <c r="BE110" s="62"/>
      <c r="BF110" s="62"/>
      <c r="BG110" s="45">
        <f>'Filter-old'!M107</f>
        <v>0</v>
      </c>
      <c r="BH110" s="62">
        <f>'Filter-new'!K596</f>
        <v>0</v>
      </c>
      <c r="BI110" s="61"/>
      <c r="BJ110" s="61">
        <f>'Filter-new'!M107</f>
        <v>0</v>
      </c>
      <c r="BK110" s="62"/>
      <c r="BL110" s="62"/>
      <c r="BM110" s="62"/>
      <c r="BN110" s="406">
        <f>'Filter-new'!N107</f>
        <v>0</v>
      </c>
      <c r="BO110" s="62"/>
      <c r="BP110" s="62"/>
      <c r="BQ110" s="45">
        <f>'Filter-old'!O107</f>
        <v>0</v>
      </c>
      <c r="BR110" s="61">
        <f>'Filter-new'!O107</f>
        <v>0</v>
      </c>
      <c r="BS110" s="62"/>
      <c r="BT110" s="62"/>
      <c r="BU110" s="45">
        <f>'Filter-old'!Q107</f>
        <v>0</v>
      </c>
      <c r="BV110" s="61">
        <f>'Filter-new'!Q107</f>
        <v>0</v>
      </c>
      <c r="BW110" s="61"/>
      <c r="BX110" s="61"/>
      <c r="BY110" s="61">
        <f>'Filter-new'!Q596</f>
        <v>0</v>
      </c>
      <c r="BZ110" s="61"/>
      <c r="CA110" s="45">
        <f>'Filter-old'!R107</f>
        <v>0</v>
      </c>
      <c r="CB110" s="61">
        <f>'Filter-new'!R107</f>
        <v>0</v>
      </c>
      <c r="CC110" s="61"/>
      <c r="CD110" s="58"/>
      <c r="CE110" s="61">
        <f>'Filter-new'!R596</f>
        <v>0</v>
      </c>
      <c r="CF110" s="57"/>
      <c r="CG110" s="4"/>
    </row>
    <row r="111" spans="1:85" hidden="1" x14ac:dyDescent="0.2">
      <c r="A111">
        <v>0</v>
      </c>
      <c r="B111" s="59">
        <v>40087</v>
      </c>
      <c r="C111" s="59">
        <f>'Filter-new'!C108</f>
        <v>40087</v>
      </c>
      <c r="D111" s="60">
        <f t="shared" si="10"/>
        <v>2009</v>
      </c>
      <c r="E111" s="60">
        <f>VLOOKUP($C111,calendar!$A$2:$D$121,4,FALSE)*(1-(H111=0))</f>
        <v>352</v>
      </c>
      <c r="F111" s="60">
        <f>VLOOKUP($C111,calendar!$A$2:$D$121,3,FALSE)*(1-(I111=0))</f>
        <v>392</v>
      </c>
      <c r="G111" s="36">
        <f t="shared" si="11"/>
        <v>-17600</v>
      </c>
      <c r="H111" s="36">
        <f t="shared" si="12"/>
        <v>-64436.800000000003</v>
      </c>
      <c r="I111" s="36">
        <f t="shared" si="13"/>
        <v>-20000</v>
      </c>
      <c r="J111" s="41"/>
      <c r="K111" s="45">
        <f>'Filter-old'!E108</f>
        <v>0</v>
      </c>
      <c r="L111" s="61">
        <f>'Filter-new'!E108</f>
        <v>-11636.8</v>
      </c>
      <c r="M111" s="62"/>
      <c r="N111" s="62"/>
      <c r="O111" s="429">
        <f>'Filter-new'!E597</f>
        <v>0</v>
      </c>
      <c r="P111" s="62"/>
      <c r="Q111" s="45">
        <f>'Filter-old'!H108</f>
        <v>-17600</v>
      </c>
      <c r="R111" s="61">
        <f>'Filter-new'!H108</f>
        <v>-52800</v>
      </c>
      <c r="S111" s="62"/>
      <c r="T111" s="62"/>
      <c r="U111" s="445">
        <f>'Filter-new'!H597</f>
        <v>-20000</v>
      </c>
      <c r="V111" s="62"/>
      <c r="W111" s="45">
        <f>'Filter-old'!J108</f>
        <v>0</v>
      </c>
      <c r="X111" s="61">
        <f>'Filter-new'!J108</f>
        <v>0</v>
      </c>
      <c r="Y111" s="62"/>
      <c r="Z111" s="62"/>
      <c r="AA111" s="45">
        <f>'Filter-old'!F108</f>
        <v>0</v>
      </c>
      <c r="AB111" s="61">
        <f>'Filter-new'!F108</f>
        <v>0</v>
      </c>
      <c r="AC111" s="62"/>
      <c r="AD111" s="62"/>
      <c r="AE111" s="45">
        <f>'Filter-old'!P108</f>
        <v>0</v>
      </c>
      <c r="AF111" s="61">
        <f>'Filter-new'!P108</f>
        <v>0</v>
      </c>
      <c r="AG111" s="62"/>
      <c r="AH111" s="62"/>
      <c r="AI111" s="45">
        <f>'Filter-old'!L108</f>
        <v>0</v>
      </c>
      <c r="AJ111" s="61">
        <f>'Filter-new'!L108</f>
        <v>0</v>
      </c>
      <c r="AK111" s="62"/>
      <c r="AL111" s="62"/>
      <c r="AM111" s="62">
        <f>'Filter-new'!L597</f>
        <v>0</v>
      </c>
      <c r="AN111" s="62"/>
      <c r="AO111" s="45">
        <f>'Filter-old'!G108</f>
        <v>0</v>
      </c>
      <c r="AP111" s="61">
        <f>'Filter-new'!G108</f>
        <v>0</v>
      </c>
      <c r="AQ111" s="62"/>
      <c r="AR111" s="62"/>
      <c r="AS111" s="45"/>
      <c r="AT111" s="61"/>
      <c r="AU111" s="62"/>
      <c r="AV111" s="62"/>
      <c r="AW111" s="45">
        <f>'Filter-old'!I108</f>
        <v>0</v>
      </c>
      <c r="AX111" s="61">
        <f>'Filter-new'!I108</f>
        <v>0</v>
      </c>
      <c r="AY111" s="62"/>
      <c r="AZ111" s="62"/>
      <c r="BA111" s="62">
        <f>'Filter-new'!I597</f>
        <v>0</v>
      </c>
      <c r="BB111" s="62"/>
      <c r="BC111" s="45">
        <f>'Filter-old'!K108</f>
        <v>0</v>
      </c>
      <c r="BD111" s="61">
        <f>'Filter-new'!K108</f>
        <v>0</v>
      </c>
      <c r="BE111" s="62"/>
      <c r="BF111" s="62"/>
      <c r="BG111" s="45">
        <f>'Filter-old'!M108</f>
        <v>0</v>
      </c>
      <c r="BH111" s="62">
        <f>'Filter-new'!K597</f>
        <v>0</v>
      </c>
      <c r="BI111" s="61"/>
      <c r="BJ111" s="61">
        <f>'Filter-new'!M108</f>
        <v>0</v>
      </c>
      <c r="BK111" s="62"/>
      <c r="BL111" s="62"/>
      <c r="BM111" s="62"/>
      <c r="BN111" s="406">
        <f>'Filter-new'!N108</f>
        <v>0</v>
      </c>
      <c r="BO111" s="62"/>
      <c r="BP111" s="62"/>
      <c r="BQ111" s="45">
        <f>'Filter-old'!O108</f>
        <v>0</v>
      </c>
      <c r="BR111" s="61">
        <f>'Filter-new'!O108</f>
        <v>0</v>
      </c>
      <c r="BS111" s="62"/>
      <c r="BT111" s="62"/>
      <c r="BU111" s="45">
        <f>'Filter-old'!Q108</f>
        <v>0</v>
      </c>
      <c r="BV111" s="61">
        <f>'Filter-new'!Q108</f>
        <v>0</v>
      </c>
      <c r="BW111" s="61"/>
      <c r="BX111" s="61"/>
      <c r="BY111" s="61">
        <f>'Filter-new'!Q597</f>
        <v>0</v>
      </c>
      <c r="BZ111" s="61"/>
      <c r="CA111" s="45">
        <f>'Filter-old'!R108</f>
        <v>0</v>
      </c>
      <c r="CB111" s="61">
        <f>'Filter-new'!R108</f>
        <v>0</v>
      </c>
      <c r="CC111" s="61"/>
      <c r="CD111" s="58"/>
      <c r="CE111" s="61">
        <f>'Filter-new'!R597</f>
        <v>0</v>
      </c>
      <c r="CF111" s="57"/>
      <c r="CG111" s="4"/>
    </row>
    <row r="112" spans="1:85" hidden="1" x14ac:dyDescent="0.2">
      <c r="A112">
        <v>0</v>
      </c>
      <c r="B112" s="59">
        <v>40118</v>
      </c>
      <c r="C112" s="59">
        <f>'Filter-new'!C109</f>
        <v>40118</v>
      </c>
      <c r="D112" s="60">
        <f t="shared" si="10"/>
        <v>2009</v>
      </c>
      <c r="E112" s="60">
        <f>VLOOKUP($C112,calendar!$A$2:$D$121,4,FALSE)*(1-(H112=0))</f>
        <v>320</v>
      </c>
      <c r="F112" s="60">
        <f>VLOOKUP($C112,calendar!$A$2:$D$121,3,FALSE)*(1-(I112=0))</f>
        <v>400</v>
      </c>
      <c r="G112" s="36">
        <f t="shared" si="11"/>
        <v>-16000</v>
      </c>
      <c r="H112" s="36">
        <f t="shared" si="12"/>
        <v>-58525.56</v>
      </c>
      <c r="I112" s="36">
        <f t="shared" si="13"/>
        <v>-19600</v>
      </c>
      <c r="J112" s="41"/>
      <c r="K112" s="45">
        <f>'Filter-old'!E109</f>
        <v>0</v>
      </c>
      <c r="L112" s="61">
        <f>'Filter-new'!E109</f>
        <v>-10525.56</v>
      </c>
      <c r="M112" s="62"/>
      <c r="N112" s="62"/>
      <c r="O112" s="429">
        <f>'Filter-new'!E598</f>
        <v>0</v>
      </c>
      <c r="P112" s="62"/>
      <c r="Q112" s="45">
        <f>'Filter-old'!H109</f>
        <v>-16000</v>
      </c>
      <c r="R112" s="61">
        <f>'Filter-new'!H109</f>
        <v>-48000</v>
      </c>
      <c r="S112" s="62"/>
      <c r="T112" s="62"/>
      <c r="U112" s="445">
        <f>'Filter-new'!H598</f>
        <v>-19600</v>
      </c>
      <c r="V112" s="62"/>
      <c r="W112" s="45">
        <f>'Filter-old'!J109</f>
        <v>0</v>
      </c>
      <c r="X112" s="61">
        <f>'Filter-new'!J109</f>
        <v>0</v>
      </c>
      <c r="Y112" s="62"/>
      <c r="Z112" s="62"/>
      <c r="AA112" s="45">
        <f>'Filter-old'!F109</f>
        <v>0</v>
      </c>
      <c r="AB112" s="61">
        <f>'Filter-new'!F109</f>
        <v>0</v>
      </c>
      <c r="AC112" s="62"/>
      <c r="AD112" s="62"/>
      <c r="AE112" s="45">
        <f>'Filter-old'!P109</f>
        <v>0</v>
      </c>
      <c r="AF112" s="61">
        <f>'Filter-new'!P109</f>
        <v>0</v>
      </c>
      <c r="AG112" s="62"/>
      <c r="AH112" s="62"/>
      <c r="AI112" s="45">
        <f>'Filter-old'!L109</f>
        <v>0</v>
      </c>
      <c r="AJ112" s="61">
        <f>'Filter-new'!L109</f>
        <v>0</v>
      </c>
      <c r="AK112" s="62"/>
      <c r="AL112" s="62"/>
      <c r="AM112" s="62">
        <f>'Filter-new'!L598</f>
        <v>0</v>
      </c>
      <c r="AN112" s="62"/>
      <c r="AO112" s="45">
        <f>'Filter-old'!G109</f>
        <v>0</v>
      </c>
      <c r="AP112" s="61">
        <f>'Filter-new'!G109</f>
        <v>0</v>
      </c>
      <c r="AQ112" s="62"/>
      <c r="AR112" s="62"/>
      <c r="AS112" s="45"/>
      <c r="AT112" s="61"/>
      <c r="AU112" s="62"/>
      <c r="AV112" s="62"/>
      <c r="AW112" s="45">
        <f>'Filter-old'!I109</f>
        <v>0</v>
      </c>
      <c r="AX112" s="61">
        <f>'Filter-new'!I109</f>
        <v>0</v>
      </c>
      <c r="AY112" s="62"/>
      <c r="AZ112" s="62"/>
      <c r="BA112" s="62">
        <f>'Filter-new'!I598</f>
        <v>0</v>
      </c>
      <c r="BB112" s="62"/>
      <c r="BC112" s="45">
        <f>'Filter-old'!K109</f>
        <v>0</v>
      </c>
      <c r="BD112" s="61">
        <f>'Filter-new'!K109</f>
        <v>0</v>
      </c>
      <c r="BE112" s="62"/>
      <c r="BF112" s="62"/>
      <c r="BG112" s="45">
        <f>'Filter-old'!M109</f>
        <v>0</v>
      </c>
      <c r="BH112" s="62">
        <f>'Filter-new'!K598</f>
        <v>0</v>
      </c>
      <c r="BI112" s="61"/>
      <c r="BJ112" s="61">
        <f>'Filter-new'!M109</f>
        <v>0</v>
      </c>
      <c r="BK112" s="62"/>
      <c r="BL112" s="62"/>
      <c r="BM112" s="62"/>
      <c r="BN112" s="406">
        <f>'Filter-new'!N109</f>
        <v>0</v>
      </c>
      <c r="BO112" s="62"/>
      <c r="BP112" s="62"/>
      <c r="BQ112" s="45">
        <f>'Filter-old'!O109</f>
        <v>0</v>
      </c>
      <c r="BR112" s="61">
        <f>'Filter-new'!O109</f>
        <v>0</v>
      </c>
      <c r="BS112" s="62"/>
      <c r="BT112" s="62"/>
      <c r="BU112" s="45">
        <f>'Filter-old'!Q109</f>
        <v>0</v>
      </c>
      <c r="BV112" s="61">
        <f>'Filter-new'!Q109</f>
        <v>0</v>
      </c>
      <c r="BW112" s="61"/>
      <c r="BX112" s="61"/>
      <c r="BY112" s="61">
        <f>'Filter-new'!Q598</f>
        <v>0</v>
      </c>
      <c r="BZ112" s="61"/>
      <c r="CA112" s="45">
        <f>'Filter-old'!R109</f>
        <v>0</v>
      </c>
      <c r="CB112" s="61">
        <f>'Filter-new'!R109</f>
        <v>0</v>
      </c>
      <c r="CC112" s="61"/>
      <c r="CD112" s="58"/>
      <c r="CE112" s="61">
        <f>'Filter-new'!R598</f>
        <v>0</v>
      </c>
      <c r="CF112" s="57"/>
      <c r="CG112" s="4"/>
    </row>
    <row r="113" spans="1:85" hidden="1" x14ac:dyDescent="0.2">
      <c r="A113">
        <v>0</v>
      </c>
      <c r="B113" s="59">
        <v>40148</v>
      </c>
      <c r="C113" s="59">
        <f>'Filter-new'!C110</f>
        <v>40148</v>
      </c>
      <c r="D113" s="60">
        <f t="shared" si="10"/>
        <v>2009</v>
      </c>
      <c r="E113" s="60">
        <f>VLOOKUP($C113,calendar!$A$2:$D$121,4,FALSE)*(1-(H113=0))</f>
        <v>352</v>
      </c>
      <c r="F113" s="60">
        <f>VLOOKUP($C113,calendar!$A$2:$D$121,3,FALSE)*(1-(I113=0))</f>
        <v>392</v>
      </c>
      <c r="G113" s="36">
        <f t="shared" si="11"/>
        <v>-17600</v>
      </c>
      <c r="H113" s="36">
        <f t="shared" si="12"/>
        <v>-64317.58</v>
      </c>
      <c r="I113" s="36">
        <f t="shared" si="13"/>
        <v>-21200</v>
      </c>
      <c r="J113" s="41"/>
      <c r="K113" s="45">
        <f>'Filter-old'!E110</f>
        <v>0</v>
      </c>
      <c r="L113" s="61">
        <f>'Filter-new'!E110</f>
        <v>-11517.58</v>
      </c>
      <c r="M113" s="62"/>
      <c r="N113" s="62"/>
      <c r="O113" s="429">
        <f>'Filter-new'!E599</f>
        <v>0</v>
      </c>
      <c r="P113" s="62"/>
      <c r="Q113" s="45">
        <f>'Filter-old'!H110</f>
        <v>-17600</v>
      </c>
      <c r="R113" s="61">
        <f>'Filter-new'!H110</f>
        <v>-52800</v>
      </c>
      <c r="S113" s="62"/>
      <c r="T113" s="62"/>
      <c r="U113" s="445">
        <f>'Filter-new'!H599</f>
        <v>-21200</v>
      </c>
      <c r="V113" s="62"/>
      <c r="W113" s="45">
        <f>'Filter-old'!J110</f>
        <v>0</v>
      </c>
      <c r="X113" s="61">
        <f>'Filter-new'!J110</f>
        <v>0</v>
      </c>
      <c r="Y113" s="62"/>
      <c r="Z113" s="62"/>
      <c r="AA113" s="45">
        <f>'Filter-old'!F110</f>
        <v>0</v>
      </c>
      <c r="AB113" s="61">
        <f>'Filter-new'!F110</f>
        <v>0</v>
      </c>
      <c r="AC113" s="62"/>
      <c r="AD113" s="62"/>
      <c r="AE113" s="45">
        <f>'Filter-old'!P110</f>
        <v>0</v>
      </c>
      <c r="AF113" s="61">
        <f>'Filter-new'!P110</f>
        <v>0</v>
      </c>
      <c r="AG113" s="62"/>
      <c r="AH113" s="62"/>
      <c r="AI113" s="45">
        <f>'Filter-old'!L110</f>
        <v>0</v>
      </c>
      <c r="AJ113" s="61">
        <f>'Filter-new'!L110</f>
        <v>0</v>
      </c>
      <c r="AK113" s="62"/>
      <c r="AL113" s="62"/>
      <c r="AM113" s="62">
        <f>'Filter-new'!L599</f>
        <v>0</v>
      </c>
      <c r="AN113" s="62"/>
      <c r="AO113" s="45">
        <f>'Filter-old'!G110</f>
        <v>0</v>
      </c>
      <c r="AP113" s="61">
        <f>'Filter-new'!G110</f>
        <v>0</v>
      </c>
      <c r="AQ113" s="62"/>
      <c r="AR113" s="62"/>
      <c r="AS113" s="45"/>
      <c r="AT113" s="61"/>
      <c r="AU113" s="62"/>
      <c r="AV113" s="62"/>
      <c r="AW113" s="45">
        <f>'Filter-old'!I110</f>
        <v>0</v>
      </c>
      <c r="AX113" s="61">
        <f>'Filter-new'!I110</f>
        <v>0</v>
      </c>
      <c r="AY113" s="62"/>
      <c r="AZ113" s="62"/>
      <c r="BA113" s="62">
        <f>'Filter-new'!I599</f>
        <v>0</v>
      </c>
      <c r="BB113" s="62"/>
      <c r="BC113" s="45">
        <f>'Filter-old'!K110</f>
        <v>0</v>
      </c>
      <c r="BD113" s="61">
        <f>'Filter-new'!K110</f>
        <v>0</v>
      </c>
      <c r="BE113" s="62"/>
      <c r="BF113" s="62"/>
      <c r="BG113" s="45">
        <f>'Filter-old'!M110</f>
        <v>0</v>
      </c>
      <c r="BH113" s="62">
        <f>'Filter-new'!K599</f>
        <v>0</v>
      </c>
      <c r="BI113" s="61"/>
      <c r="BJ113" s="61">
        <f>'Filter-new'!M110</f>
        <v>0</v>
      </c>
      <c r="BK113" s="62"/>
      <c r="BL113" s="62"/>
      <c r="BM113" s="62"/>
      <c r="BN113" s="406">
        <f>'Filter-new'!N110</f>
        <v>0</v>
      </c>
      <c r="BO113" s="62"/>
      <c r="BP113" s="62"/>
      <c r="BQ113" s="45">
        <f>'Filter-old'!O110</f>
        <v>0</v>
      </c>
      <c r="BR113" s="61">
        <f>'Filter-new'!O110</f>
        <v>0</v>
      </c>
      <c r="BS113" s="62"/>
      <c r="BT113" s="62"/>
      <c r="BU113" s="45">
        <f>'Filter-old'!Q110</f>
        <v>0</v>
      </c>
      <c r="BV113" s="61">
        <f>'Filter-new'!Q110</f>
        <v>0</v>
      </c>
      <c r="BW113" s="61"/>
      <c r="BX113" s="61"/>
      <c r="BY113" s="61">
        <f>'Filter-new'!Q599</f>
        <v>0</v>
      </c>
      <c r="BZ113" s="61"/>
      <c r="CA113" s="45">
        <f>'Filter-old'!R110</f>
        <v>0</v>
      </c>
      <c r="CB113" s="61">
        <f>'Filter-new'!R110</f>
        <v>0</v>
      </c>
      <c r="CC113" s="61"/>
      <c r="CD113" s="58"/>
      <c r="CE113" s="61">
        <f>'Filter-new'!R599</f>
        <v>0</v>
      </c>
      <c r="CF113" s="57"/>
      <c r="CG113" s="4"/>
    </row>
    <row r="114" spans="1:85" hidden="1" x14ac:dyDescent="0.2">
      <c r="A114">
        <v>0</v>
      </c>
      <c r="B114" s="59">
        <v>40179</v>
      </c>
      <c r="C114" s="59">
        <f>'Filter-new'!C111</f>
        <v>40179</v>
      </c>
      <c r="D114" s="60">
        <f t="shared" si="10"/>
        <v>2010</v>
      </c>
      <c r="E114" s="60">
        <f>VLOOKUP($C114,calendar!$A$2:$D$121,4,FALSE)*(1-(H114=0))</f>
        <v>320</v>
      </c>
      <c r="F114" s="60">
        <f>VLOOKUP($C114,calendar!$A$2:$D$121,3,FALSE)*(1-(I114=0))</f>
        <v>424</v>
      </c>
      <c r="G114" s="36">
        <f t="shared" si="11"/>
        <v>-32000</v>
      </c>
      <c r="H114" s="36">
        <f t="shared" si="12"/>
        <v>-21584.39</v>
      </c>
      <c r="I114" s="36">
        <f t="shared" si="13"/>
        <v>-17600</v>
      </c>
      <c r="J114" s="41"/>
      <c r="K114" s="45">
        <f>'Filter-old'!E111</f>
        <v>0</v>
      </c>
      <c r="L114" s="61">
        <f>'Filter-new'!E111</f>
        <v>10415.61</v>
      </c>
      <c r="M114" s="62"/>
      <c r="N114" s="62"/>
      <c r="O114" s="429">
        <f>'Filter-new'!E600</f>
        <v>0</v>
      </c>
      <c r="P114" s="62"/>
      <c r="Q114" s="45">
        <f>'Filter-old'!H111</f>
        <v>-32000</v>
      </c>
      <c r="R114" s="61">
        <f>'Filter-new'!H111</f>
        <v>-32000</v>
      </c>
      <c r="S114" s="62"/>
      <c r="T114" s="62"/>
      <c r="U114" s="445">
        <f>'Filter-new'!H600</f>
        <v>-17600</v>
      </c>
      <c r="V114" s="62"/>
      <c r="W114" s="45">
        <f>'Filter-old'!J111</f>
        <v>0</v>
      </c>
      <c r="X114" s="61">
        <f>'Filter-new'!J111</f>
        <v>0</v>
      </c>
      <c r="Y114" s="62"/>
      <c r="Z114" s="62"/>
      <c r="AA114" s="45">
        <f>'Filter-old'!F111</f>
        <v>0</v>
      </c>
      <c r="AB114" s="61">
        <f>'Filter-new'!F111</f>
        <v>0</v>
      </c>
      <c r="AC114" s="62"/>
      <c r="AD114" s="62"/>
      <c r="AE114" s="45">
        <f>'Filter-old'!P111</f>
        <v>0</v>
      </c>
      <c r="AF114" s="61">
        <f>'Filter-new'!P111</f>
        <v>0</v>
      </c>
      <c r="AG114" s="62"/>
      <c r="AH114" s="62"/>
      <c r="AI114" s="45">
        <f>'Filter-old'!L111</f>
        <v>0</v>
      </c>
      <c r="AJ114" s="61">
        <f>'Filter-new'!L111</f>
        <v>0</v>
      </c>
      <c r="AK114" s="62"/>
      <c r="AL114" s="62"/>
      <c r="AM114" s="62">
        <f>'Filter-new'!L600</f>
        <v>0</v>
      </c>
      <c r="AN114" s="62"/>
      <c r="AO114" s="45">
        <f>'Filter-old'!G111</f>
        <v>0</v>
      </c>
      <c r="AP114" s="61">
        <f>'Filter-new'!G111</f>
        <v>0</v>
      </c>
      <c r="AQ114" s="62"/>
      <c r="AR114" s="62"/>
      <c r="AS114" s="45"/>
      <c r="AT114" s="61"/>
      <c r="AU114" s="62"/>
      <c r="AV114" s="62"/>
      <c r="AW114" s="45">
        <f>'Filter-old'!I111</f>
        <v>0</v>
      </c>
      <c r="AX114" s="61">
        <f>'Filter-new'!I111</f>
        <v>0</v>
      </c>
      <c r="AY114" s="62"/>
      <c r="AZ114" s="62"/>
      <c r="BA114" s="62">
        <f>'Filter-new'!I600</f>
        <v>0</v>
      </c>
      <c r="BB114" s="62"/>
      <c r="BC114" s="45">
        <f>'Filter-old'!K111</f>
        <v>0</v>
      </c>
      <c r="BD114" s="61">
        <f>'Filter-new'!K111</f>
        <v>0</v>
      </c>
      <c r="BE114" s="62"/>
      <c r="BF114" s="62"/>
      <c r="BG114" s="45">
        <f>'Filter-old'!M111</f>
        <v>0</v>
      </c>
      <c r="BH114" s="62">
        <f>'Filter-new'!K600</f>
        <v>0</v>
      </c>
      <c r="BI114" s="61"/>
      <c r="BJ114" s="61">
        <f>'Filter-new'!M111</f>
        <v>0</v>
      </c>
      <c r="BK114" s="62"/>
      <c r="BL114" s="62"/>
      <c r="BM114" s="62"/>
      <c r="BN114" s="406">
        <f>'Filter-new'!N111</f>
        <v>0</v>
      </c>
      <c r="BO114" s="62"/>
      <c r="BP114" s="62"/>
      <c r="BQ114" s="45">
        <f>'Filter-old'!O111</f>
        <v>0</v>
      </c>
      <c r="BR114" s="61">
        <f>'Filter-new'!O111</f>
        <v>0</v>
      </c>
      <c r="BS114" s="62"/>
      <c r="BT114" s="62"/>
      <c r="BU114" s="45">
        <f>'Filter-old'!Q111</f>
        <v>0</v>
      </c>
      <c r="BV114" s="61">
        <f>'Filter-new'!Q111</f>
        <v>0</v>
      </c>
      <c r="BW114" s="61"/>
      <c r="BX114" s="61"/>
      <c r="BY114" s="61">
        <f>'Filter-new'!Q600</f>
        <v>0</v>
      </c>
      <c r="BZ114" s="61"/>
      <c r="CA114" s="45">
        <f>'Filter-old'!R111</f>
        <v>0</v>
      </c>
      <c r="CB114" s="61">
        <f>'Filter-new'!R111</f>
        <v>0</v>
      </c>
      <c r="CC114" s="61"/>
      <c r="CD114" s="58"/>
      <c r="CE114" s="61">
        <f>'Filter-new'!R600</f>
        <v>0</v>
      </c>
      <c r="CF114" s="57"/>
      <c r="CG114" s="4"/>
    </row>
    <row r="115" spans="1:85" hidden="1" x14ac:dyDescent="0.2">
      <c r="A115">
        <v>0</v>
      </c>
      <c r="B115" s="59">
        <v>40210</v>
      </c>
      <c r="C115" s="59">
        <f>'Filter-new'!C112</f>
        <v>40210</v>
      </c>
      <c r="D115" s="60">
        <f t="shared" si="10"/>
        <v>2010</v>
      </c>
      <c r="E115" s="60">
        <f>VLOOKUP($C115,calendar!$A$2:$D$121,4,FALSE)*(1-(H115=0))</f>
        <v>320</v>
      </c>
      <c r="F115" s="60">
        <f>VLOOKUP($C115,calendar!$A$2:$D$121,3,FALSE)*(1-(I115=0))</f>
        <v>352</v>
      </c>
      <c r="G115" s="36">
        <f t="shared" si="11"/>
        <v>-32000</v>
      </c>
      <c r="H115" s="36">
        <f t="shared" si="12"/>
        <v>-21633.89</v>
      </c>
      <c r="I115" s="36">
        <f t="shared" si="13"/>
        <v>-18800</v>
      </c>
      <c r="J115" s="41"/>
      <c r="K115" s="45">
        <f>'Filter-old'!E112</f>
        <v>0</v>
      </c>
      <c r="L115" s="61">
        <f>'Filter-new'!E112</f>
        <v>10366.11</v>
      </c>
      <c r="M115" s="62"/>
      <c r="N115" s="62"/>
      <c r="O115" s="429">
        <f>'Filter-new'!E601</f>
        <v>0</v>
      </c>
      <c r="P115" s="62"/>
      <c r="Q115" s="45">
        <f>'Filter-old'!H112</f>
        <v>-32000</v>
      </c>
      <c r="R115" s="61">
        <f>'Filter-new'!H112</f>
        <v>-32000</v>
      </c>
      <c r="S115" s="62"/>
      <c r="T115" s="62"/>
      <c r="U115" s="445">
        <f>'Filter-new'!H601</f>
        <v>-18800</v>
      </c>
      <c r="V115" s="62"/>
      <c r="W115" s="45">
        <f>'Filter-old'!J112</f>
        <v>0</v>
      </c>
      <c r="X115" s="61">
        <f>'Filter-new'!J112</f>
        <v>0</v>
      </c>
      <c r="Y115" s="62"/>
      <c r="Z115" s="62"/>
      <c r="AA115" s="45">
        <f>'Filter-old'!F112</f>
        <v>0</v>
      </c>
      <c r="AB115" s="61">
        <f>'Filter-new'!F112</f>
        <v>0</v>
      </c>
      <c r="AC115" s="62"/>
      <c r="AD115" s="62"/>
      <c r="AE115" s="45">
        <f>'Filter-old'!P112</f>
        <v>0</v>
      </c>
      <c r="AF115" s="61">
        <f>'Filter-new'!P112</f>
        <v>0</v>
      </c>
      <c r="AG115" s="62"/>
      <c r="AH115" s="62"/>
      <c r="AI115" s="45">
        <f>'Filter-old'!L112</f>
        <v>0</v>
      </c>
      <c r="AJ115" s="61">
        <f>'Filter-new'!L112</f>
        <v>0</v>
      </c>
      <c r="AK115" s="62"/>
      <c r="AL115" s="62"/>
      <c r="AM115" s="62">
        <f>'Filter-new'!L601</f>
        <v>0</v>
      </c>
      <c r="AN115" s="62"/>
      <c r="AO115" s="45">
        <f>'Filter-old'!G112</f>
        <v>0</v>
      </c>
      <c r="AP115" s="61">
        <f>'Filter-new'!G112</f>
        <v>0</v>
      </c>
      <c r="AQ115" s="62"/>
      <c r="AR115" s="62"/>
      <c r="AS115" s="45"/>
      <c r="AT115" s="61"/>
      <c r="AU115" s="62"/>
      <c r="AV115" s="62"/>
      <c r="AW115" s="45">
        <f>'Filter-old'!I112</f>
        <v>0</v>
      </c>
      <c r="AX115" s="61">
        <f>'Filter-new'!I112</f>
        <v>0</v>
      </c>
      <c r="AY115" s="62"/>
      <c r="AZ115" s="62"/>
      <c r="BA115" s="62">
        <f>'Filter-new'!I601</f>
        <v>0</v>
      </c>
      <c r="BB115" s="62"/>
      <c r="BC115" s="45">
        <f>'Filter-old'!K112</f>
        <v>0</v>
      </c>
      <c r="BD115" s="61">
        <f>'Filter-new'!K112</f>
        <v>0</v>
      </c>
      <c r="BE115" s="62"/>
      <c r="BF115" s="62"/>
      <c r="BG115" s="45">
        <f>'Filter-old'!M112</f>
        <v>0</v>
      </c>
      <c r="BH115" s="62">
        <f>'Filter-new'!K601</f>
        <v>0</v>
      </c>
      <c r="BI115" s="61"/>
      <c r="BJ115" s="61">
        <f>'Filter-new'!M112</f>
        <v>0</v>
      </c>
      <c r="BK115" s="62"/>
      <c r="BL115" s="62"/>
      <c r="BM115" s="62"/>
      <c r="BN115" s="406">
        <f>'Filter-new'!N112</f>
        <v>0</v>
      </c>
      <c r="BO115" s="62"/>
      <c r="BP115" s="62"/>
      <c r="BQ115" s="45">
        <f>'Filter-old'!O112</f>
        <v>0</v>
      </c>
      <c r="BR115" s="61">
        <f>'Filter-new'!O112</f>
        <v>0</v>
      </c>
      <c r="BS115" s="62"/>
      <c r="BT115" s="62"/>
      <c r="BU115" s="45">
        <f>'Filter-old'!Q112</f>
        <v>0</v>
      </c>
      <c r="BV115" s="61">
        <f>'Filter-new'!Q112</f>
        <v>0</v>
      </c>
      <c r="BW115" s="61"/>
      <c r="BX115" s="61"/>
      <c r="BY115" s="61">
        <f>'Filter-new'!Q601</f>
        <v>0</v>
      </c>
      <c r="BZ115" s="61"/>
      <c r="CA115" s="45">
        <f>'Filter-old'!R112</f>
        <v>0</v>
      </c>
      <c r="CB115" s="61">
        <f>'Filter-new'!R112</f>
        <v>0</v>
      </c>
      <c r="CC115" s="61"/>
      <c r="CD115" s="58"/>
      <c r="CE115" s="61">
        <f>'Filter-new'!R601</f>
        <v>0</v>
      </c>
      <c r="CF115" s="57"/>
      <c r="CG115" s="4"/>
    </row>
    <row r="116" spans="1:85" hidden="1" x14ac:dyDescent="0.2">
      <c r="A116">
        <v>0</v>
      </c>
      <c r="B116" s="59">
        <v>40238</v>
      </c>
      <c r="C116" s="59">
        <f>'Filter-new'!C113</f>
        <v>40238</v>
      </c>
      <c r="D116" s="60">
        <f t="shared" si="10"/>
        <v>2010</v>
      </c>
      <c r="E116" s="60">
        <f>VLOOKUP($C116,calendar!$A$2:$D$121,4,FALSE)*(1-(H116=0))</f>
        <v>368</v>
      </c>
      <c r="F116" s="60">
        <f>VLOOKUP($C116,calendar!$A$2:$D$121,3,FALSE)*(1-(I116=0))</f>
        <v>376</v>
      </c>
      <c r="G116" s="36">
        <f t="shared" si="11"/>
        <v>-36800</v>
      </c>
      <c r="H116" s="36">
        <f t="shared" si="12"/>
        <v>-24941.89</v>
      </c>
      <c r="I116" s="36">
        <f t="shared" si="13"/>
        <v>-18350</v>
      </c>
      <c r="J116" s="41"/>
      <c r="K116" s="45">
        <f>'Filter-old'!E113</f>
        <v>0</v>
      </c>
      <c r="L116" s="61">
        <f>'Filter-new'!E113</f>
        <v>11858.11</v>
      </c>
      <c r="M116" s="62"/>
      <c r="N116" s="62"/>
      <c r="O116" s="429">
        <f>'Filter-new'!E602</f>
        <v>0</v>
      </c>
      <c r="P116" s="62"/>
      <c r="Q116" s="45">
        <f>'Filter-old'!H113</f>
        <v>-36800</v>
      </c>
      <c r="R116" s="61">
        <f>'Filter-new'!H113</f>
        <v>-36800</v>
      </c>
      <c r="S116" s="62"/>
      <c r="T116" s="62"/>
      <c r="U116" s="445">
        <f>'Filter-new'!H602</f>
        <v>-18350</v>
      </c>
      <c r="V116" s="62"/>
      <c r="W116" s="45">
        <f>'Filter-old'!J113</f>
        <v>0</v>
      </c>
      <c r="X116" s="61">
        <f>'Filter-new'!J113</f>
        <v>0</v>
      </c>
      <c r="Y116" s="62"/>
      <c r="Z116" s="62"/>
      <c r="AA116" s="45">
        <f>'Filter-old'!F113</f>
        <v>0</v>
      </c>
      <c r="AB116" s="61">
        <f>'Filter-new'!F113</f>
        <v>0</v>
      </c>
      <c r="AC116" s="62"/>
      <c r="AD116" s="62"/>
      <c r="AE116" s="45">
        <f>'Filter-old'!P113</f>
        <v>0</v>
      </c>
      <c r="AF116" s="61">
        <f>'Filter-new'!P113</f>
        <v>0</v>
      </c>
      <c r="AG116" s="62"/>
      <c r="AH116" s="62"/>
      <c r="AI116" s="45">
        <f>'Filter-old'!L113</f>
        <v>0</v>
      </c>
      <c r="AJ116" s="61">
        <f>'Filter-new'!L113</f>
        <v>0</v>
      </c>
      <c r="AK116" s="62"/>
      <c r="AL116" s="62"/>
      <c r="AM116" s="62">
        <f>'Filter-new'!L602</f>
        <v>0</v>
      </c>
      <c r="AN116" s="62"/>
      <c r="AO116" s="45">
        <f>'Filter-old'!G113</f>
        <v>0</v>
      </c>
      <c r="AP116" s="61">
        <f>'Filter-new'!G113</f>
        <v>0</v>
      </c>
      <c r="AQ116" s="62"/>
      <c r="AR116" s="62"/>
      <c r="AS116" s="45"/>
      <c r="AT116" s="61"/>
      <c r="AU116" s="62"/>
      <c r="AV116" s="62"/>
      <c r="AW116" s="45">
        <f>'Filter-old'!I113</f>
        <v>0</v>
      </c>
      <c r="AX116" s="61">
        <f>'Filter-new'!I113</f>
        <v>0</v>
      </c>
      <c r="AY116" s="62"/>
      <c r="AZ116" s="62"/>
      <c r="BA116" s="62">
        <f>'Filter-new'!I602</f>
        <v>0</v>
      </c>
      <c r="BB116" s="62"/>
      <c r="BC116" s="45">
        <f>'Filter-old'!K113</f>
        <v>0</v>
      </c>
      <c r="BD116" s="61">
        <f>'Filter-new'!K113</f>
        <v>0</v>
      </c>
      <c r="BE116" s="62"/>
      <c r="BF116" s="62"/>
      <c r="BG116" s="45">
        <f>'Filter-old'!M113</f>
        <v>0</v>
      </c>
      <c r="BH116" s="62">
        <f>'Filter-new'!K602</f>
        <v>0</v>
      </c>
      <c r="BI116" s="61"/>
      <c r="BJ116" s="61">
        <f>'Filter-new'!M113</f>
        <v>0</v>
      </c>
      <c r="BK116" s="62"/>
      <c r="BL116" s="62"/>
      <c r="BM116" s="62"/>
      <c r="BN116" s="406">
        <f>'Filter-new'!N113</f>
        <v>0</v>
      </c>
      <c r="BO116" s="62"/>
      <c r="BP116" s="62"/>
      <c r="BQ116" s="45">
        <f>'Filter-old'!O113</f>
        <v>0</v>
      </c>
      <c r="BR116" s="61">
        <f>'Filter-new'!O113</f>
        <v>0</v>
      </c>
      <c r="BS116" s="62"/>
      <c r="BT116" s="62"/>
      <c r="BU116" s="45">
        <f>'Filter-old'!Q113</f>
        <v>0</v>
      </c>
      <c r="BV116" s="61">
        <f>'Filter-new'!Q113</f>
        <v>0</v>
      </c>
      <c r="BW116" s="61"/>
      <c r="BX116" s="61"/>
      <c r="BY116" s="61">
        <f>'Filter-new'!Q602</f>
        <v>0</v>
      </c>
      <c r="BZ116" s="61"/>
      <c r="CA116" s="45">
        <f>'Filter-old'!R113</f>
        <v>0</v>
      </c>
      <c r="CB116" s="61">
        <f>'Filter-new'!R113</f>
        <v>0</v>
      </c>
      <c r="CC116" s="61"/>
      <c r="CD116" s="58"/>
      <c r="CE116" s="61">
        <f>'Filter-new'!R602</f>
        <v>0</v>
      </c>
      <c r="CF116" s="57"/>
      <c r="CG116" s="4"/>
    </row>
    <row r="117" spans="1:85" hidden="1" x14ac:dyDescent="0.2">
      <c r="A117">
        <v>0</v>
      </c>
      <c r="B117" s="59">
        <v>40269</v>
      </c>
      <c r="C117" s="59">
        <f>'Filter-new'!C114</f>
        <v>40269</v>
      </c>
      <c r="D117" s="60">
        <f t="shared" si="10"/>
        <v>2010</v>
      </c>
      <c r="E117" s="60">
        <f>VLOOKUP($C117,calendar!$A$2:$D$121,4,FALSE)*(1-(H117=0))</f>
        <v>352</v>
      </c>
      <c r="F117" s="60">
        <f>VLOOKUP($C117,calendar!$A$2:$D$121,3,FALSE)*(1-(I117=0))</f>
        <v>368</v>
      </c>
      <c r="G117" s="36">
        <f t="shared" si="11"/>
        <v>-35200</v>
      </c>
      <c r="H117" s="36">
        <f t="shared" si="12"/>
        <v>-23915.57</v>
      </c>
      <c r="I117" s="36">
        <f t="shared" si="13"/>
        <v>-21200</v>
      </c>
      <c r="J117" s="41"/>
      <c r="K117" s="45">
        <f>'Filter-old'!E114</f>
        <v>0</v>
      </c>
      <c r="L117" s="61">
        <f>'Filter-new'!E114</f>
        <v>11284.43</v>
      </c>
      <c r="M117" s="62"/>
      <c r="N117" s="62"/>
      <c r="O117" s="429">
        <f>'Filter-new'!E603</f>
        <v>0</v>
      </c>
      <c r="P117" s="62"/>
      <c r="Q117" s="45">
        <f>'Filter-old'!H114</f>
        <v>-35200</v>
      </c>
      <c r="R117" s="61">
        <f>'Filter-new'!H114</f>
        <v>-35200</v>
      </c>
      <c r="S117" s="62"/>
      <c r="T117" s="62"/>
      <c r="U117" s="445">
        <f>'Filter-new'!H603</f>
        <v>-21200</v>
      </c>
      <c r="V117" s="62"/>
      <c r="W117" s="45">
        <f>'Filter-old'!J114</f>
        <v>0</v>
      </c>
      <c r="X117" s="61">
        <f>'Filter-new'!J114</f>
        <v>0</v>
      </c>
      <c r="Y117" s="62"/>
      <c r="Z117" s="62"/>
      <c r="AA117" s="45">
        <f>'Filter-old'!F114</f>
        <v>0</v>
      </c>
      <c r="AB117" s="61">
        <f>'Filter-new'!F114</f>
        <v>0</v>
      </c>
      <c r="AC117" s="62"/>
      <c r="AD117" s="62"/>
      <c r="AE117" s="45">
        <f>'Filter-old'!P114</f>
        <v>0</v>
      </c>
      <c r="AF117" s="61">
        <f>'Filter-new'!P114</f>
        <v>0</v>
      </c>
      <c r="AG117" s="62"/>
      <c r="AH117" s="62"/>
      <c r="AI117" s="45">
        <f>'Filter-old'!L114</f>
        <v>0</v>
      </c>
      <c r="AJ117" s="61">
        <f>'Filter-new'!L114</f>
        <v>0</v>
      </c>
      <c r="AK117" s="62"/>
      <c r="AL117" s="62"/>
      <c r="AM117" s="62">
        <f>'Filter-new'!L603</f>
        <v>0</v>
      </c>
      <c r="AN117" s="62"/>
      <c r="AO117" s="45">
        <f>'Filter-old'!G114</f>
        <v>0</v>
      </c>
      <c r="AP117" s="61">
        <f>'Filter-new'!G114</f>
        <v>0</v>
      </c>
      <c r="AQ117" s="62"/>
      <c r="AR117" s="62"/>
      <c r="AS117" s="45"/>
      <c r="AT117" s="61"/>
      <c r="AU117" s="62"/>
      <c r="AV117" s="62"/>
      <c r="AW117" s="45">
        <f>'Filter-old'!I114</f>
        <v>0</v>
      </c>
      <c r="AX117" s="61">
        <f>'Filter-new'!I114</f>
        <v>0</v>
      </c>
      <c r="AY117" s="62"/>
      <c r="AZ117" s="62"/>
      <c r="BA117" s="62">
        <f>'Filter-new'!I603</f>
        <v>0</v>
      </c>
      <c r="BB117" s="62"/>
      <c r="BC117" s="45">
        <f>'Filter-old'!K114</f>
        <v>0</v>
      </c>
      <c r="BD117" s="61">
        <f>'Filter-new'!K114</f>
        <v>0</v>
      </c>
      <c r="BE117" s="62"/>
      <c r="BF117" s="62"/>
      <c r="BG117" s="45">
        <f>'Filter-old'!M114</f>
        <v>0</v>
      </c>
      <c r="BH117" s="62">
        <f>'Filter-new'!K603</f>
        <v>0</v>
      </c>
      <c r="BI117" s="61"/>
      <c r="BJ117" s="61">
        <f>'Filter-new'!M114</f>
        <v>0</v>
      </c>
      <c r="BK117" s="62"/>
      <c r="BL117" s="62"/>
      <c r="BM117" s="62"/>
      <c r="BN117" s="406">
        <f>'Filter-new'!N114</f>
        <v>0</v>
      </c>
      <c r="BO117" s="62"/>
      <c r="BP117" s="62"/>
      <c r="BQ117" s="45">
        <f>'Filter-old'!O114</f>
        <v>0</v>
      </c>
      <c r="BR117" s="61">
        <f>'Filter-new'!O114</f>
        <v>0</v>
      </c>
      <c r="BS117" s="62"/>
      <c r="BT117" s="62"/>
      <c r="BU117" s="45">
        <f>'Filter-old'!Q114</f>
        <v>0</v>
      </c>
      <c r="BV117" s="61">
        <f>'Filter-new'!Q114</f>
        <v>0</v>
      </c>
      <c r="BW117" s="61"/>
      <c r="BX117" s="61"/>
      <c r="BY117" s="61">
        <f>'Filter-new'!Q603</f>
        <v>0</v>
      </c>
      <c r="BZ117" s="61"/>
      <c r="CA117" s="45">
        <f>'Filter-old'!R114</f>
        <v>0</v>
      </c>
      <c r="CB117" s="61">
        <f>'Filter-new'!R114</f>
        <v>0</v>
      </c>
      <c r="CC117" s="61"/>
      <c r="CD117" s="58"/>
      <c r="CE117" s="61">
        <f>'Filter-new'!R603</f>
        <v>0</v>
      </c>
      <c r="CF117" s="57"/>
      <c r="CG117" s="4"/>
    </row>
    <row r="118" spans="1:85" hidden="1" x14ac:dyDescent="0.2">
      <c r="A118">
        <v>0</v>
      </c>
      <c r="B118" s="59">
        <v>40299</v>
      </c>
      <c r="C118" s="59">
        <f>'Filter-new'!C115</f>
        <v>40299</v>
      </c>
      <c r="D118" s="60">
        <f t="shared" si="10"/>
        <v>2010</v>
      </c>
      <c r="E118" s="60">
        <f>VLOOKUP($C118,calendar!$A$2:$D$121,4,FALSE)*(1-(H118=0))</f>
        <v>320</v>
      </c>
      <c r="F118" s="60">
        <f>VLOOKUP($C118,calendar!$A$2:$D$121,3,FALSE)*(1-(I118=0))</f>
        <v>424</v>
      </c>
      <c r="G118" s="36">
        <f t="shared" si="11"/>
        <v>-32000</v>
      </c>
      <c r="H118" s="36">
        <f t="shared" si="12"/>
        <v>-21795.91</v>
      </c>
      <c r="I118" s="36">
        <f t="shared" si="13"/>
        <v>-18400</v>
      </c>
      <c r="J118" s="41"/>
      <c r="K118" s="45">
        <f>'Filter-old'!E115</f>
        <v>0</v>
      </c>
      <c r="L118" s="61">
        <f>'Filter-new'!E115</f>
        <v>10204.09</v>
      </c>
      <c r="M118" s="62"/>
      <c r="N118" s="62"/>
      <c r="O118" s="429">
        <f>'Filter-new'!E604</f>
        <v>0</v>
      </c>
      <c r="P118" s="62"/>
      <c r="Q118" s="45">
        <f>'Filter-old'!H115</f>
        <v>-32000</v>
      </c>
      <c r="R118" s="61">
        <f>'Filter-new'!H115</f>
        <v>-32000</v>
      </c>
      <c r="S118" s="62"/>
      <c r="T118" s="62"/>
      <c r="U118" s="445">
        <f>'Filter-new'!H604</f>
        <v>-18400</v>
      </c>
      <c r="V118" s="62"/>
      <c r="W118" s="45">
        <f>'Filter-old'!J115</f>
        <v>0</v>
      </c>
      <c r="X118" s="61">
        <f>'Filter-new'!J115</f>
        <v>0</v>
      </c>
      <c r="Y118" s="62"/>
      <c r="Z118" s="62"/>
      <c r="AA118" s="45">
        <f>'Filter-old'!F115</f>
        <v>0</v>
      </c>
      <c r="AB118" s="61">
        <f>'Filter-new'!F115</f>
        <v>0</v>
      </c>
      <c r="AC118" s="62"/>
      <c r="AD118" s="62"/>
      <c r="AE118" s="45">
        <f>'Filter-old'!P115</f>
        <v>0</v>
      </c>
      <c r="AF118" s="61">
        <f>'Filter-new'!P115</f>
        <v>0</v>
      </c>
      <c r="AG118" s="62"/>
      <c r="AH118" s="62"/>
      <c r="AI118" s="45">
        <f>'Filter-old'!L115</f>
        <v>0</v>
      </c>
      <c r="AJ118" s="61">
        <f>'Filter-new'!L115</f>
        <v>0</v>
      </c>
      <c r="AK118" s="62"/>
      <c r="AL118" s="62"/>
      <c r="AM118" s="62">
        <f>'Filter-new'!L604</f>
        <v>0</v>
      </c>
      <c r="AN118" s="62"/>
      <c r="AO118" s="45">
        <f>'Filter-old'!G115</f>
        <v>0</v>
      </c>
      <c r="AP118" s="61">
        <f>'Filter-new'!G115</f>
        <v>0</v>
      </c>
      <c r="AQ118" s="62"/>
      <c r="AR118" s="62"/>
      <c r="AS118" s="45"/>
      <c r="AT118" s="61"/>
      <c r="AU118" s="62"/>
      <c r="AV118" s="62"/>
      <c r="AW118" s="45">
        <f>'Filter-old'!I115</f>
        <v>0</v>
      </c>
      <c r="AX118" s="61">
        <f>'Filter-new'!I115</f>
        <v>0</v>
      </c>
      <c r="AY118" s="62"/>
      <c r="AZ118" s="62"/>
      <c r="BA118" s="62">
        <f>'Filter-new'!I604</f>
        <v>0</v>
      </c>
      <c r="BB118" s="62"/>
      <c r="BC118" s="45">
        <f>'Filter-old'!K115</f>
        <v>0</v>
      </c>
      <c r="BD118" s="61">
        <f>'Filter-new'!K115</f>
        <v>0</v>
      </c>
      <c r="BE118" s="62"/>
      <c r="BF118" s="62"/>
      <c r="BG118" s="45">
        <f>'Filter-old'!M115</f>
        <v>0</v>
      </c>
      <c r="BH118" s="62">
        <f>'Filter-new'!K604</f>
        <v>0</v>
      </c>
      <c r="BI118" s="61"/>
      <c r="BJ118" s="61">
        <f>'Filter-new'!M115</f>
        <v>0</v>
      </c>
      <c r="BK118" s="62"/>
      <c r="BL118" s="62"/>
      <c r="BM118" s="62"/>
      <c r="BN118" s="406">
        <f>'Filter-new'!N115</f>
        <v>0</v>
      </c>
      <c r="BO118" s="62"/>
      <c r="BP118" s="62"/>
      <c r="BQ118" s="45">
        <f>'Filter-old'!O115</f>
        <v>0</v>
      </c>
      <c r="BR118" s="61">
        <f>'Filter-new'!O115</f>
        <v>0</v>
      </c>
      <c r="BS118" s="62"/>
      <c r="BT118" s="62"/>
      <c r="BU118" s="45">
        <f>'Filter-old'!Q115</f>
        <v>0</v>
      </c>
      <c r="BV118" s="61">
        <f>'Filter-new'!Q115</f>
        <v>0</v>
      </c>
      <c r="BW118" s="61"/>
      <c r="BX118" s="61"/>
      <c r="BY118" s="61">
        <f>'Filter-new'!Q604</f>
        <v>0</v>
      </c>
      <c r="BZ118" s="61"/>
      <c r="CA118" s="45">
        <f>'Filter-old'!R115</f>
        <v>0</v>
      </c>
      <c r="CB118" s="61">
        <f>'Filter-new'!R115</f>
        <v>0</v>
      </c>
      <c r="CC118" s="61"/>
      <c r="CD118" s="58"/>
      <c r="CE118" s="61">
        <f>'Filter-new'!R604</f>
        <v>0</v>
      </c>
      <c r="CF118" s="57"/>
      <c r="CG118" s="4"/>
    </row>
    <row r="119" spans="1:85" hidden="1" x14ac:dyDescent="0.2">
      <c r="A119">
        <v>0</v>
      </c>
      <c r="B119" s="59">
        <v>40330</v>
      </c>
      <c r="C119" s="59">
        <f>'Filter-new'!C116</f>
        <v>40330</v>
      </c>
      <c r="D119" s="60">
        <f t="shared" si="10"/>
        <v>2010</v>
      </c>
      <c r="E119" s="60">
        <f>VLOOKUP($C119,calendar!$A$2:$D$121,4,FALSE)*(1-(H119=0))</f>
        <v>352</v>
      </c>
      <c r="F119" s="60">
        <f>VLOOKUP($C119,calendar!$A$2:$D$121,3,FALSE)*(1-(I119=0))</f>
        <v>368</v>
      </c>
      <c r="G119" s="36">
        <f t="shared" si="11"/>
        <v>-35200</v>
      </c>
      <c r="H119" s="36">
        <f t="shared" si="12"/>
        <v>-24033.379999999997</v>
      </c>
      <c r="I119" s="36">
        <f t="shared" si="13"/>
        <v>-20400</v>
      </c>
      <c r="J119" s="41"/>
      <c r="K119" s="45">
        <f>'Filter-old'!E116</f>
        <v>0</v>
      </c>
      <c r="L119" s="61">
        <f>'Filter-new'!E116</f>
        <v>11166.62</v>
      </c>
      <c r="M119" s="62"/>
      <c r="N119" s="62"/>
      <c r="O119" s="429">
        <f>'Filter-new'!E605</f>
        <v>0</v>
      </c>
      <c r="P119" s="62"/>
      <c r="Q119" s="45">
        <f>'Filter-old'!H116</f>
        <v>-35200</v>
      </c>
      <c r="R119" s="61">
        <f>'Filter-new'!H116</f>
        <v>-35200</v>
      </c>
      <c r="S119" s="62"/>
      <c r="T119" s="62"/>
      <c r="U119" s="445">
        <f>'Filter-new'!H605</f>
        <v>-20400</v>
      </c>
      <c r="V119" s="62"/>
      <c r="W119" s="45">
        <f>'Filter-old'!J116</f>
        <v>0</v>
      </c>
      <c r="X119" s="61">
        <f>'Filter-new'!J116</f>
        <v>0</v>
      </c>
      <c r="Y119" s="62"/>
      <c r="Z119" s="62"/>
      <c r="AA119" s="45">
        <f>'Filter-old'!F116</f>
        <v>0</v>
      </c>
      <c r="AB119" s="61">
        <f>'Filter-new'!F116</f>
        <v>0</v>
      </c>
      <c r="AC119" s="62"/>
      <c r="AD119" s="62"/>
      <c r="AE119" s="45">
        <f>'Filter-old'!P116</f>
        <v>0</v>
      </c>
      <c r="AF119" s="61">
        <f>'Filter-new'!P116</f>
        <v>0</v>
      </c>
      <c r="AG119" s="62"/>
      <c r="AH119" s="62"/>
      <c r="AI119" s="45">
        <f>'Filter-old'!L116</f>
        <v>0</v>
      </c>
      <c r="AJ119" s="61">
        <f>'Filter-new'!L116</f>
        <v>0</v>
      </c>
      <c r="AK119" s="62"/>
      <c r="AL119" s="62"/>
      <c r="AM119" s="62">
        <f>'Filter-new'!L605</f>
        <v>0</v>
      </c>
      <c r="AN119" s="62"/>
      <c r="AO119" s="45">
        <f>'Filter-old'!G116</f>
        <v>0</v>
      </c>
      <c r="AP119" s="61">
        <f>'Filter-new'!G116</f>
        <v>0</v>
      </c>
      <c r="AQ119" s="62"/>
      <c r="AR119" s="62"/>
      <c r="AS119" s="45"/>
      <c r="AT119" s="61"/>
      <c r="AU119" s="62"/>
      <c r="AV119" s="62"/>
      <c r="AW119" s="45">
        <f>'Filter-old'!I116</f>
        <v>0</v>
      </c>
      <c r="AX119" s="61">
        <f>'Filter-new'!I116</f>
        <v>0</v>
      </c>
      <c r="AY119" s="62"/>
      <c r="AZ119" s="62"/>
      <c r="BA119" s="62">
        <f>'Filter-new'!I605</f>
        <v>0</v>
      </c>
      <c r="BB119" s="62"/>
      <c r="BC119" s="45">
        <f>'Filter-old'!K116</f>
        <v>0</v>
      </c>
      <c r="BD119" s="61">
        <f>'Filter-new'!K116</f>
        <v>0</v>
      </c>
      <c r="BE119" s="62"/>
      <c r="BF119" s="62"/>
      <c r="BG119" s="45">
        <f>'Filter-old'!M116</f>
        <v>0</v>
      </c>
      <c r="BH119" s="62">
        <f>'Filter-new'!K605</f>
        <v>0</v>
      </c>
      <c r="BI119" s="61"/>
      <c r="BJ119" s="61">
        <f>'Filter-new'!M116</f>
        <v>0</v>
      </c>
      <c r="BK119" s="62"/>
      <c r="BL119" s="62"/>
      <c r="BM119" s="62"/>
      <c r="BN119" s="406">
        <f>'Filter-new'!N116</f>
        <v>0</v>
      </c>
      <c r="BO119" s="62"/>
      <c r="BP119" s="62"/>
      <c r="BQ119" s="45">
        <f>'Filter-old'!O116</f>
        <v>0</v>
      </c>
      <c r="BR119" s="61">
        <f>'Filter-new'!O116</f>
        <v>0</v>
      </c>
      <c r="BS119" s="62"/>
      <c r="BT119" s="62"/>
      <c r="BU119" s="45">
        <f>'Filter-old'!Q116</f>
        <v>0</v>
      </c>
      <c r="BV119" s="61">
        <f>'Filter-new'!Q116</f>
        <v>0</v>
      </c>
      <c r="BW119" s="61"/>
      <c r="BX119" s="61"/>
      <c r="BY119" s="61">
        <f>'Filter-new'!Q605</f>
        <v>0</v>
      </c>
      <c r="BZ119" s="61"/>
      <c r="CA119" s="45">
        <f>'Filter-old'!R116</f>
        <v>0</v>
      </c>
      <c r="CB119" s="61">
        <f>'Filter-new'!R116</f>
        <v>0</v>
      </c>
      <c r="CC119" s="61"/>
      <c r="CD119" s="58"/>
      <c r="CE119" s="61">
        <f>'Filter-new'!R605</f>
        <v>0</v>
      </c>
      <c r="CF119" s="57"/>
      <c r="CG119" s="4"/>
    </row>
    <row r="120" spans="1:85" hidden="1" x14ac:dyDescent="0.2">
      <c r="A120">
        <v>0</v>
      </c>
      <c r="B120" s="59">
        <v>40360</v>
      </c>
      <c r="C120" s="59">
        <f>'Filter-new'!C117</f>
        <v>40360</v>
      </c>
      <c r="D120" s="60">
        <f t="shared" si="10"/>
        <v>2010</v>
      </c>
      <c r="E120" s="60">
        <f>VLOOKUP($C120,calendar!$A$2:$D$121,4,FALSE)*(1-(H120=0))</f>
        <v>336</v>
      </c>
      <c r="F120" s="60">
        <f>VLOOKUP($C120,calendar!$A$2:$D$121,3,FALSE)*(1-(I120=0))</f>
        <v>408</v>
      </c>
      <c r="G120" s="36">
        <f t="shared" si="11"/>
        <v>-33600</v>
      </c>
      <c r="H120" s="36">
        <f t="shared" si="12"/>
        <v>-22997.91</v>
      </c>
      <c r="I120" s="36">
        <f t="shared" si="13"/>
        <v>-19600</v>
      </c>
      <c r="J120" s="41"/>
      <c r="K120" s="45">
        <f>'Filter-old'!E117</f>
        <v>0</v>
      </c>
      <c r="L120" s="61">
        <f>'Filter-new'!E117</f>
        <v>10602.09</v>
      </c>
      <c r="M120" s="62"/>
      <c r="N120" s="62"/>
      <c r="O120" s="429">
        <f>'Filter-new'!E606</f>
        <v>0</v>
      </c>
      <c r="P120" s="62"/>
      <c r="Q120" s="45">
        <f>'Filter-old'!H117</f>
        <v>-33600</v>
      </c>
      <c r="R120" s="61">
        <f>'Filter-new'!H117</f>
        <v>-33600</v>
      </c>
      <c r="S120" s="62"/>
      <c r="T120" s="62"/>
      <c r="U120" s="445">
        <f>'Filter-new'!H606</f>
        <v>-19600</v>
      </c>
      <c r="V120" s="62"/>
      <c r="W120" s="45">
        <f>'Filter-old'!J117</f>
        <v>0</v>
      </c>
      <c r="X120" s="61">
        <f>'Filter-new'!J117</f>
        <v>0</v>
      </c>
      <c r="Y120" s="62"/>
      <c r="Z120" s="62"/>
      <c r="AA120" s="45">
        <f>'Filter-old'!F117</f>
        <v>0</v>
      </c>
      <c r="AB120" s="61">
        <f>'Filter-new'!F117</f>
        <v>0</v>
      </c>
      <c r="AC120" s="62"/>
      <c r="AD120" s="62"/>
      <c r="AE120" s="45">
        <f>'Filter-old'!P117</f>
        <v>0</v>
      </c>
      <c r="AF120" s="61">
        <f>'Filter-new'!P117</f>
        <v>0</v>
      </c>
      <c r="AG120" s="62"/>
      <c r="AH120" s="62"/>
      <c r="AI120" s="45">
        <f>'Filter-old'!L117</f>
        <v>0</v>
      </c>
      <c r="AJ120" s="61">
        <f>'Filter-new'!L117</f>
        <v>0</v>
      </c>
      <c r="AK120" s="62"/>
      <c r="AL120" s="62"/>
      <c r="AM120" s="62">
        <f>'Filter-new'!L606</f>
        <v>0</v>
      </c>
      <c r="AN120" s="62"/>
      <c r="AO120" s="45">
        <f>'Filter-old'!G117</f>
        <v>0</v>
      </c>
      <c r="AP120" s="61">
        <f>'Filter-new'!G117</f>
        <v>0</v>
      </c>
      <c r="AQ120" s="62"/>
      <c r="AR120" s="62"/>
      <c r="AS120" s="45"/>
      <c r="AT120" s="61"/>
      <c r="AU120" s="62"/>
      <c r="AV120" s="62"/>
      <c r="AW120" s="45">
        <f>'Filter-old'!I117</f>
        <v>0</v>
      </c>
      <c r="AX120" s="61">
        <f>'Filter-new'!I117</f>
        <v>0</v>
      </c>
      <c r="AY120" s="62"/>
      <c r="AZ120" s="62"/>
      <c r="BA120" s="62">
        <f>'Filter-new'!I606</f>
        <v>0</v>
      </c>
      <c r="BB120" s="62"/>
      <c r="BC120" s="45">
        <f>'Filter-old'!K117</f>
        <v>0</v>
      </c>
      <c r="BD120" s="61">
        <f>'Filter-new'!K117</f>
        <v>0</v>
      </c>
      <c r="BE120" s="62"/>
      <c r="BF120" s="62"/>
      <c r="BG120" s="45">
        <f>'Filter-old'!M117</f>
        <v>0</v>
      </c>
      <c r="BH120" s="62">
        <f>'Filter-new'!K606</f>
        <v>0</v>
      </c>
      <c r="BI120" s="61"/>
      <c r="BJ120" s="61">
        <f>'Filter-new'!M117</f>
        <v>0</v>
      </c>
      <c r="BK120" s="62"/>
      <c r="BL120" s="62"/>
      <c r="BM120" s="62"/>
      <c r="BN120" s="406">
        <f>'Filter-new'!N117</f>
        <v>0</v>
      </c>
      <c r="BO120" s="62"/>
      <c r="BP120" s="62"/>
      <c r="BQ120" s="45">
        <f>'Filter-old'!O117</f>
        <v>0</v>
      </c>
      <c r="BR120" s="61">
        <f>'Filter-new'!O117</f>
        <v>0</v>
      </c>
      <c r="BS120" s="62"/>
      <c r="BT120" s="62"/>
      <c r="BU120" s="45">
        <f>'Filter-old'!Q117</f>
        <v>0</v>
      </c>
      <c r="BV120" s="61">
        <f>'Filter-new'!Q117</f>
        <v>0</v>
      </c>
      <c r="BW120" s="61"/>
      <c r="BX120" s="61"/>
      <c r="BY120" s="61">
        <f>'Filter-new'!Q606</f>
        <v>0</v>
      </c>
      <c r="BZ120" s="61"/>
      <c r="CA120" s="45">
        <f>'Filter-old'!R117</f>
        <v>0</v>
      </c>
      <c r="CB120" s="61">
        <f>'Filter-new'!R117</f>
        <v>0</v>
      </c>
      <c r="CC120" s="61"/>
      <c r="CD120" s="58"/>
      <c r="CE120" s="61">
        <f>'Filter-new'!R606</f>
        <v>0</v>
      </c>
      <c r="CF120" s="57"/>
      <c r="CG120" s="4"/>
    </row>
    <row r="121" spans="1:85" hidden="1" x14ac:dyDescent="0.2">
      <c r="A121">
        <v>0</v>
      </c>
      <c r="B121" s="59">
        <v>40391</v>
      </c>
      <c r="C121" s="59">
        <f>'Filter-new'!C118</f>
        <v>40391</v>
      </c>
      <c r="D121" s="60">
        <f t="shared" si="10"/>
        <v>2010</v>
      </c>
      <c r="E121" s="60">
        <f>VLOOKUP($C121,calendar!$A$2:$D$121,4,FALSE)*(1-(H121=0))</f>
        <v>352</v>
      </c>
      <c r="F121" s="60">
        <f>VLOOKUP($C121,calendar!$A$2:$D$121,3,FALSE)*(1-(I121=0))</f>
        <v>392</v>
      </c>
      <c r="G121" s="36">
        <f t="shared" si="11"/>
        <v>-35200</v>
      </c>
      <c r="H121" s="36">
        <f t="shared" si="12"/>
        <v>-24152.6</v>
      </c>
      <c r="I121" s="36">
        <f t="shared" si="13"/>
        <v>-19200</v>
      </c>
      <c r="J121" s="41"/>
      <c r="K121" s="45">
        <f>'Filter-old'!E118</f>
        <v>0</v>
      </c>
      <c r="L121" s="61">
        <f>'Filter-new'!E118</f>
        <v>11047.4</v>
      </c>
      <c r="M121" s="62"/>
      <c r="N121" s="62"/>
      <c r="O121" s="429">
        <f>'Filter-new'!E607</f>
        <v>0</v>
      </c>
      <c r="P121" s="62"/>
      <c r="Q121" s="45">
        <f>'Filter-old'!H118</f>
        <v>-35200</v>
      </c>
      <c r="R121" s="61">
        <f>'Filter-new'!H118</f>
        <v>-35200</v>
      </c>
      <c r="S121" s="62"/>
      <c r="T121" s="62"/>
      <c r="U121" s="445">
        <f>'Filter-new'!H607</f>
        <v>-19200</v>
      </c>
      <c r="V121" s="62"/>
      <c r="W121" s="45">
        <f>'Filter-old'!J118</f>
        <v>0</v>
      </c>
      <c r="X121" s="61">
        <f>'Filter-new'!J118</f>
        <v>0</v>
      </c>
      <c r="Y121" s="62"/>
      <c r="Z121" s="62"/>
      <c r="AA121" s="45">
        <f>'Filter-old'!F118</f>
        <v>0</v>
      </c>
      <c r="AB121" s="61">
        <f>'Filter-new'!F118</f>
        <v>0</v>
      </c>
      <c r="AC121" s="62"/>
      <c r="AD121" s="62"/>
      <c r="AE121" s="45">
        <f>'Filter-old'!P118</f>
        <v>0</v>
      </c>
      <c r="AF121" s="61">
        <f>'Filter-new'!P118</f>
        <v>0</v>
      </c>
      <c r="AG121" s="62"/>
      <c r="AH121" s="62"/>
      <c r="AI121" s="45">
        <f>'Filter-old'!L118</f>
        <v>0</v>
      </c>
      <c r="AJ121" s="61">
        <f>'Filter-new'!L118</f>
        <v>0</v>
      </c>
      <c r="AK121" s="62"/>
      <c r="AL121" s="62"/>
      <c r="AM121" s="62">
        <f>'Filter-new'!L607</f>
        <v>0</v>
      </c>
      <c r="AN121" s="62"/>
      <c r="AO121" s="45">
        <f>'Filter-old'!G118</f>
        <v>0</v>
      </c>
      <c r="AP121" s="61">
        <f>'Filter-new'!G118</f>
        <v>0</v>
      </c>
      <c r="AQ121" s="62"/>
      <c r="AR121" s="62"/>
      <c r="AS121" s="45"/>
      <c r="AT121" s="61"/>
      <c r="AU121" s="62"/>
      <c r="AV121" s="62"/>
      <c r="AW121" s="45">
        <f>'Filter-old'!I118</f>
        <v>0</v>
      </c>
      <c r="AX121" s="61">
        <f>'Filter-new'!I118</f>
        <v>0</v>
      </c>
      <c r="AY121" s="62"/>
      <c r="AZ121" s="62"/>
      <c r="BA121" s="62">
        <f>'Filter-new'!I607</f>
        <v>0</v>
      </c>
      <c r="BB121" s="62"/>
      <c r="BC121" s="45">
        <f>'Filter-old'!K118</f>
        <v>0</v>
      </c>
      <c r="BD121" s="61">
        <f>'Filter-new'!K118</f>
        <v>0</v>
      </c>
      <c r="BE121" s="62"/>
      <c r="BF121" s="62"/>
      <c r="BG121" s="45">
        <f>'Filter-old'!M118</f>
        <v>0</v>
      </c>
      <c r="BH121" s="62">
        <f>'Filter-new'!K607</f>
        <v>0</v>
      </c>
      <c r="BI121" s="61"/>
      <c r="BJ121" s="61">
        <f>'Filter-new'!M118</f>
        <v>0</v>
      </c>
      <c r="BK121" s="62"/>
      <c r="BL121" s="62"/>
      <c r="BM121" s="62"/>
      <c r="BN121" s="406">
        <f>'Filter-new'!N118</f>
        <v>0</v>
      </c>
      <c r="BO121" s="62"/>
      <c r="BP121" s="62"/>
      <c r="BQ121" s="45">
        <f>'Filter-old'!O118</f>
        <v>0</v>
      </c>
      <c r="BR121" s="61">
        <f>'Filter-new'!O118</f>
        <v>0</v>
      </c>
      <c r="BS121" s="62"/>
      <c r="BT121" s="62"/>
      <c r="BU121" s="45">
        <f>'Filter-old'!Q118</f>
        <v>0</v>
      </c>
      <c r="BV121" s="61">
        <f>'Filter-new'!Q118</f>
        <v>0</v>
      </c>
      <c r="BW121" s="61"/>
      <c r="BX121" s="61"/>
      <c r="BY121" s="61">
        <f>'Filter-new'!Q607</f>
        <v>0</v>
      </c>
      <c r="BZ121" s="61"/>
      <c r="CA121" s="45">
        <f>'Filter-old'!R118</f>
        <v>0</v>
      </c>
      <c r="CB121" s="61">
        <f>'Filter-new'!R118</f>
        <v>0</v>
      </c>
      <c r="CC121" s="61"/>
      <c r="CD121" s="58"/>
      <c r="CE121" s="61">
        <f>'Filter-new'!R607</f>
        <v>0</v>
      </c>
      <c r="CF121" s="57"/>
      <c r="CG121" s="4"/>
    </row>
    <row r="122" spans="1:85" hidden="1" x14ac:dyDescent="0.2">
      <c r="A122">
        <v>0</v>
      </c>
      <c r="B122" s="59">
        <v>40422</v>
      </c>
      <c r="C122" s="59">
        <f>'Filter-new'!C119</f>
        <v>40422</v>
      </c>
      <c r="D122" s="60">
        <f t="shared" si="10"/>
        <v>2010</v>
      </c>
      <c r="E122" s="60">
        <f>VLOOKUP($C122,calendar!$A$2:$D$121,4,FALSE)*(1-(H122=0))</f>
        <v>336</v>
      </c>
      <c r="F122" s="60">
        <f>VLOOKUP($C122,calendar!$A$2:$D$121,3,FALSE)*(1-(I122=0))</f>
        <v>384</v>
      </c>
      <c r="G122" s="36">
        <f t="shared" si="11"/>
        <v>-33600</v>
      </c>
      <c r="H122" s="36">
        <f t="shared" si="12"/>
        <v>-23109.65</v>
      </c>
      <c r="I122" s="36">
        <f t="shared" si="13"/>
        <v>-20450</v>
      </c>
      <c r="J122" s="41"/>
      <c r="K122" s="45">
        <f>'Filter-old'!E119</f>
        <v>0</v>
      </c>
      <c r="L122" s="61">
        <f>'Filter-new'!E119</f>
        <v>10490.35</v>
      </c>
      <c r="M122" s="62"/>
      <c r="N122" s="62"/>
      <c r="O122" s="429">
        <f>'Filter-new'!E608</f>
        <v>0</v>
      </c>
      <c r="P122" s="62"/>
      <c r="Q122" s="45">
        <f>'Filter-old'!H119</f>
        <v>-33600</v>
      </c>
      <c r="R122" s="61">
        <f>'Filter-new'!H119</f>
        <v>-33600</v>
      </c>
      <c r="S122" s="62"/>
      <c r="T122" s="62"/>
      <c r="U122" s="445">
        <f>'Filter-new'!H608</f>
        <v>-20450</v>
      </c>
      <c r="V122" s="62"/>
      <c r="W122" s="45">
        <f>'Filter-old'!J119</f>
        <v>0</v>
      </c>
      <c r="X122" s="61">
        <f>'Filter-new'!J119</f>
        <v>0</v>
      </c>
      <c r="Y122" s="62"/>
      <c r="Z122" s="62"/>
      <c r="AA122" s="45">
        <f>'Filter-old'!F119</f>
        <v>0</v>
      </c>
      <c r="AB122" s="61">
        <f>'Filter-new'!F119</f>
        <v>0</v>
      </c>
      <c r="AC122" s="62"/>
      <c r="AD122" s="62"/>
      <c r="AE122" s="45">
        <f>'Filter-old'!P119</f>
        <v>0</v>
      </c>
      <c r="AF122" s="61">
        <f>'Filter-new'!P119</f>
        <v>0</v>
      </c>
      <c r="AG122" s="62"/>
      <c r="AH122" s="62"/>
      <c r="AI122" s="45">
        <f>'Filter-old'!L119</f>
        <v>0</v>
      </c>
      <c r="AJ122" s="61">
        <f>'Filter-new'!L119</f>
        <v>0</v>
      </c>
      <c r="AK122" s="62"/>
      <c r="AL122" s="62"/>
      <c r="AM122" s="62">
        <f>'Filter-new'!L608</f>
        <v>0</v>
      </c>
      <c r="AN122" s="62"/>
      <c r="AO122" s="45">
        <f>'Filter-old'!G119</f>
        <v>0</v>
      </c>
      <c r="AP122" s="61">
        <f>'Filter-new'!G119</f>
        <v>0</v>
      </c>
      <c r="AQ122" s="62"/>
      <c r="AR122" s="62"/>
      <c r="AS122" s="45"/>
      <c r="AT122" s="61"/>
      <c r="AU122" s="62"/>
      <c r="AV122" s="62"/>
      <c r="AW122" s="45">
        <f>'Filter-old'!I119</f>
        <v>0</v>
      </c>
      <c r="AX122" s="61">
        <f>'Filter-new'!I119</f>
        <v>0</v>
      </c>
      <c r="AY122" s="62"/>
      <c r="AZ122" s="62"/>
      <c r="BA122" s="62">
        <f>'Filter-new'!I608</f>
        <v>0</v>
      </c>
      <c r="BB122" s="62"/>
      <c r="BC122" s="45">
        <f>'Filter-old'!K119</f>
        <v>0</v>
      </c>
      <c r="BD122" s="61">
        <f>'Filter-new'!K119</f>
        <v>0</v>
      </c>
      <c r="BE122" s="62"/>
      <c r="BF122" s="62"/>
      <c r="BG122" s="45">
        <f>'Filter-old'!M119</f>
        <v>0</v>
      </c>
      <c r="BH122" s="62">
        <f>'Filter-new'!K608</f>
        <v>0</v>
      </c>
      <c r="BI122" s="61"/>
      <c r="BJ122" s="61">
        <f>'Filter-new'!M119</f>
        <v>0</v>
      </c>
      <c r="BK122" s="62"/>
      <c r="BL122" s="62"/>
      <c r="BM122" s="62"/>
      <c r="BN122" s="406">
        <f>'Filter-new'!N119</f>
        <v>0</v>
      </c>
      <c r="BO122" s="62"/>
      <c r="BP122" s="62"/>
      <c r="BQ122" s="45">
        <f>'Filter-old'!O119</f>
        <v>0</v>
      </c>
      <c r="BR122" s="61">
        <f>'Filter-new'!O119</f>
        <v>0</v>
      </c>
      <c r="BS122" s="62"/>
      <c r="BT122" s="62"/>
      <c r="BU122" s="45">
        <f>'Filter-old'!Q119</f>
        <v>0</v>
      </c>
      <c r="BV122" s="61">
        <f>'Filter-new'!Q119</f>
        <v>0</v>
      </c>
      <c r="BW122" s="61"/>
      <c r="BX122" s="61"/>
      <c r="BY122" s="61">
        <f>'Filter-new'!Q608</f>
        <v>0</v>
      </c>
      <c r="BZ122" s="61"/>
      <c r="CA122" s="45">
        <f>'Filter-old'!R119</f>
        <v>0</v>
      </c>
      <c r="CB122" s="61">
        <f>'Filter-new'!R119</f>
        <v>0</v>
      </c>
      <c r="CC122" s="61"/>
      <c r="CD122" s="58"/>
      <c r="CE122" s="61">
        <f>'Filter-new'!R608</f>
        <v>0</v>
      </c>
      <c r="CF122" s="57"/>
      <c r="CG122" s="4"/>
    </row>
    <row r="123" spans="1:85" hidden="1" x14ac:dyDescent="0.2">
      <c r="A123">
        <v>0</v>
      </c>
      <c r="B123" s="59">
        <v>40452</v>
      </c>
      <c r="C123" s="59">
        <f>'Filter-new'!C120</f>
        <v>40452</v>
      </c>
      <c r="D123" s="60">
        <f t="shared" si="10"/>
        <v>2010</v>
      </c>
      <c r="E123" s="60">
        <f>VLOOKUP($C123,calendar!$A$2:$D$121,4,FALSE)*(1-(H123=0))</f>
        <v>336</v>
      </c>
      <c r="F123" s="60">
        <f>VLOOKUP($C123,calendar!$A$2:$D$121,3,FALSE)*(1-(I123=0))</f>
        <v>408</v>
      </c>
      <c r="G123" s="36">
        <f t="shared" si="11"/>
        <v>-33600</v>
      </c>
      <c r="H123" s="36">
        <f t="shared" si="12"/>
        <v>-23166.239999999998</v>
      </c>
      <c r="I123" s="36">
        <f t="shared" si="13"/>
        <v>-19200</v>
      </c>
      <c r="J123" s="41"/>
      <c r="K123" s="45">
        <f>'Filter-old'!E120</f>
        <v>0</v>
      </c>
      <c r="L123" s="61">
        <f>'Filter-new'!E120</f>
        <v>10433.76</v>
      </c>
      <c r="M123" s="62"/>
      <c r="N123" s="62"/>
      <c r="O123" s="429">
        <f>'Filter-new'!E609</f>
        <v>0</v>
      </c>
      <c r="P123" s="62"/>
      <c r="Q123" s="45">
        <f>'Filter-old'!H120</f>
        <v>-33600</v>
      </c>
      <c r="R123" s="61">
        <f>'Filter-new'!H120</f>
        <v>-33600</v>
      </c>
      <c r="S123" s="62"/>
      <c r="T123" s="62"/>
      <c r="U123" s="445">
        <f>'Filter-new'!H609</f>
        <v>-19200</v>
      </c>
      <c r="V123" s="62"/>
      <c r="W123" s="45">
        <f>'Filter-old'!J120</f>
        <v>0</v>
      </c>
      <c r="X123" s="61">
        <f>'Filter-new'!J120</f>
        <v>0</v>
      </c>
      <c r="Y123" s="62"/>
      <c r="Z123" s="62"/>
      <c r="AA123" s="45">
        <f>'Filter-old'!F120</f>
        <v>0</v>
      </c>
      <c r="AB123" s="61">
        <f>'Filter-new'!F120</f>
        <v>0</v>
      </c>
      <c r="AC123" s="62"/>
      <c r="AD123" s="62"/>
      <c r="AE123" s="45">
        <f>'Filter-old'!P120</f>
        <v>0</v>
      </c>
      <c r="AF123" s="61">
        <f>'Filter-new'!P120</f>
        <v>0</v>
      </c>
      <c r="AG123" s="62"/>
      <c r="AH123" s="62"/>
      <c r="AI123" s="45">
        <f>'Filter-old'!L120</f>
        <v>0</v>
      </c>
      <c r="AJ123" s="61">
        <f>'Filter-new'!L120</f>
        <v>0</v>
      </c>
      <c r="AK123" s="62"/>
      <c r="AL123" s="62"/>
      <c r="AM123" s="62">
        <f>'Filter-new'!L609</f>
        <v>0</v>
      </c>
      <c r="AN123" s="62"/>
      <c r="AO123" s="45">
        <f>'Filter-old'!G120</f>
        <v>0</v>
      </c>
      <c r="AP123" s="61">
        <f>'Filter-new'!G120</f>
        <v>0</v>
      </c>
      <c r="AQ123" s="62"/>
      <c r="AR123" s="62"/>
      <c r="AS123" s="45"/>
      <c r="AT123" s="61"/>
      <c r="AU123" s="62"/>
      <c r="AV123" s="62"/>
      <c r="AW123" s="45">
        <f>'Filter-old'!I120</f>
        <v>0</v>
      </c>
      <c r="AX123" s="61">
        <f>'Filter-new'!I120</f>
        <v>0</v>
      </c>
      <c r="AY123" s="62"/>
      <c r="AZ123" s="62"/>
      <c r="BA123" s="62">
        <f>'Filter-new'!I609</f>
        <v>0</v>
      </c>
      <c r="BB123" s="62"/>
      <c r="BC123" s="45">
        <f>'Filter-old'!K120</f>
        <v>0</v>
      </c>
      <c r="BD123" s="61">
        <f>'Filter-new'!K120</f>
        <v>0</v>
      </c>
      <c r="BE123" s="62"/>
      <c r="BF123" s="62"/>
      <c r="BG123" s="45">
        <f>'Filter-old'!M120</f>
        <v>0</v>
      </c>
      <c r="BH123" s="62">
        <f>'Filter-new'!K609</f>
        <v>0</v>
      </c>
      <c r="BI123" s="61"/>
      <c r="BJ123" s="61">
        <f>'Filter-new'!M120</f>
        <v>0</v>
      </c>
      <c r="BK123" s="62"/>
      <c r="BL123" s="62"/>
      <c r="BM123" s="62"/>
      <c r="BN123" s="406">
        <f>'Filter-new'!N120</f>
        <v>0</v>
      </c>
      <c r="BO123" s="62"/>
      <c r="BP123" s="62"/>
      <c r="BQ123" s="45">
        <f>'Filter-old'!O120</f>
        <v>0</v>
      </c>
      <c r="BR123" s="61">
        <f>'Filter-new'!O120</f>
        <v>0</v>
      </c>
      <c r="BS123" s="62"/>
      <c r="BT123" s="62"/>
      <c r="BU123" s="45">
        <f>'Filter-old'!Q120</f>
        <v>0</v>
      </c>
      <c r="BV123" s="61">
        <f>'Filter-new'!Q120</f>
        <v>0</v>
      </c>
      <c r="BW123" s="61"/>
      <c r="BX123" s="61"/>
      <c r="BY123" s="61">
        <f>'Filter-new'!Q609</f>
        <v>0</v>
      </c>
      <c r="BZ123" s="61"/>
      <c r="CA123" s="45">
        <f>'Filter-old'!R120</f>
        <v>0</v>
      </c>
      <c r="CB123" s="61">
        <f>'Filter-new'!R120</f>
        <v>0</v>
      </c>
      <c r="CC123" s="61"/>
      <c r="CD123" s="58"/>
      <c r="CE123" s="61">
        <f>'Filter-new'!R609</f>
        <v>0</v>
      </c>
      <c r="CF123" s="57"/>
      <c r="CG123" s="4"/>
    </row>
    <row r="124" spans="1:85" hidden="1" x14ac:dyDescent="0.2">
      <c r="A124">
        <v>0</v>
      </c>
      <c r="B124" s="59">
        <v>40483</v>
      </c>
      <c r="C124" s="59">
        <f>'Filter-new'!C121</f>
        <v>40483</v>
      </c>
      <c r="D124" s="60">
        <f t="shared" si="10"/>
        <v>2010</v>
      </c>
      <c r="E124" s="60">
        <f>VLOOKUP($C124,calendar!$A$2:$D$121,4,FALSE)*(1-(H124=0))</f>
        <v>336</v>
      </c>
      <c r="F124" s="60">
        <f>VLOOKUP($C124,calendar!$A$2:$D$121,3,FALSE)*(1-(I124=0))</f>
        <v>384</v>
      </c>
      <c r="G124" s="36">
        <f t="shared" si="11"/>
        <v>-33600</v>
      </c>
      <c r="H124" s="36">
        <f t="shared" si="12"/>
        <v>-23220.89</v>
      </c>
      <c r="I124" s="36">
        <f t="shared" si="13"/>
        <v>-18800</v>
      </c>
      <c r="J124" s="41"/>
      <c r="K124" s="45">
        <f>'Filter-old'!E121</f>
        <v>0</v>
      </c>
      <c r="L124" s="61">
        <f>'Filter-new'!E121</f>
        <v>10379.11</v>
      </c>
      <c r="M124" s="62"/>
      <c r="N124" s="62"/>
      <c r="O124" s="429">
        <f>'Filter-new'!E610</f>
        <v>0</v>
      </c>
      <c r="P124" s="62"/>
      <c r="Q124" s="45">
        <f>'Filter-old'!H121</f>
        <v>-33600</v>
      </c>
      <c r="R124" s="61">
        <f>'Filter-new'!H121</f>
        <v>-33600</v>
      </c>
      <c r="S124" s="62"/>
      <c r="T124" s="62"/>
      <c r="U124" s="445">
        <f>'Filter-new'!H610</f>
        <v>-18800</v>
      </c>
      <c r="V124" s="62"/>
      <c r="W124" s="45">
        <f>'Filter-old'!J121</f>
        <v>0</v>
      </c>
      <c r="X124" s="61">
        <f>'Filter-new'!J121</f>
        <v>0</v>
      </c>
      <c r="Y124" s="62"/>
      <c r="Z124" s="62"/>
      <c r="AA124" s="45">
        <f>'Filter-old'!F121</f>
        <v>0</v>
      </c>
      <c r="AB124" s="61">
        <f>'Filter-new'!F121</f>
        <v>0</v>
      </c>
      <c r="AC124" s="62"/>
      <c r="AD124" s="62"/>
      <c r="AE124" s="45">
        <f>'Filter-old'!P121</f>
        <v>0</v>
      </c>
      <c r="AF124" s="61">
        <f>'Filter-new'!P121</f>
        <v>0</v>
      </c>
      <c r="AG124" s="62"/>
      <c r="AH124" s="62"/>
      <c r="AI124" s="45">
        <f>'Filter-old'!L121</f>
        <v>0</v>
      </c>
      <c r="AJ124" s="61">
        <f>'Filter-new'!L121</f>
        <v>0</v>
      </c>
      <c r="AK124" s="62"/>
      <c r="AL124" s="62"/>
      <c r="AM124" s="62">
        <f>'Filter-new'!L610</f>
        <v>0</v>
      </c>
      <c r="AN124" s="62"/>
      <c r="AO124" s="45">
        <f>'Filter-old'!G121</f>
        <v>0</v>
      </c>
      <c r="AP124" s="61">
        <f>'Filter-new'!G121</f>
        <v>0</v>
      </c>
      <c r="AQ124" s="62"/>
      <c r="AR124" s="62"/>
      <c r="AS124" s="45"/>
      <c r="AT124" s="61"/>
      <c r="AU124" s="62"/>
      <c r="AV124" s="62"/>
      <c r="AW124" s="45">
        <f>'Filter-old'!I121</f>
        <v>0</v>
      </c>
      <c r="AX124" s="61">
        <f>'Filter-new'!I121</f>
        <v>0</v>
      </c>
      <c r="AY124" s="62"/>
      <c r="AZ124" s="62"/>
      <c r="BA124" s="62">
        <f>'Filter-new'!I610</f>
        <v>0</v>
      </c>
      <c r="BB124" s="62"/>
      <c r="BC124" s="45">
        <f>'Filter-old'!K121</f>
        <v>0</v>
      </c>
      <c r="BD124" s="61">
        <f>'Filter-new'!K121</f>
        <v>0</v>
      </c>
      <c r="BE124" s="62"/>
      <c r="BF124" s="62"/>
      <c r="BG124" s="45">
        <f>'Filter-old'!M121</f>
        <v>0</v>
      </c>
      <c r="BH124" s="62">
        <f>'Filter-new'!K610</f>
        <v>0</v>
      </c>
      <c r="BI124" s="61"/>
      <c r="BJ124" s="61">
        <f>'Filter-new'!M121</f>
        <v>0</v>
      </c>
      <c r="BK124" s="62"/>
      <c r="BL124" s="62"/>
      <c r="BM124" s="62"/>
      <c r="BN124" s="406">
        <f>'Filter-new'!N121</f>
        <v>0</v>
      </c>
      <c r="BO124" s="62"/>
      <c r="BP124" s="62"/>
      <c r="BQ124" s="45">
        <f>'Filter-old'!O121</f>
        <v>0</v>
      </c>
      <c r="BR124" s="61">
        <f>'Filter-new'!O121</f>
        <v>0</v>
      </c>
      <c r="BS124" s="62"/>
      <c r="BT124" s="62"/>
      <c r="BU124" s="45">
        <f>'Filter-old'!Q121</f>
        <v>0</v>
      </c>
      <c r="BV124" s="61">
        <f>'Filter-new'!Q121</f>
        <v>0</v>
      </c>
      <c r="BW124" s="61"/>
      <c r="BX124" s="61"/>
      <c r="BY124" s="61">
        <f>'Filter-new'!Q610</f>
        <v>0</v>
      </c>
      <c r="BZ124" s="61"/>
      <c r="CA124" s="45">
        <f>'Filter-old'!R121</f>
        <v>0</v>
      </c>
      <c r="CB124" s="61">
        <f>'Filter-new'!R121</f>
        <v>0</v>
      </c>
      <c r="CC124" s="61"/>
      <c r="CD124" s="58"/>
      <c r="CE124" s="61">
        <f>'Filter-new'!R610</f>
        <v>0</v>
      </c>
      <c r="CF124" s="57"/>
      <c r="CG124" s="4"/>
    </row>
    <row r="125" spans="1:85" hidden="1" x14ac:dyDescent="0.2">
      <c r="A125">
        <v>0</v>
      </c>
      <c r="B125" s="59">
        <v>40513</v>
      </c>
      <c r="C125" s="59">
        <f>'Filter-new'!C122</f>
        <v>40513</v>
      </c>
      <c r="D125" s="60">
        <f t="shared" si="10"/>
        <v>2010</v>
      </c>
      <c r="E125" s="60">
        <f>VLOOKUP($C125,calendar!$A$2:$D$121,4,FALSE)*(1-(H125=0))</f>
        <v>368</v>
      </c>
      <c r="F125" s="60">
        <f>VLOOKUP($C125,calendar!$A$2:$D$121,3,FALSE)*(1-(I125=0))</f>
        <v>376</v>
      </c>
      <c r="G125" s="36">
        <f t="shared" si="11"/>
        <v>-36800</v>
      </c>
      <c r="H125" s="36">
        <f t="shared" si="12"/>
        <v>-25494.11</v>
      </c>
      <c r="I125" s="36">
        <f t="shared" si="13"/>
        <v>-2986404</v>
      </c>
      <c r="J125" s="41"/>
      <c r="K125" s="45">
        <f>'Filter-old'!E122</f>
        <v>0</v>
      </c>
      <c r="L125" s="61">
        <f>'Filter-new'!E122</f>
        <v>11305.89</v>
      </c>
      <c r="M125" s="62"/>
      <c r="N125" s="62"/>
      <c r="O125" s="429">
        <f>'Filter-new'!E611</f>
        <v>-125902</v>
      </c>
      <c r="P125" s="62"/>
      <c r="Q125" s="45">
        <f>'Filter-old'!H122</f>
        <v>-36800</v>
      </c>
      <c r="R125" s="61">
        <f>'Filter-new'!H122</f>
        <v>-36800</v>
      </c>
      <c r="S125" s="62"/>
      <c r="T125" s="62"/>
      <c r="U125" s="445">
        <f>'Filter-new'!H611</f>
        <v>-1963952</v>
      </c>
      <c r="V125" s="62"/>
      <c r="W125" s="45">
        <f>'Filter-old'!J122</f>
        <v>0</v>
      </c>
      <c r="X125" s="61">
        <f>'Filter-new'!J122</f>
        <v>0</v>
      </c>
      <c r="Y125" s="62"/>
      <c r="Z125" s="62"/>
      <c r="AA125" s="45">
        <f>'Filter-old'!F122</f>
        <v>0</v>
      </c>
      <c r="AB125" s="61">
        <f>'Filter-new'!F122</f>
        <v>0</v>
      </c>
      <c r="AC125" s="62"/>
      <c r="AD125" s="62"/>
      <c r="AE125" s="45">
        <f>'Filter-old'!P122</f>
        <v>0</v>
      </c>
      <c r="AF125" s="61">
        <f>'Filter-new'!P122</f>
        <v>0</v>
      </c>
      <c r="AG125" s="62"/>
      <c r="AH125" s="62"/>
      <c r="AI125" s="45">
        <f>'Filter-old'!L122</f>
        <v>0</v>
      </c>
      <c r="AJ125" s="61">
        <f>'Filter-new'!L122</f>
        <v>0</v>
      </c>
      <c r="AK125" s="62"/>
      <c r="AL125" s="62"/>
      <c r="AM125" s="62">
        <f>'Filter-new'!L619</f>
        <v>0</v>
      </c>
      <c r="AN125" s="62"/>
      <c r="AO125" s="45">
        <f>'Filter-old'!G122</f>
        <v>0</v>
      </c>
      <c r="AP125" s="61">
        <f>'Filter-new'!G122</f>
        <v>0</v>
      </c>
      <c r="AQ125" s="62"/>
      <c r="AR125" s="62"/>
      <c r="AS125" s="45"/>
      <c r="AT125" s="61"/>
      <c r="AU125" s="62"/>
      <c r="AV125" s="62"/>
      <c r="AW125" s="45">
        <f>'Filter-old'!I122</f>
        <v>0</v>
      </c>
      <c r="AX125" s="61">
        <f>'Filter-new'!I122</f>
        <v>0</v>
      </c>
      <c r="AY125" s="62"/>
      <c r="AZ125" s="62"/>
      <c r="BA125" s="62">
        <f>'Filter-new'!I611</f>
        <v>-468400</v>
      </c>
      <c r="BB125" s="62"/>
      <c r="BC125" s="45">
        <f>'Filter-old'!K122</f>
        <v>0</v>
      </c>
      <c r="BD125" s="61">
        <f>'Filter-new'!K122</f>
        <v>0</v>
      </c>
      <c r="BE125" s="62"/>
      <c r="BF125" s="62"/>
      <c r="BG125" s="45">
        <f>'Filter-old'!M122</f>
        <v>0</v>
      </c>
      <c r="BH125" s="62">
        <f>'Filter-new'!K611</f>
        <v>-468000</v>
      </c>
      <c r="BI125" s="61"/>
      <c r="BJ125" s="61">
        <f>'Filter-new'!M122</f>
        <v>0</v>
      </c>
      <c r="BK125" s="62"/>
      <c r="BL125" s="62"/>
      <c r="BM125" s="62"/>
      <c r="BN125" s="406">
        <f>'Filter-new'!N122</f>
        <v>0</v>
      </c>
      <c r="BO125" s="62"/>
      <c r="BP125" s="62"/>
      <c r="BQ125" s="45">
        <f>'Filter-old'!O122</f>
        <v>0</v>
      </c>
      <c r="BR125" s="61">
        <f>'Filter-new'!O122</f>
        <v>0</v>
      </c>
      <c r="BS125" s="62"/>
      <c r="BT125" s="62"/>
      <c r="BU125" s="45">
        <f>'Filter-old'!Q122</f>
        <v>0</v>
      </c>
      <c r="BV125" s="61">
        <f>'Filter-new'!Q122</f>
        <v>0</v>
      </c>
      <c r="BW125" s="61"/>
      <c r="BX125" s="61"/>
      <c r="BY125" s="61">
        <f>'Filter-new'!Q611</f>
        <v>-99000</v>
      </c>
      <c r="BZ125" s="61"/>
      <c r="CA125" s="45">
        <f>'Filter-old'!R122</f>
        <v>0</v>
      </c>
      <c r="CB125" s="61">
        <f>'Filter-new'!R122</f>
        <v>0</v>
      </c>
      <c r="CC125" s="61"/>
      <c r="CD125" s="58"/>
      <c r="CE125" s="61">
        <f>'Filter-new'!R611</f>
        <v>-329150</v>
      </c>
      <c r="CF125" s="57"/>
      <c r="CG125" s="4"/>
    </row>
    <row r="126" spans="1:85" hidden="1" x14ac:dyDescent="0.2">
      <c r="A126">
        <v>0</v>
      </c>
      <c r="B126" s="59"/>
      <c r="C126" s="59"/>
      <c r="D126" s="63"/>
      <c r="E126" s="63"/>
      <c r="F126" s="63"/>
      <c r="G126" s="36"/>
      <c r="H126" s="36"/>
      <c r="I126" s="36"/>
      <c r="J126" s="41"/>
      <c r="K126" s="45"/>
      <c r="L126" s="61"/>
      <c r="M126" s="62"/>
      <c r="N126" s="62"/>
      <c r="O126" s="429"/>
      <c r="P126" s="62"/>
      <c r="Q126" s="45"/>
      <c r="R126" s="61"/>
      <c r="S126" s="62"/>
      <c r="T126" s="62"/>
      <c r="U126" s="445"/>
      <c r="V126" s="62"/>
      <c r="W126" s="45"/>
      <c r="X126" s="61"/>
      <c r="Y126" s="62"/>
      <c r="Z126" s="62"/>
      <c r="AA126" s="45"/>
      <c r="AB126" s="61"/>
      <c r="AC126" s="62"/>
      <c r="AD126" s="62"/>
      <c r="AE126" s="45"/>
      <c r="AF126" s="61"/>
      <c r="AG126" s="62"/>
      <c r="AH126" s="62"/>
      <c r="AI126" s="45"/>
      <c r="AJ126" s="61"/>
      <c r="AK126" s="62"/>
      <c r="AL126" s="62"/>
      <c r="AM126" s="62"/>
      <c r="AN126" s="62"/>
      <c r="AO126" s="45"/>
      <c r="AP126" s="61"/>
      <c r="AQ126" s="62"/>
      <c r="AR126" s="62"/>
      <c r="AS126" s="45"/>
      <c r="AT126" s="61"/>
      <c r="AU126" s="62"/>
      <c r="AV126" s="62"/>
      <c r="AW126" s="45"/>
      <c r="AX126" s="61"/>
      <c r="AY126" s="62"/>
      <c r="AZ126" s="62"/>
      <c r="BA126" s="62"/>
      <c r="BB126" s="62"/>
      <c r="BC126" s="45"/>
      <c r="BD126" s="61"/>
      <c r="BE126" s="62"/>
      <c r="BF126" s="62"/>
      <c r="BG126" s="45"/>
      <c r="BH126" s="61"/>
      <c r="BI126" s="61"/>
      <c r="BJ126" s="61"/>
      <c r="BK126" s="62"/>
      <c r="BL126" s="62"/>
      <c r="BM126" s="62"/>
      <c r="BN126" s="406"/>
      <c r="BO126" s="62"/>
      <c r="BP126" s="62"/>
      <c r="BQ126" s="45"/>
      <c r="BR126" s="61"/>
      <c r="BS126" s="62"/>
      <c r="BT126" s="62"/>
      <c r="BU126" s="45"/>
      <c r="BV126" s="61"/>
      <c r="BW126" s="61"/>
      <c r="BX126" s="61"/>
      <c r="BY126" s="61"/>
      <c r="BZ126" s="61"/>
      <c r="CA126" s="45"/>
      <c r="CB126" s="61"/>
      <c r="CC126" s="61"/>
      <c r="CD126" s="58"/>
      <c r="CE126" s="57"/>
      <c r="CF126" s="57"/>
      <c r="CG126" s="4"/>
    </row>
    <row r="127" spans="1:85" s="182" customFormat="1" hidden="1" x14ac:dyDescent="0.2">
      <c r="A127" s="182">
        <v>0</v>
      </c>
      <c r="B127" s="183" t="s">
        <v>83</v>
      </c>
      <c r="C127" s="136">
        <f>'Filter-new'!C8</f>
        <v>37043</v>
      </c>
      <c r="D127" s="137"/>
      <c r="E127" s="137"/>
      <c r="F127" s="137"/>
      <c r="G127" s="138">
        <f t="shared" ref="G127:G133" si="14">SUM(K127,AA127,AO127,Q127,AW127,W127,BC127,AI127,BG127,BQ127,AE127,BU127,CA127)</f>
        <v>16.996755952380965</v>
      </c>
      <c r="H127" s="184">
        <f t="shared" ref="H127:H133" si="15">SUM(L127,AB127,AP127,R127,AX127,X127,BD127,AJ127,BJ127,BR127,AF127,BV127,CB127)</f>
        <v>0</v>
      </c>
      <c r="I127" s="184"/>
      <c r="J127" s="139"/>
      <c r="K127" s="170">
        <f>'Filter-old'!E130</f>
        <v>-384.29113095238097</v>
      </c>
      <c r="L127" s="184">
        <f>'Filter-new'!E130</f>
        <v>0</v>
      </c>
      <c r="M127" s="140">
        <f>'price-old'!E9</f>
        <v>54.952374957856676</v>
      </c>
      <c r="N127" s="185"/>
      <c r="O127" s="432"/>
      <c r="P127" s="249"/>
      <c r="Q127" s="170">
        <f>'Filter-old'!H130</f>
        <v>-161.9047619047619</v>
      </c>
      <c r="R127" s="184">
        <f>'Filter-new'!H130</f>
        <v>0</v>
      </c>
      <c r="S127" s="140">
        <f>'price-old'!H9</f>
        <v>51.821419852120535</v>
      </c>
      <c r="T127" s="185"/>
      <c r="U127" s="446"/>
      <c r="V127" s="249"/>
      <c r="W127" s="170">
        <f>'Filter-old'!J130</f>
        <v>80.952380952380949</v>
      </c>
      <c r="X127" s="184">
        <f>'Filter-new'!J130</f>
        <v>0</v>
      </c>
      <c r="Y127" s="140">
        <f>'price-old'!J9</f>
        <v>49.259515853155214</v>
      </c>
      <c r="Z127" s="185"/>
      <c r="AA127" s="170">
        <f>'Filter-old'!F130</f>
        <v>0</v>
      </c>
      <c r="AB127" s="184">
        <f>'Filter-new'!F130</f>
        <v>0</v>
      </c>
      <c r="AC127" s="140">
        <f>'price-old'!F9</f>
        <v>54.952374957856676</v>
      </c>
      <c r="AD127" s="185"/>
      <c r="AE127" s="170">
        <f>'Filter-old'!P130</f>
        <v>0</v>
      </c>
      <c r="AF127" s="184">
        <f>'Filter-new'!P130</f>
        <v>0</v>
      </c>
      <c r="AG127" s="140">
        <f>'price-old'!O9</f>
        <v>55.473802657354447</v>
      </c>
      <c r="AH127" s="185"/>
      <c r="AI127" s="170">
        <f>'Filter-old'!L130</f>
        <v>0</v>
      </c>
      <c r="AJ127" s="184">
        <f>'Filter-new'!L130</f>
        <v>0</v>
      </c>
      <c r="AK127" s="140">
        <f>'price-old'!L9</f>
        <v>74.071428571428569</v>
      </c>
      <c r="AL127" s="185">
        <f>'price-new'!L9</f>
        <v>35</v>
      </c>
      <c r="AM127" s="249"/>
      <c r="AN127" s="249"/>
      <c r="AO127" s="170">
        <f>'Filter-old'!G130</f>
        <v>0</v>
      </c>
      <c r="AP127" s="184">
        <f>'Filter-new'!G130</f>
        <v>0</v>
      </c>
      <c r="AQ127" s="140">
        <f>'price-old'!G9</f>
        <v>47.773809523809526</v>
      </c>
      <c r="AR127" s="185"/>
      <c r="AS127" s="170"/>
      <c r="AT127" s="184">
        <f t="shared" ref="AT127:AT133" si="16">AX127+BD127+BR127+BV127+CB127+BJ127+BN127</f>
        <v>0</v>
      </c>
      <c r="AU127" s="140"/>
      <c r="AV127" s="185"/>
      <c r="AW127" s="170">
        <f>'Filter-old'!I130</f>
        <v>121.42857142857143</v>
      </c>
      <c r="AX127" s="184">
        <f>'Filter-new'!I130</f>
        <v>0</v>
      </c>
      <c r="AY127" s="140">
        <f>'price-old'!I9</f>
        <v>56.345238095238095</v>
      </c>
      <c r="AZ127" s="185"/>
      <c r="BA127" s="185">
        <f>'Filter-new'!L130</f>
        <v>0</v>
      </c>
      <c r="BB127" s="249"/>
      <c r="BC127" s="170">
        <f>'Filter-old'!K130</f>
        <v>0</v>
      </c>
      <c r="BD127" s="184">
        <f>'Filter-new'!K130</f>
        <v>0</v>
      </c>
      <c r="BE127" s="140">
        <f>'price-old'!K9</f>
        <v>59.613095238095241</v>
      </c>
      <c r="BF127" s="185"/>
      <c r="BG127" s="170">
        <f>'Filter-old'!M130</f>
        <v>0</v>
      </c>
      <c r="BH127" s="170"/>
      <c r="BI127" s="170"/>
      <c r="BJ127" s="184">
        <f>'Filter-new'!M130</f>
        <v>0</v>
      </c>
      <c r="BK127" s="140">
        <f>'price-old'!M9</f>
        <v>53.897619047619045</v>
      </c>
      <c r="BL127" s="185">
        <f>'price-new'!M9</f>
        <v>35</v>
      </c>
      <c r="BM127" s="249"/>
      <c r="BN127" s="407">
        <f>'Filter-new'!N130</f>
        <v>0</v>
      </c>
      <c r="BO127" s="249"/>
      <c r="BP127" s="249" t="e">
        <f>'price-new'!N9</f>
        <v>#N/A</v>
      </c>
      <c r="BQ127" s="170">
        <f>'Filter-old'!O130</f>
        <v>0</v>
      </c>
      <c r="BR127" s="184">
        <f>'Filter-new'!O130</f>
        <v>0</v>
      </c>
      <c r="BS127" s="140">
        <f>'price-old'!N9</f>
        <v>63</v>
      </c>
      <c r="BT127" s="185"/>
      <c r="BU127" s="170">
        <f>'Filter-old'!Q130</f>
        <v>84.621220238095233</v>
      </c>
      <c r="BV127" s="184">
        <f>'Filter-new'!Q130</f>
        <v>0</v>
      </c>
      <c r="BW127" s="142">
        <f>'price-old'!P9</f>
        <v>63.857142857142854</v>
      </c>
      <c r="BX127" s="185"/>
      <c r="BY127" s="249"/>
      <c r="BZ127" s="249"/>
      <c r="CA127" s="170">
        <f>'Filter-old'!R130</f>
        <v>276.1904761904762</v>
      </c>
      <c r="CB127" s="184">
        <f>'Filter-new'!R130</f>
        <v>0</v>
      </c>
      <c r="CC127" s="141">
        <f>'price-old'!Q9</f>
        <v>53.897619047619045</v>
      </c>
      <c r="CD127" s="190"/>
      <c r="CE127" s="190"/>
      <c r="CF127" s="190"/>
      <c r="CG127" s="187"/>
    </row>
    <row r="128" spans="1:85" s="201" customFormat="1" hidden="1" x14ac:dyDescent="0.2">
      <c r="A128" s="201">
        <v>0</v>
      </c>
      <c r="B128" s="202" t="s">
        <v>90</v>
      </c>
      <c r="C128" s="143">
        <f>'Filter-new'!C9</f>
        <v>37073</v>
      </c>
      <c r="D128" s="123"/>
      <c r="E128" s="123"/>
      <c r="F128" s="123"/>
      <c r="G128" s="127">
        <f t="shared" si="14"/>
        <v>-644.79642857142858</v>
      </c>
      <c r="H128" s="203">
        <f t="shared" si="15"/>
        <v>0</v>
      </c>
      <c r="I128" s="203"/>
      <c r="J128" s="124"/>
      <c r="K128" s="171">
        <f>'Filter-old'!E131</f>
        <v>-186.70833333333334</v>
      </c>
      <c r="L128" s="203">
        <f>'Filter-new'!E131</f>
        <v>0</v>
      </c>
      <c r="M128" s="125">
        <f>'price-old'!E10</f>
        <v>78.752142857142843</v>
      </c>
      <c r="N128" s="204">
        <f>AVERAGE(BV408,AM408,AN408,AT408)</f>
        <v>22.350000000000005</v>
      </c>
      <c r="O128" s="433"/>
      <c r="P128" s="250"/>
      <c r="Q128" s="171">
        <f>'Filter-old'!H131</f>
        <v>-650</v>
      </c>
      <c r="R128" s="203">
        <f>'Filter-new'!H131</f>
        <v>0</v>
      </c>
      <c r="S128" s="125">
        <f>'price-old'!H10</f>
        <v>82.226190476190482</v>
      </c>
      <c r="T128" s="204">
        <f>AVERAGE(BT410,AM410,AN410)</f>
        <v>22.1</v>
      </c>
      <c r="U128" s="447"/>
      <c r="V128" s="250"/>
      <c r="W128" s="171">
        <f>'Filter-old'!J131</f>
        <v>100</v>
      </c>
      <c r="X128" s="203">
        <f>'Filter-new'!J131</f>
        <v>0</v>
      </c>
      <c r="Y128" s="125">
        <f>'price-old'!J10</f>
        <v>54.230003356933594</v>
      </c>
      <c r="Z128" s="204">
        <f>'price-new'!J10</f>
        <v>43.665635371132502</v>
      </c>
      <c r="AA128" s="171">
        <f>'Filter-old'!F131</f>
        <v>0</v>
      </c>
      <c r="AB128" s="203">
        <f>'Filter-new'!F131</f>
        <v>0</v>
      </c>
      <c r="AC128" s="125">
        <f>'price-old'!F10</f>
        <v>78.752142857142843</v>
      </c>
      <c r="AD128" s="204">
        <f>AVERAGE(BT411,AM411,AN411,AT411)</f>
        <v>22.25</v>
      </c>
      <c r="AE128" s="171">
        <f>'Filter-old'!P131</f>
        <v>0</v>
      </c>
      <c r="AF128" s="203">
        <f>'Filter-new'!P131</f>
        <v>0</v>
      </c>
      <c r="AG128" s="125">
        <f>'price-old'!O10</f>
        <v>70.730003356933594</v>
      </c>
      <c r="AH128" s="204"/>
      <c r="AI128" s="171">
        <f>'Filter-old'!L131</f>
        <v>0</v>
      </c>
      <c r="AJ128" s="203">
        <f>'Filter-new'!L131</f>
        <v>0</v>
      </c>
      <c r="AK128" s="125">
        <f>'price-old'!L10</f>
        <v>106</v>
      </c>
      <c r="AL128" s="204">
        <f>'price-new'!L10</f>
        <v>78.445251464843807</v>
      </c>
      <c r="AM128" s="250"/>
      <c r="AN128" s="250"/>
      <c r="AO128" s="171">
        <f>'Filter-old'!G131</f>
        <v>0</v>
      </c>
      <c r="AP128" s="203">
        <f>'Filter-new'!G131</f>
        <v>0</v>
      </c>
      <c r="AQ128" s="125">
        <f>'price-old'!G10</f>
        <v>62.25</v>
      </c>
      <c r="AR128" s="204"/>
      <c r="AS128" s="171"/>
      <c r="AT128" s="203">
        <f t="shared" si="16"/>
        <v>0</v>
      </c>
      <c r="AU128" s="125"/>
      <c r="AV128" s="204"/>
      <c r="AW128" s="171">
        <f>'Filter-old'!I131</f>
        <v>0</v>
      </c>
      <c r="AX128" s="203">
        <f>'Filter-new'!I131</f>
        <v>0</v>
      </c>
      <c r="AY128" s="125">
        <f>'price-old'!I10</f>
        <v>88</v>
      </c>
      <c r="AZ128" s="204"/>
      <c r="BA128" s="204">
        <f>'Filter-new'!L131</f>
        <v>0</v>
      </c>
      <c r="BB128" s="250"/>
      <c r="BC128" s="171">
        <f>'Filter-old'!K131</f>
        <v>0</v>
      </c>
      <c r="BD128" s="203">
        <f>'Filter-new'!K131</f>
        <v>0</v>
      </c>
      <c r="BE128" s="125">
        <f>'price-old'!K10</f>
        <v>74.5</v>
      </c>
      <c r="BF128" s="204">
        <f>AVERAGE(BV411,AM411,AN411,AT411)</f>
        <v>22.25</v>
      </c>
      <c r="BG128" s="171">
        <f>'Filter-old'!M131</f>
        <v>0</v>
      </c>
      <c r="BH128" s="171"/>
      <c r="BI128" s="171"/>
      <c r="BJ128" s="203">
        <f>'Filter-new'!M131</f>
        <v>0</v>
      </c>
      <c r="BK128" s="125">
        <f>'price-old'!M10</f>
        <v>83</v>
      </c>
      <c r="BL128" s="204">
        <f>'price-new'!M10</f>
        <v>46.464286804199197</v>
      </c>
      <c r="BM128" s="250"/>
      <c r="BN128" s="408">
        <f>'Filter-new'!N131</f>
        <v>0</v>
      </c>
      <c r="BO128" s="250"/>
      <c r="BP128" s="250">
        <f>'price-new'!N10</f>
        <v>71.595237731933594</v>
      </c>
      <c r="BQ128" s="171">
        <f>'Filter-old'!O131</f>
        <v>0</v>
      </c>
      <c r="BR128" s="203">
        <f>'Filter-new'!O131</f>
        <v>0</v>
      </c>
      <c r="BS128" s="125">
        <f>'price-old'!N10</f>
        <v>97.75</v>
      </c>
      <c r="BT128" s="204">
        <f>AVERAGE(BV413,AM412,AN412,AT412)</f>
        <v>30.25</v>
      </c>
      <c r="BU128" s="171">
        <f>'Filter-old'!Q131</f>
        <v>-8.0880952380952387</v>
      </c>
      <c r="BV128" s="203">
        <f>'Filter-new'!Q131</f>
        <v>0</v>
      </c>
      <c r="BW128" s="125">
        <f>'price-old'!P10</f>
        <v>90.25</v>
      </c>
      <c r="BX128" s="204">
        <f>AVERAGE(BV414,AM413,AN413,AT413)</f>
        <v>23.25</v>
      </c>
      <c r="BY128" s="250"/>
      <c r="BZ128" s="250"/>
      <c r="CA128" s="171">
        <f>'Filter-old'!R131</f>
        <v>100</v>
      </c>
      <c r="CB128" s="203">
        <f>'Filter-new'!R131</f>
        <v>0</v>
      </c>
      <c r="CC128" s="126">
        <f>'price-old'!Q10</f>
        <v>83</v>
      </c>
      <c r="CD128" s="204"/>
      <c r="CE128" s="204"/>
      <c r="CF128" s="204"/>
      <c r="CG128" s="206"/>
    </row>
    <row r="129" spans="1:85" s="182" customFormat="1" hidden="1" x14ac:dyDescent="0.2">
      <c r="A129" s="182">
        <v>0</v>
      </c>
      <c r="B129" s="320" t="s">
        <v>87</v>
      </c>
      <c r="C129" s="309">
        <f>'Filter-new'!C10</f>
        <v>37104</v>
      </c>
      <c r="D129" s="123"/>
      <c r="E129" s="123"/>
      <c r="F129" s="123"/>
      <c r="G129" s="310">
        <f t="shared" si="14"/>
        <v>-1577.6471739130434</v>
      </c>
      <c r="H129" s="297">
        <f t="shared" si="15"/>
        <v>0</v>
      </c>
      <c r="I129" s="297"/>
      <c r="J129" s="321"/>
      <c r="K129" s="322">
        <f>'Filter-old'!E132</f>
        <v>-1214.4989945652173</v>
      </c>
      <c r="L129" s="297">
        <f>'Filter-new'!E132</f>
        <v>0</v>
      </c>
      <c r="M129" s="125">
        <f>'price-old'!E11</f>
        <v>72.75</v>
      </c>
      <c r="N129" s="323">
        <f>AVERAGE(VLOOKUP(K$2,$R$408:$CD$417,51,FALSE),VLOOKUP(K$2,$R$408:$AV$417,21,FALSE),VLOOKUP(K$2,$R$408:$AV$417,23,FALSE),VLOOKUP(K$2,$R$408:$AV$417,25,FALSE))</f>
        <v>5.5875000000000004</v>
      </c>
      <c r="O129" s="434"/>
      <c r="P129" s="324"/>
      <c r="Q129" s="322">
        <f>'Filter-old'!H132</f>
        <v>-450</v>
      </c>
      <c r="R129" s="297">
        <f>'Filter-new'!H132</f>
        <v>0</v>
      </c>
      <c r="S129" s="125">
        <f>'price-old'!H11</f>
        <v>70.749992370605469</v>
      </c>
      <c r="T129" s="323">
        <f>AVERAGE(VLOOKUP(Q$2,$R$408:$CD$417,51,FALSE),VLOOKUP(Q$2,$R$408:$AV$417,21,FALSE),VLOOKUP(Q$2,$R$408:$AV$417,23,FALSE),VLOOKUP(Q$2,$R$408:$AV$417,25,FALSE))</f>
        <v>5.5250000000000004</v>
      </c>
      <c r="U129" s="448"/>
      <c r="V129" s="324"/>
      <c r="W129" s="322">
        <f>'Filter-old'!J132</f>
        <v>100</v>
      </c>
      <c r="X129" s="297">
        <f>'Filter-new'!J132</f>
        <v>0</v>
      </c>
      <c r="Y129" s="125">
        <f>'price-old'!J11</f>
        <v>71.499992370605469</v>
      </c>
      <c r="Z129" s="323">
        <f>'price-new'!J11</f>
        <v>53.967391967773402</v>
      </c>
      <c r="AA129" s="322">
        <f>'Filter-old'!F132</f>
        <v>0</v>
      </c>
      <c r="AB129" s="297">
        <f>'Filter-new'!F132</f>
        <v>0</v>
      </c>
      <c r="AC129" s="125">
        <f>'price-old'!F11</f>
        <v>72.75</v>
      </c>
      <c r="AD129" s="323"/>
      <c r="AE129" s="322">
        <f>'Filter-old'!P132</f>
        <v>0</v>
      </c>
      <c r="AF129" s="297">
        <f>'Filter-new'!P132</f>
        <v>0</v>
      </c>
      <c r="AG129" s="125">
        <f>'price-old'!O11</f>
        <v>87.999992370605469</v>
      </c>
      <c r="AH129" s="323">
        <f>AVERAGE(VLOOKUP(AE$2,$R$408:$CD$417,51,FALSE),VLOOKUP(AE$2,$R$408:$AV$417,21,FALSE),VLOOKUP(AE$2,$R$408:$AV$417,23,FALSE),VLOOKUP(AE$2,$R$408:$AV$417,25,FALSE))</f>
        <v>5.8125</v>
      </c>
      <c r="AI129" s="322">
        <f>'Filter-old'!L132</f>
        <v>0</v>
      </c>
      <c r="AJ129" s="297">
        <f>'Filter-new'!L132</f>
        <v>0</v>
      </c>
      <c r="AK129" s="125">
        <f>'price-old'!L11</f>
        <v>106</v>
      </c>
      <c r="AL129" s="323"/>
      <c r="AM129" s="324"/>
      <c r="AN129" s="324"/>
      <c r="AO129" s="322">
        <f>'Filter-old'!G132</f>
        <v>0</v>
      </c>
      <c r="AP129" s="297">
        <f>'Filter-new'!G132</f>
        <v>0</v>
      </c>
      <c r="AQ129" s="125">
        <f>'price-old'!G11</f>
        <v>61.25</v>
      </c>
      <c r="AR129" s="323"/>
      <c r="AS129" s="322"/>
      <c r="AT129" s="297">
        <f t="shared" si="16"/>
        <v>0</v>
      </c>
      <c r="AU129" s="125"/>
      <c r="AV129" s="323"/>
      <c r="AW129" s="322">
        <f>'Filter-old'!I132</f>
        <v>0</v>
      </c>
      <c r="AX129" s="297">
        <f>'Filter-new'!I132</f>
        <v>0</v>
      </c>
      <c r="AY129" s="125">
        <f>'price-old'!I11</f>
        <v>76.5</v>
      </c>
      <c r="AZ129" s="323">
        <f>AVERAGE(VLOOKUP(AW$2,$R$408:$CD$417,51,FALSE),VLOOKUP(AW$2,$R$408:$AV$417,21,FALSE),VLOOKUP(AW$2,$R$408:$AV$417,23,FALSE),VLOOKUP(AW$2,$R$408:$AV$417,25,FALSE))</f>
        <v>5.5625</v>
      </c>
      <c r="BA129" s="323">
        <f>'Filter-new'!L132</f>
        <v>0</v>
      </c>
      <c r="BB129" s="324"/>
      <c r="BC129" s="322">
        <f>'Filter-old'!K132</f>
        <v>0</v>
      </c>
      <c r="BD129" s="297">
        <f>'Filter-new'!K132</f>
        <v>0</v>
      </c>
      <c r="BE129" s="125">
        <f>'price-old'!K11</f>
        <v>74.5</v>
      </c>
      <c r="BF129" s="323"/>
      <c r="BG129" s="322">
        <f>'Filter-old'!M132</f>
        <v>0</v>
      </c>
      <c r="BH129" s="322"/>
      <c r="BI129" s="322"/>
      <c r="BJ129" s="297">
        <f>'Filter-new'!M132</f>
        <v>0</v>
      </c>
      <c r="BK129" s="125">
        <f>'price-old'!M11</f>
        <v>73.5</v>
      </c>
      <c r="BL129" s="323">
        <f>'price-new'!M11</f>
        <v>47.630435943603501</v>
      </c>
      <c r="BM129" s="324"/>
      <c r="BN129" s="409">
        <f>'Filter-new'!N132</f>
        <v>0</v>
      </c>
      <c r="BO129" s="324"/>
      <c r="BP129" s="324">
        <f>'price-new'!N11</f>
        <v>61.343044281005902</v>
      </c>
      <c r="BQ129" s="322">
        <f>'Filter-old'!O132</f>
        <v>0</v>
      </c>
      <c r="BR129" s="297">
        <f>'Filter-new'!O132</f>
        <v>0</v>
      </c>
      <c r="BS129" s="125">
        <f>'price-old'!N11</f>
        <v>97.75</v>
      </c>
      <c r="BT129" s="323" t="e">
        <f>AVERAGE(VLOOKUP(#REF!,$R$408:$CD$417,51,FALSE),VLOOKUP(#REF!,$R$408:$AV$417,21,FALSE),VLOOKUP(#REF!,$R$408:$AV$417,23,FALSE),VLOOKUP(#REF!,$R$408:$AV$417,25,FALSE))</f>
        <v>#REF!</v>
      </c>
      <c r="BU129" s="322">
        <f>'Filter-old'!Q132</f>
        <v>-113.14817934782609</v>
      </c>
      <c r="BV129" s="297">
        <f>'Filter-new'!Q132</f>
        <v>0</v>
      </c>
      <c r="BW129" s="125">
        <f>'price-old'!P11</f>
        <v>90.25</v>
      </c>
      <c r="BX129" s="323" t="e">
        <f>AVERAGE(VLOOKUP(BU$2,$R$408:$CD$417,51,FALSE),VLOOKUP(BU$2,$R$408:$AV$417,21,FALSE),VLOOKUP(BU$2,$R$408:$AV$417,23,FALSE),VLOOKUP(BU$2,$R$408:$AV$417,25,FALSE))</f>
        <v>#N/A</v>
      </c>
      <c r="BY129" s="324"/>
      <c r="BZ129" s="324"/>
      <c r="CA129" s="322">
        <f>'Filter-old'!R132</f>
        <v>100</v>
      </c>
      <c r="CB129" s="297">
        <f>'Filter-new'!R132</f>
        <v>0</v>
      </c>
      <c r="CC129" s="126">
        <f>'price-old'!Q11</f>
        <v>73.5</v>
      </c>
      <c r="CD129" s="323">
        <f>AVERAGE(VLOOKUP(CA$2,$R$408:$CD$417,51,FALSE),VLOOKUP(CA$2,$R$408:$AV$417,21,FALSE),VLOOKUP(CA$2,$R$408:$AV$417,23,FALSE),VLOOKUP(CA$2,$R$408:$AV$417,25,FALSE))</f>
        <v>6.25</v>
      </c>
      <c r="CE129" s="323"/>
      <c r="CF129" s="323"/>
      <c r="CG129" s="187"/>
    </row>
    <row r="130" spans="1:85" s="201" customFormat="1" hidden="1" x14ac:dyDescent="0.2">
      <c r="A130" s="201">
        <v>0</v>
      </c>
      <c r="B130" s="325" t="s">
        <v>85</v>
      </c>
      <c r="C130" s="326">
        <f>'Filter-new'!C11</f>
        <v>37135</v>
      </c>
      <c r="D130" s="156"/>
      <c r="E130" s="156"/>
      <c r="F130" s="156"/>
      <c r="G130" s="327">
        <f t="shared" si="14"/>
        <v>-818.22174342105257</v>
      </c>
      <c r="H130" s="307">
        <f t="shared" si="15"/>
        <v>0</v>
      </c>
      <c r="I130" s="307">
        <f>O130+U130+AM130+BA130+BY130+CE130</f>
        <v>0</v>
      </c>
      <c r="J130" s="328"/>
      <c r="K130" s="329">
        <f>'Filter-old'!E133</f>
        <v>1439.225625</v>
      </c>
      <c r="L130" s="307">
        <f>'Filter-new'!E133</f>
        <v>0</v>
      </c>
      <c r="M130" s="159">
        <f>'price-old'!E12</f>
        <v>36.5</v>
      </c>
      <c r="N130" s="330">
        <f>'price-new'!E12</f>
        <v>28.7234210968018</v>
      </c>
      <c r="O130" s="435">
        <f>'Filter-new'!E622</f>
        <v>0</v>
      </c>
      <c r="P130" s="331">
        <v>15.08</v>
      </c>
      <c r="Q130" s="329">
        <f>'Filter-old'!H133</f>
        <v>-370</v>
      </c>
      <c r="R130" s="307">
        <f>'Filter-new'!H133</f>
        <v>0</v>
      </c>
      <c r="S130" s="159">
        <f>'price-old'!H12</f>
        <v>34.749996185302734</v>
      </c>
      <c r="T130" s="330">
        <f>'price-new'!H12</f>
        <v>27.197626113891602</v>
      </c>
      <c r="U130" s="435">
        <f>'Filter-new'!H622</f>
        <v>0</v>
      </c>
      <c r="V130" s="331">
        <v>15.9</v>
      </c>
      <c r="W130" s="329">
        <f>'Filter-old'!J133</f>
        <v>100</v>
      </c>
      <c r="X130" s="307">
        <f>'Filter-new'!J133</f>
        <v>0</v>
      </c>
      <c r="Y130" s="159">
        <f>'price-old'!J12</f>
        <v>34.349994659423828</v>
      </c>
      <c r="Z130" s="330">
        <f>'price-new'!J12</f>
        <v>30.7234210968018</v>
      </c>
      <c r="AA130" s="329">
        <f>'Filter-old'!F133</f>
        <v>0</v>
      </c>
      <c r="AB130" s="307">
        <f>'Filter-new'!F133</f>
        <v>0</v>
      </c>
      <c r="AC130" s="159">
        <f>'price-old'!F12</f>
        <v>36.5</v>
      </c>
      <c r="AD130" s="330">
        <f>'price-new'!F12</f>
        <v>30.7234210968018</v>
      </c>
      <c r="AE130" s="329">
        <f>'Filter-old'!P133</f>
        <v>0</v>
      </c>
      <c r="AF130" s="307">
        <f>'Filter-new'!P133</f>
        <v>0</v>
      </c>
      <c r="AG130" s="159">
        <f>'price-old'!O12</f>
        <v>44.350002288818359</v>
      </c>
      <c r="AH130" s="330">
        <f>'price-new'!P12</f>
        <v>29.7107830047607</v>
      </c>
      <c r="AI130" s="329">
        <f>'Filter-old'!L133</f>
        <v>0</v>
      </c>
      <c r="AJ130" s="307">
        <f>'Filter-new'!L133</f>
        <v>0</v>
      </c>
      <c r="AK130" s="159">
        <f>'price-old'!L12</f>
        <v>60</v>
      </c>
      <c r="AL130" s="330">
        <f>'price-new'!L12</f>
        <v>27.5</v>
      </c>
      <c r="AM130" s="307">
        <f>'Filter-new'!L622</f>
        <v>0</v>
      </c>
      <c r="AN130" s="330"/>
      <c r="AO130" s="329">
        <f>'Filter-old'!G133</f>
        <v>0</v>
      </c>
      <c r="AP130" s="307">
        <f>'Filter-new'!G133</f>
        <v>0</v>
      </c>
      <c r="AQ130" s="159">
        <f>'price-old'!G12</f>
        <v>44.250003814697266</v>
      </c>
      <c r="AR130" s="330">
        <f>'price-new'!G12</f>
        <v>25.618421554565401</v>
      </c>
      <c r="AS130" s="329"/>
      <c r="AT130" s="307">
        <f t="shared" si="16"/>
        <v>0</v>
      </c>
      <c r="AU130" s="159"/>
      <c r="AV130" s="307">
        <f>BA130+BY130+CE130</f>
        <v>0</v>
      </c>
      <c r="AW130" s="329">
        <f>'Filter-old'!I133</f>
        <v>-300</v>
      </c>
      <c r="AX130" s="367">
        <f>'Filter-new'!I133</f>
        <v>0</v>
      </c>
      <c r="AY130" s="159">
        <f>'price-old'!I12</f>
        <v>37.5</v>
      </c>
      <c r="AZ130" s="330">
        <f>'price-new'!I12</f>
        <v>27.921056747436499</v>
      </c>
      <c r="BA130" s="330">
        <f>'Filter-new'!L133</f>
        <v>0</v>
      </c>
      <c r="BB130" s="373">
        <v>15.39</v>
      </c>
      <c r="BC130" s="360">
        <f>'Filter-old'!K133</f>
        <v>0</v>
      </c>
      <c r="BD130" s="307">
        <f>'Filter-new'!K133</f>
        <v>0</v>
      </c>
      <c r="BE130" s="159">
        <f>'price-old'!K12</f>
        <v>50.25</v>
      </c>
      <c r="BF130" s="330">
        <f>'price-new'!K12</f>
        <v>40.434211730957003</v>
      </c>
      <c r="BG130" s="329">
        <f>'Filter-old'!M133</f>
        <v>0</v>
      </c>
      <c r="BH130" s="329"/>
      <c r="BI130" s="329"/>
      <c r="BJ130" s="307">
        <f>'Filter-new'!M133</f>
        <v>0</v>
      </c>
      <c r="BK130" s="159">
        <f>'price-old'!M12</f>
        <v>39.25</v>
      </c>
      <c r="BL130" s="330">
        <f>'price-new'!M12</f>
        <v>35.736843109130902</v>
      </c>
      <c r="BM130" s="331"/>
      <c r="BN130" s="410">
        <f>'Filter-new'!N133</f>
        <v>0</v>
      </c>
      <c r="BO130" s="331"/>
      <c r="BP130" s="331">
        <f>'price-new'!N12</f>
        <v>41.789474487304702</v>
      </c>
      <c r="BQ130" s="329">
        <f>'Filter-old'!O133</f>
        <v>0</v>
      </c>
      <c r="BR130" s="307">
        <f>'Filter-new'!O133</f>
        <v>0</v>
      </c>
      <c r="BS130" s="159">
        <f>'price-old'!N12</f>
        <v>43.25</v>
      </c>
      <c r="BT130" s="330">
        <f>'price-new'!O12</f>
        <v>30.973688125610401</v>
      </c>
      <c r="BU130" s="329">
        <f>'Filter-old'!Q133</f>
        <v>-837.4473684210526</v>
      </c>
      <c r="BV130" s="307">
        <f>'Filter-new'!Q133</f>
        <v>0</v>
      </c>
      <c r="BW130" s="332">
        <f>'price-old'!P12</f>
        <v>42.500003814697266</v>
      </c>
      <c r="BX130" s="330">
        <f>'price-new'!Q12</f>
        <v>27</v>
      </c>
      <c r="BY130" s="307">
        <f>'Filter-new'!Q622</f>
        <v>0</v>
      </c>
      <c r="BZ130" s="331">
        <v>19.77</v>
      </c>
      <c r="CA130" s="329">
        <f>'Filter-old'!R133</f>
        <v>-850</v>
      </c>
      <c r="CB130" s="307">
        <f>'Filter-new'!R133</f>
        <v>0</v>
      </c>
      <c r="CC130" s="160">
        <f>'price-old'!Q12</f>
        <v>39.25</v>
      </c>
      <c r="CD130" s="330">
        <f>'price-new'!R12</f>
        <v>34.771579742431598</v>
      </c>
      <c r="CE130" s="307">
        <f>'Filter-new'!R622</f>
        <v>0</v>
      </c>
      <c r="CF130" s="308">
        <v>19.760000000000002</v>
      </c>
      <c r="CG130" s="206"/>
    </row>
    <row r="131" spans="1:85" s="182" customFormat="1" hidden="1" x14ac:dyDescent="0.2">
      <c r="A131" s="182">
        <v>0</v>
      </c>
      <c r="B131" s="188" t="s">
        <v>127</v>
      </c>
      <c r="C131" s="146">
        <f>'Filter-new'!C12</f>
        <v>37165</v>
      </c>
      <c r="D131" s="74"/>
      <c r="E131" s="74"/>
      <c r="F131" s="74"/>
      <c r="G131" s="114">
        <f t="shared" si="14"/>
        <v>970.84970108695643</v>
      </c>
      <c r="H131" s="189">
        <f t="shared" si="15"/>
        <v>0</v>
      </c>
      <c r="I131" s="189" t="e">
        <f>O131+U131+AM131+BA131+BY131+CE131</f>
        <v>#VALUE!</v>
      </c>
      <c r="J131" s="97"/>
      <c r="K131" s="173">
        <f>'Filter-old'!E134</f>
        <v>1090.8497010869564</v>
      </c>
      <c r="L131" s="189">
        <f>'Filter-new'!E134</f>
        <v>0</v>
      </c>
      <c r="M131" s="87">
        <f>'price-old'!E13</f>
        <v>34.598438119888307</v>
      </c>
      <c r="N131" s="190">
        <f>'price-new'!E13</f>
        <v>19.973474502563501</v>
      </c>
      <c r="O131" s="462" t="e">
        <f>'Filter-new'!E623</f>
        <v>#VALUE!</v>
      </c>
      <c r="P131" s="251">
        <f>VLOOKUP(37165,[1]Offpeak_Forward!$A$1:$AG$231,13,FALSE)</f>
        <v>15.084918975830099</v>
      </c>
      <c r="Q131" s="173">
        <f>'Filter-old'!H134</f>
        <v>-220</v>
      </c>
      <c r="R131" s="189">
        <f>'Filter-new'!H134</f>
        <v>0</v>
      </c>
      <c r="S131" s="87">
        <f>'price-old'!H13</f>
        <v>33.209991455078125</v>
      </c>
      <c r="T131" s="190">
        <f>'price-new'!H13</f>
        <v>19.635217666626001</v>
      </c>
      <c r="U131" s="189" t="e">
        <f>'Filter-new'!H623</f>
        <v>#VALUE!</v>
      </c>
      <c r="V131" s="251">
        <f>VLOOKUP(37165,[1]Offpeak_Forward!$A$1:$AG$231,14,FALSE)</f>
        <v>13.0130863189697</v>
      </c>
      <c r="W131" s="173">
        <f>'Filter-old'!J134</f>
        <v>100</v>
      </c>
      <c r="X131" s="189">
        <f>'Filter-new'!J134</f>
        <v>0</v>
      </c>
      <c r="Y131" s="87">
        <f>'price-old'!J13</f>
        <v>30.969993591308594</v>
      </c>
      <c r="Z131" s="190">
        <f>'price-new'!J13</f>
        <v>19.973474502563501</v>
      </c>
      <c r="AA131" s="173">
        <f>'Filter-old'!F134</f>
        <v>0</v>
      </c>
      <c r="AB131" s="189">
        <f>'Filter-new'!F134</f>
        <v>0</v>
      </c>
      <c r="AC131" s="87">
        <f>'price-old'!F13</f>
        <v>34.598438119888307</v>
      </c>
      <c r="AD131" s="190">
        <f>'price-new'!F13</f>
        <v>19.973474502563501</v>
      </c>
      <c r="AE131" s="173">
        <f>'Filter-old'!P134</f>
        <v>0</v>
      </c>
      <c r="AF131" s="189">
        <f>'Filter-new'!P134</f>
        <v>0</v>
      </c>
      <c r="AG131" s="87">
        <f>'price-old'!O13</f>
        <v>36.499992370605469</v>
      </c>
      <c r="AH131" s="190">
        <f>'price-new'!P13</f>
        <v>19.620872497558601</v>
      </c>
      <c r="AI131" s="173">
        <f>'Filter-old'!L134</f>
        <v>0</v>
      </c>
      <c r="AJ131" s="189">
        <f>'Filter-new'!L134</f>
        <v>0</v>
      </c>
      <c r="AK131" s="87">
        <f>'price-old'!L13</f>
        <v>59</v>
      </c>
      <c r="AL131" s="190">
        <f>'price-new'!L13</f>
        <v>22.840183258056602</v>
      </c>
      <c r="AM131" s="189" t="e">
        <f>'Filter-new'!L623</f>
        <v>#VALUE!</v>
      </c>
      <c r="AN131" s="190">
        <f>VLOOKUP(37165,[1]Offpeak_Forward!$A$1:$AG$231,18,FALSE)</f>
        <v>16.549465179443398</v>
      </c>
      <c r="AO131" s="173">
        <f>'Filter-old'!G134</f>
        <v>0</v>
      </c>
      <c r="AP131" s="189">
        <f>'Filter-new'!G134</f>
        <v>0</v>
      </c>
      <c r="AQ131" s="87">
        <f>'price-old'!G13</f>
        <v>36.449993133544922</v>
      </c>
      <c r="AR131" s="190">
        <f>'price-new'!G13</f>
        <v>18.869556427001999</v>
      </c>
      <c r="AS131" s="173"/>
      <c r="AT131" s="189">
        <f t="shared" si="16"/>
        <v>0</v>
      </c>
      <c r="AU131" s="87"/>
      <c r="AV131" s="189" t="e">
        <f>BA131+BY131+CE131</f>
        <v>#VALUE!</v>
      </c>
      <c r="AW131" s="173">
        <f>'Filter-old'!I134</f>
        <v>50</v>
      </c>
      <c r="AX131" s="368">
        <f>'Filter-new'!I134</f>
        <v>0</v>
      </c>
      <c r="AY131" s="87">
        <f>'price-old'!I13</f>
        <v>34.75</v>
      </c>
      <c r="AZ131" s="190">
        <f>'price-new'!I13</f>
        <v>18.9763374328613</v>
      </c>
      <c r="BA131" s="189" t="e">
        <f>'Filter-new'!I623</f>
        <v>#VALUE!</v>
      </c>
      <c r="BB131" s="374">
        <f>VLOOKUP(37165,[1]Offpeak_Forward!$A$1:$AG$231,15,FALSE)</f>
        <v>14.9683628082275</v>
      </c>
      <c r="BC131" s="361">
        <f>'Filter-old'!K134</f>
        <v>0</v>
      </c>
      <c r="BD131" s="189">
        <f>'Filter-new'!K134</f>
        <v>0</v>
      </c>
      <c r="BE131" s="87">
        <f>'price-old'!K13</f>
        <v>50.25</v>
      </c>
      <c r="BF131" s="190">
        <f>'price-new'!K13</f>
        <v>36.380428314208999</v>
      </c>
      <c r="BG131" s="173">
        <f>'Filter-old'!M134</f>
        <v>0</v>
      </c>
      <c r="BH131" s="173"/>
      <c r="BI131" s="173"/>
      <c r="BJ131" s="189">
        <f>'Filter-new'!M134</f>
        <v>0</v>
      </c>
      <c r="BK131" s="87">
        <f>'price-old'!M13</f>
        <v>35.75</v>
      </c>
      <c r="BL131" s="190">
        <f>'price-new'!M13</f>
        <v>29.973913192748999</v>
      </c>
      <c r="BM131" s="251"/>
      <c r="BN131" s="411">
        <f>'Filter-new'!N134</f>
        <v>0</v>
      </c>
      <c r="BO131" s="251"/>
      <c r="BP131" s="251">
        <f>'price-new'!N13</f>
        <v>33.793479919433601</v>
      </c>
      <c r="BQ131" s="173">
        <f>'Filter-old'!O134</f>
        <v>0</v>
      </c>
      <c r="BR131" s="189">
        <f>'Filter-new'!O134</f>
        <v>0</v>
      </c>
      <c r="BS131" s="87">
        <f>'price-old'!N13</f>
        <v>38.25</v>
      </c>
      <c r="BT131" s="190">
        <f>'price-new'!O13</f>
        <v>24.500001907348601</v>
      </c>
      <c r="BU131" s="173">
        <f>'Filter-old'!Q134</f>
        <v>0</v>
      </c>
      <c r="BV131" s="189">
        <f>'Filter-new'!Q134</f>
        <v>0</v>
      </c>
      <c r="BW131" s="62">
        <f>'price-old'!P13</f>
        <v>36.5</v>
      </c>
      <c r="BX131" s="190">
        <f>'price-new'!Q13</f>
        <v>18.749998092651399</v>
      </c>
      <c r="BY131" s="189" t="e">
        <f>'Filter-new'!Q623</f>
        <v>#VALUE!</v>
      </c>
      <c r="BZ131" s="251">
        <f>VLOOKUP(37165,[1]Offpeak_Forward!$A$1:$AG$231,22,FALSE)</f>
        <v>14.464891433715801</v>
      </c>
      <c r="CA131" s="173">
        <f>'Filter-old'!R134</f>
        <v>-50</v>
      </c>
      <c r="CB131" s="189">
        <f>'Filter-new'!R134</f>
        <v>0</v>
      </c>
      <c r="CC131" s="61">
        <f>'price-old'!Q13</f>
        <v>35.75</v>
      </c>
      <c r="CD131" s="190">
        <f>'price-new'!R13</f>
        <v>25.9608764648438</v>
      </c>
      <c r="CE131" s="189" t="e">
        <f>'Filter-new'!R623</f>
        <v>#VALUE!</v>
      </c>
      <c r="CF131" s="191">
        <f>VLOOKUP(37165,[1]Offpeak_Forward!$A$1:$AG$231,13,FALSE)</f>
        <v>15.084918975830099</v>
      </c>
      <c r="CG131" s="187"/>
    </row>
    <row r="132" spans="1:85" s="201" customFormat="1" hidden="1" x14ac:dyDescent="0.2">
      <c r="A132" s="201">
        <v>0</v>
      </c>
      <c r="B132" s="202" t="s">
        <v>128</v>
      </c>
      <c r="C132" s="146">
        <f>'Filter-new'!C13</f>
        <v>37196</v>
      </c>
      <c r="D132" s="74"/>
      <c r="E132" s="74"/>
      <c r="F132" s="74"/>
      <c r="G132" s="114">
        <f t="shared" si="14"/>
        <v>841.86452380952369</v>
      </c>
      <c r="H132" s="203" t="e">
        <f t="shared" si="15"/>
        <v>#VALUE!</v>
      </c>
      <c r="I132" s="203">
        <f>O132+U132+AM132+BA132+BY132+CE132</f>
        <v>217.70833333333331</v>
      </c>
      <c r="J132" s="97"/>
      <c r="K132" s="173">
        <f>'Filter-old'!E135</f>
        <v>1061.8645238095237</v>
      </c>
      <c r="L132" s="203">
        <f>'Filter-new'!E135</f>
        <v>0</v>
      </c>
      <c r="M132" s="87">
        <f>'price-old'!E14</f>
        <v>33.098438119888307</v>
      </c>
      <c r="N132" s="204">
        <f>VLOOKUP(CO$407,[1]Daily_Peak_Forward!$A$4:$AF$34,13,FALSE)</f>
        <v>22.35</v>
      </c>
      <c r="O132" s="463">
        <f>'Filter-new'!E624</f>
        <v>77.083333333333329</v>
      </c>
      <c r="P132" s="250">
        <f>VLOOKUP(37196,[1]Offpeak_Forward!$A$1:$AG$231,13,FALSE)</f>
        <v>15.049501419067401</v>
      </c>
      <c r="Q132" s="173">
        <f>'Filter-old'!H135</f>
        <v>-220</v>
      </c>
      <c r="R132" s="203">
        <f>'Filter-new'!H135</f>
        <v>0</v>
      </c>
      <c r="S132" s="87">
        <f>'price-old'!H14</f>
        <v>31.799991607666016</v>
      </c>
      <c r="T132" s="204">
        <f>'price-new'!H14</f>
        <v>0</v>
      </c>
      <c r="U132" s="203">
        <f>'Filter-new'!H624</f>
        <v>140.625</v>
      </c>
      <c r="V132" s="250">
        <f>VLOOKUP(37196,[1]Offpeak_Forward!$A$1:$AG$231,14,FALSE)</f>
        <v>13.4363765716553</v>
      </c>
      <c r="W132" s="173">
        <f>'Filter-old'!J135</f>
        <v>0</v>
      </c>
      <c r="X132" s="203">
        <f>'Filter-new'!J135</f>
        <v>0</v>
      </c>
      <c r="Y132" s="87">
        <f>'price-old'!J14</f>
        <v>29.546907424926758</v>
      </c>
      <c r="Z132" s="204">
        <f>'price-new'!J14</f>
        <v>0</v>
      </c>
      <c r="AA132" s="173">
        <f>'Filter-old'!F135</f>
        <v>0</v>
      </c>
      <c r="AB132" s="203">
        <f>'Filter-new'!F135</f>
        <v>0</v>
      </c>
      <c r="AC132" s="87">
        <f>'price-old'!F14</f>
        <v>33.098438119888307</v>
      </c>
      <c r="AD132" s="204">
        <f>'price-new'!F14</f>
        <v>0</v>
      </c>
      <c r="AE132" s="173">
        <f>'Filter-old'!P135</f>
        <v>0</v>
      </c>
      <c r="AF132" s="203">
        <f>'Filter-new'!P135</f>
        <v>0</v>
      </c>
      <c r="AG132" s="87">
        <f>'price-old'!O14</f>
        <v>34.999992370605469</v>
      </c>
      <c r="AH132" s="204">
        <f>'price-new'!P14</f>
        <v>0</v>
      </c>
      <c r="AI132" s="173">
        <f>'Filter-old'!L135</f>
        <v>0</v>
      </c>
      <c r="AJ132" s="203">
        <f>'Filter-new'!L135</f>
        <v>0</v>
      </c>
      <c r="AK132" s="87">
        <f>'price-old'!L14</f>
        <v>59</v>
      </c>
      <c r="AL132" s="204">
        <f>'price-new'!L14</f>
        <v>0</v>
      </c>
      <c r="AM132" s="203">
        <f>'Filter-new'!L624</f>
        <v>0</v>
      </c>
      <c r="AN132" s="204">
        <f>VLOOKUP(37196,[1]Offpeak_Forward!$A$1:$AG$231,18,FALSE)</f>
        <v>19.3388786315918</v>
      </c>
      <c r="AO132" s="173">
        <f>'Filter-old'!G135</f>
        <v>0</v>
      </c>
      <c r="AP132" s="203">
        <f>'Filter-new'!G135</f>
        <v>0</v>
      </c>
      <c r="AQ132" s="87">
        <f>'price-old'!G14</f>
        <v>32.949989318847656</v>
      </c>
      <c r="AR132" s="204">
        <f>'price-new'!G14</f>
        <v>0</v>
      </c>
      <c r="AS132" s="173"/>
      <c r="AT132" s="203" t="e">
        <f t="shared" si="16"/>
        <v>#VALUE!</v>
      </c>
      <c r="AU132" s="87"/>
      <c r="AV132" s="203">
        <f>BA132+BY132+CE132</f>
        <v>0</v>
      </c>
      <c r="AW132" s="173">
        <f>'Filter-old'!I135</f>
        <v>50</v>
      </c>
      <c r="AX132" s="369">
        <f>'Filter-new'!I135</f>
        <v>0</v>
      </c>
      <c r="AY132" s="87">
        <f>'price-old'!I14</f>
        <v>34.75</v>
      </c>
      <c r="AZ132" s="204">
        <f>'price-new'!I14</f>
        <v>0</v>
      </c>
      <c r="BA132" s="203">
        <f>'Filter-new'!I624</f>
        <v>0</v>
      </c>
      <c r="BB132" s="375">
        <f>VLOOKUP(37196,[1]Offpeak_Forward!$A$1:$AG$231,15,FALSE)</f>
        <v>14.9290018081665</v>
      </c>
      <c r="BC132" s="361">
        <f>'Filter-old'!K135</f>
        <v>0</v>
      </c>
      <c r="BD132" s="203">
        <f>'Filter-new'!K135</f>
        <v>0</v>
      </c>
      <c r="BE132" s="87">
        <f>'price-old'!K14</f>
        <v>50.25</v>
      </c>
      <c r="BF132" s="204">
        <f>'price-new'!K14</f>
        <v>0</v>
      </c>
      <c r="BG132" s="173">
        <f>'Filter-old'!M135</f>
        <v>0</v>
      </c>
      <c r="BH132" s="203">
        <f>'Filter-new'!K624</f>
        <v>0</v>
      </c>
      <c r="BI132" s="375">
        <f>VLOOKUP(37196,[1]Offpeak_Forward!$A$1:$AG$231,2,FALSE)</f>
        <v>28.3666667938232</v>
      </c>
      <c r="BJ132" s="203" t="e">
        <f>'Filter-new'!M135</f>
        <v>#VALUE!</v>
      </c>
      <c r="BK132" s="87">
        <f>'price-old'!M14</f>
        <v>35.75</v>
      </c>
      <c r="BL132" s="204">
        <f>'price-new'!M14</f>
        <v>0</v>
      </c>
      <c r="BM132" s="250"/>
      <c r="BN132" s="488" t="e">
        <f>'Filter-new'!N135</f>
        <v>#VALUE!</v>
      </c>
      <c r="BO132" s="250"/>
      <c r="BP132" s="250">
        <f>'price-new'!N14</f>
        <v>0</v>
      </c>
      <c r="BQ132" s="173">
        <f>'Filter-old'!O135</f>
        <v>0</v>
      </c>
      <c r="BR132" s="203">
        <f>'Filter-new'!O135</f>
        <v>0</v>
      </c>
      <c r="BS132" s="87">
        <f>'price-old'!N14</f>
        <v>38.25</v>
      </c>
      <c r="BT132" s="204">
        <f>'price-new'!O14</f>
        <v>0</v>
      </c>
      <c r="BU132" s="173">
        <f>'Filter-old'!Q135</f>
        <v>0</v>
      </c>
      <c r="BV132" s="203">
        <f>'Filter-new'!Q135</f>
        <v>0</v>
      </c>
      <c r="BW132" s="62">
        <f>'price-old'!P14</f>
        <v>36.5</v>
      </c>
      <c r="BX132" s="204">
        <f>'price-new'!Q14</f>
        <v>0</v>
      </c>
      <c r="BY132" s="203">
        <f>'Filter-new'!Q624</f>
        <v>46.875</v>
      </c>
      <c r="BZ132" s="250">
        <f>VLOOKUP(37196,[1]Offpeak_Forward!$A$1:$AG$231,22,FALSE)</f>
        <v>14.6145830154419</v>
      </c>
      <c r="CA132" s="173">
        <f>'Filter-old'!R135</f>
        <v>-50</v>
      </c>
      <c r="CB132" s="203">
        <f>'Filter-new'!R135</f>
        <v>0</v>
      </c>
      <c r="CC132" s="61">
        <f>'price-old'!Q14</f>
        <v>35.75</v>
      </c>
      <c r="CD132" s="204">
        <f>'price-new'!R14</f>
        <v>0</v>
      </c>
      <c r="CE132" s="203">
        <f>'Filter-new'!R624</f>
        <v>-46.875</v>
      </c>
      <c r="CF132" s="205">
        <f>VLOOKUP(37196,[1]Offpeak_Forward!$A$1:$AG$231,6,FALSE)</f>
        <v>18.687084197998001</v>
      </c>
      <c r="CG132" s="206"/>
    </row>
    <row r="133" spans="1:85" s="536" customFormat="1" ht="13.5" thickBot="1" x14ac:dyDescent="0.25">
      <c r="A133" s="536">
        <v>1</v>
      </c>
      <c r="B133" s="537" t="s">
        <v>129</v>
      </c>
      <c r="C133" s="148">
        <f>'Filter-new'!C14</f>
        <v>37226</v>
      </c>
      <c r="D133" s="149"/>
      <c r="E133" s="149"/>
      <c r="F133" s="149"/>
      <c r="G133" s="150">
        <f t="shared" si="14"/>
        <v>954.51965625000003</v>
      </c>
      <c r="H133" s="538">
        <f t="shared" si="15"/>
        <v>2381</v>
      </c>
      <c r="I133" s="538">
        <f>O133+U133+AM133+BA133+BY133+CE133</f>
        <v>-297.73584905660374</v>
      </c>
      <c r="J133" s="151"/>
      <c r="K133" s="174">
        <f>'Filter-old'!E136</f>
        <v>1177.01965625</v>
      </c>
      <c r="L133" s="538">
        <f>'Filter-new'!E136</f>
        <v>1348.5</v>
      </c>
      <c r="M133" s="152">
        <f>'price-old'!E15</f>
        <v>36.178436136245729</v>
      </c>
      <c r="N133" s="539">
        <f>'price-new'!E15</f>
        <v>22.191666666666674</v>
      </c>
      <c r="O133" s="540">
        <f>'Filter-new'!E625</f>
        <v>-230.24528301886792</v>
      </c>
      <c r="P133" s="541">
        <f>VLOOKUP(37226,[1]Offpeak_Forward!$A$1:$AG$231,13,FALSE)</f>
        <v>17.339624404907202</v>
      </c>
      <c r="Q133" s="174">
        <f>'Filter-old'!H136</f>
        <v>-222.5</v>
      </c>
      <c r="R133" s="538">
        <f>'Filter-new'!H136</f>
        <v>177.5</v>
      </c>
      <c r="S133" s="152">
        <f>'price-old'!H15</f>
        <v>35.629989624023437</v>
      </c>
      <c r="T133" s="539">
        <f>'price-new'!H15</f>
        <v>21.911111111111115</v>
      </c>
      <c r="U133" s="538">
        <f>'Filter-new'!H625</f>
        <v>-138.67924528301887</v>
      </c>
      <c r="V133" s="541">
        <f>VLOOKUP(37226,[1]Offpeak_Forward!$A$1:$AG$231,14,FALSE)</f>
        <v>15.5828313827515</v>
      </c>
      <c r="W133" s="174">
        <f>'Filter-old'!J136</f>
        <v>0</v>
      </c>
      <c r="X133" s="194">
        <f>'Filter-new'!J136</f>
        <v>0</v>
      </c>
      <c r="Y133" s="152">
        <f>'price-old'!J15</f>
        <v>33.382293701171875</v>
      </c>
      <c r="Z133" s="195">
        <f>'price-new'!J15</f>
        <v>22.191666666666674</v>
      </c>
      <c r="AA133" s="174">
        <f>'Filter-old'!F136</f>
        <v>0</v>
      </c>
      <c r="AB133" s="538">
        <f>'Filter-new'!F136</f>
        <v>0</v>
      </c>
      <c r="AC133" s="152">
        <f>'price-old'!F15</f>
        <v>36.178436136245729</v>
      </c>
      <c r="AD133" s="539">
        <f>'price-new'!F15</f>
        <v>22.191666666666674</v>
      </c>
      <c r="AE133" s="174">
        <f>'Filter-old'!P136</f>
        <v>0</v>
      </c>
      <c r="AF133" s="538">
        <f>'Filter-new'!P136</f>
        <v>0</v>
      </c>
      <c r="AG133" s="152">
        <f>'price-old'!O15</f>
        <v>38.079990386962891</v>
      </c>
      <c r="AH133" s="539">
        <f>'price-new'!P15</f>
        <v>23.091666666666665</v>
      </c>
      <c r="AI133" s="174">
        <f>'Filter-old'!L136</f>
        <v>0</v>
      </c>
      <c r="AJ133" s="538">
        <f>'Filter-new'!L136</f>
        <v>0</v>
      </c>
      <c r="AK133" s="152">
        <f>'price-old'!L15</f>
        <v>59</v>
      </c>
      <c r="AL133" s="539">
        <f>'price-new'!L15</f>
        <v>22.041666666666661</v>
      </c>
      <c r="AM133" s="538">
        <f>'Filter-new'!L625</f>
        <v>24.962264150943398</v>
      </c>
      <c r="AN133" s="539">
        <f>VLOOKUP(37226,[1]Offpeak_Forward!$A$1:$AG$231,18,FALSE)</f>
        <v>20.2720737457275</v>
      </c>
      <c r="AO133" s="174">
        <f>'Filter-old'!G136</f>
        <v>0</v>
      </c>
      <c r="AP133" s="194">
        <f>'Filter-new'!G136</f>
        <v>0</v>
      </c>
      <c r="AQ133" s="152">
        <f>'price-old'!G15</f>
        <v>33.949989318847656</v>
      </c>
      <c r="AR133" s="195">
        <f>'price-new'!G15</f>
        <v>19.75</v>
      </c>
      <c r="AS133" s="174"/>
      <c r="AT133" s="538">
        <f t="shared" si="16"/>
        <v>1305</v>
      </c>
      <c r="AU133" s="152"/>
      <c r="AV133" s="538">
        <f>BA133+BY133+CE133</f>
        <v>46.226415094339622</v>
      </c>
      <c r="AW133" s="174">
        <f>'Filter-old'!I136</f>
        <v>50</v>
      </c>
      <c r="AX133" s="542">
        <f>'Filter-new'!I136</f>
        <v>45</v>
      </c>
      <c r="AY133" s="152">
        <f>'price-old'!I15</f>
        <v>34.75</v>
      </c>
      <c r="AZ133" s="539">
        <f>'price-new'!I15</f>
        <v>22.041666666666668</v>
      </c>
      <c r="BA133" s="538">
        <f>'Filter-new'!I625</f>
        <v>46.226415094339622</v>
      </c>
      <c r="BB133" s="543">
        <f>VLOOKUP(37226,[1]Offpeak_Forward!$A$1:$AG$231,15,FALSE)</f>
        <v>16.499813079833999</v>
      </c>
      <c r="BC133" s="291">
        <f>'Filter-old'!K136</f>
        <v>0</v>
      </c>
      <c r="BD133" s="538">
        <f>'Filter-new'!K136</f>
        <v>225</v>
      </c>
      <c r="BE133" s="152">
        <f>'price-old'!K15</f>
        <v>50.25</v>
      </c>
      <c r="BF133" s="539">
        <f>'price-new'!K15</f>
        <v>29.763888888888889</v>
      </c>
      <c r="BG133" s="174">
        <f>'Filter-old'!M136</f>
        <v>0</v>
      </c>
      <c r="BH133" s="538">
        <f>'Filter-new'!K625</f>
        <v>-92.452830188679243</v>
      </c>
      <c r="BI133" s="543">
        <f>VLOOKUP(37226,[1]Offpeak_Forward!$A$1:$AG$231,2,FALSE)</f>
        <v>24.197830200195298</v>
      </c>
      <c r="BJ133" s="538">
        <f>'Filter-new'!M136</f>
        <v>450</v>
      </c>
      <c r="BK133" s="152">
        <f>'price-old'!M15</f>
        <v>35.75</v>
      </c>
      <c r="BL133" s="539">
        <f>'price-new'!M15</f>
        <v>26.216666666666658</v>
      </c>
      <c r="BM133" s="252"/>
      <c r="BN133" s="544">
        <f>'Filter-new'!N136</f>
        <v>450</v>
      </c>
      <c r="BO133" s="252"/>
      <c r="BP133" s="541">
        <f>'price-new'!N15</f>
        <v>32.5</v>
      </c>
      <c r="BQ133" s="174">
        <f>'Filter-old'!O136</f>
        <v>0</v>
      </c>
      <c r="BR133" s="538">
        <f>'Filter-new'!O136</f>
        <v>45</v>
      </c>
      <c r="BS133" s="152">
        <f>'price-old'!N15</f>
        <v>38.25</v>
      </c>
      <c r="BT133" s="539">
        <f>'price-new'!O15</f>
        <v>21.708333333333332</v>
      </c>
      <c r="BU133" s="174">
        <f>'Filter-old'!Q136</f>
        <v>0</v>
      </c>
      <c r="BV133" s="538">
        <f>'Filter-new'!Q136</f>
        <v>0</v>
      </c>
      <c r="BW133" s="154">
        <f>'price-old'!P15</f>
        <v>36.5</v>
      </c>
      <c r="BX133" s="539">
        <f>'price-new'!Q15</f>
        <v>19.180555555555557</v>
      </c>
      <c r="BY133" s="538">
        <f>'Filter-new'!Q625</f>
        <v>0</v>
      </c>
      <c r="BZ133" s="541">
        <f>VLOOKUP(37226,[1]Offpeak_Forward!$A$1:$AG$231,22,FALSE)</f>
        <v>16.098117828369102</v>
      </c>
      <c r="CA133" s="174">
        <f>'Filter-old'!R136</f>
        <v>-50</v>
      </c>
      <c r="CB133" s="538">
        <f>'Filter-new'!R136</f>
        <v>90</v>
      </c>
      <c r="CC133" s="153">
        <f>'price-old'!Q15</f>
        <v>35.75</v>
      </c>
      <c r="CD133" s="539">
        <f>'price-new'!R15</f>
        <v>23.361111111111111</v>
      </c>
      <c r="CE133" s="538">
        <f>'Filter-new'!R625</f>
        <v>0</v>
      </c>
      <c r="CF133" s="545">
        <f>VLOOKUP(37226,[1]Offpeak_Forward!$A$1:$AG$231,6,FALSE)</f>
        <v>18.034910202026399</v>
      </c>
      <c r="CG133" s="546"/>
    </row>
    <row r="134" spans="1:85" s="131" customFormat="1" ht="12" customHeight="1" thickBot="1" x14ac:dyDescent="0.25">
      <c r="A134" s="131">
        <v>1</v>
      </c>
      <c r="B134" s="133"/>
      <c r="C134" s="133"/>
      <c r="D134" s="74"/>
      <c r="E134" s="74"/>
      <c r="F134" s="74"/>
      <c r="G134" s="134"/>
      <c r="H134" s="134"/>
      <c r="I134" s="134"/>
      <c r="J134" s="132"/>
      <c r="K134" s="134"/>
      <c r="L134" s="179"/>
      <c r="M134" s="87"/>
      <c r="N134" s="135"/>
      <c r="O134" s="465"/>
      <c r="P134" s="135"/>
      <c r="Q134" s="134"/>
      <c r="R134" s="179"/>
      <c r="S134" s="87"/>
      <c r="T134" s="135"/>
      <c r="U134" s="134"/>
      <c r="V134" s="135"/>
      <c r="W134" s="134"/>
      <c r="X134" s="179"/>
      <c r="Y134" s="87"/>
      <c r="Z134" s="135"/>
      <c r="AA134" s="134"/>
      <c r="AB134" s="179"/>
      <c r="AC134" s="87"/>
      <c r="AD134" s="135"/>
      <c r="AE134" s="134"/>
      <c r="AF134" s="179"/>
      <c r="AG134" s="87"/>
      <c r="AH134" s="135"/>
      <c r="AI134" s="134"/>
      <c r="AJ134" s="179"/>
      <c r="AK134" s="87"/>
      <c r="AL134" s="135"/>
      <c r="AM134" s="134"/>
      <c r="AN134" s="135"/>
      <c r="AO134" s="134"/>
      <c r="AP134" s="179"/>
      <c r="AQ134" s="87"/>
      <c r="AR134" s="135"/>
      <c r="AS134" s="134"/>
      <c r="AT134" s="179"/>
      <c r="AU134" s="87"/>
      <c r="AV134" s="179"/>
      <c r="AW134" s="134"/>
      <c r="AX134" s="371"/>
      <c r="AY134" s="87"/>
      <c r="AZ134" s="135"/>
      <c r="BA134" s="134"/>
      <c r="BB134" s="377"/>
      <c r="BC134" s="134"/>
      <c r="BD134" s="179"/>
      <c r="BE134" s="87"/>
      <c r="BF134" s="135"/>
      <c r="BG134" s="134"/>
      <c r="BH134" s="134"/>
      <c r="BI134" s="134"/>
      <c r="BJ134" s="179"/>
      <c r="BK134" s="87"/>
      <c r="BL134" s="135"/>
      <c r="BM134" s="135"/>
      <c r="BN134" s="469"/>
      <c r="BO134" s="135"/>
      <c r="BP134" s="135"/>
      <c r="BQ134" s="134"/>
      <c r="BR134" s="179"/>
      <c r="BS134" s="87"/>
      <c r="BT134" s="135"/>
      <c r="BU134" s="134"/>
      <c r="BV134" s="179"/>
      <c r="BW134" s="87"/>
      <c r="BX134" s="135"/>
      <c r="BY134" s="134"/>
      <c r="BZ134" s="135"/>
      <c r="CA134" s="134"/>
      <c r="CB134" s="179"/>
      <c r="CC134" s="76"/>
      <c r="CD134" s="135"/>
      <c r="CE134" s="134"/>
      <c r="CF134" s="135"/>
      <c r="CG134" s="132"/>
    </row>
    <row r="135" spans="1:85" s="182" customFormat="1" x14ac:dyDescent="0.2">
      <c r="A135" s="182">
        <v>1</v>
      </c>
      <c r="B135" s="183" t="s">
        <v>135</v>
      </c>
      <c r="C135" s="155">
        <f>'Filter-new'!C15</f>
        <v>37257</v>
      </c>
      <c r="D135" s="156"/>
      <c r="E135" s="156"/>
      <c r="F135" s="156"/>
      <c r="G135" s="157">
        <f t="shared" ref="G135:G146" si="17">SUM(K135,AA135,AO135,Q135,AW135,W135,BC135,AI135,BG135,BQ135,AE135,BU135,CA135)</f>
        <v>-99.583238636363603</v>
      </c>
      <c r="H135" s="184">
        <f>SUM(L135,AB135,AP135,R135,AX135,X135,BD135,AJ135,BJ135,BR135,AF135,BV135,CB135,BN135)</f>
        <v>431.86436931818207</v>
      </c>
      <c r="I135" s="184">
        <f>O135+U135+AM135+BA135+BY135+CE135</f>
        <v>-303.0125231910946</v>
      </c>
      <c r="J135" s="158"/>
      <c r="K135" s="175">
        <f>'Filter-old'!E137</f>
        <v>1626.0316193181818</v>
      </c>
      <c r="L135" s="184">
        <f>AVERAGE('Filter-new'!E137:E138)-AB135</f>
        <v>-2525.1356306818179</v>
      </c>
      <c r="M135" s="159">
        <f>'price-old'!E16</f>
        <v>38.035715375627788</v>
      </c>
      <c r="N135" s="185">
        <f>('price-new'!E16*31+'price-new'!E17*28)/59</f>
        <v>25.76909035504876</v>
      </c>
      <c r="O135" s="466">
        <f>AVERAGE('Filter-new'!E626:E627)</f>
        <v>-227.93019480519479</v>
      </c>
      <c r="P135" s="249">
        <f>(VLOOKUP(37257,[1]Offpeak_Forward!$A$1:$AG$231,13,FALSE)*31+VLOOKUP(37288,[1]Offpeak_Forward!_xlnm.Print_Area,13,FALSE)*28)/59</f>
        <v>19.215444047572252</v>
      </c>
      <c r="Q135" s="175">
        <f>'Filter-old'!H137</f>
        <v>-1370</v>
      </c>
      <c r="R135" s="184">
        <f>AVERAGE('Filter-new'!H137:H138)</f>
        <v>-945</v>
      </c>
      <c r="S135" s="158">
        <f>'price-old'!H16</f>
        <v>36.035144805908203</v>
      </c>
      <c r="T135" s="185">
        <f>('price-new'!H16*31+'price-new'!H17*28)/59</f>
        <v>23.039087589069922</v>
      </c>
      <c r="U135" s="184">
        <f>AVERAGE('Filter-new'!H626:H627)</f>
        <v>-125.30148423005566</v>
      </c>
      <c r="V135" s="249">
        <f>(VLOOKUP(37257,[1]Offpeak_Forward!$A$1:$AG$231,14,FALSE)*31+VLOOKUP(37288,[1]Offpeak_Forward!_xlnm.Print_Area,14,FALSE)*28)/59</f>
        <v>17.87242042412193</v>
      </c>
      <c r="W135" s="175">
        <f>'Filter-old'!J137</f>
        <v>0</v>
      </c>
      <c r="X135" s="184">
        <f>'Filter-new'!J137</f>
        <v>0</v>
      </c>
      <c r="Y135" s="158">
        <f>'price-old'!J16</f>
        <v>40.803840637207031</v>
      </c>
      <c r="Z135" s="185">
        <f>('price-new'!J16*31+'price-new'!J17*28)/59</f>
        <v>25.792819168608084</v>
      </c>
      <c r="AA135" s="175">
        <f>'Filter-old'!F137</f>
        <v>0</v>
      </c>
      <c r="AB135" s="184">
        <v>150</v>
      </c>
      <c r="AC135" s="158">
        <f>'price-old'!F16</f>
        <v>38.035715375627788</v>
      </c>
      <c r="AD135" s="185">
        <f>('price-new'!F16*31+'price-new'!F17*28)/59</f>
        <v>25.792819168608084</v>
      </c>
      <c r="AE135" s="175">
        <f>'Filter-old'!P137</f>
        <v>0</v>
      </c>
      <c r="AF135" s="184">
        <f>AVERAGE('Filter-new'!P137:P138)</f>
        <v>50</v>
      </c>
      <c r="AG135" s="158">
        <f>'price-old'!O16</f>
        <v>37.287143707275391</v>
      </c>
      <c r="AH135" s="185">
        <f>('price-new'!P16*31+'price-new'!P17*28)/59</f>
        <v>27.902985453201527</v>
      </c>
      <c r="AI135" s="175">
        <f>'Filter-old'!L137</f>
        <v>0</v>
      </c>
      <c r="AJ135" s="184">
        <f>AVERAGE('Filter-new'!L137:L138)</f>
        <v>27</v>
      </c>
      <c r="AK135" s="158">
        <f>'price-old'!L16</f>
        <v>70</v>
      </c>
      <c r="AL135" s="185">
        <f>('price-new'!L16*31+'price-new'!L17*28)/59</f>
        <v>27.823464167966694</v>
      </c>
      <c r="AM135" s="184">
        <f>AVERAGE('Filter-new'!L626:L627)</f>
        <v>27.770176252319111</v>
      </c>
      <c r="AN135" s="249">
        <f>(VLOOKUP(37257,[1]Offpeak_Forward!$A$1:$AG$231,18,FALSE)*31+VLOOKUP(37288,[1]Offpeak_Forward!_xlnm.Print_Area,18,FALSE)*28)/59</f>
        <v>22.200745275465124</v>
      </c>
      <c r="AO135" s="175">
        <f>'Filter-old'!G137</f>
        <v>0</v>
      </c>
      <c r="AP135" s="184">
        <f>'Filter-new'!G137</f>
        <v>0</v>
      </c>
      <c r="AQ135" s="158">
        <f>'price-old'!G16</f>
        <v>37.119991302490234</v>
      </c>
      <c r="AR135" s="185">
        <f>('price-new'!G16*31+'price-new'!G17*28)/59</f>
        <v>21.92941878625901</v>
      </c>
      <c r="AS135" s="175"/>
      <c r="AT135" s="184">
        <f>AX135+BD135+BJ135+BR135+BV135+CB135+BN135</f>
        <v>3675</v>
      </c>
      <c r="AU135" s="287"/>
      <c r="AV135" s="184">
        <f>BA135+BY135+CE135</f>
        <v>22.448979591836739</v>
      </c>
      <c r="AW135" s="292">
        <f>'Filter-old'!I137</f>
        <v>-50</v>
      </c>
      <c r="AX135" s="372">
        <f>AVERAGE('Filter-new'!I137:I138)</f>
        <v>-525</v>
      </c>
      <c r="AY135" s="359">
        <f>'price-old'!I16</f>
        <v>38.004997253417969</v>
      </c>
      <c r="AZ135" s="185">
        <f>('price-new'!I16*31+'price-new'!I17*28)/59</f>
        <v>25.344667773489228</v>
      </c>
      <c r="BA135" s="184">
        <f>AVERAGE('Filter-new'!I626:I627)</f>
        <v>51.426252319109466</v>
      </c>
      <c r="BB135" s="378">
        <f>(VLOOKUP(37257,[1]Offpeak_Forward!$A$1:$AG$231,15,FALSE)*31+VLOOKUP(37288,[1]Offpeak_Forward!_xlnm.Print_Area,15,FALSE)*28)/59</f>
        <v>19.049123925677815</v>
      </c>
      <c r="BC135" s="292">
        <f>'Filter-old'!K137</f>
        <v>0</v>
      </c>
      <c r="BD135" s="184">
        <f>AVERAGE('Filter-new'!K137:K138)</f>
        <v>1000</v>
      </c>
      <c r="BE135" s="158">
        <f>'price-old'!K16</f>
        <v>60</v>
      </c>
      <c r="BF135" s="185">
        <f>('price-new'!K16*31+'price-new'!K17*28)/59</f>
        <v>36.750096207958187</v>
      </c>
      <c r="BG135" s="175">
        <f>'Filter-old'!M137</f>
        <v>0</v>
      </c>
      <c r="BH135" s="184">
        <f>AVERAGE('Filter-new'!K626:K627)</f>
        <v>-102.85250463821893</v>
      </c>
      <c r="BI135" s="378">
        <f>(VLOOKUP(37257,[1]Offpeak_Forward!$A$1:$AG$231,2,FALSE)*31+VLOOKUP(37288,[1]Offpeak_Forward!_xlnm.Print_Area,2,FALSE)*28)/59</f>
        <v>29.2645970683987</v>
      </c>
      <c r="BJ135" s="184">
        <f>AVERAGE('Filter-new'!M137:M138)</f>
        <v>1000</v>
      </c>
      <c r="BK135" s="158">
        <f>'price-old'!M16</f>
        <v>41.75</v>
      </c>
      <c r="BL135" s="185">
        <f>('price-new'!M16*31+'price-new'!M17*28)/59</f>
        <v>29.25</v>
      </c>
      <c r="BM135" s="249"/>
      <c r="BN135" s="490">
        <f>AVERAGE('Filter-new'!N137:N138)</f>
        <v>1050</v>
      </c>
      <c r="BO135" s="249"/>
      <c r="BP135" s="249">
        <f>('price-new'!N16*31+'price-new'!N17*28)/59</f>
        <v>36.5</v>
      </c>
      <c r="BQ135" s="175">
        <f>'Filter-old'!O137</f>
        <v>0</v>
      </c>
      <c r="BR135" s="184">
        <f>AVERAGE('Filter-new'!O137:O138)</f>
        <v>0</v>
      </c>
      <c r="BS135" s="158">
        <f>'price-old'!N16</f>
        <v>40.754997253417969</v>
      </c>
      <c r="BT135" s="185">
        <f>('price-new'!O16*31+'price-new'!O17*28)/59</f>
        <v>27.5</v>
      </c>
      <c r="BU135" s="175">
        <f>'Filter-old'!Q137</f>
        <v>194.38514204545456</v>
      </c>
      <c r="BV135" s="184">
        <f>AVERAGE('Filter-new'!Q137:Q138)</f>
        <v>0</v>
      </c>
      <c r="BW135" s="158">
        <f>'price-old'!P16</f>
        <v>38.6</v>
      </c>
      <c r="BX135" s="185">
        <f>('price-new'!Q16*31+'price-new'!Q17*28)/59</f>
        <v>22.5</v>
      </c>
      <c r="BY135" s="184">
        <f>AVERAGE('Filter-new'!Q626:Q627)</f>
        <v>0</v>
      </c>
      <c r="BZ135" s="249">
        <f>(VLOOKUP(37257,[1]Offpeak_Forward!$A$1:$AG$231,22,FALSE)*31+VLOOKUP(37288,[1]Offpeak_Forward!_xlnm.Print_Area,22,FALSE)*28)/59</f>
        <v>14.709979315935547</v>
      </c>
      <c r="CA135" s="175">
        <f>'Filter-old'!R137</f>
        <v>-500</v>
      </c>
      <c r="CB135" s="184">
        <f>AVERAGE('Filter-new'!R137:R138)</f>
        <v>1150</v>
      </c>
      <c r="CC135" s="160">
        <f>'price-old'!Q16</f>
        <v>41.75</v>
      </c>
      <c r="CD135" s="185">
        <f>('price-new'!R16*31+'price-new'!R17*28)/59</f>
        <v>28.5</v>
      </c>
      <c r="CE135" s="184">
        <f>AVERAGE('Filter-new'!R626:R627)</f>
        <v>-28.977272727272727</v>
      </c>
      <c r="CF135" s="186">
        <f>(VLOOKUP(37257,[1]Offpeak_Forward!$A$1:$AG$231,6,FALSE)*31+VLOOKUP(37288,[1]Offpeak_Forward!_xlnm.Print_Area,6,FALSE)*28)/59</f>
        <v>19.858091257386324</v>
      </c>
      <c r="CG135" s="187"/>
    </row>
    <row r="136" spans="1:85" s="52" customFormat="1" hidden="1" x14ac:dyDescent="0.2">
      <c r="A136" s="52">
        <v>0</v>
      </c>
      <c r="B136" s="161">
        <v>37288</v>
      </c>
      <c r="C136" s="161">
        <f>'Filter-new'!C16</f>
        <v>37288</v>
      </c>
      <c r="D136" s="74"/>
      <c r="E136" s="74"/>
      <c r="F136" s="74"/>
      <c r="G136" s="129">
        <f t="shared" si="17"/>
        <v>-105.5641250000001</v>
      </c>
      <c r="H136" s="129">
        <f>SUM(L136,AB136,AP136,R136,AX136,X136,BD136,AJ136,BJ136,BR136,AF136,BV136,CB136)</f>
        <v>-569.85262499999999</v>
      </c>
      <c r="I136" s="208"/>
      <c r="J136" s="98"/>
      <c r="K136" s="129">
        <f>'Filter-old'!E138</f>
        <v>1620.6893749999999</v>
      </c>
      <c r="L136" s="129">
        <f>'Filter-new'!E138</f>
        <v>-2376.852625</v>
      </c>
      <c r="M136" s="87">
        <f>'price-old'!E17</f>
        <v>37.435713086809429</v>
      </c>
      <c r="N136" s="130">
        <f>'price-new'!E17</f>
        <v>25.95</v>
      </c>
      <c r="O136" s="436">
        <f>'Filter-new'!E627</f>
        <v>-232.43181818181819</v>
      </c>
      <c r="P136" s="130">
        <f>VLOOKUP(37165,[1]Offpeak_Forward!$A$1:$AG$231,13,FALSE)</f>
        <v>15.084918975830099</v>
      </c>
      <c r="Q136" s="129">
        <f>'Filter-old'!H138</f>
        <v>-1370</v>
      </c>
      <c r="R136" s="129">
        <f>'Filter-new'!H138</f>
        <v>-920</v>
      </c>
      <c r="S136" s="98">
        <f>'price-old'!H17</f>
        <v>35.437141418457031</v>
      </c>
      <c r="T136" s="130">
        <f>'price-new'!H17</f>
        <v>23.22</v>
      </c>
      <c r="U136" s="436">
        <f>'Filter-new'!H627</f>
        <v>-115.90909090909091</v>
      </c>
      <c r="V136" s="130"/>
      <c r="W136" s="129">
        <f>'Filter-old'!J138</f>
        <v>0</v>
      </c>
      <c r="X136" s="129">
        <f>'Filter-new'!J138</f>
        <v>0</v>
      </c>
      <c r="Y136" s="98">
        <f>'price-old'!J17</f>
        <v>38.803840637207031</v>
      </c>
      <c r="Z136" s="130">
        <f>'price-new'!J17</f>
        <v>26</v>
      </c>
      <c r="AA136" s="129">
        <f>'Filter-old'!F138</f>
        <v>0</v>
      </c>
      <c r="AB136" s="129">
        <f>'Filter-new'!F138</f>
        <v>0</v>
      </c>
      <c r="AC136" s="98">
        <f>'price-old'!F17</f>
        <v>37.435713086809429</v>
      </c>
      <c r="AD136" s="130">
        <f>'price-new'!F17</f>
        <v>26</v>
      </c>
      <c r="AE136" s="129">
        <f>'Filter-old'!P138</f>
        <v>0</v>
      </c>
      <c r="AF136" s="129">
        <f>'Filter-new'!P138</f>
        <v>50</v>
      </c>
      <c r="AG136" s="98">
        <f>'price-old'!O17</f>
        <v>36.687141418457031</v>
      </c>
      <c r="AH136" s="130">
        <f>'price-new'!P17</f>
        <v>29.45</v>
      </c>
      <c r="AI136" s="129">
        <f>'Filter-old'!L138</f>
        <v>0</v>
      </c>
      <c r="AJ136" s="129">
        <f>'Filter-new'!L138</f>
        <v>27</v>
      </c>
      <c r="AK136" s="98">
        <f>'price-old'!L17</f>
        <v>70</v>
      </c>
      <c r="AL136" s="130">
        <f>'price-new'!L17</f>
        <v>29.68</v>
      </c>
      <c r="AM136" s="129">
        <f>'Filter-new'!L627</f>
        <v>31.295454545454547</v>
      </c>
      <c r="AN136" s="130"/>
      <c r="AO136" s="129">
        <f>'Filter-old'!G138</f>
        <v>0</v>
      </c>
      <c r="AP136" s="129">
        <f>'Filter-new'!G138</f>
        <v>0</v>
      </c>
      <c r="AQ136" s="98">
        <f>'price-old'!G17</f>
        <v>35.369987487792969</v>
      </c>
      <c r="AR136" s="130">
        <f>'price-new'!G17</f>
        <v>21.67</v>
      </c>
      <c r="AS136" s="129"/>
      <c r="AT136" s="129"/>
      <c r="AU136" s="98"/>
      <c r="AV136" s="299"/>
      <c r="AW136" s="129">
        <f>'Filter-old'!I138</f>
        <v>-50</v>
      </c>
      <c r="AX136" s="129">
        <f>'Filter-new'!I138</f>
        <v>-500</v>
      </c>
      <c r="AY136" s="98">
        <f>'price-old'!I17</f>
        <v>38.000003814697266</v>
      </c>
      <c r="AZ136" s="130">
        <f>'price-new'!I17</f>
        <v>25.57</v>
      </c>
      <c r="BA136" s="129">
        <f>'Filter-new'!I627</f>
        <v>57.954545454545453</v>
      </c>
      <c r="BB136" s="130"/>
      <c r="BC136" s="129">
        <f>'Filter-old'!K138</f>
        <v>0</v>
      </c>
      <c r="BD136" s="129">
        <f>'Filter-new'!K138</f>
        <v>1000</v>
      </c>
      <c r="BE136" s="98">
        <f>'price-old'!K17</f>
        <v>60</v>
      </c>
      <c r="BF136" s="130">
        <f>'price-new'!K17</f>
        <v>36.75</v>
      </c>
      <c r="BG136" s="129">
        <f>'Filter-old'!M138</f>
        <v>0</v>
      </c>
      <c r="BH136" s="129"/>
      <c r="BI136" s="129"/>
      <c r="BJ136" s="129">
        <f>'Filter-new'!M138</f>
        <v>1000</v>
      </c>
      <c r="BK136" s="98">
        <f>'price-old'!M17</f>
        <v>41.75</v>
      </c>
      <c r="BL136" s="130">
        <f>'price-new'!M17</f>
        <v>29.25</v>
      </c>
      <c r="BM136" s="130"/>
      <c r="BN136" s="413">
        <f>'Filter-new'!N138</f>
        <v>1050</v>
      </c>
      <c r="BO136" s="130"/>
      <c r="BP136" s="130">
        <f>'price-new'!N17</f>
        <v>36.5</v>
      </c>
      <c r="BQ136" s="129">
        <f>'Filter-old'!O138</f>
        <v>0</v>
      </c>
      <c r="BR136" s="129">
        <f>'Filter-new'!O138</f>
        <v>0</v>
      </c>
      <c r="BS136" s="98">
        <f>'price-old'!N17</f>
        <v>40.750003814697266</v>
      </c>
      <c r="BT136" s="130">
        <f>'price-new'!O17</f>
        <v>27.5</v>
      </c>
      <c r="BU136" s="129">
        <f>'Filter-old'!Q138</f>
        <v>193.7465</v>
      </c>
      <c r="BV136" s="129">
        <f>'Filter-new'!Q138</f>
        <v>0</v>
      </c>
      <c r="BW136" s="98">
        <f>'price-old'!P17</f>
        <v>38.6</v>
      </c>
      <c r="BX136" s="130">
        <f>'price-new'!Q17</f>
        <v>22.5</v>
      </c>
      <c r="BY136" s="129">
        <f>'Filter-new'!Q627</f>
        <v>0</v>
      </c>
      <c r="BZ136" s="130"/>
      <c r="CA136" s="129">
        <f>'Filter-old'!R138</f>
        <v>-500</v>
      </c>
      <c r="CB136" s="129">
        <f>'Filter-new'!R138</f>
        <v>1150</v>
      </c>
      <c r="CC136" s="61">
        <f>'price-old'!Q17</f>
        <v>41.75</v>
      </c>
      <c r="CD136" s="283">
        <f>'price-new'!R17</f>
        <v>28.5</v>
      </c>
      <c r="CE136" s="129">
        <f>'Filter-new'!R627</f>
        <v>-57.954545454545453</v>
      </c>
      <c r="CF136" s="162"/>
      <c r="CG136" s="51"/>
    </row>
    <row r="137" spans="1:85" s="201" customFormat="1" x14ac:dyDescent="0.2">
      <c r="A137" s="201">
        <v>1</v>
      </c>
      <c r="B137" s="207" t="s">
        <v>136</v>
      </c>
      <c r="C137" s="163">
        <f>'Filter-new'!C17</f>
        <v>37316</v>
      </c>
      <c r="D137" s="74"/>
      <c r="E137" s="74"/>
      <c r="F137" s="74"/>
      <c r="G137" s="116">
        <f t="shared" si="17"/>
        <v>-1026.9740773809524</v>
      </c>
      <c r="H137" s="208">
        <f>SUM(L137,AB137,AP137,R137,AX137,X137,BD137,AJ137,BJ137,BR137,AF137,BV137,CB137,BN137)</f>
        <v>-1685.8616815476184</v>
      </c>
      <c r="I137" s="208">
        <f>O137+U137+AM137+BA137+BY137+CE137</f>
        <v>-242.45819770595983</v>
      </c>
      <c r="J137" s="98"/>
      <c r="K137" s="176">
        <f>'Filter-old'!E139</f>
        <v>-460.45991071428568</v>
      </c>
      <c r="L137" s="208">
        <f>AVERAGE('Filter-new'!E139:E140)-AB137</f>
        <v>-2417.1815537067096</v>
      </c>
      <c r="M137" s="87">
        <f>'price-old'!E18</f>
        <v>34.64767207655796</v>
      </c>
      <c r="N137" s="209">
        <f>('price-new'!E18*31+'price-new'!E19*30)/61</f>
        <v>24.80131147540984</v>
      </c>
      <c r="O137" s="467">
        <f>AVERAGE('Filter-new'!E628:E629)</f>
        <v>-168.39881713554988</v>
      </c>
      <c r="P137" s="253">
        <f>((VLOOKUP(37316,[1]Offpeak_Forward!$A$1:$AG$231,13,FALSE)*31+VLOOKUP(37347,[1]Offpeak_Forward!$A$1:$AG$231,13,FALSE)*30)/61)</f>
        <v>17.378032871934231</v>
      </c>
      <c r="Q137" s="176">
        <f>'Filter-old'!H139</f>
        <v>-470</v>
      </c>
      <c r="R137" s="208">
        <f>AVERAGE('Filter-new'!H139:H140)</f>
        <v>-70</v>
      </c>
      <c r="S137" s="98">
        <f>'price-old'!H18</f>
        <v>34.151042938232422</v>
      </c>
      <c r="T137" s="209">
        <f>('price-new'!H18*31+'price-new'!H19*30)/61</f>
        <v>23.30131147540984</v>
      </c>
      <c r="U137" s="208">
        <f>AVERAGE('Filter-new'!H628:H629)</f>
        <v>-98.23635976129583</v>
      </c>
      <c r="V137" s="253">
        <f>((VLOOKUP(37316,[1]Offpeak_Forward!$A$1:$AG$231,14,FALSE)*31+VLOOKUP(37347,[1]Offpeak_Forward!$A$1:$AG$231,14,FALSE)*30)/61)</f>
        <v>15.766141985283504</v>
      </c>
      <c r="W137" s="176">
        <f>'Filter-old'!J139</f>
        <v>0</v>
      </c>
      <c r="X137" s="208">
        <f>'Filter-new'!J139</f>
        <v>0</v>
      </c>
      <c r="Y137" s="98">
        <f>'price-old'!J18</f>
        <v>34.296916961669922</v>
      </c>
      <c r="Z137" s="209">
        <f>('price-new'!J18*31+'price-new'!J19*30)/61</f>
        <v>25.05131147540984</v>
      </c>
      <c r="AA137" s="176">
        <f>'Filter-old'!F139</f>
        <v>0</v>
      </c>
      <c r="AB137" s="208">
        <v>150</v>
      </c>
      <c r="AC137" s="98">
        <f>'price-old'!F18</f>
        <v>34.64767207655796</v>
      </c>
      <c r="AD137" s="209">
        <f>('price-new'!F18*31+'price-new'!F19*30)/61</f>
        <v>25.05131147540984</v>
      </c>
      <c r="AE137" s="176">
        <f>'Filter-old'!P139</f>
        <v>0</v>
      </c>
      <c r="AF137" s="208">
        <f>AVERAGE('Filter-new'!P139:P140)</f>
        <v>-100</v>
      </c>
      <c r="AG137" s="98">
        <f>'price-old'!O18</f>
        <v>32.901039123535156</v>
      </c>
      <c r="AH137" s="209">
        <f>('price-new'!P18*31+'price-new'!P19*30)/61</f>
        <v>25.55131147540984</v>
      </c>
      <c r="AI137" s="176">
        <f>'Filter-old'!L139</f>
        <v>0</v>
      </c>
      <c r="AJ137" s="208">
        <f>AVERAGE('Filter-new'!L139:L140)</f>
        <v>27</v>
      </c>
      <c r="AK137" s="98">
        <f>'price-old'!L18</f>
        <v>55</v>
      </c>
      <c r="AL137" s="209">
        <f>('price-new'!L18*31+'price-new'!L19*30)/61</f>
        <v>28.901311475409837</v>
      </c>
      <c r="AM137" s="208">
        <f>AVERAGE('Filter-new'!L628:L629)</f>
        <v>26.523817135549869</v>
      </c>
      <c r="AN137" s="253">
        <f>((VLOOKUP(37316,[1]Offpeak_Forward!$A$1:$AG$231,18,FALSE)*31+VLOOKUP(37347,[1]Offpeak_Forward!$A$1:$AG$231,18,FALSE)*30)/61)</f>
        <v>19.776982792088258</v>
      </c>
      <c r="AO137" s="176">
        <f>'Filter-old'!G139</f>
        <v>0</v>
      </c>
      <c r="AP137" s="208">
        <f>'Filter-new'!G139</f>
        <v>0</v>
      </c>
      <c r="AQ137" s="98">
        <f>'price-old'!G18</f>
        <v>34.799991607666016</v>
      </c>
      <c r="AR137" s="209">
        <f>('price-new'!G18*31+'price-new'!G19*30)/61</f>
        <v>22.803278688524589</v>
      </c>
      <c r="AS137" s="176"/>
      <c r="AT137" s="208">
        <f>AX137+BD137+BJ137+BR137+BV137+CB137+BN137</f>
        <v>724.31987215909089</v>
      </c>
      <c r="AU137" s="288"/>
      <c r="AV137" s="203">
        <f>BA137+BY137+CE137</f>
        <v>-2.3468379446640313</v>
      </c>
      <c r="AW137" s="293">
        <f>'Filter-old'!I139</f>
        <v>0</v>
      </c>
      <c r="AX137" s="379">
        <f>AVERAGE('Filter-new'!I139:I140)</f>
        <v>-150</v>
      </c>
      <c r="AY137" s="362">
        <f>'price-old'!I18</f>
        <v>35</v>
      </c>
      <c r="AZ137" s="209">
        <f>('price-new'!I18*31+'price-new'!I19*30)/61</f>
        <v>24.201311475409835</v>
      </c>
      <c r="BA137" s="208">
        <f>AVERAGE('Filter-new'!I628:I629)</f>
        <v>49.118179880647915</v>
      </c>
      <c r="BB137" s="380">
        <f>((VLOOKUP(37316,[1]Offpeak_Forward!$A$1:$AG$231,15,FALSE)*31+VLOOKUP(37347,[1]Offpeak_Forward!$A$1:$AG$231,15,FALSE)*30)/61)</f>
        <v>17.378060731731509</v>
      </c>
      <c r="BC137" s="293">
        <f>'Filter-old'!K139</f>
        <v>0</v>
      </c>
      <c r="BD137" s="208">
        <f>AVERAGE('Filter-new'!K139:K140)</f>
        <v>0</v>
      </c>
      <c r="BE137" s="98">
        <f>'price-old'!K18</f>
        <v>46.5</v>
      </c>
      <c r="BF137" s="209">
        <f>('price-new'!K18*31+'price-new'!K19*30)/61</f>
        <v>33</v>
      </c>
      <c r="BG137" s="176">
        <f>'Filter-old'!M139</f>
        <v>0</v>
      </c>
      <c r="BH137" s="208">
        <f>AVERAGE('Filter-new'!K628:K629)</f>
        <v>-98.23635976129583</v>
      </c>
      <c r="BI137" s="380">
        <f>((VLOOKUP(37316,[1]Offpeak_Forward!$A$1:$AG$231,2,FALSE)*31+VLOOKUP(37347,[1]Offpeak_Forward!$A$1:$AG$231,2,FALSE)*30)/61)</f>
        <v>25.243260524312035</v>
      </c>
      <c r="BJ137" s="208">
        <f>AVERAGE('Filter-new'!M139:M140)</f>
        <v>250</v>
      </c>
      <c r="BK137" s="98">
        <f>'price-old'!M18</f>
        <v>38.25</v>
      </c>
      <c r="BL137" s="209">
        <f>('price-new'!M18*31+'price-new'!M19*30)/61</f>
        <v>27</v>
      </c>
      <c r="BM137" s="253"/>
      <c r="BN137" s="491">
        <f>AVERAGE('Filter-new'!N139:N140)</f>
        <v>250</v>
      </c>
      <c r="BO137" s="253"/>
      <c r="BP137" s="253">
        <f>('price-new'!N18*31+'price-new'!N19*30)/61</f>
        <v>35</v>
      </c>
      <c r="BQ137" s="176">
        <f>'Filter-old'!O139</f>
        <v>0</v>
      </c>
      <c r="BR137" s="208">
        <f>AVERAGE('Filter-new'!O139:O140)</f>
        <v>150</v>
      </c>
      <c r="BS137" s="98">
        <f>'price-old'!N18</f>
        <v>38.75</v>
      </c>
      <c r="BT137" s="209">
        <f>('price-new'!O18*31+'price-new'!O19*30)/61</f>
        <v>25.800000000000004</v>
      </c>
      <c r="BU137" s="176">
        <f>'Filter-old'!Q139</f>
        <v>-96.514166666666668</v>
      </c>
      <c r="BV137" s="208">
        <f>AVERAGE('Filter-new'!Q139:Q140)</f>
        <v>74.319872159090906</v>
      </c>
      <c r="BW137" s="98">
        <f>'price-old'!P18</f>
        <v>35.5</v>
      </c>
      <c r="BX137" s="209">
        <f>('price-new'!Q18*31+'price-new'!Q19*30)/61</f>
        <v>22</v>
      </c>
      <c r="BY137" s="208">
        <f>AVERAGE('Filter-new'!Q628:Q629)</f>
        <v>0</v>
      </c>
      <c r="BZ137" s="253">
        <f>((VLOOKUP(37316,[1]Offpeak_Forward!$A$1:$AG$231,22,FALSE)*31+VLOOKUP(37347,[1]Offpeak_Forward!$A$1:$AG$231,22,FALSE)*30)/61)</f>
        <v>14.070323537607681</v>
      </c>
      <c r="CA137" s="176">
        <f>'Filter-old'!R139</f>
        <v>0</v>
      </c>
      <c r="CB137" s="208">
        <f>AVERAGE('Filter-new'!R139:R140)</f>
        <v>150</v>
      </c>
      <c r="CC137" s="61">
        <f>'price-old'!Q18</f>
        <v>38.25</v>
      </c>
      <c r="CD137" s="204">
        <f>('price-new'!R18*31+'price-new'!R19*30)/61</f>
        <v>26.900000000000002</v>
      </c>
      <c r="CE137" s="208">
        <f>AVERAGE('Filter-new'!R627:R628)</f>
        <v>-51.465017825311946</v>
      </c>
      <c r="CF137" s="205">
        <f>((VLOOKUP(37316,[1]Offpeak_Forward!$A$1:$AG$231,6,FALSE)*31+VLOOKUP(37347,[1]Offpeak_Forward!$A$1:$AG$231,6,FALSE)*30)/61)</f>
        <v>18.318433323844534</v>
      </c>
      <c r="CG137" s="206"/>
    </row>
    <row r="138" spans="1:85" s="52" customFormat="1" hidden="1" x14ac:dyDescent="0.2">
      <c r="A138" s="52">
        <v>0</v>
      </c>
      <c r="B138" s="163">
        <v>37347</v>
      </c>
      <c r="C138" s="163">
        <f>'Filter-new'!C18</f>
        <v>37347</v>
      </c>
      <c r="D138" s="74"/>
      <c r="E138" s="74"/>
      <c r="F138" s="74"/>
      <c r="G138" s="116">
        <f t="shared" si="17"/>
        <v>-880.68801136363629</v>
      </c>
      <c r="H138" s="116">
        <f>SUM(L138,AB138,AP138,R138,AX138,X138,BD138,AJ138,BJ138,BR138,AF138,BV138,CB138)</f>
        <v>-1861.23875</v>
      </c>
      <c r="I138" s="203"/>
      <c r="J138" s="98"/>
      <c r="K138" s="116">
        <f>'Filter-old'!E140</f>
        <v>-458.76897727272723</v>
      </c>
      <c r="L138" s="116">
        <f>'Filter-new'!E140</f>
        <v>-2266.8784943181818</v>
      </c>
      <c r="M138" s="87">
        <f>'price-old'!E19</f>
        <v>34.847676654194679</v>
      </c>
      <c r="N138" s="117">
        <f>'price-new'!E19</f>
        <v>25.03</v>
      </c>
      <c r="O138" s="437">
        <f>'Filter-new'!E629</f>
        <v>-158.7608695652174</v>
      </c>
      <c r="P138" s="117">
        <f>VLOOKUP(37165,[1]Offpeak_Forward!$A$1:$AG$231,13,FALSE)</f>
        <v>15.084918975830099</v>
      </c>
      <c r="Q138" s="116">
        <f>'Filter-old'!H140</f>
        <v>-470</v>
      </c>
      <c r="R138" s="116">
        <f>'Filter-new'!H140</f>
        <v>-70</v>
      </c>
      <c r="S138" s="98">
        <f>'price-old'!H19</f>
        <v>34.351043701171875</v>
      </c>
      <c r="T138" s="117">
        <f>'price-new'!H19</f>
        <v>23.53</v>
      </c>
      <c r="U138" s="437">
        <f>'Filter-new'!H629</f>
        <v>-106.52173913043478</v>
      </c>
      <c r="V138" s="117"/>
      <c r="W138" s="116">
        <f>'Filter-old'!J140</f>
        <v>0</v>
      </c>
      <c r="X138" s="116">
        <f>'Filter-new'!J140</f>
        <v>0</v>
      </c>
      <c r="Y138" s="98">
        <f>'price-old'!J19</f>
        <v>31.946914672851563</v>
      </c>
      <c r="Z138" s="117">
        <f>'price-new'!J19</f>
        <v>25.28</v>
      </c>
      <c r="AA138" s="116">
        <f>'Filter-old'!F140</f>
        <v>0</v>
      </c>
      <c r="AB138" s="116">
        <f>'Filter-new'!F140</f>
        <v>0</v>
      </c>
      <c r="AC138" s="98">
        <f>'price-old'!F19</f>
        <v>34.847676654194679</v>
      </c>
      <c r="AD138" s="117">
        <f>'price-new'!F19</f>
        <v>25.28</v>
      </c>
      <c r="AE138" s="116">
        <f>'Filter-old'!P140</f>
        <v>0</v>
      </c>
      <c r="AF138" s="116">
        <f>'Filter-new'!P140</f>
        <v>-100</v>
      </c>
      <c r="AG138" s="98">
        <f>'price-old'!O19</f>
        <v>33.101043701171875</v>
      </c>
      <c r="AH138" s="117">
        <f>'price-new'!P19</f>
        <v>25.78</v>
      </c>
      <c r="AI138" s="116">
        <f>'Filter-old'!L140</f>
        <v>0</v>
      </c>
      <c r="AJ138" s="116">
        <f>'Filter-new'!L140</f>
        <v>27</v>
      </c>
      <c r="AK138" s="98">
        <f>'price-old'!L19</f>
        <v>54</v>
      </c>
      <c r="AL138" s="117">
        <f>'price-new'!L19</f>
        <v>29.13</v>
      </c>
      <c r="AM138" s="116">
        <f>'Filter-new'!L629</f>
        <v>28.760869565217391</v>
      </c>
      <c r="AN138" s="117"/>
      <c r="AO138" s="116">
        <f>'Filter-old'!G140</f>
        <v>0</v>
      </c>
      <c r="AP138" s="116">
        <f>'Filter-new'!G140</f>
        <v>0</v>
      </c>
      <c r="AQ138" s="98">
        <f>'price-old'!G19</f>
        <v>34.499988555908203</v>
      </c>
      <c r="AR138" s="117">
        <f>'price-new'!G19</f>
        <v>22.6</v>
      </c>
      <c r="AS138" s="116"/>
      <c r="AT138" s="116"/>
      <c r="AU138" s="98"/>
      <c r="AV138" s="299"/>
      <c r="AW138" s="116">
        <f>'Filter-old'!I140</f>
        <v>0</v>
      </c>
      <c r="AX138" s="116">
        <f>'Filter-new'!I140</f>
        <v>-150</v>
      </c>
      <c r="AY138" s="98">
        <f>'price-old'!I19</f>
        <v>35</v>
      </c>
      <c r="AZ138" s="117">
        <f>'price-new'!I19</f>
        <v>24.43</v>
      </c>
      <c r="BA138" s="116">
        <f>'Filter-new'!I629</f>
        <v>53.260869565217391</v>
      </c>
      <c r="BB138" s="117"/>
      <c r="BC138" s="116">
        <f>'Filter-old'!K140</f>
        <v>0</v>
      </c>
      <c r="BD138" s="116">
        <f>'Filter-new'!K140</f>
        <v>0</v>
      </c>
      <c r="BE138" s="98">
        <f>'price-old'!K19</f>
        <v>46.5</v>
      </c>
      <c r="BF138" s="117">
        <f>'price-new'!K19</f>
        <v>33</v>
      </c>
      <c r="BG138" s="116">
        <f>'Filter-old'!M140</f>
        <v>0</v>
      </c>
      <c r="BH138" s="116"/>
      <c r="BI138" s="116"/>
      <c r="BJ138" s="116">
        <f>'Filter-new'!M140</f>
        <v>250</v>
      </c>
      <c r="BK138" s="98">
        <f>'price-old'!M19</f>
        <v>37.25</v>
      </c>
      <c r="BL138" s="117">
        <f>'price-new'!M19</f>
        <v>27</v>
      </c>
      <c r="BM138" s="117"/>
      <c r="BN138" s="414">
        <f>'Filter-new'!N140</f>
        <v>250</v>
      </c>
      <c r="BO138" s="117"/>
      <c r="BP138" s="117">
        <f>'price-new'!N19</f>
        <v>35</v>
      </c>
      <c r="BQ138" s="116">
        <f>'Filter-old'!O140</f>
        <v>0</v>
      </c>
      <c r="BR138" s="116">
        <f>'Filter-new'!O140</f>
        <v>150</v>
      </c>
      <c r="BS138" s="98">
        <f>'price-old'!N19</f>
        <v>38.75</v>
      </c>
      <c r="BT138" s="117">
        <f>'price-new'!O19</f>
        <v>25.8</v>
      </c>
      <c r="BU138" s="116">
        <f>'Filter-old'!Q140</f>
        <v>48.080965909090907</v>
      </c>
      <c r="BV138" s="116">
        <f>'Filter-new'!Q140</f>
        <v>148.63974431818181</v>
      </c>
      <c r="BW138" s="98">
        <f>'price-old'!P19</f>
        <v>35.5</v>
      </c>
      <c r="BX138" s="117">
        <f>'price-new'!Q19</f>
        <v>22</v>
      </c>
      <c r="BY138" s="116">
        <f>'Filter-new'!Q629</f>
        <v>0</v>
      </c>
      <c r="BZ138" s="117"/>
      <c r="CA138" s="116">
        <f>'Filter-old'!R140</f>
        <v>0</v>
      </c>
      <c r="CB138" s="116">
        <f>'Filter-new'!R140</f>
        <v>150</v>
      </c>
      <c r="CC138" s="61">
        <f>'price-old'!Q19</f>
        <v>37.25</v>
      </c>
      <c r="CD138" s="284">
        <f>'price-new'!R19</f>
        <v>26.9</v>
      </c>
      <c r="CE138" s="116">
        <f>'Filter-new'!R629</f>
        <v>0</v>
      </c>
      <c r="CF138" s="164"/>
      <c r="CG138" s="51"/>
    </row>
    <row r="139" spans="1:85" s="182" customFormat="1" x14ac:dyDescent="0.2">
      <c r="A139" s="182">
        <v>1</v>
      </c>
      <c r="B139" s="198" t="s">
        <v>137</v>
      </c>
      <c r="C139" s="165">
        <f>'Filter-new'!C19</f>
        <v>37377</v>
      </c>
      <c r="D139" s="74"/>
      <c r="E139" s="74"/>
      <c r="F139" s="74"/>
      <c r="G139" s="118">
        <f t="shared" si="17"/>
        <v>-1062.2753977272728</v>
      </c>
      <c r="H139" s="199">
        <f>SUM(L139,AB139,AP139,R139,AX139,X139,BD139,AJ139,BJ139,BR139,AF139,BV139,CB139,BN139)</f>
        <v>-1123.2954545454545</v>
      </c>
      <c r="I139" s="297">
        <f>O139+U139+AM139+BA139+BY139+CE139</f>
        <v>-75.510204081632651</v>
      </c>
      <c r="J139" s="98"/>
      <c r="K139" s="177">
        <f>'Filter-old'!E141</f>
        <v>-888.06707386363632</v>
      </c>
      <c r="L139" s="199">
        <f>'Filter-new'!E141-AB139</f>
        <v>-1880.2954545454545</v>
      </c>
      <c r="M139" s="87">
        <f>'price-old'!E20</f>
        <v>39.5</v>
      </c>
      <c r="N139" s="200">
        <f>'price-new'!E20</f>
        <v>27.15</v>
      </c>
      <c r="O139" s="468">
        <f>'Filter-new'!E630</f>
        <v>-52.04081632653061</v>
      </c>
      <c r="P139" s="254">
        <f>VLOOKUP(37377,[1]Offpeak_Forward!$A$1:$AG$231,13,FALSE)</f>
        <v>17.5026531219482</v>
      </c>
      <c r="Q139" s="177">
        <f>'Filter-old'!H141</f>
        <v>-270</v>
      </c>
      <c r="R139" s="199">
        <f>'Filter-new'!H141</f>
        <v>-70</v>
      </c>
      <c r="S139" s="98">
        <f>'price-old'!H20</f>
        <v>38.249992370605469</v>
      </c>
      <c r="T139" s="200">
        <f>'price-new'!H20</f>
        <v>24.52</v>
      </c>
      <c r="U139" s="199">
        <f>'Filter-new'!H630</f>
        <v>-102.04081632653062</v>
      </c>
      <c r="V139" s="254">
        <f>VLOOKUP(37377,[1]Offpeak_Forward!$A$1:$AG$231,14,FALSE)</f>
        <v>15.9779596328735</v>
      </c>
      <c r="W139" s="177">
        <f>'Filter-old'!J141</f>
        <v>0</v>
      </c>
      <c r="X139" s="199">
        <f>'Filter-new'!J141</f>
        <v>0</v>
      </c>
      <c r="Y139" s="98">
        <f>'price-old'!J20</f>
        <v>34.596916198730469</v>
      </c>
      <c r="Z139" s="200">
        <f>'price-new'!J20</f>
        <v>27.4</v>
      </c>
      <c r="AA139" s="177">
        <f>'Filter-old'!F141</f>
        <v>0</v>
      </c>
      <c r="AB139" s="199">
        <v>100</v>
      </c>
      <c r="AC139" s="98">
        <f>'price-old'!F20</f>
        <v>39.5</v>
      </c>
      <c r="AD139" s="200">
        <f>'price-new'!F20</f>
        <v>27.4</v>
      </c>
      <c r="AE139" s="177">
        <f>'Filter-old'!P141</f>
        <v>0</v>
      </c>
      <c r="AF139" s="199">
        <f>'Filter-new'!P141</f>
        <v>0</v>
      </c>
      <c r="AG139" s="98">
        <f>'price-old'!O20</f>
        <v>40.499996185302734</v>
      </c>
      <c r="AH139" s="200">
        <f>'price-new'!P20</f>
        <v>26.9</v>
      </c>
      <c r="AI139" s="177">
        <f>'Filter-old'!L141</f>
        <v>0</v>
      </c>
      <c r="AJ139" s="199">
        <f>'Filter-new'!L141</f>
        <v>27</v>
      </c>
      <c r="AK139" s="98">
        <f>'price-old'!L20</f>
        <v>55</v>
      </c>
      <c r="AL139" s="200">
        <f>'price-new'!L20</f>
        <v>30.65</v>
      </c>
      <c r="AM139" s="199">
        <f>'Filter-new'!L630</f>
        <v>27.551020408163264</v>
      </c>
      <c r="AN139" s="254">
        <f>VLOOKUP(37377,[1]Offpeak_Forward!$A$1:$AG$231,18,FALSE)</f>
        <v>21.216325759887699</v>
      </c>
      <c r="AO139" s="177">
        <f>'Filter-old'!G141</f>
        <v>0</v>
      </c>
      <c r="AP139" s="199">
        <f>'Filter-new'!G141</f>
        <v>0</v>
      </c>
      <c r="AQ139" s="98">
        <f>'price-old'!G20</f>
        <v>40.150009155273438</v>
      </c>
      <c r="AR139" s="200">
        <f>'price-new'!G20</f>
        <v>25.995000000000001</v>
      </c>
      <c r="AS139" s="177"/>
      <c r="AT139" s="199">
        <f>AX139+BD139+BJ139+BR139+BV139+CB139+BN139</f>
        <v>700</v>
      </c>
      <c r="AU139" s="288"/>
      <c r="AV139" s="189">
        <f>BA139+BY139+CE139</f>
        <v>51.020408163265309</v>
      </c>
      <c r="AW139" s="294">
        <f>'Filter-old'!I141</f>
        <v>0</v>
      </c>
      <c r="AX139" s="381">
        <f>'Filter-new'!I141</f>
        <v>-100</v>
      </c>
      <c r="AY139" s="362">
        <f>'price-old'!I20</f>
        <v>40.25</v>
      </c>
      <c r="AZ139" s="200">
        <f>'price-new'!I20</f>
        <v>26.51</v>
      </c>
      <c r="BA139" s="199">
        <f>'Filter-new'!I630</f>
        <v>51.020408163265309</v>
      </c>
      <c r="BB139" s="382">
        <f>VLOOKUP(37377,[1]Offpeak_Forward!$A$1:$AG$231,15,FALSE)</f>
        <v>17.5</v>
      </c>
      <c r="BC139" s="294">
        <f>'Filter-old'!K141</f>
        <v>0</v>
      </c>
      <c r="BD139" s="199">
        <f>'Filter-new'!K141</f>
        <v>0</v>
      </c>
      <c r="BE139" s="98">
        <f>'price-old'!K20</f>
        <v>46.5</v>
      </c>
      <c r="BF139" s="200">
        <f>'price-new'!K20</f>
        <v>33.75</v>
      </c>
      <c r="BG139" s="177">
        <f>'Filter-old'!M141</f>
        <v>0</v>
      </c>
      <c r="BH139" s="199">
        <f>'Filter-new'!K630</f>
        <v>-102.04081632653062</v>
      </c>
      <c r="BI139" s="382">
        <f>VLOOKUP(37377,[1]Offpeak_Forward!$A$1:$AG$231,2,FALSE)</f>
        <v>25.4673461914063</v>
      </c>
      <c r="BJ139" s="199">
        <f>'Filter-new'!M141</f>
        <v>250</v>
      </c>
      <c r="BK139" s="98">
        <f>'price-old'!M20</f>
        <v>40.5</v>
      </c>
      <c r="BL139" s="200">
        <f>'price-new'!M20</f>
        <v>29</v>
      </c>
      <c r="BM139" s="254"/>
      <c r="BN139" s="492">
        <f>'Filter-new'!N141</f>
        <v>150</v>
      </c>
      <c r="BO139" s="254"/>
      <c r="BP139" s="254">
        <f>'price-new'!N20</f>
        <v>36.25</v>
      </c>
      <c r="BQ139" s="177">
        <f>'Filter-old'!O141</f>
        <v>0</v>
      </c>
      <c r="BR139" s="199">
        <f>'Filter-new'!O141</f>
        <v>350</v>
      </c>
      <c r="BS139" s="98">
        <f>'price-old'!N20</f>
        <v>43.25</v>
      </c>
      <c r="BT139" s="200">
        <f>'price-new'!O20</f>
        <v>27.8</v>
      </c>
      <c r="BU139" s="177">
        <f>'Filter-old'!Q141</f>
        <v>95.791676136363634</v>
      </c>
      <c r="BV139" s="199">
        <f>'Filter-new'!Q141</f>
        <v>0</v>
      </c>
      <c r="BW139" s="98">
        <f>'price-old'!P20</f>
        <v>40.75</v>
      </c>
      <c r="BX139" s="200">
        <f>'price-new'!Q20</f>
        <v>25</v>
      </c>
      <c r="BY139" s="199">
        <f>'Filter-new'!Q630</f>
        <v>0</v>
      </c>
      <c r="BZ139" s="254">
        <f>VLOOKUP(37377,[1]Offpeak_Forward!$A$1:$AG$231,22,FALSE)</f>
        <v>15.129590988159199</v>
      </c>
      <c r="CA139" s="177">
        <f>'Filter-old'!R141</f>
        <v>0</v>
      </c>
      <c r="CB139" s="199">
        <f>'Filter-new'!R141</f>
        <v>50</v>
      </c>
      <c r="CC139" s="61">
        <f>'price-old'!Q20</f>
        <v>40.5</v>
      </c>
      <c r="CD139" s="190">
        <f>'price-new'!R20</f>
        <v>30</v>
      </c>
      <c r="CE139" s="199">
        <f>'Filter-new'!R630</f>
        <v>0</v>
      </c>
      <c r="CF139" s="191">
        <f>VLOOKUP(37377,[1]Offpeak_Forward!$A$1:$AG$231,6,FALSE)</f>
        <v>17.675510406494102</v>
      </c>
      <c r="CG139" s="187"/>
    </row>
    <row r="140" spans="1:85" s="201" customFormat="1" x14ac:dyDescent="0.2">
      <c r="A140" s="201">
        <v>1</v>
      </c>
      <c r="B140" s="202" t="s">
        <v>138</v>
      </c>
      <c r="C140" s="166">
        <f>'Filter-new'!C20</f>
        <v>37408</v>
      </c>
      <c r="D140" s="74"/>
      <c r="E140" s="74"/>
      <c r="F140" s="74"/>
      <c r="G140" s="113">
        <f t="shared" si="17"/>
        <v>-1502.6252500000001</v>
      </c>
      <c r="H140" s="203">
        <f>SUM(L140,AB140,AP140,R140,AX140,X140,BD140,AJ140,BJ140,BR140,AF140,BV140,CB140,BN140)</f>
        <v>-1519.26728125</v>
      </c>
      <c r="I140" s="203">
        <f>O140+U140+AM140+BA140+BY140+CE140</f>
        <v>27.400000000000006</v>
      </c>
      <c r="J140" s="119"/>
      <c r="K140" s="178">
        <f>'Filter-old'!E142</f>
        <v>-1934.3218750000001</v>
      </c>
      <c r="L140" s="203">
        <f>'Filter-new'!E142-AB140</f>
        <v>-2546.26728125</v>
      </c>
      <c r="M140" s="120">
        <f>'price-old'!E21</f>
        <v>49.75</v>
      </c>
      <c r="N140" s="204">
        <f>'price-new'!E21</f>
        <v>36</v>
      </c>
      <c r="O140" s="463">
        <f>'Filter-new'!E631</f>
        <v>-48.06</v>
      </c>
      <c r="P140" s="250">
        <f>VLOOKUP(37408,[1]Offpeak_Forward!$A$1:$AG$231,13,FALSE)</f>
        <v>18.747999191284201</v>
      </c>
      <c r="Q140" s="178">
        <f>'Filter-old'!H142</f>
        <v>-200</v>
      </c>
      <c r="R140" s="203">
        <f>'Filter-new'!H142</f>
        <v>100</v>
      </c>
      <c r="S140" s="120">
        <f>'price-old'!H21</f>
        <v>47.5</v>
      </c>
      <c r="T140" s="204">
        <f>'price-new'!H21</f>
        <v>33.119999999999997</v>
      </c>
      <c r="U140" s="203">
        <f>'Filter-new'!H631</f>
        <v>49</v>
      </c>
      <c r="V140" s="250">
        <f>VLOOKUP(37408,[1]Offpeak_Forward!$A$1:$AG$231,14,FALSE)</f>
        <v>17.553998947143601</v>
      </c>
      <c r="W140" s="178">
        <f>'Filter-old'!J142</f>
        <v>0</v>
      </c>
      <c r="X140" s="203">
        <f>'Filter-new'!J142</f>
        <v>0</v>
      </c>
      <c r="Y140" s="120">
        <f>'price-old'!J21</f>
        <v>46.677303314208984</v>
      </c>
      <c r="Z140" s="204">
        <f>'price-new'!J21</f>
        <v>36.049999999999997</v>
      </c>
      <c r="AA140" s="178">
        <f>'Filter-old'!F142</f>
        <v>0</v>
      </c>
      <c r="AB140" s="203">
        <v>150</v>
      </c>
      <c r="AC140" s="120">
        <f>'price-old'!F21</f>
        <v>49.75</v>
      </c>
      <c r="AD140" s="204">
        <f>'price-new'!F21</f>
        <v>36.049999999999997</v>
      </c>
      <c r="AE140" s="178">
        <f>'Filter-old'!P142</f>
        <v>0</v>
      </c>
      <c r="AF140" s="203">
        <f>'Filter-new'!P142</f>
        <v>0</v>
      </c>
      <c r="AG140" s="120">
        <f>'price-old'!O21</f>
        <v>52.75</v>
      </c>
      <c r="AH140" s="204">
        <f>'price-new'!P21</f>
        <v>38.630000000000003</v>
      </c>
      <c r="AI140" s="178">
        <f>'Filter-old'!L142</f>
        <v>0</v>
      </c>
      <c r="AJ140" s="203">
        <f>'Filter-new'!L142</f>
        <v>27</v>
      </c>
      <c r="AK140" s="120">
        <f>'price-old'!L21</f>
        <v>76</v>
      </c>
      <c r="AL140" s="204">
        <f>'price-new'!L21</f>
        <v>40.5</v>
      </c>
      <c r="AM140" s="203">
        <f>'Filter-new'!L631</f>
        <v>26.46</v>
      </c>
      <c r="AN140" s="250">
        <f>VLOOKUP(37408,[1]Offpeak_Forward!$A$1:$AG$231,18,FALSE)</f>
        <v>23.284000396728501</v>
      </c>
      <c r="AO140" s="178">
        <f>'Filter-old'!G142</f>
        <v>250</v>
      </c>
      <c r="AP140" s="203">
        <f>'Filter-new'!G142</f>
        <v>0</v>
      </c>
      <c r="AQ140" s="120">
        <f>'price-old'!G21</f>
        <v>42.249996185302734</v>
      </c>
      <c r="AR140" s="204">
        <f>'price-new'!G21</f>
        <v>28</v>
      </c>
      <c r="AS140" s="178"/>
      <c r="AT140" s="203">
        <f>AX140+BD140+BJ140+BR140+BV140+CB140+BN140</f>
        <v>750</v>
      </c>
      <c r="AU140" s="120"/>
      <c r="AV140" s="203">
        <f>BA140+BY140+CE140</f>
        <v>0</v>
      </c>
      <c r="AW140" s="295">
        <f>'Filter-old'!I142</f>
        <v>0</v>
      </c>
      <c r="AX140" s="369">
        <f>'Filter-new'!I142</f>
        <v>-200</v>
      </c>
      <c r="AY140" s="120">
        <f>'price-old'!I21</f>
        <v>50.25</v>
      </c>
      <c r="AZ140" s="204">
        <f>'price-new'!I21</f>
        <v>34.31</v>
      </c>
      <c r="BA140" s="203">
        <f>'Filter-new'!I631</f>
        <v>49</v>
      </c>
      <c r="BB140" s="375">
        <f>VLOOKUP(37408,[1]Offpeak_Forward!$A$1:$AG$231,15,FALSE)</f>
        <v>18.747999191284201</v>
      </c>
      <c r="BC140" s="295">
        <f>'Filter-old'!K142</f>
        <v>0</v>
      </c>
      <c r="BD140" s="203">
        <f>'Filter-new'!K142</f>
        <v>0</v>
      </c>
      <c r="BE140" s="120">
        <f>'price-old'!K21</f>
        <v>54.5</v>
      </c>
      <c r="BF140" s="204">
        <f>'price-new'!K21</f>
        <v>40.75</v>
      </c>
      <c r="BG140" s="178">
        <f>'Filter-old'!M142</f>
        <v>0</v>
      </c>
      <c r="BH140" s="203">
        <f>'Filter-new'!K631</f>
        <v>-98</v>
      </c>
      <c r="BI140" s="375">
        <f>VLOOKUP(37408,[1]Offpeak_Forward!$A$1:$AG$231,2,FALSE)</f>
        <v>25.637001037597699</v>
      </c>
      <c r="BJ140" s="203">
        <f>'Filter-new'!M142</f>
        <v>500</v>
      </c>
      <c r="BK140" s="120">
        <f>'price-old'!M21</f>
        <v>51.25</v>
      </c>
      <c r="BL140" s="204">
        <f>'price-new'!M21</f>
        <v>39.5</v>
      </c>
      <c r="BM140" s="250"/>
      <c r="BN140" s="488">
        <f>'Filter-new'!N142</f>
        <v>150</v>
      </c>
      <c r="BO140" s="250"/>
      <c r="BP140" s="250">
        <f>'price-new'!N21</f>
        <v>43.5</v>
      </c>
      <c r="BQ140" s="178">
        <f>'Filter-old'!O142</f>
        <v>0</v>
      </c>
      <c r="BR140" s="203">
        <f>'Filter-new'!O142</f>
        <v>250</v>
      </c>
      <c r="BS140" s="120">
        <f>'price-old'!N21</f>
        <v>55.75</v>
      </c>
      <c r="BT140" s="204">
        <f>'price-new'!O21</f>
        <v>36.5</v>
      </c>
      <c r="BU140" s="178">
        <f>'Filter-old'!Q142</f>
        <v>381.69662499999998</v>
      </c>
      <c r="BV140" s="203">
        <f>'Filter-new'!Q142</f>
        <v>0</v>
      </c>
      <c r="BW140" s="122">
        <f>'price-old'!P21</f>
        <v>52</v>
      </c>
      <c r="BX140" s="204">
        <f>'price-new'!Q21</f>
        <v>32.5</v>
      </c>
      <c r="BY140" s="203">
        <f>'Filter-new'!Q631</f>
        <v>0</v>
      </c>
      <c r="BZ140" s="250">
        <f>VLOOKUP(37408,[1]Offpeak_Forward!$A$1:$AG$231,22,FALSE)</f>
        <v>18.695999145507798</v>
      </c>
      <c r="CA140" s="178">
        <f>'Filter-old'!R142</f>
        <v>0</v>
      </c>
      <c r="CB140" s="203">
        <f>'Filter-new'!R142</f>
        <v>50</v>
      </c>
      <c r="CC140" s="121">
        <f>'price-old'!Q21</f>
        <v>51.25</v>
      </c>
      <c r="CD140" s="204">
        <f>'price-new'!R21</f>
        <v>39.75</v>
      </c>
      <c r="CE140" s="203">
        <f>'Filter-new'!R631</f>
        <v>-49</v>
      </c>
      <c r="CF140" s="205">
        <f>VLOOKUP(37408,[1]Offpeak_Forward!$A$1:$AG$231,6,FALSE)</f>
        <v>19.100000381469702</v>
      </c>
      <c r="CG140" s="206"/>
    </row>
    <row r="141" spans="1:85" s="182" customFormat="1" x14ac:dyDescent="0.2">
      <c r="A141" s="182">
        <v>1</v>
      </c>
      <c r="B141" s="188" t="s">
        <v>139</v>
      </c>
      <c r="C141" s="143">
        <f>'Filter-new'!C21</f>
        <v>37438</v>
      </c>
      <c r="D141" s="123"/>
      <c r="E141" s="123"/>
      <c r="F141" s="123"/>
      <c r="G141" s="127">
        <f t="shared" si="17"/>
        <v>-909.91448863636356</v>
      </c>
      <c r="H141" s="189">
        <f>SUM(L141,AB141,AP141,R141,AX141,X141,BD141,AJ141,BJ141,BR141,AF141,BV141,CB141,BN141)</f>
        <v>979.14528409090917</v>
      </c>
      <c r="I141" s="189">
        <f>O141+U141+AM141+BA141+BY141+CE141</f>
        <v>-74.795918367346957</v>
      </c>
      <c r="J141" s="124"/>
      <c r="K141" s="171">
        <f>'Filter-old'!E143</f>
        <v>-654.95142045454543</v>
      </c>
      <c r="L141" s="189">
        <f>AVERAGE('Filter-new'!E143:E144)-AB141</f>
        <v>-1596.8547159090908</v>
      </c>
      <c r="M141" s="125">
        <f>'price-old'!E22</f>
        <v>69.25</v>
      </c>
      <c r="N141" s="190">
        <f>('price-new'!E22*31+'price-new'!E23*31)/62</f>
        <v>46.125</v>
      </c>
      <c r="O141" s="462">
        <f>AVERAGE('Filter-new'!E632:E633)</f>
        <v>-101.56122448979592</v>
      </c>
      <c r="P141" s="251">
        <f>(VLOOKUP(37438,[1]Offpeak_Forward!$A$1:$AG$231,13,FALSE)*31+VLOOKUP(37469,[1]Offpeak_Forward!_xlnm.Print_Area,13,FALSE)*31)/62</f>
        <v>19.7463264465332</v>
      </c>
      <c r="Q141" s="171">
        <f>'Filter-old'!H143</f>
        <v>-650</v>
      </c>
      <c r="R141" s="189">
        <f>AVERAGE('Filter-new'!H143:H144)</f>
        <v>-300</v>
      </c>
      <c r="S141" s="125">
        <f>'price-old'!H22</f>
        <v>67.5</v>
      </c>
      <c r="T141" s="190">
        <f>('price-new'!H22*31+'price-new'!H23*31)/62</f>
        <v>42.75</v>
      </c>
      <c r="U141" s="189">
        <f>AVERAGE('Filter-new'!H632:H633)</f>
        <v>-26.020408163265309</v>
      </c>
      <c r="V141" s="251">
        <f>(VLOOKUP(37438,[1]Offpeak_Forward!$A$1:$AG$231,14,FALSE)*31+VLOOKUP(37469,[1]Offpeak_Forward!_xlnm.Print_Area,14,FALSE)*31)/62</f>
        <v>18.360816001892097</v>
      </c>
      <c r="W141" s="171">
        <f>'Filter-old'!J143</f>
        <v>0</v>
      </c>
      <c r="X141" s="189">
        <f>'Filter-new'!J143</f>
        <v>0</v>
      </c>
      <c r="Y141" s="125">
        <f>'price-old'!J22</f>
        <v>62</v>
      </c>
      <c r="Z141" s="190">
        <f>('price-new'!J22*31+'price-new'!J23*31)/62</f>
        <v>46.125</v>
      </c>
      <c r="AA141" s="171">
        <f>'Filter-old'!F143</f>
        <v>0</v>
      </c>
      <c r="AB141" s="189">
        <v>100</v>
      </c>
      <c r="AC141" s="125">
        <f>'price-old'!F22</f>
        <v>69.25</v>
      </c>
      <c r="AD141" s="190">
        <f>('price-new'!F22*31+'price-new'!F23*31)/62</f>
        <v>46.125</v>
      </c>
      <c r="AE141" s="171">
        <f>'Filter-old'!P143</f>
        <v>0</v>
      </c>
      <c r="AF141" s="189">
        <f>AVERAGE('Filter-new'!P143:P144)</f>
        <v>-50</v>
      </c>
      <c r="AG141" s="125">
        <f>'price-old'!O22</f>
        <v>71.5</v>
      </c>
      <c r="AH141" s="190">
        <f>('price-new'!P22*31+'price-new'!P23*31)/62</f>
        <v>50.375</v>
      </c>
      <c r="AI141" s="171">
        <f>'Filter-old'!L143</f>
        <v>0</v>
      </c>
      <c r="AJ141" s="189">
        <f>AVERAGE('Filter-new'!L143:L144)</f>
        <v>26</v>
      </c>
      <c r="AK141" s="125">
        <f>'price-old'!L22</f>
        <v>100</v>
      </c>
      <c r="AL141" s="190">
        <f>('price-new'!L22*31+'price-new'!L23*31)/62</f>
        <v>55.125</v>
      </c>
      <c r="AM141" s="189">
        <f>AVERAGE('Filter-new'!L632:L633)</f>
        <v>27.275510204081634</v>
      </c>
      <c r="AN141" s="251">
        <f>(VLOOKUP(37438,[1]Offpeak_Forward!$A$1:$AG$231,18,FALSE)*31+VLOOKUP(37469,[1]Offpeak_Forward!_xlnm.Print_Area,18,FALSE)*31)/62</f>
        <v>25.155510902404799</v>
      </c>
      <c r="AO141" s="171">
        <f>'Filter-old'!G143</f>
        <v>100</v>
      </c>
      <c r="AP141" s="189">
        <f>'Filter-new'!G143</f>
        <v>0</v>
      </c>
      <c r="AQ141" s="125">
        <f>'price-old'!G22</f>
        <v>51.999992370605469</v>
      </c>
      <c r="AR141" s="190">
        <f>('price-new'!G22*31+'price-new'!G23*31)/62</f>
        <v>36.25</v>
      </c>
      <c r="AS141" s="171"/>
      <c r="AT141" s="189">
        <f>AX141+BD141+BJ141+BR141+BV141+CB141+BN141</f>
        <v>2800</v>
      </c>
      <c r="AU141" s="125"/>
      <c r="AV141" s="189">
        <f>BA141+BY141+CE141</f>
        <v>25.510204081632651</v>
      </c>
      <c r="AW141" s="289">
        <f>'Filter-old'!I143</f>
        <v>250</v>
      </c>
      <c r="AX141" s="368">
        <f>AVERAGE('Filter-new'!I143:I144)</f>
        <v>-300</v>
      </c>
      <c r="AY141" s="125">
        <f>'price-old'!I22</f>
        <v>70.75</v>
      </c>
      <c r="AZ141" s="190">
        <f>('price-new'!I22*31+'price-new'!I23*31)/62</f>
        <v>45.024999999999999</v>
      </c>
      <c r="BA141" s="189">
        <f>AVERAGE('Filter-new'!I632:I633)</f>
        <v>50.510204081632651</v>
      </c>
      <c r="BB141" s="374">
        <f>(VLOOKUP(37438,[1]Offpeak_Forward!$A$1:$AG$231,15,FALSE)*31+VLOOKUP(37469,[1]Offpeak_Forward!_xlnm.Print_Area,15,FALSE)*31)/62</f>
        <v>19.743674278259299</v>
      </c>
      <c r="BC141" s="289">
        <f>'Filter-old'!K143</f>
        <v>-50</v>
      </c>
      <c r="BD141" s="189">
        <f>AVERAGE('Filter-new'!K143:K144)</f>
        <v>50</v>
      </c>
      <c r="BE141" s="125">
        <f>'price-old'!K22</f>
        <v>69.25</v>
      </c>
      <c r="BF141" s="190">
        <f>('price-new'!K22*31+'price-new'!K23*31)/62</f>
        <v>51.75</v>
      </c>
      <c r="BG141" s="171">
        <f>'Filter-old'!M143</f>
        <v>0</v>
      </c>
      <c r="BH141" s="189">
        <f>AVERAGE('Filter-new'!K632:K633)</f>
        <v>-101.0204081632653</v>
      </c>
      <c r="BI141" s="374">
        <f>(VLOOKUP(37438,[1]Offpeak_Forward!$A$1:$AG$231,2,FALSE)*31+VLOOKUP(37469,[1]Offpeak_Forward!_xlnm.Print_Area,2,FALSE)*31)/62</f>
        <v>29.296938896179199</v>
      </c>
      <c r="BJ141" s="189">
        <f>AVERAGE('Filter-new'!M143:M144)</f>
        <v>2750</v>
      </c>
      <c r="BK141" s="125">
        <f>'price-old'!M22</f>
        <v>70</v>
      </c>
      <c r="BL141" s="190">
        <f>('price-new'!M22*31+'price-new'!M23*31)/62</f>
        <v>48.5</v>
      </c>
      <c r="BM141" s="251"/>
      <c r="BN141" s="493">
        <f>AVERAGE('Filter-new'!N143:N144)</f>
        <v>650</v>
      </c>
      <c r="BO141" s="251"/>
      <c r="BP141" s="251">
        <f>('price-new'!N22*31+'price-new'!N23*31)/62</f>
        <v>61.75</v>
      </c>
      <c r="BQ141" s="171">
        <f>'Filter-old'!O143</f>
        <v>0</v>
      </c>
      <c r="BR141" s="189">
        <f>AVERAGE('Filter-new'!O143:O144)</f>
        <v>350</v>
      </c>
      <c r="BS141" s="125">
        <f>'price-old'!N22</f>
        <v>78</v>
      </c>
      <c r="BT141" s="190">
        <f>('price-new'!O22*31+'price-new'!O23*31)/62</f>
        <v>48.5</v>
      </c>
      <c r="BU141" s="171">
        <f>'Filter-old'!Q143</f>
        <v>95.036931818181813</v>
      </c>
      <c r="BV141" s="189">
        <f>AVERAGE('Filter-new'!Q143:Q144)</f>
        <v>0</v>
      </c>
      <c r="BW141" s="125">
        <f>'price-old'!P22</f>
        <v>71</v>
      </c>
      <c r="BX141" s="190">
        <f>('price-new'!Q22*31+'price-new'!Q23*31)/62</f>
        <v>41.001999999999995</v>
      </c>
      <c r="BY141" s="189">
        <f>AVERAGE('Filter-new'!Q632:Q633)</f>
        <v>0</v>
      </c>
      <c r="BZ141" s="251">
        <f>(VLOOKUP(37438,[1]Offpeak_Forward!$A$1:$AG$231,22,FALSE)*31+VLOOKUP(37469,[1]Offpeak_Forward!_xlnm.Print_Area,22,FALSE)*31)/62</f>
        <v>23.669387817382798</v>
      </c>
      <c r="CA141" s="171">
        <f>'Filter-old'!R143</f>
        <v>0</v>
      </c>
      <c r="CB141" s="189">
        <f>AVERAGE('Filter-new'!R143:R144)</f>
        <v>-700</v>
      </c>
      <c r="CC141" s="126">
        <f>'price-old'!Q22</f>
        <v>70</v>
      </c>
      <c r="CD141" s="190">
        <f>('price-new'!R22*31+'price-new'!R23*31)/62</f>
        <v>52</v>
      </c>
      <c r="CE141" s="189">
        <f>AVERAGE('Filter-new'!R632:R633)</f>
        <v>-25</v>
      </c>
      <c r="CF141" s="191">
        <f>(VLOOKUP(37438,[1]Offpeak_Forward!$A$1:$AG$231,6,FALSE)*31+VLOOKUP(37469,[1]Offpeak_Forward!_xlnm.Print_Area,6,FALSE)*31)/62</f>
        <v>21.106122970581101</v>
      </c>
      <c r="CG141" s="187"/>
    </row>
    <row r="142" spans="1:85" s="52" customFormat="1" hidden="1" x14ac:dyDescent="0.2">
      <c r="A142" s="52">
        <v>0</v>
      </c>
      <c r="B142" s="143">
        <v>37469</v>
      </c>
      <c r="C142" s="143">
        <f>'Filter-new'!C22</f>
        <v>37469</v>
      </c>
      <c r="D142" s="123"/>
      <c r="E142" s="123"/>
      <c r="F142" s="123"/>
      <c r="G142" s="127">
        <f t="shared" si="17"/>
        <v>-937.26832386363651</v>
      </c>
      <c r="H142" s="127">
        <f>SUM(L142,AB142,AP142,R142,AX142,X142,BD142,AJ142,BJ142,BR142,AF142,BV142,CB142)</f>
        <v>319.83602272727285</v>
      </c>
      <c r="I142" s="298"/>
      <c r="J142" s="124"/>
      <c r="K142" s="127">
        <f>'Filter-old'!E144</f>
        <v>-681.91193181818187</v>
      </c>
      <c r="L142" s="127">
        <f>'Filter-new'!E144</f>
        <v>-1506.1639772727272</v>
      </c>
      <c r="M142" s="125">
        <f>'price-old'!E23</f>
        <v>69.25</v>
      </c>
      <c r="N142" s="128">
        <f>'price-new'!E23</f>
        <v>46.125</v>
      </c>
      <c r="O142" s="438">
        <f>'Filter-new'!E633</f>
        <v>-154.08163265306123</v>
      </c>
      <c r="P142" s="128">
        <f>VLOOKUP(37165,[1]Offpeak_Forward!$A$1:$AG$231,13,FALSE)</f>
        <v>15.084918975830099</v>
      </c>
      <c r="Q142" s="127">
        <f>'Filter-old'!H144</f>
        <v>-650</v>
      </c>
      <c r="R142" s="127">
        <f>'Filter-new'!H144</f>
        <v>-300</v>
      </c>
      <c r="S142" s="125">
        <f>'price-old'!H23</f>
        <v>67.5</v>
      </c>
      <c r="T142" s="128">
        <f>'price-new'!H23</f>
        <v>42.75</v>
      </c>
      <c r="U142" s="438">
        <f>'Filter-new'!H633</f>
        <v>-102.04081632653062</v>
      </c>
      <c r="V142" s="128"/>
      <c r="W142" s="127">
        <f>'Filter-old'!J144</f>
        <v>0</v>
      </c>
      <c r="X142" s="127">
        <f>'Filter-new'!J144</f>
        <v>0</v>
      </c>
      <c r="Y142" s="125">
        <f>'price-old'!J23</f>
        <v>62</v>
      </c>
      <c r="Z142" s="128">
        <f>'price-new'!J23</f>
        <v>46.125</v>
      </c>
      <c r="AA142" s="127">
        <f>'Filter-old'!F144</f>
        <v>0</v>
      </c>
      <c r="AB142" s="127">
        <f>'Filter-new'!F144</f>
        <v>0</v>
      </c>
      <c r="AC142" s="125">
        <f>'price-old'!F23</f>
        <v>69.25</v>
      </c>
      <c r="AD142" s="128">
        <f>'price-new'!F23</f>
        <v>46.125</v>
      </c>
      <c r="AE142" s="127">
        <f>'Filter-old'!P144</f>
        <v>0</v>
      </c>
      <c r="AF142" s="127">
        <f>'Filter-new'!P144</f>
        <v>-50</v>
      </c>
      <c r="AG142" s="125">
        <f>'price-old'!O23</f>
        <v>71.5</v>
      </c>
      <c r="AH142" s="128">
        <f>'price-new'!P23</f>
        <v>50.375</v>
      </c>
      <c r="AI142" s="127">
        <f>'Filter-old'!L144</f>
        <v>0</v>
      </c>
      <c r="AJ142" s="127">
        <f>'Filter-new'!L144</f>
        <v>26</v>
      </c>
      <c r="AK142" s="125">
        <f>'price-old'!L23</f>
        <v>100</v>
      </c>
      <c r="AL142" s="128">
        <f>'price-new'!L23</f>
        <v>55.125</v>
      </c>
      <c r="AM142" s="127">
        <f>'Filter-new'!L633</f>
        <v>27.551020408163264</v>
      </c>
      <c r="AN142" s="128"/>
      <c r="AO142" s="127">
        <f>'Filter-old'!G144</f>
        <v>100</v>
      </c>
      <c r="AP142" s="127">
        <f>'Filter-new'!G144</f>
        <v>0</v>
      </c>
      <c r="AQ142" s="125">
        <f>'price-old'!G23</f>
        <v>52</v>
      </c>
      <c r="AR142" s="128">
        <f>'price-new'!G23</f>
        <v>36.25</v>
      </c>
      <c r="AS142" s="127"/>
      <c r="AT142" s="127"/>
      <c r="AU142" s="125"/>
      <c r="AV142" s="298"/>
      <c r="AW142" s="127">
        <f>'Filter-old'!I144</f>
        <v>250</v>
      </c>
      <c r="AX142" s="127">
        <f>'Filter-new'!I144</f>
        <v>-300</v>
      </c>
      <c r="AY142" s="125">
        <f>'price-old'!I23</f>
        <v>70.75</v>
      </c>
      <c r="AZ142" s="128">
        <f>'price-new'!I23</f>
        <v>45.024999999999999</v>
      </c>
      <c r="BA142" s="127">
        <f>'Filter-new'!I633</f>
        <v>51.020408163265309</v>
      </c>
      <c r="BB142" s="128"/>
      <c r="BC142" s="127">
        <f>'Filter-old'!K144</f>
        <v>-50</v>
      </c>
      <c r="BD142" s="127">
        <f>'Filter-new'!K144</f>
        <v>50</v>
      </c>
      <c r="BE142" s="125">
        <f>'price-old'!K23</f>
        <v>69.25</v>
      </c>
      <c r="BF142" s="128">
        <f>'price-new'!K23</f>
        <v>51.75</v>
      </c>
      <c r="BG142" s="127">
        <f>'Filter-old'!M144</f>
        <v>0</v>
      </c>
      <c r="BH142" s="127"/>
      <c r="BI142" s="127"/>
      <c r="BJ142" s="127">
        <f>'Filter-new'!M144</f>
        <v>2750</v>
      </c>
      <c r="BK142" s="125">
        <f>'price-old'!M23</f>
        <v>70</v>
      </c>
      <c r="BL142" s="128">
        <f>'price-new'!M23</f>
        <v>48.5</v>
      </c>
      <c r="BM142" s="128"/>
      <c r="BN142" s="415">
        <f>'Filter-new'!N144</f>
        <v>650</v>
      </c>
      <c r="BO142" s="128"/>
      <c r="BP142" s="128">
        <f>'price-new'!N23</f>
        <v>61.75</v>
      </c>
      <c r="BQ142" s="127">
        <f>'Filter-old'!O144</f>
        <v>0</v>
      </c>
      <c r="BR142" s="127">
        <f>'Filter-new'!O144</f>
        <v>350</v>
      </c>
      <c r="BS142" s="125">
        <f>'price-old'!N23</f>
        <v>78</v>
      </c>
      <c r="BT142" s="128">
        <f>'price-new'!O23</f>
        <v>48.5</v>
      </c>
      <c r="BU142" s="127">
        <f>'Filter-old'!Q144</f>
        <v>94.643607954545459</v>
      </c>
      <c r="BV142" s="127">
        <f>'Filter-new'!Q144</f>
        <v>0</v>
      </c>
      <c r="BW142" s="125">
        <f>'price-old'!P23</f>
        <v>71</v>
      </c>
      <c r="BX142" s="128">
        <f>'price-new'!Q23</f>
        <v>41</v>
      </c>
      <c r="BY142" s="127">
        <f>'Filter-new'!Q633</f>
        <v>0</v>
      </c>
      <c r="BZ142" s="128"/>
      <c r="CA142" s="127">
        <f>'Filter-old'!R144</f>
        <v>0</v>
      </c>
      <c r="CB142" s="127">
        <f>'Filter-new'!R144</f>
        <v>-700</v>
      </c>
      <c r="CC142" s="126">
        <f>'price-old'!Q23</f>
        <v>70</v>
      </c>
      <c r="CD142" s="128">
        <f>'price-new'!R23</f>
        <v>52</v>
      </c>
      <c r="CE142" s="127">
        <f>'Filter-new'!R633</f>
        <v>0</v>
      </c>
      <c r="CF142" s="144"/>
      <c r="CG142" s="51"/>
    </row>
    <row r="143" spans="1:85" s="201" customFormat="1" x14ac:dyDescent="0.2">
      <c r="A143" s="201">
        <v>1</v>
      </c>
      <c r="B143" s="202" t="s">
        <v>140</v>
      </c>
      <c r="C143" s="145" t="s">
        <v>85</v>
      </c>
      <c r="D143" s="74"/>
      <c r="E143" s="74"/>
      <c r="F143" s="74"/>
      <c r="G143" s="112">
        <f t="shared" si="17"/>
        <v>4.3619687500000168</v>
      </c>
      <c r="H143" s="203">
        <f>SUM(L143,AB143,AP143,R143,AX143,X143,BD143,AJ143,BJ143,BR143,AF143,BV143,CB143,BN143)</f>
        <v>-1157.93228125</v>
      </c>
      <c r="I143" s="203">
        <f>O143+U143+AM143+BA143+BY143+CE143</f>
        <v>-157.70000000000002</v>
      </c>
      <c r="J143" s="97"/>
      <c r="K143" s="172">
        <f>'Filter-old'!E145</f>
        <v>162.97812500000001</v>
      </c>
      <c r="L143" s="203">
        <f>'Filter-new'!E145-AB143</f>
        <v>-2284.93228125</v>
      </c>
      <c r="M143" s="87">
        <f>'price-old'!E24</f>
        <v>33.5</v>
      </c>
      <c r="N143" s="204">
        <f>'price-new'!E24</f>
        <v>25.15</v>
      </c>
      <c r="O143" s="463">
        <f>'Filter-new'!E634</f>
        <v>-136.02250000000001</v>
      </c>
      <c r="P143" s="250">
        <f>VLOOKUP(37500,[1]Offpeak_Forward!$A$1:$AG$231,13,FALSE)</f>
        <v>17.248001098632798</v>
      </c>
      <c r="Q143" s="172">
        <f>'Filter-old'!H145</f>
        <v>-300</v>
      </c>
      <c r="R143" s="203">
        <f>'Filter-new'!H145</f>
        <v>500</v>
      </c>
      <c r="S143" s="87">
        <f>'price-old'!H24</f>
        <v>33.75</v>
      </c>
      <c r="T143" s="204">
        <f>'price-new'!H24</f>
        <v>23.274999999999999</v>
      </c>
      <c r="U143" s="203">
        <f>'Filter-new'!H634</f>
        <v>-94.25</v>
      </c>
      <c r="V143" s="250">
        <f>VLOOKUP(37500,[1]Offpeak_Forward!$A$1:$AG$231,14,FALSE)</f>
        <v>16.1079998016357</v>
      </c>
      <c r="W143" s="172">
        <f>'Filter-old'!J145</f>
        <v>0</v>
      </c>
      <c r="X143" s="203">
        <f>'Filter-new'!J145</f>
        <v>0</v>
      </c>
      <c r="Y143" s="87">
        <f>'price-old'!J24</f>
        <v>32.171913146972656</v>
      </c>
      <c r="Z143" s="204">
        <f>'price-new'!J24</f>
        <v>25.2</v>
      </c>
      <c r="AA143" s="172">
        <f>'Filter-old'!F145</f>
        <v>0</v>
      </c>
      <c r="AB143" s="203">
        <v>150</v>
      </c>
      <c r="AC143" s="87">
        <f>'price-old'!F24</f>
        <v>33.5</v>
      </c>
      <c r="AD143" s="204">
        <f>'price-new'!F24</f>
        <v>25.2</v>
      </c>
      <c r="AE143" s="172">
        <f>'Filter-old'!P145</f>
        <v>0</v>
      </c>
      <c r="AF143" s="203">
        <f>'Filter-new'!P145</f>
        <v>0</v>
      </c>
      <c r="AG143" s="87">
        <f>'price-old'!O24</f>
        <v>34.500003814697266</v>
      </c>
      <c r="AH143" s="204">
        <f>'price-new'!P24</f>
        <v>25.15</v>
      </c>
      <c r="AI143" s="172">
        <f>'Filter-old'!L145</f>
        <v>0</v>
      </c>
      <c r="AJ143" s="203">
        <f>'Filter-new'!L145</f>
        <v>27</v>
      </c>
      <c r="AK143" s="87">
        <f>'price-old'!L24</f>
        <v>57</v>
      </c>
      <c r="AL143" s="204">
        <f>'price-new'!L24</f>
        <v>27.3</v>
      </c>
      <c r="AM143" s="203">
        <f>'Filter-new'!L634</f>
        <v>25.447500000000002</v>
      </c>
      <c r="AN143" s="250">
        <f>VLOOKUP(37500,[1]Offpeak_Forward!$A$1:$AG$231,18,FALSE)</f>
        <v>21.052000045776399</v>
      </c>
      <c r="AO143" s="172">
        <f>'Filter-old'!G145</f>
        <v>0</v>
      </c>
      <c r="AP143" s="203">
        <f>'Filter-new'!G145</f>
        <v>0</v>
      </c>
      <c r="AQ143" s="87">
        <f>'price-old'!G24</f>
        <v>37.000003814697266</v>
      </c>
      <c r="AR143" s="204">
        <f>'price-new'!G24</f>
        <v>27</v>
      </c>
      <c r="AS143" s="172"/>
      <c r="AT143" s="203">
        <f>AX143+BD143+BJ143+BR143+BV143+CB143+BN143</f>
        <v>450</v>
      </c>
      <c r="AU143" s="87"/>
      <c r="AV143" s="203">
        <f>BA143+BY143+CE143</f>
        <v>47.125</v>
      </c>
      <c r="AW143" s="290">
        <f>'Filter-old'!I145</f>
        <v>0</v>
      </c>
      <c r="AX143" s="369">
        <f>'Filter-new'!I145</f>
        <v>50</v>
      </c>
      <c r="AY143" s="87">
        <f>'price-old'!I24</f>
        <v>34.25</v>
      </c>
      <c r="AZ143" s="204">
        <f>'price-new'!I24</f>
        <v>24.46</v>
      </c>
      <c r="BA143" s="203">
        <f>'Filter-new'!I634</f>
        <v>47.125</v>
      </c>
      <c r="BB143" s="375">
        <f>VLOOKUP(37500,[1]Offpeak_Forward!$A$1:$AG$231,15,FALSE)</f>
        <v>17.247999191284201</v>
      </c>
      <c r="BC143" s="290">
        <f>'Filter-old'!K145</f>
        <v>0</v>
      </c>
      <c r="BD143" s="203">
        <f>'Filter-new'!K145</f>
        <v>0</v>
      </c>
      <c r="BE143" s="87">
        <f>'price-old'!K24</f>
        <v>45.25</v>
      </c>
      <c r="BF143" s="204">
        <f>'price-new'!K24</f>
        <v>33</v>
      </c>
      <c r="BG143" s="172">
        <f>'Filter-old'!M145</f>
        <v>0</v>
      </c>
      <c r="BH143" s="203">
        <f>'Filter-new'!K634</f>
        <v>-94.25</v>
      </c>
      <c r="BI143" s="375">
        <f>VLOOKUP(37500,[1]Offpeak_Forward!$A$1:$AG$231,2,FALSE)</f>
        <v>24.604000091552699</v>
      </c>
      <c r="BJ143" s="203">
        <f>'Filter-new'!M145</f>
        <v>250</v>
      </c>
      <c r="BK143" s="87">
        <f>'price-old'!M24</f>
        <v>35.25</v>
      </c>
      <c r="BL143" s="204">
        <f>'price-new'!M24</f>
        <v>27.25</v>
      </c>
      <c r="BM143" s="250"/>
      <c r="BN143" s="488">
        <f>'Filter-new'!N145</f>
        <v>150</v>
      </c>
      <c r="BO143" s="250"/>
      <c r="BP143" s="250">
        <f>'price-new'!N24</f>
        <v>34.5</v>
      </c>
      <c r="BQ143" s="172">
        <f>'Filter-old'!O145</f>
        <v>0</v>
      </c>
      <c r="BR143" s="203">
        <f>'Filter-new'!O145</f>
        <v>50</v>
      </c>
      <c r="BS143" s="87">
        <f>'price-old'!N24</f>
        <v>37</v>
      </c>
      <c r="BT143" s="204">
        <f>'price-new'!O24</f>
        <v>26.85</v>
      </c>
      <c r="BU143" s="172">
        <f>'Filter-old'!Q145</f>
        <v>141.38384375000001</v>
      </c>
      <c r="BV143" s="203">
        <f>'Filter-new'!Q145</f>
        <v>0</v>
      </c>
      <c r="BW143" s="62">
        <f>'price-old'!P24</f>
        <v>34.75</v>
      </c>
      <c r="BX143" s="204">
        <f>'price-new'!Q24</f>
        <v>23.1</v>
      </c>
      <c r="BY143" s="203">
        <f>'Filter-new'!Q634</f>
        <v>0</v>
      </c>
      <c r="BZ143" s="250">
        <f>VLOOKUP(37500,[1]Offpeak_Forward!$A$1:$AG$231,22,FALSE)</f>
        <v>16.82200050354</v>
      </c>
      <c r="CA143" s="172">
        <f>'Filter-old'!R145</f>
        <v>0</v>
      </c>
      <c r="CB143" s="203">
        <f>'Filter-new'!R145</f>
        <v>-50</v>
      </c>
      <c r="CC143" s="61">
        <f>'price-old'!Q24</f>
        <v>35.25</v>
      </c>
      <c r="CD143" s="204">
        <f>'price-new'!R24</f>
        <v>27</v>
      </c>
      <c r="CE143" s="203">
        <f>'Filter-new'!R634</f>
        <v>0</v>
      </c>
      <c r="CF143" s="205">
        <f>VLOOKUP(37500,[1]Offpeak_Forward!$A$1:$AG$231,6,FALSE)</f>
        <v>17.159999847412099</v>
      </c>
      <c r="CG143" s="206"/>
    </row>
    <row r="144" spans="1:85" s="52" customFormat="1" hidden="1" x14ac:dyDescent="0.2">
      <c r="A144" s="52">
        <v>0</v>
      </c>
      <c r="B144" s="146">
        <v>37530</v>
      </c>
      <c r="C144" s="146">
        <f>'Filter-new'!C24</f>
        <v>37530</v>
      </c>
      <c r="D144" s="74"/>
      <c r="E144" s="74"/>
      <c r="F144" s="74"/>
      <c r="G144" s="114">
        <f t="shared" si="17"/>
        <v>-278.5003804347827</v>
      </c>
      <c r="H144" s="114">
        <f>SUM(L144,AB144,AP144,R144,AX144,X144,BD144,AJ144,BJ144,BR144,AF144,BV144,CB144)</f>
        <v>1412.7904347826088</v>
      </c>
      <c r="I144" s="199"/>
      <c r="J144" s="97"/>
      <c r="K144" s="114">
        <f>'Filter-old'!E146</f>
        <v>-353.89641304347828</v>
      </c>
      <c r="L144" s="114">
        <f>'Filter-new'!E146</f>
        <v>-616.39673913043475</v>
      </c>
      <c r="M144" s="87">
        <f>'price-old'!E25</f>
        <v>32.40312647819519</v>
      </c>
      <c r="N144" s="115">
        <f>'price-new'!E25</f>
        <v>25</v>
      </c>
      <c r="O144" s="439">
        <f>'Filter-new'!E635</f>
        <v>-157.97872340425531</v>
      </c>
      <c r="P144" s="115">
        <f>VLOOKUP(37165,[1]Offpeak_Forward!$A$1:$AG$231,13,FALSE)</f>
        <v>15.084918975830099</v>
      </c>
      <c r="Q144" s="114">
        <f>'Filter-old'!H146</f>
        <v>-300</v>
      </c>
      <c r="R144" s="114">
        <f>'Filter-new'!H146</f>
        <v>250</v>
      </c>
      <c r="S144" s="87">
        <f>'price-old'!H25</f>
        <v>30.634994506835938</v>
      </c>
      <c r="T144" s="115">
        <f>'price-new'!H25</f>
        <v>23.125</v>
      </c>
      <c r="U144" s="439">
        <f>'Filter-new'!H635</f>
        <v>-106.38297872340425</v>
      </c>
      <c r="V144" s="115"/>
      <c r="W144" s="114">
        <f>'Filter-old'!J146</f>
        <v>0</v>
      </c>
      <c r="X144" s="114">
        <f>'Filter-new'!J146</f>
        <v>0</v>
      </c>
      <c r="Y144" s="87">
        <f>'price-old'!J25</f>
        <v>33.649997711181641</v>
      </c>
      <c r="Z144" s="115">
        <f>'price-new'!J25</f>
        <v>25.25</v>
      </c>
      <c r="AA144" s="114">
        <f>'Filter-old'!F146</f>
        <v>0</v>
      </c>
      <c r="AB144" s="114">
        <f>'Filter-new'!F146</f>
        <v>0</v>
      </c>
      <c r="AC144" s="87">
        <f>'price-old'!F25</f>
        <v>32.40312647819519</v>
      </c>
      <c r="AD144" s="115">
        <f>'price-new'!F25</f>
        <v>25.25</v>
      </c>
      <c r="AE144" s="114">
        <f>'Filter-old'!P146</f>
        <v>0</v>
      </c>
      <c r="AF144" s="114">
        <f>'Filter-new'!P146</f>
        <v>0</v>
      </c>
      <c r="AG144" s="87">
        <f>'price-old'!O25</f>
        <v>31.654998779296875</v>
      </c>
      <c r="AH144" s="115">
        <f>'price-new'!P25</f>
        <v>25.75</v>
      </c>
      <c r="AI144" s="114">
        <f>'Filter-old'!L146</f>
        <v>0</v>
      </c>
      <c r="AJ144" s="114">
        <f>'Filter-new'!L146</f>
        <v>27</v>
      </c>
      <c r="AK144" s="87">
        <f>'price-old'!L25</f>
        <v>56</v>
      </c>
      <c r="AL144" s="115">
        <f>'price-new'!L25</f>
        <v>26.95</v>
      </c>
      <c r="AM144" s="114">
        <f>'Filter-new'!L635</f>
        <v>28.723404255319149</v>
      </c>
      <c r="AN144" s="115"/>
      <c r="AO144" s="114">
        <f>'Filter-old'!G146</f>
        <v>0</v>
      </c>
      <c r="AP144" s="114">
        <f>'Filter-new'!G146</f>
        <v>0</v>
      </c>
      <c r="AQ144" s="87">
        <f>'price-old'!G25</f>
        <v>34.300003051757812</v>
      </c>
      <c r="AR144" s="115">
        <f>'price-new'!G25</f>
        <v>26.53</v>
      </c>
      <c r="AS144" s="114"/>
      <c r="AT144" s="114"/>
      <c r="AU144" s="87"/>
      <c r="AV144" s="199"/>
      <c r="AW144" s="114">
        <f>'Filter-old'!I146</f>
        <v>0</v>
      </c>
      <c r="AX144" s="114">
        <f>'Filter-new'!I146</f>
        <v>0</v>
      </c>
      <c r="AY144" s="87">
        <f>'price-old'!I25</f>
        <v>33</v>
      </c>
      <c r="AZ144" s="115">
        <f>'price-new'!I25</f>
        <v>24.06</v>
      </c>
      <c r="BA144" s="114">
        <f>'Filter-new'!I635</f>
        <v>53.191489361702125</v>
      </c>
      <c r="BB144" s="115"/>
      <c r="BC144" s="114">
        <f>'Filter-old'!K146</f>
        <v>0</v>
      </c>
      <c r="BD144" s="114">
        <f>'Filter-new'!K146</f>
        <v>500</v>
      </c>
      <c r="BE144" s="87">
        <f>'price-old'!K25</f>
        <v>44.75</v>
      </c>
      <c r="BF144" s="115">
        <f>'price-new'!K25</f>
        <v>33</v>
      </c>
      <c r="BG144" s="114">
        <f>'Filter-old'!M146</f>
        <v>0</v>
      </c>
      <c r="BH144" s="114"/>
      <c r="BI144" s="114"/>
      <c r="BJ144" s="114">
        <f>'Filter-new'!M146</f>
        <v>500</v>
      </c>
      <c r="BK144" s="87">
        <f>'price-old'!M25</f>
        <v>34.25</v>
      </c>
      <c r="BL144" s="115">
        <f>'price-new'!M25</f>
        <v>27.25</v>
      </c>
      <c r="BM144" s="115"/>
      <c r="BN144" s="416">
        <f>'Filter-new'!N146</f>
        <v>600</v>
      </c>
      <c r="BO144" s="115"/>
      <c r="BP144" s="115">
        <f>'price-new'!N25</f>
        <v>34.5</v>
      </c>
      <c r="BQ144" s="114">
        <f>'Filter-old'!O146</f>
        <v>0</v>
      </c>
      <c r="BR144" s="114">
        <f>'Filter-new'!O146</f>
        <v>850</v>
      </c>
      <c r="BS144" s="87">
        <f>'price-old'!N25</f>
        <v>34.75</v>
      </c>
      <c r="BT144" s="115">
        <f>'price-new'!O25</f>
        <v>26.25</v>
      </c>
      <c r="BU144" s="114">
        <f>'Filter-old'!Q146</f>
        <v>375.39603260869563</v>
      </c>
      <c r="BV144" s="114">
        <f>'Filter-new'!Q146</f>
        <v>-97.812826086956534</v>
      </c>
      <c r="BW144" s="62">
        <f>'price-old'!P25</f>
        <v>33</v>
      </c>
      <c r="BX144" s="115">
        <f>'price-new'!Q25</f>
        <v>23.85</v>
      </c>
      <c r="BY144" s="114">
        <f>'Filter-new'!Q635</f>
        <v>0</v>
      </c>
      <c r="BZ144" s="115"/>
      <c r="CA144" s="114">
        <f>'Filter-old'!R146</f>
        <v>0</v>
      </c>
      <c r="CB144" s="114">
        <f>'Filter-new'!R146</f>
        <v>0</v>
      </c>
      <c r="CC144" s="61">
        <f>'price-old'!Q25</f>
        <v>34.25</v>
      </c>
      <c r="CD144" s="115">
        <f>'price-new'!R25</f>
        <v>26.75</v>
      </c>
      <c r="CE144" s="114">
        <f>'Filter-new'!R635</f>
        <v>0</v>
      </c>
      <c r="CF144" s="147"/>
      <c r="CG144" s="51"/>
    </row>
    <row r="145" spans="1:85" s="52" customFormat="1" hidden="1" x14ac:dyDescent="0.2">
      <c r="A145" s="52">
        <v>0</v>
      </c>
      <c r="B145" s="146">
        <v>37561</v>
      </c>
      <c r="C145" s="146">
        <f>'Filter-new'!C25</f>
        <v>37561</v>
      </c>
      <c r="D145" s="74"/>
      <c r="E145" s="74"/>
      <c r="F145" s="74"/>
      <c r="G145" s="114">
        <f t="shared" si="17"/>
        <v>-278.60090625000004</v>
      </c>
      <c r="H145" s="114">
        <f>SUM(L145,AB145,AP145,R145,AX145,X145,BD145,AJ145,BJ145,BR145,AF145,BV145,CB145)</f>
        <v>1414.66915625</v>
      </c>
      <c r="I145" s="296"/>
      <c r="J145" s="97"/>
      <c r="K145" s="114">
        <f>'Filter-old'!E147</f>
        <v>-352.39465624999997</v>
      </c>
      <c r="L145" s="114">
        <f>'Filter-new'!E147</f>
        <v>-614.77640625000004</v>
      </c>
      <c r="M145" s="87">
        <f>'price-old'!E26</f>
        <v>32.503124952316284</v>
      </c>
      <c r="N145" s="115">
        <f>'price-new'!E26</f>
        <v>25.2</v>
      </c>
      <c r="O145" s="439">
        <f>'Filter-new'!E636</f>
        <v>-150.91499999999999</v>
      </c>
      <c r="P145" s="115">
        <f>VLOOKUP(37165,[1]Offpeak_Forward!$A$1:$AG$231,13,FALSE)</f>
        <v>15.084918975830099</v>
      </c>
      <c r="Q145" s="114">
        <f>'Filter-old'!H147</f>
        <v>-300</v>
      </c>
      <c r="R145" s="114">
        <f>'Filter-new'!H147</f>
        <v>250</v>
      </c>
      <c r="S145" s="87">
        <f>'price-old'!H26</f>
        <v>32.904994964599609</v>
      </c>
      <c r="T145" s="115">
        <f>'price-new'!H26</f>
        <v>23.324999999999999</v>
      </c>
      <c r="U145" s="439">
        <f>'Filter-new'!H636</f>
        <v>-102</v>
      </c>
      <c r="V145" s="115"/>
      <c r="W145" s="114">
        <f>'Filter-old'!J147</f>
        <v>0</v>
      </c>
      <c r="X145" s="114">
        <f>'Filter-new'!J147</f>
        <v>0</v>
      </c>
      <c r="Y145" s="87">
        <f>'price-old'!J26</f>
        <v>34.446914672851562</v>
      </c>
      <c r="Z145" s="115">
        <f>'price-new'!J26</f>
        <v>25.45</v>
      </c>
      <c r="AA145" s="114">
        <f>'Filter-old'!F147</f>
        <v>0</v>
      </c>
      <c r="AB145" s="114">
        <f>'Filter-new'!F147</f>
        <v>0</v>
      </c>
      <c r="AC145" s="87">
        <f>'price-old'!F26</f>
        <v>32.503124952316284</v>
      </c>
      <c r="AD145" s="115">
        <f>'price-new'!F26</f>
        <v>25.45</v>
      </c>
      <c r="AE145" s="114">
        <f>'Filter-old'!P147</f>
        <v>0</v>
      </c>
      <c r="AF145" s="114">
        <f>'Filter-new'!P147</f>
        <v>0</v>
      </c>
      <c r="AG145" s="87">
        <f>'price-old'!O26</f>
        <v>31.754997253417969</v>
      </c>
      <c r="AH145" s="115">
        <f>'price-new'!P26</f>
        <v>25.95</v>
      </c>
      <c r="AI145" s="114">
        <f>'Filter-old'!L147</f>
        <v>0</v>
      </c>
      <c r="AJ145" s="114">
        <f>'Filter-new'!L147</f>
        <v>27</v>
      </c>
      <c r="AK145" s="87">
        <f>'price-old'!L26</f>
        <v>56</v>
      </c>
      <c r="AL145" s="115">
        <f>'price-new'!L26</f>
        <v>27.15</v>
      </c>
      <c r="AM145" s="114">
        <f>'Filter-new'!L636</f>
        <v>27.54</v>
      </c>
      <c r="AN145" s="115"/>
      <c r="AO145" s="114">
        <f>'Filter-old'!G147</f>
        <v>0</v>
      </c>
      <c r="AP145" s="114">
        <f>'Filter-new'!G147</f>
        <v>0</v>
      </c>
      <c r="AQ145" s="87">
        <f>'price-old'!G26</f>
        <v>33.999996185302734</v>
      </c>
      <c r="AR145" s="115">
        <f>'price-new'!G26</f>
        <v>25.53</v>
      </c>
      <c r="AS145" s="114"/>
      <c r="AT145" s="114"/>
      <c r="AU145" s="87"/>
      <c r="AV145" s="296"/>
      <c r="AW145" s="114">
        <f>'Filter-old'!I147</f>
        <v>0</v>
      </c>
      <c r="AX145" s="114">
        <f>'Filter-new'!I147</f>
        <v>0</v>
      </c>
      <c r="AY145" s="87">
        <f>'price-old'!I26</f>
        <v>33</v>
      </c>
      <c r="AZ145" s="115">
        <f>'price-new'!I26</f>
        <v>24.26</v>
      </c>
      <c r="BA145" s="114">
        <f>'Filter-new'!I636</f>
        <v>51</v>
      </c>
      <c r="BB145" s="115"/>
      <c r="BC145" s="114">
        <f>'Filter-old'!K147</f>
        <v>0</v>
      </c>
      <c r="BD145" s="114">
        <f>'Filter-new'!K147</f>
        <v>500</v>
      </c>
      <c r="BE145" s="87">
        <f>'price-old'!K26</f>
        <v>44.75</v>
      </c>
      <c r="BF145" s="115">
        <f>'price-new'!K26</f>
        <v>33</v>
      </c>
      <c r="BG145" s="114">
        <f>'Filter-old'!M147</f>
        <v>0</v>
      </c>
      <c r="BH145" s="114"/>
      <c r="BI145" s="114"/>
      <c r="BJ145" s="114">
        <f>'Filter-new'!M147</f>
        <v>500</v>
      </c>
      <c r="BK145" s="87">
        <f>'price-old'!M26</f>
        <v>34.25</v>
      </c>
      <c r="BL145" s="115">
        <f>'price-new'!M26</f>
        <v>27.25</v>
      </c>
      <c r="BM145" s="115"/>
      <c r="BN145" s="416">
        <f>'Filter-new'!N147</f>
        <v>600</v>
      </c>
      <c r="BO145" s="115"/>
      <c r="BP145" s="115">
        <f>'price-new'!N26</f>
        <v>34.5</v>
      </c>
      <c r="BQ145" s="114">
        <f>'Filter-old'!O147</f>
        <v>0</v>
      </c>
      <c r="BR145" s="114">
        <f>'Filter-new'!O147</f>
        <v>850</v>
      </c>
      <c r="BS145" s="87">
        <f>'price-old'!N26</f>
        <v>34.75</v>
      </c>
      <c r="BT145" s="115">
        <f>'price-new'!O26</f>
        <v>26.25</v>
      </c>
      <c r="BU145" s="114">
        <f>'Filter-old'!Q147</f>
        <v>373.79374999999999</v>
      </c>
      <c r="BV145" s="114">
        <f>'Filter-new'!Q147</f>
        <v>-97.554437499999992</v>
      </c>
      <c r="BW145" s="62">
        <f>'price-old'!P26</f>
        <v>33</v>
      </c>
      <c r="BX145" s="115">
        <f>'price-new'!Q26</f>
        <v>23.85</v>
      </c>
      <c r="BY145" s="114">
        <f>'Filter-new'!Q636</f>
        <v>0</v>
      </c>
      <c r="BZ145" s="115"/>
      <c r="CA145" s="114">
        <f>'Filter-old'!R147</f>
        <v>0</v>
      </c>
      <c r="CB145" s="114">
        <f>'Filter-new'!R147</f>
        <v>0</v>
      </c>
      <c r="CC145" s="61">
        <f>'price-old'!Q26</f>
        <v>34.25</v>
      </c>
      <c r="CD145" s="115">
        <f>'price-new'!R26</f>
        <v>26.75</v>
      </c>
      <c r="CE145" s="114">
        <f>'Filter-new'!R636</f>
        <v>0</v>
      </c>
      <c r="CF145" s="147"/>
      <c r="CG145" s="51"/>
    </row>
    <row r="146" spans="1:85" s="192" customFormat="1" ht="13.5" thickBot="1" x14ac:dyDescent="0.25">
      <c r="A146" s="192">
        <v>1</v>
      </c>
      <c r="B146" s="193" t="s">
        <v>141</v>
      </c>
      <c r="C146" s="148">
        <f>'Filter-new'!C26</f>
        <v>37591</v>
      </c>
      <c r="D146" s="149"/>
      <c r="E146" s="149"/>
      <c r="F146" s="149"/>
      <c r="G146" s="150">
        <f t="shared" si="17"/>
        <v>-278.68627976190476</v>
      </c>
      <c r="H146" s="194">
        <f>SUM(L146,AB146,AP146,R146,AX146,X146,BD146,AJ146,BJ146,BR146,AF146,BV146,CB146,BN146)</f>
        <v>2014.7384549473777</v>
      </c>
      <c r="I146" s="194">
        <f>O146+U146+AM146+BA146+BY146+CE146</f>
        <v>-230.08439368655263</v>
      </c>
      <c r="J146" s="151"/>
      <c r="K146" s="174">
        <f>'Filter-old'!E148</f>
        <v>-350.79095238095238</v>
      </c>
      <c r="L146" s="194">
        <f>AVERAGE('Filter-new'!E146:E148)-AB146</f>
        <v>-764.71600877760523</v>
      </c>
      <c r="M146" s="152">
        <f>'price-old'!E27</f>
        <v>32.603123426437378</v>
      </c>
      <c r="N146" s="195">
        <f>('price-new'!E25*31+'price-new'!E26*30+'price-new'!E27*31)/92</f>
        <v>25.2</v>
      </c>
      <c r="O146" s="464">
        <f>AVERAGE('Filter-new'!E635:E637)</f>
        <v>-182.72274440272562</v>
      </c>
      <c r="P146" s="252">
        <f>(VLOOKUP(37591,[1]Offpeak_Forward!$A$1:$AG$231,13,FALSE)*31+VLOOKUP(37561,[1]Offpeak_Forward!$A$1:$AG$231,13,FALSE)*30+VLOOKUP(37530,[1]Offpeak_Forward!$A$1:$AG$231,13,FALSE)*31)/92</f>
        <v>17.990812529688309</v>
      </c>
      <c r="Q146" s="174">
        <f>'Filter-old'!H148</f>
        <v>-300</v>
      </c>
      <c r="R146" s="194">
        <f>AVERAGE('Filter-new'!H146:H148)</f>
        <v>250</v>
      </c>
      <c r="S146" s="152">
        <f>'price-old'!H27</f>
        <v>33.404994964599609</v>
      </c>
      <c r="T146" s="195">
        <f>('price-new'!H25*31+'price-new'!H26*30+'price-new'!H27*31)/92</f>
        <v>23.324999999999999</v>
      </c>
      <c r="U146" s="194">
        <f>AVERAGE('Filter-new'!H635:H637)</f>
        <v>-85.474064803226256</v>
      </c>
      <c r="V146" s="252">
        <f>(VLOOKUP(37591,[1]Offpeak_Forward!$A$1:$AG$231,14,FALSE)*31+VLOOKUP(37561,[1]Offpeak_Forward!$A$1:$AG$231,14,FALSE)*30+VLOOKUP(37530,[1]Offpeak_Forward!$A$1:$AG$231,14,FALSE)*31)/92</f>
        <v>16.493061988250044</v>
      </c>
      <c r="W146" s="174">
        <f>'Filter-old'!J148</f>
        <v>0</v>
      </c>
      <c r="X146" s="194">
        <f>'Filter-new'!J148</f>
        <v>0</v>
      </c>
      <c r="Y146" s="152">
        <f>'price-old'!J27</f>
        <v>35.202301025390625</v>
      </c>
      <c r="Z146" s="195">
        <f>('price-new'!J25*31+'price-new'!J26*30+'price-new'!J27*31)/92</f>
        <v>25.45</v>
      </c>
      <c r="AA146" s="174">
        <f>'Filter-old'!F148</f>
        <v>0</v>
      </c>
      <c r="AB146" s="194">
        <v>150</v>
      </c>
      <c r="AC146" s="152">
        <f>'price-old'!F27</f>
        <v>32.603123426437378</v>
      </c>
      <c r="AD146" s="195">
        <f>('price-new'!F25*31+'price-new'!F26*30+'price-new'!F27*31)/92</f>
        <v>25.45</v>
      </c>
      <c r="AE146" s="174">
        <f>'Filter-old'!P148</f>
        <v>0</v>
      </c>
      <c r="AF146" s="194">
        <f>AVERAGE('Filter-new'!P146:P148)</f>
        <v>0</v>
      </c>
      <c r="AG146" s="152">
        <f>'price-old'!O27</f>
        <v>31.854995727539063</v>
      </c>
      <c r="AH146" s="195">
        <f>('price-new'!P25*31+'price-new'!P26*30+'price-new'!P27*31)/92</f>
        <v>25.95</v>
      </c>
      <c r="AI146" s="174">
        <f>'Filter-old'!L148</f>
        <v>0</v>
      </c>
      <c r="AJ146" s="194">
        <f>AVERAGE('Filter-new'!L146:L148)</f>
        <v>27</v>
      </c>
      <c r="AK146" s="152">
        <f>'price-old'!L27</f>
        <v>56</v>
      </c>
      <c r="AL146" s="195">
        <f>('price-new'!L25*31+'price-new'!L26*30+'price-new'!L27*31)/92</f>
        <v>27.15</v>
      </c>
      <c r="AM146" s="194">
        <f>AVERAGE('Filter-new'!L635:L637)</f>
        <v>27.401526908635791</v>
      </c>
      <c r="AN146" s="252">
        <f>(VLOOKUP(37591,[1]Offpeak_Forward!$A$1:$AG$231,18,FALSE)*31+VLOOKUP(37561,[1]Offpeak_Forward!$A$1:$AG$231,18,FALSE)*30+VLOOKUP(37530,[1]Offpeak_Forward!$A$1:$AG$231,18,FALSE)*31)/92</f>
        <v>20.974192619323738</v>
      </c>
      <c r="AO146" s="174">
        <f>'Filter-old'!G148</f>
        <v>0</v>
      </c>
      <c r="AP146" s="194">
        <f>'Filter-new'!G148</f>
        <v>0</v>
      </c>
      <c r="AQ146" s="152">
        <f>'price-old'!G27</f>
        <v>33.999996185302734</v>
      </c>
      <c r="AR146" s="195">
        <f>('price-new'!G25*31+'price-new'!G26*30+'price-new'!G27*31)/92</f>
        <v>26.001739130434785</v>
      </c>
      <c r="AS146" s="174"/>
      <c r="AT146" s="194">
        <f>AX146+BD146+BJ146+BR146+BV146+CB146+BN146</f>
        <v>2352.4544637249828</v>
      </c>
      <c r="AU146" s="152"/>
      <c r="AV146" s="194">
        <f>BA146+BY146+CE146</f>
        <v>10.710888610763453</v>
      </c>
      <c r="AW146" s="291">
        <f>'Filter-old'!I148</f>
        <v>0</v>
      </c>
      <c r="AX146" s="370">
        <f>AVERAGE('Filter-new'!I146:I148)</f>
        <v>0</v>
      </c>
      <c r="AY146" s="152">
        <f>'price-old'!I27</f>
        <v>33</v>
      </c>
      <c r="AZ146" s="195">
        <f>('price-new'!I25*31+'price-new'!I26*30+'price-new'!I27*31)/92</f>
        <v>24.26</v>
      </c>
      <c r="BA146" s="194">
        <f>AVERAGE('Filter-new'!I635:I637)</f>
        <v>2.7043526630510351</v>
      </c>
      <c r="BB146" s="376">
        <f>(VLOOKUP(37591,[1]Offpeak_Forward!$A$1:$AG$231,15,FALSE)*31+VLOOKUP(37561,[1]Offpeak_Forward!$A$1:$AG$231,15,FALSE)*30+VLOOKUP(37530,[1]Offpeak_Forward!$A$1:$AG$231,15,FALSE)*31)/92</f>
        <v>17.986090660095215</v>
      </c>
      <c r="BC146" s="291">
        <f>'Filter-old'!K148</f>
        <v>0</v>
      </c>
      <c r="BD146" s="194">
        <f>AVERAGE('Filter-new'!K146:K148)</f>
        <v>500</v>
      </c>
      <c r="BE146" s="152">
        <f>'price-old'!K27</f>
        <v>44.75</v>
      </c>
      <c r="BF146" s="195">
        <f>('price-new'!K25*31+'price-new'!K26*30+'price-new'!K27*31)/92</f>
        <v>33</v>
      </c>
      <c r="BG146" s="174">
        <f>'Filter-old'!M148</f>
        <v>0</v>
      </c>
      <c r="BH146" s="194">
        <f>AVERAGE('Filter-new'!K635:K637)</f>
        <v>-69.460992907801412</v>
      </c>
      <c r="BI146" s="376">
        <f>(VLOOKUP(37591,[1]Offpeak_Forward!$A$1:$AG$231,2,FALSE)*31+VLOOKUP(37561,[1]Offpeak_Forward!$A$1:$AG$231,2,FALSE)*30+VLOOKUP(37530,[1]Offpeak_Forward!$A$1:$AG$231,2,FALSE)*31)/92</f>
        <v>24.45371646466463</v>
      </c>
      <c r="BJ146" s="194">
        <f>AVERAGE('Filter-new'!M146:M148)</f>
        <v>500</v>
      </c>
      <c r="BK146" s="152">
        <f>'price-old'!M27</f>
        <v>34.25</v>
      </c>
      <c r="BL146" s="195">
        <f>('price-new'!M25*31+'price-new'!M26*30+'price-new'!M27*31)/92</f>
        <v>27.25</v>
      </c>
      <c r="BM146" s="252"/>
      <c r="BN146" s="489">
        <f>AVERAGE('Filter-new'!N146:N148)</f>
        <v>600</v>
      </c>
      <c r="BO146" s="252"/>
      <c r="BP146" s="252">
        <f>('price-new'!N25*31+'price-new'!N26*30+'price-new'!N27*31)/92</f>
        <v>34.5</v>
      </c>
      <c r="BQ146" s="174">
        <f>'Filter-old'!O148</f>
        <v>0</v>
      </c>
      <c r="BR146" s="194">
        <f>AVERAGE('Filter-new'!O146:O148)</f>
        <v>850</v>
      </c>
      <c r="BS146" s="152">
        <f>'price-old'!N27</f>
        <v>34.75</v>
      </c>
      <c r="BT146" s="195">
        <f>('price-new'!O25*31+'price-new'!O26*30+'price-new'!O27*31)/92</f>
        <v>26.25</v>
      </c>
      <c r="BU146" s="174">
        <f>'Filter-old'!Q148</f>
        <v>372.10467261904762</v>
      </c>
      <c r="BV146" s="194">
        <f>AVERAGE('Filter-new'!Q146:Q148)</f>
        <v>-97.545536275017255</v>
      </c>
      <c r="BW146" s="154">
        <f>'price-old'!P27</f>
        <v>33</v>
      </c>
      <c r="BX146" s="195">
        <f>('price-new'!Q25*31+'price-new'!Q26*30+'price-new'!Q27*31)/92</f>
        <v>23.849999999999998</v>
      </c>
      <c r="BY146" s="194">
        <f>AVERAGE('Filter-new'!Q635:Q637)</f>
        <v>-8.0065359477124183</v>
      </c>
      <c r="BZ146" s="252">
        <f>(VLOOKUP(37591,[1]Offpeak_Forward!$A$1:$AG$231,22,FALSE)*31+VLOOKUP(37561,[1]Offpeak_Forward!$A$1:$AG$231,22,FALSE)*30+VLOOKUP(37530,[1]Offpeak_Forward!$A$1:$AG$231,22,FALSE)*31)/92</f>
        <v>15.996611481127527</v>
      </c>
      <c r="CA146" s="174">
        <f>'Filter-old'!R148</f>
        <v>0</v>
      </c>
      <c r="CB146" s="194">
        <f>AVERAGE('Filter-new'!R146:R148)</f>
        <v>0</v>
      </c>
      <c r="CC146" s="153">
        <f>'price-old'!Q27</f>
        <v>34.25</v>
      </c>
      <c r="CD146" s="195">
        <f>('price-new'!R25*31+'price-new'!R26*30+'price-new'!R27*31)/92</f>
        <v>26.75</v>
      </c>
      <c r="CE146" s="194">
        <f>AVERAGE('Filter-new'!R635:R637)</f>
        <v>16.013071895424837</v>
      </c>
      <c r="CF146" s="196">
        <f>(VLOOKUP(37591,[1]Offpeak_Forward!$A$1:$AG$231,6,FALSE)*31+VLOOKUP(37561,[1]Offpeak_Forward!$A$1:$AG$231,6,FALSE)*30+VLOOKUP(37530,[1]Offpeak_Forward!$A$1:$AG$231,6,FALSE)*31)/92</f>
        <v>18.857739137566604</v>
      </c>
      <c r="CG146" s="197"/>
    </row>
    <row r="147" spans="1:85" s="131" customFormat="1" ht="8.1" customHeight="1" thickBot="1" x14ac:dyDescent="0.25">
      <c r="A147" s="131">
        <v>1</v>
      </c>
      <c r="B147" s="133"/>
      <c r="C147" s="133"/>
      <c r="D147" s="74"/>
      <c r="E147" s="74"/>
      <c r="F147" s="74"/>
      <c r="G147" s="134"/>
      <c r="H147" s="134"/>
      <c r="I147" s="298"/>
      <c r="J147" s="132"/>
      <c r="K147" s="134"/>
      <c r="L147" s="179"/>
      <c r="M147" s="87"/>
      <c r="N147" s="135"/>
      <c r="O147" s="469"/>
      <c r="P147" s="135"/>
      <c r="Q147" s="134"/>
      <c r="R147" s="179"/>
      <c r="S147" s="87"/>
      <c r="T147" s="135"/>
      <c r="U147" s="134"/>
      <c r="V147" s="135"/>
      <c r="W147" s="134"/>
      <c r="X147" s="179"/>
      <c r="Y147" s="87"/>
      <c r="Z147" s="135"/>
      <c r="AA147" s="134"/>
      <c r="AB147" s="179"/>
      <c r="AC147" s="87"/>
      <c r="AD147" s="135"/>
      <c r="AE147" s="134"/>
      <c r="AF147" s="179"/>
      <c r="AG147" s="87"/>
      <c r="AH147" s="135"/>
      <c r="AI147" s="134"/>
      <c r="AJ147" s="179"/>
      <c r="AK147" s="87"/>
      <c r="AL147" s="135"/>
      <c r="AM147" s="134"/>
      <c r="AN147" s="135"/>
      <c r="AO147" s="134"/>
      <c r="AP147" s="179"/>
      <c r="AQ147" s="87"/>
      <c r="AR147" s="135"/>
      <c r="AS147" s="134"/>
      <c r="AT147" s="179"/>
      <c r="AU147" s="87"/>
      <c r="AV147" s="179"/>
      <c r="AW147" s="134"/>
      <c r="AX147" s="371"/>
      <c r="AY147" s="87"/>
      <c r="AZ147" s="135"/>
      <c r="BA147" s="134"/>
      <c r="BB147" s="377"/>
      <c r="BC147" s="134"/>
      <c r="BD147" s="179"/>
      <c r="BE147" s="87"/>
      <c r="BF147" s="135"/>
      <c r="BG147" s="134"/>
      <c r="BH147" s="134"/>
      <c r="BI147" s="134"/>
      <c r="BJ147" s="179"/>
      <c r="BK147" s="87"/>
      <c r="BL147" s="135"/>
      <c r="BM147" s="135"/>
      <c r="BN147" s="469"/>
      <c r="BO147" s="135"/>
      <c r="BP147" s="135"/>
      <c r="BQ147" s="134"/>
      <c r="BR147" s="179"/>
      <c r="BS147" s="87"/>
      <c r="BT147" s="135"/>
      <c r="BU147" s="134"/>
      <c r="BV147" s="179"/>
      <c r="BW147" s="87"/>
      <c r="BX147" s="135"/>
      <c r="BY147" s="134"/>
      <c r="BZ147" s="135"/>
      <c r="CA147" s="134"/>
      <c r="CB147" s="179"/>
      <c r="CC147" s="76"/>
      <c r="CD147" s="135"/>
      <c r="CE147" s="179"/>
      <c r="CF147" s="135"/>
      <c r="CG147" s="132"/>
    </row>
    <row r="148" spans="1:85" s="182" customFormat="1" x14ac:dyDescent="0.2">
      <c r="A148" s="182">
        <v>1</v>
      </c>
      <c r="B148" s="183" t="s">
        <v>142</v>
      </c>
      <c r="C148" s="155">
        <f>'Filter-new'!C27</f>
        <v>37622</v>
      </c>
      <c r="D148" s="156"/>
      <c r="E148" s="156"/>
      <c r="F148" s="156"/>
      <c r="G148" s="157">
        <f t="shared" ref="G148:G159" si="18">SUM(K148,AA148,AO148,Q148,AW148,W148,BC148,AI148,BG148,BQ148,AE148,BU148,CA148)</f>
        <v>-713.89639204545438</v>
      </c>
      <c r="H148" s="184">
        <f>SUM(L148,AB148,AP148,R148,AX148,X148,BD148,AJ148,BJ148,BR148,AF148,BV148,CB148,BN148)</f>
        <v>-1136.4533167613636</v>
      </c>
      <c r="I148" s="184">
        <f>O148+U148+AM148+BA148+BY148+CE148</f>
        <v>-357.70292207792215</v>
      </c>
      <c r="J148" s="158"/>
      <c r="K148" s="175">
        <f>'Filter-old'!E149</f>
        <v>-580.58215909090916</v>
      </c>
      <c r="L148" s="184">
        <f>AVERAGE('Filter-new'!E149:E150)</f>
        <v>-558.69452130681816</v>
      </c>
      <c r="M148" s="159">
        <f>'price-old'!E28</f>
        <v>35.781435285295757</v>
      </c>
      <c r="N148" s="185">
        <f>('price-new'!E28*31+'price-new'!E29*28)/59</f>
        <v>28.195254237288136</v>
      </c>
      <c r="O148" s="466">
        <f>AVERAGE('Filter-new'!E638:E639)</f>
        <v>-256.90746753246754</v>
      </c>
      <c r="P148" s="249">
        <f>(VLOOKUP(37622,[1]Offpeak_Forward!$A$1:$AG$231,13,FALSE)*31+VLOOKUP(37653,[1]Offpeak_Forward!$A$1:$AG$231,13,FALSE)*28)/59</f>
        <v>22.104008302850232</v>
      </c>
      <c r="Q148" s="175">
        <f>'Filter-old'!H149</f>
        <v>-500</v>
      </c>
      <c r="R148" s="184">
        <f>AVERAGE('Filter-new'!H149:H150)</f>
        <v>-950</v>
      </c>
      <c r="S148" s="158">
        <f>'price-old'!H28</f>
        <v>34.20086669921875</v>
      </c>
      <c r="T148" s="185">
        <f>('price-new'!H28*31+'price-new'!H29*28)/59</f>
        <v>25.745254237288137</v>
      </c>
      <c r="U148" s="184">
        <f>AVERAGE('Filter-new'!H638:H639)</f>
        <v>-51.426252319109466</v>
      </c>
      <c r="V148" s="249">
        <f>(VLOOKUP(37622,[1]Offpeak_Forward!$A$1:$AG$231,14,FALSE)*31+VLOOKUP(37653,[1]Offpeak_Forward!$A$1:$AG$231,14,FALSE)*28)/59</f>
        <v>20.993783659854177</v>
      </c>
      <c r="W148" s="175">
        <f>'Filter-old'!J149</f>
        <v>0</v>
      </c>
      <c r="X148" s="184">
        <f>'Filter-new'!J149</f>
        <v>0</v>
      </c>
      <c r="Y148" s="158">
        <f>'price-old'!J28</f>
        <v>46.678840637207031</v>
      </c>
      <c r="Z148" s="185">
        <f>('price-new'!J28*31+'price-new'!J29*28)/59</f>
        <v>28.695254237288136</v>
      </c>
      <c r="AA148" s="175">
        <f>'Filter-old'!F149</f>
        <v>0</v>
      </c>
      <c r="AB148" s="184">
        <f>AVERAGE('Filter-new'!F149:F150)</f>
        <v>0</v>
      </c>
      <c r="AC148" s="158">
        <f>'price-old'!F28</f>
        <v>35.781435285295757</v>
      </c>
      <c r="AD148" s="185">
        <f>('price-new'!F28*31+'price-new'!F29*28)/59</f>
        <v>28.695254237288136</v>
      </c>
      <c r="AE148" s="175">
        <f>'Filter-old'!P149</f>
        <v>0</v>
      </c>
      <c r="AF148" s="184">
        <f>AVERAGE('Filter-new'!P149:P150)</f>
        <v>0</v>
      </c>
      <c r="AG148" s="158">
        <f>'price-old'!O28</f>
        <v>34.662864685058594</v>
      </c>
      <c r="AH148" s="185">
        <f>('price-new'!P28*31+'price-new'!P29*28)/59</f>
        <v>29.695762711864408</v>
      </c>
      <c r="AI148" s="175">
        <f>'Filter-old'!L149</f>
        <v>0</v>
      </c>
      <c r="AJ148" s="184">
        <f>AVERAGE('Filter-new'!L149:L150)</f>
        <v>27</v>
      </c>
      <c r="AK148" s="158">
        <f>'price-old'!L28</f>
        <v>65</v>
      </c>
      <c r="AL148" s="185">
        <f>('price-new'!L28*31+'price-new'!L29*28)/59</f>
        <v>31.425254237288133</v>
      </c>
      <c r="AM148" s="184">
        <f>AVERAGE('Filter-new'!L638:L639)</f>
        <v>27.770176252319111</v>
      </c>
      <c r="AN148" s="249">
        <f>(VLOOKUP(37622,[1]Offpeak_Forward!$A$1:$AG$231,18,FALSE)*31+VLOOKUP(37653,[1]Offpeak_Forward!$A$1:$AG$231,18,FALSE)*28)/59</f>
        <v>25.364896903603746</v>
      </c>
      <c r="AO148" s="175">
        <f>'Filter-old'!G149</f>
        <v>0</v>
      </c>
      <c r="AP148" s="184">
        <f>'Filter-new'!G149</f>
        <v>0</v>
      </c>
      <c r="AQ148" s="158">
        <f>'price-old'!G28</f>
        <v>39.969999694824217</v>
      </c>
      <c r="AR148" s="185">
        <f>('price-new'!G28*31+'price-new'!G29*28)/59</f>
        <v>27.824237288135595</v>
      </c>
      <c r="AS148" s="175"/>
      <c r="AT148" s="184">
        <f>AX148+BD148+BJ148+BR148+BV148+CB148+BN148</f>
        <v>345.24120454545454</v>
      </c>
      <c r="AU148" s="287"/>
      <c r="AV148" s="184">
        <f>BA148+BY148+CE148</f>
        <v>-77.139378478664213</v>
      </c>
      <c r="AW148" s="292">
        <f>'Filter-old'!I149</f>
        <v>0</v>
      </c>
      <c r="AX148" s="372">
        <f>AVERAGE('Filter-new'!I149:I150)</f>
        <v>-50</v>
      </c>
      <c r="AY148" s="359">
        <f>'price-old'!I28</f>
        <v>34.754997253417969</v>
      </c>
      <c r="AZ148" s="185">
        <f>('price-new'!I28*31+'price-new'!I29*28)/59</f>
        <v>27.695254237288136</v>
      </c>
      <c r="BA148" s="184">
        <f>AVERAGE('Filter-new'!I638:I639)</f>
        <v>-102.85250463821893</v>
      </c>
      <c r="BB148" s="378">
        <f>(VLOOKUP(37622,[1]Offpeak_Forward!$A$1:$AG$231,15,FALSE)*31+VLOOKUP(37653,[1]Offpeak_Forward!$A$1:$AG$231,15,FALSE)*28)/59</f>
        <v>22.103787115064701</v>
      </c>
      <c r="BC148" s="292">
        <f>'Filter-old'!K149</f>
        <v>0</v>
      </c>
      <c r="BD148" s="184">
        <f>AVERAGE('Filter-new'!K149:K150)</f>
        <v>-50</v>
      </c>
      <c r="BE148" s="158">
        <f>'price-old'!K28</f>
        <v>53.5</v>
      </c>
      <c r="BF148" s="185">
        <f>('price-new'!K28*31+'price-new'!K29*28)/59</f>
        <v>37.75</v>
      </c>
      <c r="BG148" s="175">
        <f>'Filter-old'!M149</f>
        <v>0</v>
      </c>
      <c r="BH148" s="184">
        <f>AVERAGE('Filter-new'!K638:K639)</f>
        <v>0</v>
      </c>
      <c r="BI148" s="378">
        <f>(VLOOKUP(37622,[1]Offpeak_Forward!$A$1:$AG$231,2,FALSE)*31+VLOOKUP(37653,[1]Offpeak_Forward!$A$1:$AG$231,2,FALSE)*28)/59</f>
        <v>29.391633664147307</v>
      </c>
      <c r="BJ148" s="184">
        <f>AVERAGE('Filter-new'!M149:M150)</f>
        <v>250</v>
      </c>
      <c r="BK148" s="158">
        <f>'price-old'!M28</f>
        <v>39</v>
      </c>
      <c r="BL148" s="185">
        <f>('price-new'!M28*31+'price-new'!M29*28)/59</f>
        <v>30.75</v>
      </c>
      <c r="BM148" s="249"/>
      <c r="BN148" s="490">
        <f>AVERAGE('Filter-new'!N149:N150)</f>
        <v>0</v>
      </c>
      <c r="BO148" s="249"/>
      <c r="BP148" s="249">
        <f>('price-new'!N28*31+'price-new'!N29*28)/59</f>
        <v>38.5</v>
      </c>
      <c r="BQ148" s="175">
        <f>'Filter-old'!O149</f>
        <v>0</v>
      </c>
      <c r="BR148" s="184">
        <f>AVERAGE('Filter-new'!O149:O150)</f>
        <v>50</v>
      </c>
      <c r="BS148" s="158">
        <f>'price-old'!N28</f>
        <v>38.004997253417969</v>
      </c>
      <c r="BT148" s="185">
        <f>('price-new'!O28*31+'price-new'!O29*28)/59</f>
        <v>28.35</v>
      </c>
      <c r="BU148" s="175">
        <f>'Filter-old'!Q149</f>
        <v>416.68576704545461</v>
      </c>
      <c r="BV148" s="184">
        <f>AVERAGE('Filter-new'!Q149:Q150)</f>
        <v>145.24120454545454</v>
      </c>
      <c r="BW148" s="158">
        <f>'price-old'!P28</f>
        <v>35</v>
      </c>
      <c r="BX148" s="185">
        <f>('price-new'!Q28*31+'price-new'!Q29*28)/59</f>
        <v>26.551000000000002</v>
      </c>
      <c r="BY148" s="184">
        <f>AVERAGE('Filter-new'!Q638:Q639)</f>
        <v>-25.713126159554733</v>
      </c>
      <c r="BZ148" s="249">
        <f>(VLOOKUP(37622,[1]Offpeak_Forward!$A$1:$AG$231,22,FALSE)*31+VLOOKUP(37653,[1]Offpeak_Forward!$A$1:$AG$231,22,FALSE)*28)/59</f>
        <v>16.168686236365389</v>
      </c>
      <c r="CA148" s="175">
        <f>'Filter-old'!R149</f>
        <v>-50</v>
      </c>
      <c r="CB148" s="184">
        <f>AVERAGE('Filter-new'!R149:R150)</f>
        <v>0</v>
      </c>
      <c r="CC148" s="160">
        <f>'price-old'!Q28</f>
        <v>39</v>
      </c>
      <c r="CD148" s="185">
        <f>('price-new'!R28*31+'price-new'!R29*28)/59</f>
        <v>30.5</v>
      </c>
      <c r="CE148" s="184">
        <f>AVERAGE('Filter-new'!R638:R639)</f>
        <v>51.426252319109466</v>
      </c>
      <c r="CF148" s="186">
        <f>(VLOOKUP(37622,[1]Offpeak_Forward!$A$1:$AG$231,6,FALSE)*31+VLOOKUP(37653,[1]Offpeak_Forward!$A$1:$AG$231,6,FALSE)*28)/59</f>
        <v>21.425033537008026</v>
      </c>
      <c r="CG148" s="187"/>
    </row>
    <row r="149" spans="1:85" s="52" customFormat="1" hidden="1" x14ac:dyDescent="0.2">
      <c r="A149" s="52">
        <v>0</v>
      </c>
      <c r="B149" s="161">
        <v>37653</v>
      </c>
      <c r="C149" s="161">
        <f>'Filter-new'!C28</f>
        <v>37653</v>
      </c>
      <c r="D149" s="74"/>
      <c r="E149" s="74"/>
      <c r="F149" s="74"/>
      <c r="G149" s="129">
        <f t="shared" si="18"/>
        <v>-713.20553124999992</v>
      </c>
      <c r="H149" s="129">
        <f>SUM(L149,AB149,AP149,R149,AX149,X149,BD149,AJ149,BJ149,BR149,AF149,BV149,CB149)</f>
        <v>-1135.8501562499998</v>
      </c>
      <c r="I149" s="298"/>
      <c r="J149" s="98"/>
      <c r="K149" s="129">
        <f>'Filter-old'!E150</f>
        <v>-578.13481250000007</v>
      </c>
      <c r="L149" s="129">
        <f>'Filter-new'!E150</f>
        <v>-557.87946875</v>
      </c>
      <c r="M149" s="87">
        <f>'price-old'!E29</f>
        <v>35.181432996477398</v>
      </c>
      <c r="N149" s="130">
        <f>'price-new'!E29</f>
        <v>27.88</v>
      </c>
      <c r="O149" s="436">
        <f>'Filter-new'!E639</f>
        <v>-290.38636363636363</v>
      </c>
      <c r="P149" s="130">
        <f>VLOOKUP(37165,[1]Offpeak_Forward!$A$1:$AG$231,13,FALSE)</f>
        <v>15.084918975830099</v>
      </c>
      <c r="Q149" s="129">
        <f>'Filter-old'!H150</f>
        <v>-500</v>
      </c>
      <c r="R149" s="129">
        <f>'Filter-new'!H150</f>
        <v>-950</v>
      </c>
      <c r="S149" s="98">
        <f>'price-old'!H29</f>
        <v>35.352863311767578</v>
      </c>
      <c r="T149" s="130">
        <f>'price-new'!H29</f>
        <v>25.43</v>
      </c>
      <c r="U149" s="436">
        <f>'Filter-new'!H639</f>
        <v>-57.954545454545453</v>
      </c>
      <c r="V149" s="130"/>
      <c r="W149" s="129">
        <f>'Filter-old'!J150</f>
        <v>0</v>
      </c>
      <c r="X149" s="129">
        <f>'Filter-new'!J150</f>
        <v>0</v>
      </c>
      <c r="Y149" s="98">
        <f>'price-old'!J29</f>
        <v>44.178840637207031</v>
      </c>
      <c r="Z149" s="130">
        <f>'price-new'!J29</f>
        <v>28.38</v>
      </c>
      <c r="AA149" s="129">
        <f>'Filter-old'!F150</f>
        <v>0</v>
      </c>
      <c r="AB149" s="129">
        <f>'Filter-new'!F150</f>
        <v>0</v>
      </c>
      <c r="AC149" s="98">
        <f>'price-old'!F29</f>
        <v>35.181432996477398</v>
      </c>
      <c r="AD149" s="130">
        <f>'price-new'!F29</f>
        <v>28.38</v>
      </c>
      <c r="AE149" s="129">
        <f>'Filter-old'!P150</f>
        <v>0</v>
      </c>
      <c r="AF149" s="129">
        <f>'Filter-new'!P150</f>
        <v>0</v>
      </c>
      <c r="AG149" s="98">
        <f>'price-old'!O29</f>
        <v>34.062862396240234</v>
      </c>
      <c r="AH149" s="130">
        <f>'price-new'!P29</f>
        <v>30.3</v>
      </c>
      <c r="AI149" s="129">
        <f>'Filter-old'!L150</f>
        <v>0</v>
      </c>
      <c r="AJ149" s="129">
        <f>'Filter-new'!L150</f>
        <v>27</v>
      </c>
      <c r="AK149" s="98">
        <f>'price-old'!L29</f>
        <v>65</v>
      </c>
      <c r="AL149" s="130">
        <f>'price-new'!L29</f>
        <v>31.11</v>
      </c>
      <c r="AM149" s="129">
        <f>'Filter-new'!L639</f>
        <v>31.295454545454547</v>
      </c>
      <c r="AN149" s="130"/>
      <c r="AO149" s="129">
        <f>'Filter-old'!G150</f>
        <v>0</v>
      </c>
      <c r="AP149" s="129">
        <f>'Filter-new'!G150</f>
        <v>0</v>
      </c>
      <c r="AQ149" s="98">
        <f>'price-old'!G29</f>
        <v>38.819994354248045</v>
      </c>
      <c r="AR149" s="130">
        <f>'price-new'!G29</f>
        <v>27.22</v>
      </c>
      <c r="AS149" s="129"/>
      <c r="AT149" s="129"/>
      <c r="AU149" s="98"/>
      <c r="AV149" s="298"/>
      <c r="AW149" s="129">
        <f>'Filter-old'!I150</f>
        <v>0</v>
      </c>
      <c r="AX149" s="129">
        <f>'Filter-new'!I150</f>
        <v>-50</v>
      </c>
      <c r="AY149" s="98">
        <f>'price-old'!I29</f>
        <v>34.750003814697266</v>
      </c>
      <c r="AZ149" s="130">
        <f>'price-new'!I29</f>
        <v>27.38</v>
      </c>
      <c r="BA149" s="129">
        <f>'Filter-new'!I639</f>
        <v>-115.90909090909091</v>
      </c>
      <c r="BB149" s="130"/>
      <c r="BC149" s="129">
        <f>'Filter-old'!K150</f>
        <v>0</v>
      </c>
      <c r="BD149" s="129">
        <f>'Filter-new'!K150</f>
        <v>-50</v>
      </c>
      <c r="BE149" s="98">
        <f>'price-old'!K29</f>
        <v>53.5</v>
      </c>
      <c r="BF149" s="130">
        <f>'price-new'!K29</f>
        <v>37.75</v>
      </c>
      <c r="BG149" s="129">
        <f>'Filter-old'!M150</f>
        <v>0</v>
      </c>
      <c r="BH149" s="129"/>
      <c r="BI149" s="129"/>
      <c r="BJ149" s="129">
        <f>'Filter-new'!M150</f>
        <v>250</v>
      </c>
      <c r="BK149" s="98">
        <f>'price-old'!M29</f>
        <v>39</v>
      </c>
      <c r="BL149" s="130">
        <f>'price-new'!M29</f>
        <v>30.75</v>
      </c>
      <c r="BM149" s="130"/>
      <c r="BN149" s="413">
        <f>'Filter-new'!N150</f>
        <v>0</v>
      </c>
      <c r="BO149" s="130"/>
      <c r="BP149" s="130">
        <f>'price-new'!N29</f>
        <v>38.5</v>
      </c>
      <c r="BQ149" s="129">
        <f>'Filter-old'!O150</f>
        <v>0</v>
      </c>
      <c r="BR149" s="129">
        <f>'Filter-new'!O150</f>
        <v>50</v>
      </c>
      <c r="BS149" s="98">
        <f>'price-old'!N29</f>
        <v>38.000003814697266</v>
      </c>
      <c r="BT149" s="130">
        <f>'price-new'!O29</f>
        <v>28.35</v>
      </c>
      <c r="BU149" s="129">
        <f>'Filter-old'!Q150</f>
        <v>414.92928124999997</v>
      </c>
      <c r="BV149" s="129">
        <f>'Filter-new'!Q150</f>
        <v>145.0293125</v>
      </c>
      <c r="BW149" s="98">
        <f>'price-old'!P29</f>
        <v>35</v>
      </c>
      <c r="BX149" s="130">
        <f>'price-new'!Q29</f>
        <v>26.550999999999998</v>
      </c>
      <c r="BY149" s="129">
        <f>'Filter-new'!Q639</f>
        <v>-28.977272727272727</v>
      </c>
      <c r="BZ149" s="130"/>
      <c r="CA149" s="129">
        <f>'Filter-old'!R150</f>
        <v>-50</v>
      </c>
      <c r="CB149" s="129">
        <f>'Filter-new'!R150</f>
        <v>0</v>
      </c>
      <c r="CC149" s="61">
        <f>'price-old'!Q29</f>
        <v>39</v>
      </c>
      <c r="CD149" s="283">
        <f>'price-new'!R29</f>
        <v>30.5</v>
      </c>
      <c r="CE149" s="129">
        <f>'Filter-new'!R639</f>
        <v>57.954545454545453</v>
      </c>
      <c r="CF149" s="162"/>
      <c r="CG149" s="51"/>
    </row>
    <row r="150" spans="1:85" s="201" customFormat="1" x14ac:dyDescent="0.2">
      <c r="A150" s="201">
        <v>1</v>
      </c>
      <c r="B150" s="207" t="s">
        <v>143</v>
      </c>
      <c r="C150" s="163">
        <f>'Filter-new'!C29</f>
        <v>37681</v>
      </c>
      <c r="D150" s="74"/>
      <c r="E150" s="74"/>
      <c r="F150" s="74"/>
      <c r="G150" s="116">
        <f t="shared" si="18"/>
        <v>-712.44032738095245</v>
      </c>
      <c r="H150" s="208">
        <f>SUM(L150,AB150,AP150,R150,AX150,X150,BD150,AJ150,BJ150,BR150,AF150,BV150,CB150,BN148)</f>
        <v>-343.27413622835491</v>
      </c>
      <c r="I150" s="203">
        <f>O150+U150+AM150+BA150+BY150+CE150</f>
        <v>-354.49515132139817</v>
      </c>
      <c r="J150" s="98"/>
      <c r="K150" s="176">
        <f>'Filter-old'!E151</f>
        <v>-713.08550595238103</v>
      </c>
      <c r="L150" s="208">
        <f>AVERAGE('Filter-new'!E151:E152)</f>
        <v>-458.87436823593072</v>
      </c>
      <c r="M150" s="87">
        <f>'price-old'!E30</f>
        <v>32.895177264546241</v>
      </c>
      <c r="N150" s="209">
        <f>('price-new'!E30*31+'price-new'!E31*30)/61</f>
        <v>27.698360655737705</v>
      </c>
      <c r="O150" s="467">
        <f>AVERAGE('Filter-new'!E640:E641)</f>
        <v>-256.09308397271951</v>
      </c>
      <c r="P150" s="253">
        <f>(VLOOKUP(37681,[1]Offpeak_Forward!$A$1:$AG$231,13,FALSE)*31+VLOOKUP(37712,[1]Offpeak_Forward!$A$1:$AG$231,13,FALSE)*31)/61</f>
        <v>18.844202885862288</v>
      </c>
      <c r="Q150" s="176">
        <f>'Filter-old'!H151</f>
        <v>-500</v>
      </c>
      <c r="R150" s="208">
        <f>AVERAGE('Filter-new'!H151:H152)</f>
        <v>-750</v>
      </c>
      <c r="S150" s="98">
        <f>'price-old'!H30</f>
        <v>32.368545532226563</v>
      </c>
      <c r="T150" s="209">
        <f>('price-new'!H30*31+'price-new'!H31*30)/61</f>
        <v>26.448360655737705</v>
      </c>
      <c r="U150" s="208">
        <f>AVERAGE('Filter-new'!H640:H641)</f>
        <v>-50.205136402387041</v>
      </c>
      <c r="V150" s="253">
        <f>(VLOOKUP(37681,[1]Offpeak_Forward!$A$1:$AG$231,14,FALSE)*31+VLOOKUP(37712,[1]Offpeak_Forward!$A$1:$AG$231,14,FALSE)*31)/61</f>
        <v>17.72361364520966</v>
      </c>
      <c r="W150" s="176">
        <f>'Filter-old'!J151</f>
        <v>0</v>
      </c>
      <c r="X150" s="208">
        <f>'Filter-new'!J151</f>
        <v>0</v>
      </c>
      <c r="Y150" s="98">
        <f>'price-old'!J30</f>
        <v>39.296916961669922</v>
      </c>
      <c r="Z150" s="209">
        <f>('price-new'!J30*31+'price-new'!J31*30)/61</f>
        <v>28.448360655737705</v>
      </c>
      <c r="AA150" s="176">
        <f>'Filter-old'!F151</f>
        <v>0</v>
      </c>
      <c r="AB150" s="208">
        <f>AVERAGE('Filter-new'!F151:F152)</f>
        <v>0</v>
      </c>
      <c r="AC150" s="98">
        <f>'price-old'!F30</f>
        <v>32.895177264546241</v>
      </c>
      <c r="AD150" s="209">
        <f>('price-new'!F30*31+'price-new'!F31*30)/61</f>
        <v>28.448360655737705</v>
      </c>
      <c r="AE150" s="176">
        <f>'Filter-old'!P151</f>
        <v>0</v>
      </c>
      <c r="AF150" s="208">
        <f>AVERAGE('Filter-new'!P151:P152)</f>
        <v>0</v>
      </c>
      <c r="AG150" s="98">
        <f>'price-old'!O30</f>
        <v>32.398544311523438</v>
      </c>
      <c r="AH150" s="209">
        <f>('price-new'!P30*31+'price-new'!P31*30)/61</f>
        <v>29.692950819672131</v>
      </c>
      <c r="AI150" s="176">
        <f>'Filter-old'!L151</f>
        <v>0</v>
      </c>
      <c r="AJ150" s="208">
        <f>AVERAGE('Filter-new'!L151:L152)</f>
        <v>27</v>
      </c>
      <c r="AK150" s="98">
        <f>'price-old'!L30</f>
        <v>52</v>
      </c>
      <c r="AL150" s="209">
        <f>('price-new'!L30*31+'price-new'!L31*30)/61</f>
        <v>30.648360655737708</v>
      </c>
      <c r="AM150" s="208">
        <f>AVERAGE('Filter-new'!L640:L641)</f>
        <v>27.110773657289002</v>
      </c>
      <c r="AN150" s="253">
        <f>(VLOOKUP(37681,[1]Offpeak_Forward!$A$1:$AG$231,18,FALSE)*31+VLOOKUP(37712,[1]Offpeak_Forward!$A$1:$AG$231,18,FALSE)*31)/61</f>
        <v>22.135532910706534</v>
      </c>
      <c r="AO150" s="176">
        <f>'Filter-old'!G151</f>
        <v>0</v>
      </c>
      <c r="AP150" s="208">
        <f>'Filter-new'!G151</f>
        <v>0</v>
      </c>
      <c r="AQ150" s="98">
        <f>'price-old'!G30</f>
        <v>33.84999313354492</v>
      </c>
      <c r="AR150" s="209">
        <f>('price-new'!G30*31+'price-new'!G31*30)/61</f>
        <v>25.991573770491804</v>
      </c>
      <c r="AS150" s="176"/>
      <c r="AT150" s="208">
        <f>AX150+BD150+BJ150+BR150+BV150+CB150+BN150</f>
        <v>838.60023200757576</v>
      </c>
      <c r="AU150" s="288"/>
      <c r="AV150" s="203">
        <f>BA150+BY150+CE150</f>
        <v>-75.307704603580561</v>
      </c>
      <c r="AW150" s="293">
        <f>'Filter-old'!I151</f>
        <v>0</v>
      </c>
      <c r="AX150" s="379">
        <f>AVERAGE('Filter-new'!I151:I152)</f>
        <v>-50</v>
      </c>
      <c r="AY150" s="362">
        <f>'price-old'!I30</f>
        <v>33.5</v>
      </c>
      <c r="AZ150" s="209">
        <f>('price-new'!I30*31+'price-new'!I31*30)/61</f>
        <v>27.198360655737705</v>
      </c>
      <c r="BA150" s="208">
        <f>AVERAGE('Filter-new'!I640:I641)</f>
        <v>-100.41027280477408</v>
      </c>
      <c r="BB150" s="380">
        <f>(VLOOKUP(37681,[1]Offpeak_Forward!$A$1:$AG$231,15,FALSE)*31+VLOOKUP(37712,[1]Offpeak_Forward!$A$1:$AG$231,15,FALSE)*31)/61</f>
        <v>18.843973159790053</v>
      </c>
      <c r="BC150" s="293">
        <f>'Filter-old'!K151</f>
        <v>0</v>
      </c>
      <c r="BD150" s="208">
        <f>AVERAGE('Filter-new'!K151:K152)</f>
        <v>-50</v>
      </c>
      <c r="BE150" s="98">
        <f>'price-old'!K30</f>
        <v>42</v>
      </c>
      <c r="BF150" s="209">
        <f>('price-new'!K30*31+'price-new'!K31*30)/61</f>
        <v>33.5</v>
      </c>
      <c r="BG150" s="176">
        <f>'Filter-old'!M151</f>
        <v>0</v>
      </c>
      <c r="BH150" s="208">
        <f>AVERAGE('Filter-new'!K640:K641)</f>
        <v>0</v>
      </c>
      <c r="BI150" s="380">
        <f>(VLOOKUP(37681,[1]Offpeak_Forward!$A$1:$AG$231,2,FALSE)*31+VLOOKUP(37712,[1]Offpeak_Forward!$A$1:$AG$231,2,FALSE)*31)/61</f>
        <v>26.82370989439918</v>
      </c>
      <c r="BJ150" s="208">
        <f>AVERAGE('Filter-new'!M151:M152)</f>
        <v>250</v>
      </c>
      <c r="BK150" s="98">
        <f>'price-old'!M30</f>
        <v>35</v>
      </c>
      <c r="BL150" s="209">
        <f>('price-new'!M30*31+'price-new'!M31*30)/61</f>
        <v>28.5</v>
      </c>
      <c r="BM150" s="253"/>
      <c r="BN150" s="491">
        <f>AVERAGE('Filter-new'!N151:N152)</f>
        <v>0</v>
      </c>
      <c r="BO150" s="253"/>
      <c r="BP150" s="253">
        <f>('price-new'!N30*31+'price-new'!N31*30)/61</f>
        <v>36.5</v>
      </c>
      <c r="BQ150" s="176">
        <f>'Filter-old'!O151</f>
        <v>0</v>
      </c>
      <c r="BR150" s="208">
        <f>AVERAGE('Filter-new'!O151:O152)</f>
        <v>50</v>
      </c>
      <c r="BS150" s="98">
        <f>'price-old'!N30</f>
        <v>36.747505187988281</v>
      </c>
      <c r="BT150" s="209">
        <f>('price-new'!O30*31+'price-new'!O31*30)/61</f>
        <v>27.099999999999998</v>
      </c>
      <c r="BU150" s="176">
        <f>'Filter-old'!Q151</f>
        <v>550.64517857142857</v>
      </c>
      <c r="BV150" s="208">
        <f>AVERAGE('Filter-new'!Q151:Q152)</f>
        <v>288.60023200757576</v>
      </c>
      <c r="BW150" s="98">
        <f>'price-old'!P30</f>
        <v>30.900001525878906</v>
      </c>
      <c r="BX150" s="209">
        <f>('price-new'!Q30*31+'price-new'!Q31*30)/61</f>
        <v>25.401</v>
      </c>
      <c r="BY150" s="208">
        <f>AVERAGE('Filter-new'!Q640:Q641)</f>
        <v>-25.10256820119352</v>
      </c>
      <c r="BZ150" s="253">
        <f>(VLOOKUP(37681,[1]Offpeak_Forward!$A$1:$AG$231,22,FALSE)*31+VLOOKUP(37712,[1]Offpeak_Forward!$A$1:$AG$231,22,FALSE)*31)/61</f>
        <v>15.925524899216981</v>
      </c>
      <c r="CA150" s="176">
        <f>'Filter-old'!R151</f>
        <v>-50</v>
      </c>
      <c r="CB150" s="208">
        <f>AVERAGE('Filter-new'!R151:R152)</f>
        <v>350</v>
      </c>
      <c r="CC150" s="61">
        <f>'price-old'!Q30</f>
        <v>35</v>
      </c>
      <c r="CD150" s="204">
        <f>('price-new'!R30*31+'price-new'!R31*30)/61</f>
        <v>29</v>
      </c>
      <c r="CE150" s="208">
        <f>AVERAGE('Filter-new'!R640:R641)</f>
        <v>50.205136402387041</v>
      </c>
      <c r="CF150" s="205">
        <f>(VLOOKUP(37681,[1]Offpeak_Forward!$A$1:$AG$231,6,FALSE)*31+VLOOKUP(37712,[1]Offpeak_Forward!$A$1:$AG$231,6,FALSE)*31)/61</f>
        <v>19.402801701279973</v>
      </c>
      <c r="CG150" s="206"/>
    </row>
    <row r="151" spans="1:85" s="52" customFormat="1" hidden="1" x14ac:dyDescent="0.2">
      <c r="A151" s="52">
        <v>0</v>
      </c>
      <c r="B151" s="163">
        <v>37712</v>
      </c>
      <c r="C151" s="163">
        <f>'Filter-new'!C30</f>
        <v>37712</v>
      </c>
      <c r="D151" s="74"/>
      <c r="E151" s="74"/>
      <c r="F151" s="74"/>
      <c r="G151" s="116">
        <f t="shared" si="18"/>
        <v>-711.69559659090896</v>
      </c>
      <c r="H151" s="116">
        <f>SUM(L151,AB151,AP151,R151,AX151,X151,BD151,AJ151,BJ151,BR151,AF151,BV151,CB151)</f>
        <v>-342.98690340909093</v>
      </c>
      <c r="I151" s="298"/>
      <c r="J151" s="98"/>
      <c r="K151" s="116">
        <f>'Filter-old'!E152</f>
        <v>-709.81624999999997</v>
      </c>
      <c r="L151" s="116">
        <f>'Filter-new'!E152</f>
        <v>-458.10028409090904</v>
      </c>
      <c r="M151" s="87">
        <f>'price-old'!E31</f>
        <v>33.095178027485694</v>
      </c>
      <c r="N151" s="117">
        <f>'price-new'!E31</f>
        <v>27.8</v>
      </c>
      <c r="O151" s="437">
        <f>'Filter-new'!E641</f>
        <v>-289.17391304347825</v>
      </c>
      <c r="P151" s="117">
        <f>VLOOKUP(37165,[1]Offpeak_Forward!$A$1:$AG$231,13,FALSE)</f>
        <v>15.084918975830099</v>
      </c>
      <c r="Q151" s="116">
        <f>'Filter-old'!H152</f>
        <v>-500</v>
      </c>
      <c r="R151" s="116">
        <f>'Filter-new'!H152</f>
        <v>-750</v>
      </c>
      <c r="S151" s="98">
        <f>'price-old'!H31</f>
        <v>32.618545532226563</v>
      </c>
      <c r="T151" s="117">
        <f>'price-new'!H31</f>
        <v>26.55</v>
      </c>
      <c r="U151" s="437">
        <f>'Filter-new'!H641</f>
        <v>-55.434782608695649</v>
      </c>
      <c r="V151" s="117"/>
      <c r="W151" s="116">
        <f>'Filter-old'!J152</f>
        <v>0</v>
      </c>
      <c r="X151" s="116">
        <f>'Filter-new'!J152</f>
        <v>0</v>
      </c>
      <c r="Y151" s="98">
        <f>'price-old'!J31</f>
        <v>36.946914672851563</v>
      </c>
      <c r="Z151" s="117">
        <f>'price-new'!J31</f>
        <v>28.55</v>
      </c>
      <c r="AA151" s="116">
        <f>'Filter-old'!F152</f>
        <v>0</v>
      </c>
      <c r="AB151" s="116">
        <f>'Filter-new'!F152</f>
        <v>0</v>
      </c>
      <c r="AC151" s="98">
        <f>'price-old'!F31</f>
        <v>33.095178027485694</v>
      </c>
      <c r="AD151" s="117">
        <f>'price-new'!F31</f>
        <v>28.55</v>
      </c>
      <c r="AE151" s="116">
        <f>'Filter-old'!P152</f>
        <v>0</v>
      </c>
      <c r="AF151" s="116">
        <f>'Filter-new'!P152</f>
        <v>0</v>
      </c>
      <c r="AG151" s="98">
        <f>'price-old'!O31</f>
        <v>32.598545074462891</v>
      </c>
      <c r="AH151" s="117">
        <f>'price-new'!P31</f>
        <v>29.82</v>
      </c>
      <c r="AI151" s="116">
        <f>'Filter-old'!L152</f>
        <v>0</v>
      </c>
      <c r="AJ151" s="116">
        <f>'Filter-new'!L152</f>
        <v>27</v>
      </c>
      <c r="AK151" s="98">
        <f>'price-old'!L31</f>
        <v>52</v>
      </c>
      <c r="AL151" s="117">
        <f>'price-new'!L31</f>
        <v>30.75</v>
      </c>
      <c r="AM151" s="116">
        <f>'Filter-new'!L641</f>
        <v>29.934782608695652</v>
      </c>
      <c r="AN151" s="117"/>
      <c r="AO151" s="116">
        <f>'Filter-old'!G152</f>
        <v>0</v>
      </c>
      <c r="AP151" s="116">
        <f>'Filter-new'!G152</f>
        <v>0</v>
      </c>
      <c r="AQ151" s="98">
        <f>'price-old'!G31</f>
        <v>32.449991607666014</v>
      </c>
      <c r="AR151" s="117">
        <f>'price-new'!G31</f>
        <v>26.39</v>
      </c>
      <c r="AS151" s="116"/>
      <c r="AT151" s="116"/>
      <c r="AU151" s="98"/>
      <c r="AV151" s="298"/>
      <c r="AW151" s="116">
        <f>'Filter-old'!I152</f>
        <v>0</v>
      </c>
      <c r="AX151" s="116">
        <f>'Filter-new'!I152</f>
        <v>-50</v>
      </c>
      <c r="AY151" s="98">
        <f>'price-old'!I31</f>
        <v>33.5</v>
      </c>
      <c r="AZ151" s="117">
        <f>'price-new'!I31</f>
        <v>27.3</v>
      </c>
      <c r="BA151" s="116">
        <f>'Filter-new'!I641</f>
        <v>-110.8695652173913</v>
      </c>
      <c r="BB151" s="117"/>
      <c r="BC151" s="116">
        <f>'Filter-old'!K152</f>
        <v>0</v>
      </c>
      <c r="BD151" s="116">
        <f>'Filter-new'!K152</f>
        <v>-50</v>
      </c>
      <c r="BE151" s="98">
        <f>'price-old'!K31</f>
        <v>42</v>
      </c>
      <c r="BF151" s="117">
        <f>'price-new'!K31</f>
        <v>33.5</v>
      </c>
      <c r="BG151" s="116">
        <f>'Filter-old'!M152</f>
        <v>0</v>
      </c>
      <c r="BH151" s="116"/>
      <c r="BI151" s="116"/>
      <c r="BJ151" s="116">
        <f>'Filter-new'!M152</f>
        <v>250</v>
      </c>
      <c r="BK151" s="98">
        <f>'price-old'!M31</f>
        <v>34</v>
      </c>
      <c r="BL151" s="117">
        <f>'price-new'!M31</f>
        <v>28.5</v>
      </c>
      <c r="BM151" s="117"/>
      <c r="BN151" s="414">
        <f>'Filter-new'!N152</f>
        <v>0</v>
      </c>
      <c r="BO151" s="117"/>
      <c r="BP151" s="117">
        <f>'price-new'!N31</f>
        <v>36.5</v>
      </c>
      <c r="BQ151" s="116">
        <f>'Filter-old'!O152</f>
        <v>0</v>
      </c>
      <c r="BR151" s="116">
        <f>'Filter-new'!O152</f>
        <v>50</v>
      </c>
      <c r="BS151" s="98">
        <f>'price-old'!N31</f>
        <v>36.747501373291016</v>
      </c>
      <c r="BT151" s="117">
        <f>'price-new'!O31</f>
        <v>27.1</v>
      </c>
      <c r="BU151" s="116">
        <f>'Filter-old'!Q152</f>
        <v>548.12065340909089</v>
      </c>
      <c r="BV151" s="116">
        <f>'Filter-new'!Q152</f>
        <v>288.11338068181817</v>
      </c>
      <c r="BW151" s="98">
        <f>'price-old'!P31</f>
        <v>30.900001525878906</v>
      </c>
      <c r="BX151" s="117">
        <f>'price-new'!Q31</f>
        <v>25.401</v>
      </c>
      <c r="BY151" s="116">
        <f>'Filter-new'!Q641</f>
        <v>-27.717391304347824</v>
      </c>
      <c r="BZ151" s="117"/>
      <c r="CA151" s="116">
        <f>'Filter-old'!R152</f>
        <v>-50</v>
      </c>
      <c r="CB151" s="116">
        <f>'Filter-new'!R152</f>
        <v>350</v>
      </c>
      <c r="CC151" s="61">
        <f>'price-old'!Q31</f>
        <v>34</v>
      </c>
      <c r="CD151" s="284">
        <f>'price-new'!R31</f>
        <v>29</v>
      </c>
      <c r="CE151" s="116">
        <f>'Filter-new'!R641</f>
        <v>55.434782608695649</v>
      </c>
      <c r="CF151" s="164"/>
      <c r="CG151" s="51"/>
    </row>
    <row r="152" spans="1:85" s="182" customFormat="1" x14ac:dyDescent="0.2">
      <c r="A152" s="182">
        <v>1</v>
      </c>
      <c r="B152" s="198" t="s">
        <v>130</v>
      </c>
      <c r="C152" s="165">
        <f>'Filter-new'!C31</f>
        <v>37742</v>
      </c>
      <c r="D152" s="74"/>
      <c r="E152" s="74"/>
      <c r="F152" s="74"/>
      <c r="G152" s="118">
        <f t="shared" si="18"/>
        <v>-1029.1244345238097</v>
      </c>
      <c r="H152" s="199">
        <f>SUM(L152,AB152,AP152,R152,AX152,X152,BD152,AJ152,BJ152,BR152,AF152,BV152,CB152,BN148)</f>
        <v>-852.40877976190473</v>
      </c>
      <c r="I152" s="303">
        <f>O152+U152+AM152+BA152+BY152+CE152</f>
        <v>-327.05882352941177</v>
      </c>
      <c r="J152" s="98"/>
      <c r="K152" s="177">
        <f>'Filter-old'!E153</f>
        <v>-706.41312500000004</v>
      </c>
      <c r="L152" s="199">
        <f>'Filter-new'!E153</f>
        <v>-731.56294642857142</v>
      </c>
      <c r="M152" s="87">
        <f>'price-old'!E32</f>
        <v>38.753570556640625</v>
      </c>
      <c r="N152" s="479">
        <f>'price-new'!E32</f>
        <v>28.274999999999999</v>
      </c>
      <c r="O152" s="468">
        <f>'Filter-new'!E642</f>
        <v>-234.8235294117647</v>
      </c>
      <c r="P152" s="471">
        <f>VLOOKUP(37742,[1]Offpeak_Forward!$A$1:$AG$231,13,FALSE)</f>
        <v>17.214706420898398</v>
      </c>
      <c r="Q152" s="177">
        <f>'Filter-old'!H153</f>
        <v>-500</v>
      </c>
      <c r="R152" s="199">
        <f>'Filter-new'!H153</f>
        <v>-750</v>
      </c>
      <c r="S152" s="98">
        <f>'price-old'!H32</f>
        <v>36.503566741943359</v>
      </c>
      <c r="T152" s="200">
        <f>'price-new'!H32</f>
        <v>25.524999999999999</v>
      </c>
      <c r="U152" s="199">
        <f>'Filter-new'!H642</f>
        <v>-47.058823529411768</v>
      </c>
      <c r="V152" s="254">
        <f>VLOOKUP(37742,[1]Offpeak_Forward!$A$1:$AG$231,14,FALSE)</f>
        <v>16.194118499755898</v>
      </c>
      <c r="W152" s="177">
        <f>'Filter-old'!J153</f>
        <v>0</v>
      </c>
      <c r="X152" s="199">
        <f>'Filter-new'!J153</f>
        <v>0</v>
      </c>
      <c r="Y152" s="98">
        <f>'price-old'!J32</f>
        <v>39.896915435791016</v>
      </c>
      <c r="Z152" s="200">
        <f>'price-new'!J32</f>
        <v>29.274999999999999</v>
      </c>
      <c r="AA152" s="177">
        <f>'Filter-old'!F153</f>
        <v>0</v>
      </c>
      <c r="AB152" s="199">
        <f>'Filter-new'!F153</f>
        <v>0</v>
      </c>
      <c r="AC152" s="98">
        <f>'price-old'!F32</f>
        <v>38.753570556640625</v>
      </c>
      <c r="AD152" s="200">
        <f>'price-new'!F32</f>
        <v>29.274999999999999</v>
      </c>
      <c r="AE152" s="177">
        <f>'Filter-old'!P153</f>
        <v>0</v>
      </c>
      <c r="AF152" s="199">
        <f>'Filter-new'!P153</f>
        <v>0</v>
      </c>
      <c r="AG152" s="98">
        <f>'price-old'!O32</f>
        <v>40.503566741943359</v>
      </c>
      <c r="AH152" s="200">
        <f>'price-new'!P32</f>
        <v>28.774999999999999</v>
      </c>
      <c r="AI152" s="177">
        <f>'Filter-old'!L153</f>
        <v>0</v>
      </c>
      <c r="AJ152" s="199">
        <f>'Filter-new'!L153</f>
        <v>27</v>
      </c>
      <c r="AK152" s="98">
        <f>'price-old'!L32</f>
        <v>53</v>
      </c>
      <c r="AL152" s="200">
        <f>'price-new'!L32</f>
        <v>33.024999999999999</v>
      </c>
      <c r="AM152" s="199">
        <f>'Filter-new'!L642</f>
        <v>25.411764705882351</v>
      </c>
      <c r="AN152" s="254">
        <f>VLOOKUP(37742,[1]Offpeak_Forward!$A$1:$AG$231,18,FALSE)</f>
        <v>20.3390197753906</v>
      </c>
      <c r="AO152" s="177">
        <f>'Filter-old'!G153</f>
        <v>0</v>
      </c>
      <c r="AP152" s="199">
        <f>'Filter-new'!G153</f>
        <v>0</v>
      </c>
      <c r="AQ152" s="98">
        <f>'price-old'!G32</f>
        <v>37.400009155273437</v>
      </c>
      <c r="AR152" s="200">
        <f>'price-new'!G32</f>
        <v>28.65</v>
      </c>
      <c r="AS152" s="177"/>
      <c r="AT152" s="199">
        <f>AX152+BD152+BJ152+BR152+BV152+CB152+BN152</f>
        <v>602.1541666666667</v>
      </c>
      <c r="AU152" s="288"/>
      <c r="AV152" s="199">
        <f>BA152+BY152+CE152</f>
        <v>-70.588235294117652</v>
      </c>
      <c r="AW152" s="294">
        <f>'Filter-old'!I153</f>
        <v>0</v>
      </c>
      <c r="AX152" s="381">
        <f>'Filter-new'!I153</f>
        <v>-100</v>
      </c>
      <c r="AY152" s="362">
        <f>'price-old'!I32</f>
        <v>36</v>
      </c>
      <c r="AZ152" s="200">
        <f>'price-new'!I32</f>
        <v>27.274999999999999</v>
      </c>
      <c r="BA152" s="199">
        <f>'Filter-new'!I642</f>
        <v>-94.117647058823536</v>
      </c>
      <c r="BB152" s="382">
        <f>VLOOKUP(37742,[1]Offpeak_Forward!$A$1:$AG$231,15,FALSE)</f>
        <v>17.2094116210938</v>
      </c>
      <c r="BC152" s="294">
        <f>'Filter-old'!K153</f>
        <v>0</v>
      </c>
      <c r="BD152" s="199">
        <f>'Filter-new'!K153</f>
        <v>-50</v>
      </c>
      <c r="BE152" s="98">
        <f>'price-old'!K32</f>
        <v>42</v>
      </c>
      <c r="BF152" s="200">
        <f>'price-new'!K32</f>
        <v>34</v>
      </c>
      <c r="BG152" s="177">
        <f>'Filter-old'!M153</f>
        <v>0</v>
      </c>
      <c r="BH152" s="199">
        <f>'Filter-new'!K642</f>
        <v>0</v>
      </c>
      <c r="BI152" s="382">
        <f>VLOOKUP(37742,[1]Offpeak_Forward!$A$1:$AG$231,2,FALSE)</f>
        <v>25.8725490570068</v>
      </c>
      <c r="BJ152" s="199">
        <f>'Filter-new'!M153</f>
        <v>250</v>
      </c>
      <c r="BK152" s="98">
        <f>'price-old'!M32</f>
        <v>38.5</v>
      </c>
      <c r="BL152" s="200">
        <f>'price-new'!M32</f>
        <v>30</v>
      </c>
      <c r="BM152" s="254"/>
      <c r="BN152" s="492">
        <f>'Filter-new'!N153</f>
        <v>0</v>
      </c>
      <c r="BO152" s="254"/>
      <c r="BP152" s="254">
        <f>'price-new'!N32</f>
        <v>37</v>
      </c>
      <c r="BQ152" s="177">
        <f>'Filter-old'!O153</f>
        <v>0</v>
      </c>
      <c r="BR152" s="199">
        <f>'Filter-new'!O153</f>
        <v>50</v>
      </c>
      <c r="BS152" s="98">
        <f>'price-old'!N32</f>
        <v>40.25</v>
      </c>
      <c r="BT152" s="200">
        <f>'price-new'!O32</f>
        <v>29.25</v>
      </c>
      <c r="BU152" s="177">
        <f>'Filter-old'!Q153</f>
        <v>227.28869047619048</v>
      </c>
      <c r="BV152" s="199">
        <f>'Filter-new'!Q153</f>
        <v>-47.845833333333339</v>
      </c>
      <c r="BW152" s="98">
        <f>'price-old'!P32</f>
        <v>36.25</v>
      </c>
      <c r="BX152" s="200">
        <f>'price-new'!Q32</f>
        <v>26.850999999999999</v>
      </c>
      <c r="BY152" s="199">
        <f>'Filter-new'!Q642</f>
        <v>-23.529411764705884</v>
      </c>
      <c r="BZ152" s="254">
        <f>VLOOKUP(37742,[1]Offpeak_Forward!$A$1:$AG$231,22,FALSE)</f>
        <v>17.094705581665</v>
      </c>
      <c r="CA152" s="177">
        <f>'Filter-old'!R153</f>
        <v>-50</v>
      </c>
      <c r="CB152" s="199">
        <f>'Filter-new'!R153</f>
        <v>500</v>
      </c>
      <c r="CC152" s="61">
        <f>'price-old'!Q32</f>
        <v>38.5</v>
      </c>
      <c r="CD152" s="190">
        <f>'price-new'!R32</f>
        <v>30.25</v>
      </c>
      <c r="CE152" s="199">
        <f>'Filter-new'!R642</f>
        <v>47.058823529411768</v>
      </c>
      <c r="CF152" s="191">
        <f>VLOOKUP(37742,[1]Offpeak_Forward!$A$1:$AG$231,6,FALSE)</f>
        <v>19.637451171875</v>
      </c>
      <c r="CG152" s="187"/>
    </row>
    <row r="153" spans="1:85" s="201" customFormat="1" x14ac:dyDescent="0.2">
      <c r="A153" s="201">
        <v>1</v>
      </c>
      <c r="B153" s="202" t="s">
        <v>131</v>
      </c>
      <c r="C153" s="166">
        <f>'Filter-new'!C32</f>
        <v>37773</v>
      </c>
      <c r="D153" s="74"/>
      <c r="E153" s="74"/>
      <c r="F153" s="74"/>
      <c r="G153" s="113">
        <f t="shared" si="18"/>
        <v>-795.90309523809515</v>
      </c>
      <c r="H153" s="203">
        <f>SUM(L153,AB153,AP153,R153,AX153,X153,BD153,AJ153,BJ153,BR153,AF153,BV153,CB153,BN148)</f>
        <v>-370.83205357142856</v>
      </c>
      <c r="I153" s="203">
        <f>O153+U153+AM153+BA153+BY153+CE153</f>
        <v>-354.27083333333326</v>
      </c>
      <c r="J153" s="119"/>
      <c r="K153" s="178">
        <f>'Filter-old'!E154</f>
        <v>-522.12872023809518</v>
      </c>
      <c r="L153" s="203">
        <f>'Filter-new'!E154</f>
        <v>-550.15803571428569</v>
      </c>
      <c r="M153" s="120">
        <f>'price-old'!E33</f>
        <v>45.002857208251953</v>
      </c>
      <c r="N153" s="477">
        <f>'price-new'!E33</f>
        <v>36.295000000000002</v>
      </c>
      <c r="O153" s="463">
        <f>'Filter-new'!E643</f>
        <v>-254.22916666666666</v>
      </c>
      <c r="P153" s="472">
        <f>VLOOKUP(37773,[1]Offpeak_Forward!$A$1:$AG$231,13,FALSE)</f>
        <v>20.487083435058601</v>
      </c>
      <c r="Q153" s="178">
        <f>'Filter-old'!H154</f>
        <v>-450</v>
      </c>
      <c r="R153" s="203">
        <f>'Filter-new'!H154</f>
        <v>-750</v>
      </c>
      <c r="S153" s="120">
        <f>'price-old'!H33</f>
        <v>42.252857208251953</v>
      </c>
      <c r="T153" s="204">
        <f>'price-new'!H33</f>
        <v>34.145000000000003</v>
      </c>
      <c r="U153" s="203">
        <f>'Filter-new'!H643</f>
        <v>-51.041666666666664</v>
      </c>
      <c r="V153" s="250">
        <f>VLOOKUP(37773,[1]Offpeak_Forward!$A$1:$AG$231,14,FALSE)</f>
        <v>19.798334121704102</v>
      </c>
      <c r="W153" s="178">
        <f>'Filter-old'!J154</f>
        <v>0</v>
      </c>
      <c r="X153" s="203">
        <f>'Filter-new'!J154</f>
        <v>0</v>
      </c>
      <c r="Y153" s="120">
        <f>'price-old'!J33</f>
        <v>37.732303619384766</v>
      </c>
      <c r="Z153" s="204">
        <f>'price-new'!J33</f>
        <v>37.795000000000002</v>
      </c>
      <c r="AA153" s="178">
        <f>'Filter-old'!F154</f>
        <v>0</v>
      </c>
      <c r="AB153" s="203">
        <f>'Filter-new'!F154</f>
        <v>0</v>
      </c>
      <c r="AC153" s="120">
        <f>'price-old'!F33</f>
        <v>45.002857208251953</v>
      </c>
      <c r="AD153" s="204">
        <f>'price-new'!F33</f>
        <v>37.795000000000002</v>
      </c>
      <c r="AE153" s="178">
        <f>'Filter-old'!P154</f>
        <v>0</v>
      </c>
      <c r="AF153" s="203">
        <f>'Filter-new'!P154</f>
        <v>0</v>
      </c>
      <c r="AG153" s="120">
        <f>'price-old'!O33</f>
        <v>47.752857208251953</v>
      </c>
      <c r="AH153" s="204">
        <f>'price-new'!P33</f>
        <v>35.295000000000002</v>
      </c>
      <c r="AI153" s="178">
        <f>'Filter-old'!L154</f>
        <v>0</v>
      </c>
      <c r="AJ153" s="203">
        <f>'Filter-new'!L154</f>
        <v>27</v>
      </c>
      <c r="AK153" s="120">
        <f>'price-old'!L33</f>
        <v>71</v>
      </c>
      <c r="AL153" s="204">
        <f>'price-new'!L33</f>
        <v>40.174999999999997</v>
      </c>
      <c r="AM153" s="203">
        <f>'Filter-new'!L643</f>
        <v>27.5625</v>
      </c>
      <c r="AN153" s="250">
        <f>VLOOKUP(37773,[1]Offpeak_Forward!$A$1:$AG$231,18,FALSE)</f>
        <v>24.168333053588899</v>
      </c>
      <c r="AO153" s="178">
        <f>'Filter-old'!G154</f>
        <v>0</v>
      </c>
      <c r="AP153" s="203">
        <f>'Filter-new'!G154</f>
        <v>0</v>
      </c>
      <c r="AQ153" s="120">
        <f>'price-old'!G33</f>
        <v>38.499996185302734</v>
      </c>
      <c r="AR153" s="204">
        <f>'price-new'!G33</f>
        <v>32.200000000000003</v>
      </c>
      <c r="AS153" s="178"/>
      <c r="AT153" s="203">
        <f>AX153+BD153+BJ153+BR153+BV153+CB153+BN153</f>
        <v>902.32598214285713</v>
      </c>
      <c r="AU153" s="120"/>
      <c r="AV153" s="203">
        <f>BA153+BY153+CE153</f>
        <v>-76.5625</v>
      </c>
      <c r="AW153" s="295">
        <f>'Filter-old'!I154</f>
        <v>0</v>
      </c>
      <c r="AX153" s="369">
        <f>'Filter-new'!I154</f>
        <v>50</v>
      </c>
      <c r="AY153" s="120">
        <f>'price-old'!I33</f>
        <v>46.25</v>
      </c>
      <c r="AZ153" s="204">
        <f>'price-new'!I33</f>
        <v>35.045000000000002</v>
      </c>
      <c r="BA153" s="203">
        <f>'Filter-new'!I643</f>
        <v>-102.08333333333333</v>
      </c>
      <c r="BB153" s="375">
        <f>VLOOKUP(37773,[1]Offpeak_Forward!$A$1:$AG$231,15,FALSE)</f>
        <v>20.487083435058601</v>
      </c>
      <c r="BC153" s="295">
        <f>'Filter-old'!K154</f>
        <v>0</v>
      </c>
      <c r="BD153" s="203">
        <f>'Filter-new'!K154</f>
        <v>-100</v>
      </c>
      <c r="BE153" s="120">
        <f>'price-old'!K33</f>
        <v>49</v>
      </c>
      <c r="BF153" s="204">
        <f>'price-new'!K33</f>
        <v>37.75</v>
      </c>
      <c r="BG153" s="178">
        <f>'Filter-old'!M154</f>
        <v>0</v>
      </c>
      <c r="BH153" s="203">
        <f>'Filter-new'!K643</f>
        <v>0</v>
      </c>
      <c r="BI153" s="375">
        <f>VLOOKUP(37773,[1]Offpeak_Forward!$A$1:$AG$231,2,FALSE)</f>
        <v>26.7260417938232</v>
      </c>
      <c r="BJ153" s="203">
        <f>'Filter-new'!M154</f>
        <v>250</v>
      </c>
      <c r="BK153" s="120">
        <f>'price-old'!M33</f>
        <v>48.5</v>
      </c>
      <c r="BL153" s="204">
        <f>'price-new'!M33</f>
        <v>39</v>
      </c>
      <c r="BM153" s="250"/>
      <c r="BN153" s="488">
        <f>'Filter-new'!N154</f>
        <v>0</v>
      </c>
      <c r="BO153" s="250"/>
      <c r="BP153" s="250">
        <f>'price-new'!N33</f>
        <v>45</v>
      </c>
      <c r="BQ153" s="178">
        <f>'Filter-old'!O154</f>
        <v>0</v>
      </c>
      <c r="BR153" s="203">
        <f>'Filter-new'!O154</f>
        <v>100</v>
      </c>
      <c r="BS153" s="120">
        <f>'price-old'!N33</f>
        <v>50</v>
      </c>
      <c r="BT153" s="204">
        <f>'price-new'!O33</f>
        <v>36.6</v>
      </c>
      <c r="BU153" s="178">
        <f>'Filter-old'!Q154</f>
        <v>226.22562499999998</v>
      </c>
      <c r="BV153" s="203">
        <f>'Filter-new'!Q154</f>
        <v>-47.674017857142857</v>
      </c>
      <c r="BW153" s="122">
        <f>'price-old'!P33</f>
        <v>47.25</v>
      </c>
      <c r="BX153" s="204">
        <f>'price-new'!Q33</f>
        <v>35.801000000000002</v>
      </c>
      <c r="BY153" s="203">
        <f>'Filter-new'!Q643</f>
        <v>-25.520833333333332</v>
      </c>
      <c r="BZ153" s="250">
        <f>VLOOKUP(37773,[1]Offpeak_Forward!$A$1:$AG$231,22,FALSE)</f>
        <v>19.350833892822301</v>
      </c>
      <c r="CA153" s="178">
        <f>'Filter-old'!R154</f>
        <v>-50</v>
      </c>
      <c r="CB153" s="203">
        <f>'Filter-new'!R154</f>
        <v>650</v>
      </c>
      <c r="CC153" s="121">
        <f>'price-old'!Q33</f>
        <v>48.5</v>
      </c>
      <c r="CD153" s="204">
        <f>'price-new'!R33</f>
        <v>40.25</v>
      </c>
      <c r="CE153" s="203">
        <f>'Filter-new'!R643</f>
        <v>51.041666666666664</v>
      </c>
      <c r="CF153" s="205">
        <f>VLOOKUP(37773,[1]Offpeak_Forward!$A$1:$AG$231,6,FALSE)</f>
        <v>20.625</v>
      </c>
      <c r="CG153" s="206"/>
    </row>
    <row r="154" spans="1:85" s="182" customFormat="1" x14ac:dyDescent="0.2">
      <c r="A154" s="182">
        <v>1</v>
      </c>
      <c r="B154" s="188" t="s">
        <v>132</v>
      </c>
      <c r="C154" s="143">
        <f>'Filter-new'!C33</f>
        <v>37803</v>
      </c>
      <c r="D154" s="123"/>
      <c r="E154" s="123"/>
      <c r="F154" s="123"/>
      <c r="G154" s="127">
        <f t="shared" si="18"/>
        <v>-189.88863636363635</v>
      </c>
      <c r="H154" s="189">
        <f>SUM(L154,AB154,AP154,R154,AX154,X154,BD154,AJ154,BJ154,BR154,AF154,BV154,CB154,BN148)</f>
        <v>-1973.4608448322508</v>
      </c>
      <c r="I154" s="300">
        <f>O154+U154+AM154+BA154+BY154+CE154</f>
        <v>-341.95468812525007</v>
      </c>
      <c r="J154" s="124"/>
      <c r="K154" s="171">
        <f>'Filter-old'!E155</f>
        <v>465.08738636363637</v>
      </c>
      <c r="L154" s="189">
        <f>AVERAGE('Filter-new'!E155:E156)</f>
        <v>-852.06279964826831</v>
      </c>
      <c r="M154" s="125">
        <f>'price-old'!E34</f>
        <v>58.747146606445313</v>
      </c>
      <c r="N154" s="480">
        <f>('price-new'!E34*31+'price-new'!E35*31)/62</f>
        <v>46.974999999999994</v>
      </c>
      <c r="O154" s="462">
        <f>AVERAGE('Filter-new'!E644:E645)</f>
        <v>-247.78931572629051</v>
      </c>
      <c r="P154" s="473">
        <f>(VLOOKUP(37803,[1]Offpeak_Forward!$A$1:$AG$231,13,FALSE)*31+VLOOKUP(37834,[1]Offpeak_Forward!$A$1:$AG$231,13,FALSE)*31)/62</f>
        <v>23.201516151428201</v>
      </c>
      <c r="Q154" s="171">
        <f>'Filter-old'!H155</f>
        <v>-650</v>
      </c>
      <c r="R154" s="189">
        <f>AVERAGE('Filter-new'!H155:H156)</f>
        <v>-1150</v>
      </c>
      <c r="S154" s="125">
        <f>'price-old'!H34</f>
        <v>57.497146606445313</v>
      </c>
      <c r="T154" s="190">
        <f>('price-new'!H34*31+'price-new'!H35*31)/62</f>
        <v>44.375</v>
      </c>
      <c r="U154" s="189">
        <f>AVERAGE('Filter-new'!H644:H645)</f>
        <v>-49.549819927971186</v>
      </c>
      <c r="V154" s="251">
        <f>(VLOOKUP(37803,[1]Offpeak_Forward!$A$1:$AG$231,14,FALSE)*31+VLOOKUP(37834,[1]Offpeak_Forward!$A$1:$AG$231,14,FALSE)*31)/62</f>
        <v>21.533009529113802</v>
      </c>
      <c r="W154" s="171">
        <f>'Filter-old'!J155</f>
        <v>0</v>
      </c>
      <c r="X154" s="189">
        <f>'Filter-new'!J155</f>
        <v>0</v>
      </c>
      <c r="Y154" s="125">
        <f>'price-old'!J34</f>
        <v>48.375</v>
      </c>
      <c r="Z154" s="190">
        <f>('price-new'!J34*31+'price-new'!J35*31)/62</f>
        <v>49.474999999999994</v>
      </c>
      <c r="AA154" s="171">
        <f>'Filter-old'!F155</f>
        <v>0</v>
      </c>
      <c r="AB154" s="189">
        <f>AVERAGE('Filter-new'!F155:F156)</f>
        <v>0</v>
      </c>
      <c r="AC154" s="125">
        <f>'price-old'!F34</f>
        <v>58.747146606445313</v>
      </c>
      <c r="AD154" s="190">
        <f>('price-new'!F34*31+'price-new'!F35*31)/62</f>
        <v>49.474999999999994</v>
      </c>
      <c r="AE154" s="171">
        <f>'Filter-old'!P155</f>
        <v>0</v>
      </c>
      <c r="AF154" s="189">
        <f>AVERAGE('Filter-new'!P155:P156)</f>
        <v>0</v>
      </c>
      <c r="AG154" s="125">
        <f>'price-old'!O34</f>
        <v>61.997146606445313</v>
      </c>
      <c r="AH154" s="190">
        <f>('price-new'!P34*31+'price-new'!P35*31)/62</f>
        <v>45.974999999999994</v>
      </c>
      <c r="AI154" s="171">
        <f>'Filter-old'!L155</f>
        <v>0</v>
      </c>
      <c r="AJ154" s="189">
        <f>AVERAGE('Filter-new'!L155:L156)</f>
        <v>26</v>
      </c>
      <c r="AK154" s="125">
        <f>'price-old'!L34</f>
        <v>97</v>
      </c>
      <c r="AL154" s="190">
        <f>('price-new'!L34*31+'price-new'!L35*31)/62</f>
        <v>50.974999999999994</v>
      </c>
      <c r="AM154" s="189">
        <f>AVERAGE('Filter-new'!L644:L645)</f>
        <v>26.756902761104442</v>
      </c>
      <c r="AN154" s="251">
        <f>(VLOOKUP(37803,[1]Offpeak_Forward!$A$1:$AG$231,18,FALSE)*31+VLOOKUP(37834,[1]Offpeak_Forward!$A$1:$AG$231,18,FALSE)*31)/62</f>
        <v>26.854777336120648</v>
      </c>
      <c r="AO154" s="171">
        <f>'Filter-old'!G155</f>
        <v>0</v>
      </c>
      <c r="AP154" s="189">
        <f>'Filter-new'!G155</f>
        <v>0</v>
      </c>
      <c r="AQ154" s="125">
        <f>'price-old'!G34</f>
        <v>47.749992370605469</v>
      </c>
      <c r="AR154" s="190">
        <f>('price-new'!G34*31+'price-new'!G35*31)/62</f>
        <v>40.849999999999994</v>
      </c>
      <c r="AS154" s="171"/>
      <c r="AT154" s="189">
        <f>AX154+BD154+BJ154+BR154+BV154+CB154+BN154</f>
        <v>2.6019548160173258</v>
      </c>
      <c r="AU154" s="125"/>
      <c r="AV154" s="300">
        <f>BA154+BY154+CE154</f>
        <v>-71.372455232092832</v>
      </c>
      <c r="AW154" s="289">
        <f>'Filter-old'!I155</f>
        <v>0</v>
      </c>
      <c r="AX154" s="368">
        <f>AVERAGE('Filter-new'!I155:I156)</f>
        <v>50</v>
      </c>
      <c r="AY154" s="125">
        <f>'price-old'!I34</f>
        <v>61.5</v>
      </c>
      <c r="AZ154" s="190">
        <f>('price-new'!I34*31+'price-new'!I35*31)/62</f>
        <v>46.224999999999994</v>
      </c>
      <c r="BA154" s="189">
        <f>AVERAGE('Filter-new'!I645:I646)</f>
        <v>-96.147365196078425</v>
      </c>
      <c r="BB154" s="374">
        <f>(VLOOKUP(37803,[1]Offpeak_Forward!$A$1:$AG$231,15,FALSE)*31+VLOOKUP(37834,[1]Offpeak_Forward!$A$1:$AG$231,15,FALSE)*31)/62</f>
        <v>23.203371047973651</v>
      </c>
      <c r="BC154" s="289">
        <f>'Filter-old'!K155</f>
        <v>0</v>
      </c>
      <c r="BD154" s="189">
        <f>AVERAGE('Filter-new'!K155:K156)</f>
        <v>-100</v>
      </c>
      <c r="BE154" s="125">
        <f>'price-old'!K34</f>
        <v>61.75</v>
      </c>
      <c r="BF154" s="190">
        <f>('price-new'!K34*31+'price-new'!K35*31)/62</f>
        <v>46.75</v>
      </c>
      <c r="BG154" s="171">
        <f>'Filter-old'!M155</f>
        <v>0</v>
      </c>
      <c r="BH154" s="189">
        <f>AVERAGE('Filter-new'!K645:K646)</f>
        <v>0</v>
      </c>
      <c r="BI154" s="374">
        <f>(VLOOKUP(37803,[1]Offpeak_Forward!$A$1:$AG$231,2,FALSE)*31+VLOOKUP(37834,[1]Offpeak_Forward!$A$1:$AG$231,2,FALSE)*31)/62</f>
        <v>30.340215682983398</v>
      </c>
      <c r="BJ154" s="189">
        <f>AVERAGE('Filter-new'!M155:M156)</f>
        <v>150</v>
      </c>
      <c r="BK154" s="125">
        <f>'price-old'!M34</f>
        <v>63.5</v>
      </c>
      <c r="BL154" s="190">
        <f>('price-new'!M34*31+'price-new'!M35*31)/62</f>
        <v>50.5</v>
      </c>
      <c r="BM154" s="251"/>
      <c r="BN154" s="493">
        <f>AVERAGE('Filter-new'!N155:N156)</f>
        <v>0</v>
      </c>
      <c r="BO154" s="251"/>
      <c r="BP154" s="251">
        <f>('price-new'!N34*31+'price-new'!N35*31)/62</f>
        <v>65</v>
      </c>
      <c r="BQ154" s="171">
        <f>'Filter-old'!O155</f>
        <v>0</v>
      </c>
      <c r="BR154" s="189">
        <f>AVERAGE('Filter-new'!O155:O156)</f>
        <v>100</v>
      </c>
      <c r="BS154" s="125">
        <f>'price-old'!N34</f>
        <v>69</v>
      </c>
      <c r="BT154" s="190">
        <f>('price-new'!O34*31+'price-new'!O35*31)/62</f>
        <v>45</v>
      </c>
      <c r="BU154" s="171">
        <f>'Filter-old'!Q155</f>
        <v>45.023977272727272</v>
      </c>
      <c r="BV154" s="189">
        <f>AVERAGE('Filter-new'!Q155:Q156)</f>
        <v>-47.398045183982688</v>
      </c>
      <c r="BW154" s="125">
        <f>'price-old'!P34</f>
        <v>64.75</v>
      </c>
      <c r="BX154" s="190">
        <f>('price-new'!Q34*31+'price-new'!Q35*31)/62</f>
        <v>39.600999999999992</v>
      </c>
      <c r="BY154" s="189">
        <f>AVERAGE('Filter-new'!Q644:Q645)</f>
        <v>-24.774909963985593</v>
      </c>
      <c r="BZ154" s="251">
        <f>(VLOOKUP(37803,[1]Offpeak_Forward!$A$1:$AG$231,22,FALSE)*31+VLOOKUP(37834,[1]Offpeak_Forward!$A$1:$AG$231,22,FALSE)*31)/62</f>
        <v>24.719256401062001</v>
      </c>
      <c r="CA154" s="171">
        <f>'Filter-old'!R155</f>
        <v>-50</v>
      </c>
      <c r="CB154" s="189">
        <f>AVERAGE('Filter-new'!R155:R156)</f>
        <v>-150</v>
      </c>
      <c r="CC154" s="126">
        <f>'price-old'!Q34</f>
        <v>63.5</v>
      </c>
      <c r="CD154" s="190">
        <f>('price-new'!R34*31+'price-new'!R35*31)/62</f>
        <v>50</v>
      </c>
      <c r="CE154" s="189">
        <f>AVERAGE('Filter-new'!R644:R645)</f>
        <v>49.549819927971186</v>
      </c>
      <c r="CF154" s="191">
        <f>(VLOOKUP(37803,[1]Offpeak_Forward!$A$1:$AG$231,6,FALSE)*31+VLOOKUP(37834,[1]Offpeak_Forward!$A$1:$AG$231,6,FALSE)*31)/62</f>
        <v>21.436775207519549</v>
      </c>
      <c r="CG154" s="187"/>
    </row>
    <row r="155" spans="1:85" s="52" customFormat="1" hidden="1" x14ac:dyDescent="0.2">
      <c r="A155" s="52">
        <v>0</v>
      </c>
      <c r="B155" s="143">
        <v>37834</v>
      </c>
      <c r="C155" s="143">
        <f>'Filter-new'!C34</f>
        <v>37834</v>
      </c>
      <c r="D155" s="123"/>
      <c r="E155" s="123"/>
      <c r="F155" s="123"/>
      <c r="G155" s="127">
        <f t="shared" si="18"/>
        <v>-216.50261904761905</v>
      </c>
      <c r="H155" s="127">
        <f>SUM(L155,AB155,AP155,R155,AX155,X155,BD155,AJ155,BJ155,BR155,AF155,BV155,CB155)</f>
        <v>-1983.6284226190473</v>
      </c>
      <c r="I155" s="199"/>
      <c r="J155" s="124"/>
      <c r="K155" s="127">
        <f>'Filter-old'!E156</f>
        <v>438.6953869047619</v>
      </c>
      <c r="L155" s="127">
        <f>'Filter-new'!E156</f>
        <v>-862.32380952380947</v>
      </c>
      <c r="M155" s="125">
        <f>'price-old'!E35</f>
        <v>58.747146606445313</v>
      </c>
      <c r="N155" s="128">
        <f>'price-new'!E35</f>
        <v>47.02</v>
      </c>
      <c r="O155" s="438">
        <f>'Filter-new'!E645</f>
        <v>-234.8235294117647</v>
      </c>
      <c r="P155" s="128">
        <f>VLOOKUP(37165,[1]Offpeak_Forward!$A$1:$AG$231,13,FALSE)</f>
        <v>15.084918975830099</v>
      </c>
      <c r="Q155" s="127">
        <f>'Filter-old'!H156</f>
        <v>-650</v>
      </c>
      <c r="R155" s="127">
        <f>'Filter-new'!H156</f>
        <v>-1150</v>
      </c>
      <c r="S155" s="125">
        <f>'price-old'!H35</f>
        <v>57.497146606445313</v>
      </c>
      <c r="T155" s="128">
        <f>'price-new'!H35</f>
        <v>44.42</v>
      </c>
      <c r="U155" s="438">
        <f>'Filter-new'!H645</f>
        <v>-47.058823529411768</v>
      </c>
      <c r="V155" s="128"/>
      <c r="W155" s="127">
        <f>'Filter-old'!J156</f>
        <v>0</v>
      </c>
      <c r="X155" s="127">
        <f>'Filter-new'!J156</f>
        <v>0</v>
      </c>
      <c r="Y155" s="125">
        <f>'price-old'!J35</f>
        <v>48.375</v>
      </c>
      <c r="Z155" s="128">
        <f>'price-new'!J35</f>
        <v>49.52</v>
      </c>
      <c r="AA155" s="127">
        <f>'Filter-old'!F156</f>
        <v>0</v>
      </c>
      <c r="AB155" s="127">
        <f>'Filter-new'!F156</f>
        <v>0</v>
      </c>
      <c r="AC155" s="125">
        <f>'price-old'!F35</f>
        <v>58.747146606445313</v>
      </c>
      <c r="AD155" s="128">
        <f>'price-new'!F35</f>
        <v>49.52</v>
      </c>
      <c r="AE155" s="127">
        <f>'Filter-old'!P156</f>
        <v>0</v>
      </c>
      <c r="AF155" s="127">
        <f>'Filter-new'!P156</f>
        <v>0</v>
      </c>
      <c r="AG155" s="125">
        <f>'price-old'!O35</f>
        <v>61.997146606445313</v>
      </c>
      <c r="AH155" s="128">
        <f>'price-new'!P35</f>
        <v>46.02</v>
      </c>
      <c r="AI155" s="127">
        <f>'Filter-old'!L156</f>
        <v>0</v>
      </c>
      <c r="AJ155" s="127">
        <f>'Filter-new'!L156</f>
        <v>26</v>
      </c>
      <c r="AK155" s="125">
        <f>'price-old'!L35</f>
        <v>97.49</v>
      </c>
      <c r="AL155" s="128">
        <f>'price-new'!L35</f>
        <v>51.02</v>
      </c>
      <c r="AM155" s="127">
        <f>'Filter-new'!L645</f>
        <v>25.411764705882351</v>
      </c>
      <c r="AN155" s="128"/>
      <c r="AO155" s="127">
        <f>'Filter-old'!G156</f>
        <v>0</v>
      </c>
      <c r="AP155" s="127">
        <f>'Filter-new'!G156</f>
        <v>0</v>
      </c>
      <c r="AQ155" s="125">
        <f>'price-old'!G35</f>
        <v>47.75</v>
      </c>
      <c r="AR155" s="128">
        <f>'price-new'!G35</f>
        <v>40.65</v>
      </c>
      <c r="AS155" s="127"/>
      <c r="AT155" s="127"/>
      <c r="AU155" s="125"/>
      <c r="AV155" s="298"/>
      <c r="AW155" s="127">
        <f>'Filter-old'!I156</f>
        <v>0</v>
      </c>
      <c r="AX155" s="127">
        <f>'Filter-new'!I156</f>
        <v>50</v>
      </c>
      <c r="AY155" s="125">
        <f>'price-old'!I35</f>
        <v>61.5</v>
      </c>
      <c r="AZ155" s="128">
        <f>'price-new'!I35</f>
        <v>46.27</v>
      </c>
      <c r="BA155" s="127">
        <f>'Filter-new'!I645</f>
        <v>-94.117647058823536</v>
      </c>
      <c r="BB155" s="128"/>
      <c r="BC155" s="127">
        <f>'Filter-old'!K156</f>
        <v>0</v>
      </c>
      <c r="BD155" s="127">
        <f>'Filter-new'!K156</f>
        <v>-100</v>
      </c>
      <c r="BE155" s="125">
        <f>'price-old'!K35</f>
        <v>61.75</v>
      </c>
      <c r="BF155" s="128">
        <f>'price-new'!K35</f>
        <v>46.75</v>
      </c>
      <c r="BG155" s="127">
        <f>'Filter-old'!M156</f>
        <v>0</v>
      </c>
      <c r="BH155" s="127"/>
      <c r="BI155" s="127"/>
      <c r="BJ155" s="127">
        <f>'Filter-new'!M156</f>
        <v>150</v>
      </c>
      <c r="BK155" s="125">
        <f>'price-old'!M35</f>
        <v>63.5</v>
      </c>
      <c r="BL155" s="128">
        <f>'price-new'!M35</f>
        <v>50.5</v>
      </c>
      <c r="BM155" s="128"/>
      <c r="BN155" s="415">
        <f>'Filter-new'!N156</f>
        <v>0</v>
      </c>
      <c r="BO155" s="128"/>
      <c r="BP155" s="128">
        <f>'price-new'!N35</f>
        <v>65</v>
      </c>
      <c r="BQ155" s="127">
        <f>'Filter-old'!O156</f>
        <v>0</v>
      </c>
      <c r="BR155" s="127">
        <f>'Filter-new'!O156</f>
        <v>100</v>
      </c>
      <c r="BS155" s="125">
        <f>'price-old'!N35</f>
        <v>69</v>
      </c>
      <c r="BT155" s="128">
        <f>'price-new'!O35</f>
        <v>45</v>
      </c>
      <c r="BU155" s="127">
        <f>'Filter-old'!Q156</f>
        <v>44.801994047619047</v>
      </c>
      <c r="BV155" s="127">
        <f>'Filter-new'!Q156</f>
        <v>-47.304613095238096</v>
      </c>
      <c r="BW155" s="125">
        <f>'price-old'!P35</f>
        <v>64.75</v>
      </c>
      <c r="BX155" s="128">
        <f>'price-new'!Q35</f>
        <v>39.600999999999999</v>
      </c>
      <c r="BY155" s="127">
        <f>'Filter-new'!Q645</f>
        <v>-23.529411764705884</v>
      </c>
      <c r="BZ155" s="128"/>
      <c r="CA155" s="127">
        <f>'Filter-old'!R156</f>
        <v>-50</v>
      </c>
      <c r="CB155" s="127">
        <f>'Filter-new'!R156</f>
        <v>-150</v>
      </c>
      <c r="CC155" s="126">
        <f>'price-old'!Q35</f>
        <v>63.5</v>
      </c>
      <c r="CD155" s="128">
        <f>'price-new'!R35</f>
        <v>50</v>
      </c>
      <c r="CE155" s="127">
        <f>'Filter-new'!R645</f>
        <v>47.058823529411768</v>
      </c>
      <c r="CF155" s="144"/>
      <c r="CG155" s="51"/>
    </row>
    <row r="156" spans="1:85" s="206" customFormat="1" x14ac:dyDescent="0.2">
      <c r="A156" s="206">
        <v>1</v>
      </c>
      <c r="B156" s="202" t="s">
        <v>133</v>
      </c>
      <c r="C156" s="145">
        <f>'Filter-new'!C35</f>
        <v>37865</v>
      </c>
      <c r="D156" s="74"/>
      <c r="E156" s="74"/>
      <c r="F156" s="74"/>
      <c r="G156" s="112">
        <f t="shared" si="18"/>
        <v>-919.95282738095227</v>
      </c>
      <c r="H156" s="203">
        <f>SUM(L156,AB156,AP156,R156,AX156,X156,BD156,AJ156,BJ156,BR156,AF156,BV156,CB156,BN148)</f>
        <v>-375.41845238095243</v>
      </c>
      <c r="I156" s="208">
        <f>O156+U156+AM156+BA156+BY156+CE156</f>
        <v>-339.07552083333326</v>
      </c>
      <c r="J156" s="97"/>
      <c r="K156" s="172">
        <f>'Filter-old'!E157</f>
        <v>-692.89059523809522</v>
      </c>
      <c r="L156" s="203">
        <f>'Filter-new'!E157</f>
        <v>-355.29684523809527</v>
      </c>
      <c r="M156" s="87">
        <f>'price-old'!E36</f>
        <v>32.752140045166016</v>
      </c>
      <c r="N156" s="477">
        <f>'price-new'!E36</f>
        <v>26.4</v>
      </c>
      <c r="O156" s="463">
        <f>'Filter-new'!E646</f>
        <v>-242.86197916666666</v>
      </c>
      <c r="P156" s="472">
        <f>VLOOKUP(37865,[1]Offpeak_Forward!$A$1:$AG$231,13,FALSE)</f>
        <v>16.570417404174801</v>
      </c>
      <c r="Q156" s="172">
        <f>'Filter-old'!H157</f>
        <v>-400</v>
      </c>
      <c r="R156" s="203">
        <f>'Filter-new'!H157</f>
        <v>-650</v>
      </c>
      <c r="S156" s="87">
        <f>'price-old'!H36</f>
        <v>30.752143859863281</v>
      </c>
      <c r="T156" s="204">
        <f>'price-new'!H36</f>
        <v>25.25</v>
      </c>
      <c r="U156" s="203">
        <f>'Filter-new'!H646</f>
        <v>-49.088541666666664</v>
      </c>
      <c r="V156" s="250">
        <f>VLOOKUP(37865,[1]Offpeak_Forward!$A$1:$AG$231,14,FALSE)</f>
        <v>15.4991664886475</v>
      </c>
      <c r="W156" s="172">
        <f>'Filter-old'!J157</f>
        <v>0</v>
      </c>
      <c r="X156" s="203">
        <f>'Filter-new'!J157</f>
        <v>0</v>
      </c>
      <c r="Y156" s="87">
        <f>'price-old'!J36</f>
        <v>33.121913909912109</v>
      </c>
      <c r="Z156" s="204">
        <f>'price-new'!J36</f>
        <v>27.9</v>
      </c>
      <c r="AA156" s="172">
        <f>'Filter-old'!F157</f>
        <v>0</v>
      </c>
      <c r="AB156" s="203">
        <f>'Filter-new'!F157</f>
        <v>0</v>
      </c>
      <c r="AC156" s="87">
        <f>'price-old'!F36</f>
        <v>32.752140045166016</v>
      </c>
      <c r="AD156" s="204">
        <f>'price-new'!F36</f>
        <v>27.9</v>
      </c>
      <c r="AE156" s="172">
        <f>'Filter-old'!P157</f>
        <v>0</v>
      </c>
      <c r="AF156" s="203">
        <f>'Filter-new'!P157</f>
        <v>0</v>
      </c>
      <c r="AG156" s="87">
        <f>'price-old'!O36</f>
        <v>35.252143859863281</v>
      </c>
      <c r="AH156" s="204">
        <f>'price-new'!P36</f>
        <v>26.4</v>
      </c>
      <c r="AI156" s="172">
        <f>'Filter-old'!L157</f>
        <v>0</v>
      </c>
      <c r="AJ156" s="203">
        <f>'Filter-new'!L157</f>
        <v>27</v>
      </c>
      <c r="AK156" s="87">
        <f>'price-old'!L36</f>
        <v>54.49</v>
      </c>
      <c r="AL156" s="204">
        <f>'price-new'!L36</f>
        <v>27.32</v>
      </c>
      <c r="AM156" s="203">
        <f>'Filter-new'!L646</f>
        <v>26.5078125</v>
      </c>
      <c r="AN156" s="250">
        <f>VLOOKUP(37865,[1]Offpeak_Forward!$A$1:$AG$231,18,FALSE)</f>
        <v>20.407917022705099</v>
      </c>
      <c r="AO156" s="172">
        <f>'Filter-old'!G157</f>
        <v>0</v>
      </c>
      <c r="AP156" s="203">
        <f>'Filter-new'!G157</f>
        <v>0</v>
      </c>
      <c r="AQ156" s="87">
        <f>'price-old'!G36</f>
        <v>34.250003814697266</v>
      </c>
      <c r="AR156" s="204">
        <f>'price-new'!G36</f>
        <v>29.4</v>
      </c>
      <c r="AS156" s="172"/>
      <c r="AT156" s="203">
        <f>AX156+BD156+BJ156+BR156+BV156+CB156+BN156</f>
        <v>602.8783928571429</v>
      </c>
      <c r="AU156" s="87"/>
      <c r="AV156" s="203">
        <f>BA156+BY156+CE156</f>
        <v>-73.6328125</v>
      </c>
      <c r="AW156" s="290">
        <f>'Filter-old'!I157</f>
        <v>0</v>
      </c>
      <c r="AX156" s="369">
        <f>'Filter-new'!I157</f>
        <v>-50</v>
      </c>
      <c r="AY156" s="87">
        <f>'price-old'!I36</f>
        <v>32.5</v>
      </c>
      <c r="AZ156" s="204">
        <f>'price-new'!I36</f>
        <v>25.9</v>
      </c>
      <c r="BA156" s="203">
        <f>'Filter-new'!I646</f>
        <v>-98.177083333333329</v>
      </c>
      <c r="BB156" s="375">
        <f>VLOOKUP(37865,[1]Offpeak_Forward!$A$1:$AG$231,15,FALSE)</f>
        <v>16.570417404174801</v>
      </c>
      <c r="BC156" s="290">
        <f>'Filter-old'!K157</f>
        <v>0</v>
      </c>
      <c r="BD156" s="203">
        <f>'Filter-new'!K157</f>
        <v>-50</v>
      </c>
      <c r="BE156" s="87">
        <f>'price-old'!K36</f>
        <v>39.75</v>
      </c>
      <c r="BF156" s="204">
        <f>'price-new'!K36</f>
        <v>33</v>
      </c>
      <c r="BG156" s="172">
        <f>'Filter-old'!M157</f>
        <v>0</v>
      </c>
      <c r="BH156" s="203">
        <f>'Filter-new'!K646</f>
        <v>0</v>
      </c>
      <c r="BI156" s="375">
        <f>VLOOKUP(37865,[1]Offpeak_Forward!$A$1:$AG$231,2,FALSE)</f>
        <v>24.639583587646499</v>
      </c>
      <c r="BJ156" s="203">
        <f>'Filter-new'!M157</f>
        <v>250</v>
      </c>
      <c r="BK156" s="87">
        <f>'price-old'!M36</f>
        <v>34.5</v>
      </c>
      <c r="BL156" s="204">
        <f>'price-new'!M36</f>
        <v>28.5</v>
      </c>
      <c r="BM156" s="250"/>
      <c r="BN156" s="488">
        <f>'Filter-new'!N157</f>
        <v>0</v>
      </c>
      <c r="BO156" s="250"/>
      <c r="BP156" s="250">
        <f>'price-new'!N36</f>
        <v>36.5</v>
      </c>
      <c r="BQ156" s="172">
        <f>'Filter-old'!O157</f>
        <v>0</v>
      </c>
      <c r="BR156" s="203">
        <f>'Filter-new'!O157</f>
        <v>100</v>
      </c>
      <c r="BS156" s="87">
        <f>'price-old'!N36</f>
        <v>34</v>
      </c>
      <c r="BT156" s="204">
        <f>'price-new'!O36</f>
        <v>27.45</v>
      </c>
      <c r="BU156" s="172">
        <f>'Filter-old'!Q157</f>
        <v>222.93776785714286</v>
      </c>
      <c r="BV156" s="203">
        <f>'Filter-new'!Q157</f>
        <v>-47.121607142857144</v>
      </c>
      <c r="BW156" s="62">
        <f>'price-old'!P36</f>
        <v>30.25</v>
      </c>
      <c r="BX156" s="204">
        <f>'price-new'!Q36</f>
        <v>25.151</v>
      </c>
      <c r="BY156" s="203">
        <f>'Filter-new'!Q646</f>
        <v>-24.544270833333332</v>
      </c>
      <c r="BZ156" s="250">
        <f>VLOOKUP(37865,[1]Offpeak_Forward!$A$1:$AG$231,22,FALSE)</f>
        <v>17.777915954589801</v>
      </c>
      <c r="CA156" s="172">
        <f>'Filter-old'!R157</f>
        <v>-50</v>
      </c>
      <c r="CB156" s="203">
        <f>'Filter-new'!R157</f>
        <v>400</v>
      </c>
      <c r="CC156" s="61">
        <f>'price-old'!Q36</f>
        <v>34.5</v>
      </c>
      <c r="CD156" s="204">
        <f>'price-new'!R36</f>
        <v>28.75</v>
      </c>
      <c r="CE156" s="203">
        <f>'Filter-new'!R646</f>
        <v>49.088541666666664</v>
      </c>
      <c r="CF156" s="205">
        <f>VLOOKUP(37865,[1]Offpeak_Forward!$A$1:$AG$231,6,FALSE)</f>
        <v>18.3745822906494</v>
      </c>
    </row>
    <row r="157" spans="1:85" s="52" customFormat="1" hidden="1" x14ac:dyDescent="0.2">
      <c r="A157" s="52">
        <v>0</v>
      </c>
      <c r="B157" s="146">
        <v>37895</v>
      </c>
      <c r="C157" s="146">
        <f>'Filter-new'!C36</f>
        <v>37895</v>
      </c>
      <c r="D157" s="74"/>
      <c r="E157" s="74"/>
      <c r="F157" s="74"/>
      <c r="G157" s="114">
        <f t="shared" si="18"/>
        <v>-740.1481521739131</v>
      </c>
      <c r="H157" s="114">
        <f>SUM(L157,AB157,AP157,R157,AX157,X157,BD157,AJ157,BJ157,BR157,AF157,BV157,CB157)</f>
        <v>348.5872010869565</v>
      </c>
      <c r="I157" s="199"/>
      <c r="J157" s="97"/>
      <c r="K157" s="114">
        <f>'Filter-old'!E158</f>
        <v>-689.43461956521742</v>
      </c>
      <c r="L157" s="114">
        <f>'Filter-new'!E158</f>
        <v>-119.1988043478261</v>
      </c>
      <c r="M157" s="87">
        <f>'price-old'!E37</f>
        <v>31.652062177658081</v>
      </c>
      <c r="N157" s="115">
        <f>'price-new'!E37</f>
        <v>27.15</v>
      </c>
      <c r="O157" s="439">
        <f>'Filter-new'!E647</f>
        <v>-279.2340425531915</v>
      </c>
      <c r="P157" s="115">
        <f>VLOOKUP(37165,[1]Offpeak_Forward!$A$1:$AG$231,13,FALSE)</f>
        <v>15.084918975830099</v>
      </c>
      <c r="Q157" s="114">
        <f>'Filter-old'!H158</f>
        <v>-400</v>
      </c>
      <c r="R157" s="114">
        <f>'Filter-new'!H158</f>
        <v>-600</v>
      </c>
      <c r="S157" s="87">
        <f>'price-old'!H37</f>
        <v>28.843929290771484</v>
      </c>
      <c r="T157" s="115">
        <f>'price-new'!H37</f>
        <v>26.1</v>
      </c>
      <c r="U157" s="439">
        <f>'Filter-new'!H647</f>
        <v>-55.319148936170215</v>
      </c>
      <c r="V157" s="115"/>
      <c r="W157" s="114">
        <f>'Filter-old'!J158</f>
        <v>0</v>
      </c>
      <c r="X157" s="114">
        <f>'Filter-new'!J158</f>
        <v>0</v>
      </c>
      <c r="Y157" s="87">
        <f>'price-old'!J37</f>
        <v>38.904998779296875</v>
      </c>
      <c r="Z157" s="115">
        <f>'price-new'!J37</f>
        <v>27.15</v>
      </c>
      <c r="AA157" s="114">
        <f>'Filter-old'!F158</f>
        <v>0</v>
      </c>
      <c r="AB157" s="114">
        <f>'Filter-new'!F158</f>
        <v>0</v>
      </c>
      <c r="AC157" s="87">
        <f>'price-old'!F37</f>
        <v>31.652062177658081</v>
      </c>
      <c r="AD157" s="115">
        <f>'price-new'!F37</f>
        <v>27.15</v>
      </c>
      <c r="AE157" s="114">
        <f>'Filter-old'!P158</f>
        <v>0</v>
      </c>
      <c r="AF157" s="114">
        <f>'Filter-new'!P158</f>
        <v>0</v>
      </c>
      <c r="AG157" s="87">
        <f>'price-old'!O37</f>
        <v>31.653934478759766</v>
      </c>
      <c r="AH157" s="115">
        <f>'price-new'!P37</f>
        <v>26.34</v>
      </c>
      <c r="AI157" s="114">
        <f>'Filter-old'!L158</f>
        <v>0</v>
      </c>
      <c r="AJ157" s="114">
        <f>'Filter-new'!L158</f>
        <v>27</v>
      </c>
      <c r="AK157" s="87">
        <f>'price-old'!L37</f>
        <v>53.49</v>
      </c>
      <c r="AL157" s="115">
        <f>'price-new'!L37</f>
        <v>28.23</v>
      </c>
      <c r="AM157" s="114">
        <f>'Filter-new'!L647</f>
        <v>29.872340425531913</v>
      </c>
      <c r="AN157" s="115"/>
      <c r="AO157" s="114">
        <f>'Filter-old'!G158</f>
        <v>0</v>
      </c>
      <c r="AP157" s="114">
        <f>'Filter-new'!G158</f>
        <v>0</v>
      </c>
      <c r="AQ157" s="87">
        <f>'price-old'!G37</f>
        <v>31.550003051757813</v>
      </c>
      <c r="AR157" s="115">
        <f>'price-new'!G37</f>
        <v>28.07</v>
      </c>
      <c r="AS157" s="114"/>
      <c r="AT157" s="114"/>
      <c r="AU157" s="87"/>
      <c r="AV157" s="199"/>
      <c r="AW157" s="114">
        <f>'Filter-old'!I158</f>
        <v>0</v>
      </c>
      <c r="AX157" s="114">
        <f>'Filter-new'!I158</f>
        <v>100</v>
      </c>
      <c r="AY157" s="87">
        <f>'price-old'!I37</f>
        <v>31.75</v>
      </c>
      <c r="AZ157" s="115">
        <f>'price-new'!I37</f>
        <v>26.4</v>
      </c>
      <c r="BA157" s="114">
        <f>'Filter-new'!I647</f>
        <v>-110.63829787234043</v>
      </c>
      <c r="BB157" s="115"/>
      <c r="BC157" s="114">
        <f>'Filter-old'!K158</f>
        <v>0</v>
      </c>
      <c r="BD157" s="114">
        <f>'Filter-new'!K158</f>
        <v>-50</v>
      </c>
      <c r="BE157" s="87">
        <f>'price-old'!K37</f>
        <v>40.5</v>
      </c>
      <c r="BF157" s="115">
        <f>'price-new'!K37</f>
        <v>34.25</v>
      </c>
      <c r="BG157" s="114">
        <f>'Filter-old'!M158</f>
        <v>0</v>
      </c>
      <c r="BH157" s="114"/>
      <c r="BI157" s="114"/>
      <c r="BJ157" s="114">
        <f>'Filter-new'!M158</f>
        <v>250</v>
      </c>
      <c r="BK157" s="87">
        <f>'price-old'!M37</f>
        <v>33</v>
      </c>
      <c r="BL157" s="115">
        <f>'price-new'!M37</f>
        <v>28.5</v>
      </c>
      <c r="BM157" s="115"/>
      <c r="BN157" s="416">
        <f>'Filter-new'!N158</f>
        <v>0</v>
      </c>
      <c r="BO157" s="115"/>
      <c r="BP157" s="115">
        <f>'price-new'!N37</f>
        <v>36.5</v>
      </c>
      <c r="BQ157" s="114">
        <f>'Filter-old'!O158</f>
        <v>0</v>
      </c>
      <c r="BR157" s="114">
        <f>'Filter-new'!O158</f>
        <v>100</v>
      </c>
      <c r="BS157" s="87">
        <f>'price-old'!N37</f>
        <v>32.25</v>
      </c>
      <c r="BT157" s="115">
        <f>'price-new'!O37</f>
        <v>27.3</v>
      </c>
      <c r="BU157" s="114">
        <f>'Filter-old'!Q158</f>
        <v>399.28646739130437</v>
      </c>
      <c r="BV157" s="114">
        <f>'Filter-new'!Q158</f>
        <v>140.7860054347826</v>
      </c>
      <c r="BW157" s="62">
        <f>'price-old'!P37</f>
        <v>29.75</v>
      </c>
      <c r="BX157" s="115">
        <f>'price-new'!Q37</f>
        <v>26.251000000000001</v>
      </c>
      <c r="BY157" s="114">
        <f>'Filter-new'!Q647</f>
        <v>-27.659574468085108</v>
      </c>
      <c r="BZ157" s="115"/>
      <c r="CA157" s="114">
        <f>'Filter-old'!R158</f>
        <v>-50</v>
      </c>
      <c r="CB157" s="114">
        <f>'Filter-new'!R158</f>
        <v>500</v>
      </c>
      <c r="CC157" s="61">
        <f>'price-old'!Q37</f>
        <v>33</v>
      </c>
      <c r="CD157" s="115">
        <f>'price-new'!R37</f>
        <v>28.75</v>
      </c>
      <c r="CE157" s="114">
        <f>'Filter-new'!R647</f>
        <v>55.319148936170215</v>
      </c>
      <c r="CF157" s="147"/>
      <c r="CG157" s="51"/>
    </row>
    <row r="158" spans="1:85" s="52" customFormat="1" hidden="1" x14ac:dyDescent="0.2">
      <c r="A158" s="52">
        <v>0</v>
      </c>
      <c r="B158" s="146">
        <v>37926</v>
      </c>
      <c r="C158" s="146">
        <f>'Filter-new'!C37</f>
        <v>37926</v>
      </c>
      <c r="D158" s="74"/>
      <c r="E158" s="74"/>
      <c r="F158" s="74"/>
      <c r="G158" s="114">
        <f t="shared" si="18"/>
        <v>-738.73496710526319</v>
      </c>
      <c r="H158" s="114">
        <f>SUM(L158,AB158,AP158,R158,AX158,X158,BD158,AJ158,BJ158,BR158,AF158,BV158,CB158)</f>
        <v>348.49973684210534</v>
      </c>
      <c r="I158" s="203"/>
      <c r="J158" s="97"/>
      <c r="K158" s="114">
        <f>'Filter-old'!E159</f>
        <v>-686.07671052631576</v>
      </c>
      <c r="L158" s="114">
        <f>'Filter-new'!E159</f>
        <v>-118.71575657894736</v>
      </c>
      <c r="M158" s="87">
        <f>'price-old'!E38</f>
        <v>31.752060651779175</v>
      </c>
      <c r="N158" s="115">
        <f>'price-new'!E38</f>
        <v>27.25</v>
      </c>
      <c r="O158" s="439">
        <f>'Filter-new'!E648</f>
        <v>-234.67307692307693</v>
      </c>
      <c r="P158" s="115">
        <f>VLOOKUP(37165,[1]Offpeak_Forward!$A$1:$AG$231,13,FALSE)</f>
        <v>15.084918975830099</v>
      </c>
      <c r="Q158" s="114">
        <f>'Filter-old'!H159</f>
        <v>-400</v>
      </c>
      <c r="R158" s="114">
        <f>'Filter-new'!H159</f>
        <v>-600</v>
      </c>
      <c r="S158" s="87">
        <f>'price-old'!H38</f>
        <v>32.343929290771484</v>
      </c>
      <c r="T158" s="115">
        <f>'price-new'!H38</f>
        <v>26.2</v>
      </c>
      <c r="U158" s="439">
        <f>'Filter-new'!H648</f>
        <v>-47.115384615384613</v>
      </c>
      <c r="V158" s="115"/>
      <c r="W158" s="114">
        <f>'Filter-old'!J159</f>
        <v>0</v>
      </c>
      <c r="X158" s="114">
        <f>'Filter-new'!J159</f>
        <v>0</v>
      </c>
      <c r="Y158" s="87">
        <f>'price-old'!J38</f>
        <v>39.701915740966797</v>
      </c>
      <c r="Z158" s="115">
        <f>'price-new'!J38</f>
        <v>27.25</v>
      </c>
      <c r="AA158" s="114">
        <f>'Filter-old'!F159</f>
        <v>0</v>
      </c>
      <c r="AB158" s="114">
        <f>'Filter-new'!F159</f>
        <v>0</v>
      </c>
      <c r="AC158" s="87">
        <f>'price-old'!F38</f>
        <v>31.752060651779175</v>
      </c>
      <c r="AD158" s="115">
        <f>'price-new'!F38</f>
        <v>27.25</v>
      </c>
      <c r="AE158" s="114">
        <f>'Filter-old'!P159</f>
        <v>0</v>
      </c>
      <c r="AF158" s="114">
        <f>'Filter-new'!P159</f>
        <v>0</v>
      </c>
      <c r="AG158" s="87">
        <f>'price-old'!O38</f>
        <v>31.753932952880859</v>
      </c>
      <c r="AH158" s="115">
        <f>'price-new'!P38</f>
        <v>29.84</v>
      </c>
      <c r="AI158" s="114">
        <f>'Filter-old'!L159</f>
        <v>0</v>
      </c>
      <c r="AJ158" s="114">
        <f>'Filter-new'!L159</f>
        <v>27</v>
      </c>
      <c r="AK158" s="87">
        <f>'price-old'!L38</f>
        <v>53.49</v>
      </c>
      <c r="AL158" s="115">
        <f>'price-new'!L38</f>
        <v>28.32</v>
      </c>
      <c r="AM158" s="114">
        <f>'Filter-new'!L648</f>
        <v>25.442307692307693</v>
      </c>
      <c r="AN158" s="115"/>
      <c r="AO158" s="114">
        <f>'Filter-old'!G159</f>
        <v>0</v>
      </c>
      <c r="AP158" s="114">
        <f>'Filter-new'!G159</f>
        <v>0</v>
      </c>
      <c r="AQ158" s="87">
        <f>'price-old'!G38</f>
        <v>31.249996185302734</v>
      </c>
      <c r="AR158" s="115">
        <f>'price-new'!G38</f>
        <v>27.07</v>
      </c>
      <c r="AS158" s="114"/>
      <c r="AT158" s="114"/>
      <c r="AU158" s="87"/>
      <c r="AV158" s="296"/>
      <c r="AW158" s="114">
        <f>'Filter-old'!I159</f>
        <v>0</v>
      </c>
      <c r="AX158" s="114">
        <f>'Filter-new'!I159</f>
        <v>100</v>
      </c>
      <c r="AY158" s="87">
        <f>'price-old'!I38</f>
        <v>31.25</v>
      </c>
      <c r="AZ158" s="115">
        <f>'price-new'!I38</f>
        <v>26.5</v>
      </c>
      <c r="BA158" s="114">
        <f>'Filter-new'!I648</f>
        <v>-94.230769230769226</v>
      </c>
      <c r="BB158" s="115"/>
      <c r="BC158" s="114">
        <f>'Filter-old'!K159</f>
        <v>0</v>
      </c>
      <c r="BD158" s="114">
        <f>'Filter-new'!K159</f>
        <v>-50</v>
      </c>
      <c r="BE158" s="87">
        <f>'price-old'!K38</f>
        <v>40.5</v>
      </c>
      <c r="BF158" s="115">
        <f>'price-new'!K38</f>
        <v>34.25</v>
      </c>
      <c r="BG158" s="114">
        <f>'Filter-old'!M159</f>
        <v>0</v>
      </c>
      <c r="BH158" s="114"/>
      <c r="BI158" s="114"/>
      <c r="BJ158" s="114">
        <f>'Filter-new'!M159</f>
        <v>250</v>
      </c>
      <c r="BK158" s="87">
        <f>'price-old'!M38</f>
        <v>33</v>
      </c>
      <c r="BL158" s="115">
        <f>'price-new'!M38</f>
        <v>28.5</v>
      </c>
      <c r="BM158" s="115"/>
      <c r="BN158" s="416">
        <f>'Filter-new'!N159</f>
        <v>0</v>
      </c>
      <c r="BO158" s="115"/>
      <c r="BP158" s="115">
        <f>'price-new'!N38</f>
        <v>36.5</v>
      </c>
      <c r="BQ158" s="114">
        <f>'Filter-old'!O159</f>
        <v>0</v>
      </c>
      <c r="BR158" s="114">
        <f>'Filter-new'!O159</f>
        <v>100</v>
      </c>
      <c r="BS158" s="87">
        <f>'price-old'!N38</f>
        <v>32.25</v>
      </c>
      <c r="BT158" s="115">
        <f>'price-new'!O38</f>
        <v>27.3</v>
      </c>
      <c r="BU158" s="114">
        <f>'Filter-old'!Q159</f>
        <v>397.34174342105263</v>
      </c>
      <c r="BV158" s="114">
        <f>'Filter-new'!Q159</f>
        <v>140.21549342105263</v>
      </c>
      <c r="BW158" s="62">
        <f>'price-old'!P38</f>
        <v>29.75</v>
      </c>
      <c r="BX158" s="115">
        <f>'price-new'!Q38</f>
        <v>26.251000000000001</v>
      </c>
      <c r="BY158" s="114">
        <f>'Filter-new'!Q648</f>
        <v>-23.557692307692307</v>
      </c>
      <c r="BZ158" s="115"/>
      <c r="CA158" s="114">
        <f>'Filter-old'!R159</f>
        <v>-50</v>
      </c>
      <c r="CB158" s="114">
        <f>'Filter-new'!R159</f>
        <v>500</v>
      </c>
      <c r="CC158" s="61">
        <f>'price-old'!Q38</f>
        <v>33</v>
      </c>
      <c r="CD158" s="115">
        <f>'price-new'!R38</f>
        <v>28.75</v>
      </c>
      <c r="CE158" s="114">
        <f>'Filter-new'!R648</f>
        <v>47.115384615384613</v>
      </c>
      <c r="CF158" s="147"/>
      <c r="CG158" s="51"/>
    </row>
    <row r="159" spans="1:85" s="192" customFormat="1" ht="13.5" thickBot="1" x14ac:dyDescent="0.25">
      <c r="A159" s="192">
        <v>1</v>
      </c>
      <c r="B159" s="193" t="s">
        <v>134</v>
      </c>
      <c r="C159" s="148">
        <f>'Filter-new'!C38</f>
        <v>37956</v>
      </c>
      <c r="D159" s="149"/>
      <c r="E159" s="149"/>
      <c r="F159" s="149"/>
      <c r="G159" s="150">
        <f t="shared" si="18"/>
        <v>-737.27250000000026</v>
      </c>
      <c r="H159" s="194">
        <f>SUM(L159,AB159,AP159,R159,AX159,X159,BD159,AJ159,BJ159,BR159,AF159,BV159,CB159,BN148)</f>
        <v>348.49831643089942</v>
      </c>
      <c r="I159" s="333">
        <f>O159+U159+AM159+BA159+BY159+CE159</f>
        <v>-230.24667657570393</v>
      </c>
      <c r="J159" s="151"/>
      <c r="K159" s="174">
        <f>'Filter-old'!E160</f>
        <v>-682.60159090909099</v>
      </c>
      <c r="L159" s="194">
        <f>AVERAGE('Filter-new'!E158:E160)</f>
        <v>-118.7082627331669</v>
      </c>
      <c r="M159" s="152">
        <f>'price-old'!E39</f>
        <v>31.852059125900269</v>
      </c>
      <c r="N159" s="478">
        <f>('price-new'!E39*31+'price-new'!E38*30+'price-new'!E37*31)/92</f>
        <v>27.25</v>
      </c>
      <c r="O159" s="464">
        <f>AVERAGE('Filter-new'!E647:E649)</f>
        <v>-128.62890377100106</v>
      </c>
      <c r="P159" s="474">
        <f>(VLOOKUP(37956,[1]Offpeak_Forward!$A$1:$AG$231,13,FALSE)*31+VLOOKUP(37926,[1]Offpeak_Forward!$A$1:$AG$231,13,FALSE)*30+VLOOKUP(37895,[1]Offpeak_Forward!$A$1:$AG$231,13,FALSE)*31)/92</f>
        <v>16.298973135326193</v>
      </c>
      <c r="Q159" s="174">
        <f>'Filter-old'!H160</f>
        <v>-400</v>
      </c>
      <c r="R159" s="194">
        <f>AVERAGE('Filter-new'!H158:H160)</f>
        <v>-600</v>
      </c>
      <c r="S159" s="152">
        <f>'price-old'!H39</f>
        <v>32.843929290771484</v>
      </c>
      <c r="T159" s="195">
        <f>('price-new'!H39*31+'price-new'!H38*30+'price-new'!H37*31)/92</f>
        <v>26.2</v>
      </c>
      <c r="U159" s="194">
        <f>AVERAGE('Filter-new'!H647:H649)</f>
        <v>-34.144844517184943</v>
      </c>
      <c r="V159" s="252">
        <f>(VLOOKUP(37956,[1]Offpeak_Forward!$A$1:$AG$231,14,FALSE)*31+VLOOKUP(37926,[1]Offpeak_Forward!$A$1:$AG$231,14,FALSE)*30+VLOOKUP(37895,[1]Offpeak_Forward!$A$1:$AG$231,14,FALSE)*31)/92</f>
        <v>15.796436040297779</v>
      </c>
      <c r="W159" s="174">
        <f>'Filter-old'!J160</f>
        <v>0</v>
      </c>
      <c r="X159" s="194">
        <f>'Filter-new'!J160</f>
        <v>0</v>
      </c>
      <c r="Y159" s="152">
        <f>'price-old'!J39</f>
        <v>40.457302093505859</v>
      </c>
      <c r="Z159" s="195">
        <f>('price-new'!J39*31+'price-new'!J38*30+'price-new'!J37*31)/92</f>
        <v>27.25</v>
      </c>
      <c r="AA159" s="174">
        <f>'Filter-old'!F160</f>
        <v>0</v>
      </c>
      <c r="AB159" s="194">
        <f>AVERAGE('Filter-new'!F158:F160)</f>
        <v>0</v>
      </c>
      <c r="AC159" s="152">
        <f>'price-old'!F39</f>
        <v>31.852059125900269</v>
      </c>
      <c r="AD159" s="195">
        <f>('price-new'!F39*31+'price-new'!F38*30+'price-new'!F37*31)/92</f>
        <v>27.25</v>
      </c>
      <c r="AE159" s="174">
        <f>'Filter-old'!P160</f>
        <v>0</v>
      </c>
      <c r="AF159" s="194">
        <f>AVERAGE('Filter-new'!P158:P160)</f>
        <v>0</v>
      </c>
      <c r="AG159" s="152">
        <f>'price-old'!O39</f>
        <v>31.853931427001953</v>
      </c>
      <c r="AH159" s="195">
        <f>('price-new'!P39*31+'price-new'!P38*30+'price-new'!P37*31)/92</f>
        <v>28.829130434782606</v>
      </c>
      <c r="AI159" s="174">
        <f>'Filter-old'!L160</f>
        <v>0</v>
      </c>
      <c r="AJ159" s="194">
        <f>AVERAGE('Filter-new'!L158:L160)</f>
        <v>27</v>
      </c>
      <c r="AK159" s="152">
        <f>'price-old'!L39</f>
        <v>53.49</v>
      </c>
      <c r="AL159" s="195">
        <f>('price-new'!L39*31+'price-new'!L38*30+'price-new'!L37*31)/92</f>
        <v>28.323369565217391</v>
      </c>
      <c r="AM159" s="194">
        <f>AVERAGE('Filter-new'!L647:L649)</f>
        <v>18.438216039279869</v>
      </c>
      <c r="AN159" s="252">
        <f>(VLOOKUP(37956,[1]Offpeak_Forward!$A$1:$AG$231,18,FALSE)*31+VLOOKUP(37926,[1]Offpeak_Forward!$A$1:$AG$231,18,FALSE)*30+VLOOKUP(37895,[1]Offpeak_Forward!$A$1:$AG$231,18,FALSE)*31)/92</f>
        <v>20.127579129260543</v>
      </c>
      <c r="AO159" s="174">
        <f>'Filter-old'!G160</f>
        <v>0</v>
      </c>
      <c r="AP159" s="194">
        <f>'Filter-new'!G160</f>
        <v>0</v>
      </c>
      <c r="AQ159" s="152">
        <f>'price-old'!G39</f>
        <v>32.249996185302734</v>
      </c>
      <c r="AR159" s="195">
        <f>('price-new'!G39*31+'price-new'!G38*30+'price-new'!G37*31)/92</f>
        <v>27.710217391304351</v>
      </c>
      <c r="AS159" s="174"/>
      <c r="AT159" s="194">
        <f>AX159+BD159+BJ159+BR159+BV159+CB159+BN159</f>
        <v>1040.2065791640662</v>
      </c>
      <c r="AU159" s="152"/>
      <c r="AV159" s="194">
        <f>BA159+BY159+CE159</f>
        <v>-85.91114432679781</v>
      </c>
      <c r="AW159" s="291">
        <f>'Filter-old'!I160</f>
        <v>0</v>
      </c>
      <c r="AX159" s="370">
        <f>AVERAGE('Filter-new'!I158:I160)</f>
        <v>100</v>
      </c>
      <c r="AY159" s="152">
        <f>'price-old'!I39</f>
        <v>31.5</v>
      </c>
      <c r="AZ159" s="195">
        <f>('price-new'!I39*31+'price-new'!I38*30+'price-new'!I37*31)/92</f>
        <v>26.5</v>
      </c>
      <c r="BA159" s="194">
        <f>AVERAGE('Filter-new'!I647:I649)</f>
        <v>-68.289689034369886</v>
      </c>
      <c r="BB159" s="376">
        <f>(VLOOKUP(37956,[1]Offpeak_Forward!$A$1:$AG$231,15,FALSE)*31+VLOOKUP(37926,[1]Offpeak_Forward!$A$1:$AG$231,15,FALSE)*30+VLOOKUP(37895,[1]Offpeak_Forward!$A$1:$AG$231,15,FALSE)*31)/92</f>
        <v>16.298181689303835</v>
      </c>
      <c r="BC159" s="291">
        <f>'Filter-old'!K160</f>
        <v>0</v>
      </c>
      <c r="BD159" s="194">
        <f>AVERAGE('Filter-new'!K158:K160)</f>
        <v>-50</v>
      </c>
      <c r="BE159" s="152">
        <f>'price-old'!K39</f>
        <v>40.5</v>
      </c>
      <c r="BF159" s="195">
        <f>('price-new'!K39*31+'price-new'!K38*30+'price-new'!K37*31)/92</f>
        <v>34.25</v>
      </c>
      <c r="BG159" s="174">
        <f>'Filter-old'!M160</f>
        <v>0</v>
      </c>
      <c r="BH159" s="194">
        <f>AVERAGE('Filter-new'!K647:K649)</f>
        <v>0</v>
      </c>
      <c r="BI159" s="376">
        <f>(VLOOKUP(37956,[1]Offpeak_Forward!$A$1:$AG$231,2,FALSE)*31+VLOOKUP(37926,[1]Offpeak_Forward!$A$1:$AG$231,2,FALSE)*30+VLOOKUP(37895,[1]Offpeak_Forward!$A$1:$AG$231,2,FALSE)*31)/92</f>
        <v>23.84226332540096</v>
      </c>
      <c r="BJ159" s="194">
        <f>AVERAGE('Filter-new'!M158:M160)</f>
        <v>250</v>
      </c>
      <c r="BK159" s="152">
        <f>'price-old'!M39</f>
        <v>33</v>
      </c>
      <c r="BL159" s="195">
        <f>('price-new'!M39*31+'price-new'!M38*30+'price-new'!M37*31)/92</f>
        <v>28.5</v>
      </c>
      <c r="BM159" s="252"/>
      <c r="BN159" s="489">
        <f>AVERAGE('Filter-new'!N158:N160)</f>
        <v>0</v>
      </c>
      <c r="BO159" s="252"/>
      <c r="BP159" s="252">
        <f>('price-new'!N39*31+'price-new'!N38*30+'price-new'!N37*31)/92</f>
        <v>36.5</v>
      </c>
      <c r="BQ159" s="174">
        <f>'Filter-old'!O160</f>
        <v>0</v>
      </c>
      <c r="BR159" s="194">
        <f>AVERAGE('Filter-new'!O158:O160)</f>
        <v>100</v>
      </c>
      <c r="BS159" s="152">
        <f>'price-old'!N39</f>
        <v>32.25</v>
      </c>
      <c r="BT159" s="195">
        <f>('price-new'!O39*31+'price-new'!O38*30+'price-new'!O37*31)/92</f>
        <v>27.300000000000004</v>
      </c>
      <c r="BU159" s="174">
        <f>'Filter-old'!Q160</f>
        <v>395.32909090909089</v>
      </c>
      <c r="BV159" s="194">
        <f>AVERAGE('Filter-new'!Q158:Q160)</f>
        <v>140.20657916406628</v>
      </c>
      <c r="BW159" s="154">
        <f>'price-old'!P39</f>
        <v>29.75</v>
      </c>
      <c r="BX159" s="195">
        <f>('price-new'!Q39*31+'price-new'!Q38*30+'price-new'!Q37*31)/92</f>
        <v>26.251000000000001</v>
      </c>
      <c r="BY159" s="194">
        <f>AVERAGE('Filter-new'!Q647:Q649)</f>
        <v>-17.072422258592471</v>
      </c>
      <c r="BZ159" s="252">
        <f>(VLOOKUP(37956,[1]Offpeak_Forward!$A$1:$AG$231,22,FALSE)*31+VLOOKUP(37926,[1]Offpeak_Forward!$A$1:$AG$231,22,FALSE)*30+VLOOKUP(37895,[1]Offpeak_Forward!$A$1:$AG$231,22,FALSE)*31)/92</f>
        <v>16.423532371935607</v>
      </c>
      <c r="CA159" s="174">
        <f>'Filter-old'!R160</f>
        <v>-50</v>
      </c>
      <c r="CB159" s="194">
        <f>AVERAGE('Filter-new'!R158:R160)</f>
        <v>500</v>
      </c>
      <c r="CC159" s="153">
        <f>'price-old'!Q39</f>
        <v>33</v>
      </c>
      <c r="CD159" s="195">
        <f>('price-new'!R39*31+'price-new'!R38*30+'price-new'!R37*31)/92</f>
        <v>28.75</v>
      </c>
      <c r="CE159" s="194">
        <f>AVERAGE('Filter-new'!R647:R649)</f>
        <v>-0.54903303383546154</v>
      </c>
      <c r="CF159" s="196">
        <f>(VLOOKUP(37956,[1]Offpeak_Forward!$A$1:$AG$231,6,FALSE)*31+VLOOKUP(37926,[1]Offpeak_Forward!$A$1:$AG$231,6,FALSE)*30+VLOOKUP(37895,[1]Offpeak_Forward!$A$1:$AG$231,6,FALSE)*31)/92</f>
        <v>19.916420335354985</v>
      </c>
      <c r="CG159" s="197"/>
    </row>
    <row r="160" spans="1:85" s="494" customFormat="1" ht="6" customHeight="1" x14ac:dyDescent="0.2">
      <c r="A160" s="494">
        <v>1</v>
      </c>
      <c r="B160" s="503"/>
      <c r="C160" s="502"/>
      <c r="D160" s="74"/>
      <c r="E160" s="74"/>
      <c r="F160" s="74"/>
      <c r="G160" s="495"/>
      <c r="H160" s="470"/>
      <c r="I160" s="504"/>
      <c r="J160" s="132"/>
      <c r="K160" s="495"/>
      <c r="L160" s="470"/>
      <c r="M160" s="87"/>
      <c r="N160" s="496"/>
      <c r="O160" s="497"/>
      <c r="P160" s="496"/>
      <c r="Q160" s="499"/>
      <c r="R160" s="470"/>
      <c r="S160" s="87"/>
      <c r="T160" s="498"/>
      <c r="U160" s="470"/>
      <c r="V160" s="498"/>
      <c r="W160" s="499"/>
      <c r="X160" s="470"/>
      <c r="Y160" s="87"/>
      <c r="Z160" s="498"/>
      <c r="AA160" s="495"/>
      <c r="AB160" s="470"/>
      <c r="AC160" s="87"/>
      <c r="AD160" s="498"/>
      <c r="AE160" s="499"/>
      <c r="AF160" s="470"/>
      <c r="AG160" s="87"/>
      <c r="AH160" s="498"/>
      <c r="AI160" s="499"/>
      <c r="AJ160" s="470"/>
      <c r="AK160" s="87"/>
      <c r="AL160" s="498"/>
      <c r="AM160" s="470"/>
      <c r="AN160" s="498"/>
      <c r="AO160" s="499"/>
      <c r="AP160" s="470"/>
      <c r="AQ160" s="87"/>
      <c r="AR160" s="498"/>
      <c r="AS160" s="495"/>
      <c r="AT160" s="470"/>
      <c r="AU160" s="87"/>
      <c r="AV160" s="470"/>
      <c r="AW160" s="499"/>
      <c r="AX160" s="470"/>
      <c r="AY160" s="87"/>
      <c r="AZ160" s="498"/>
      <c r="BA160" s="470"/>
      <c r="BB160" s="498"/>
      <c r="BC160" s="499"/>
      <c r="BD160" s="470"/>
      <c r="BE160" s="87"/>
      <c r="BF160" s="498"/>
      <c r="BG160" s="499"/>
      <c r="BH160" s="134"/>
      <c r="BI160" s="134"/>
      <c r="BJ160" s="470"/>
      <c r="BK160" s="87"/>
      <c r="BL160" s="498"/>
      <c r="BM160" s="498"/>
      <c r="BN160" s="497"/>
      <c r="BO160" s="498"/>
      <c r="BP160" s="498"/>
      <c r="BQ160" s="499"/>
      <c r="BR160" s="470"/>
      <c r="BS160" s="87"/>
      <c r="BT160" s="498"/>
      <c r="BU160" s="499"/>
      <c r="BV160" s="470"/>
      <c r="BW160" s="62"/>
      <c r="BX160" s="498"/>
      <c r="BY160" s="470"/>
      <c r="BZ160" s="498"/>
      <c r="CA160" s="499"/>
      <c r="CB160" s="470"/>
      <c r="CC160" s="61"/>
      <c r="CD160" s="498"/>
      <c r="CE160" s="470"/>
      <c r="CF160" s="498"/>
      <c r="CG160" s="500"/>
    </row>
    <row r="161" spans="1:85" hidden="1" x14ac:dyDescent="0.2">
      <c r="A161">
        <v>0</v>
      </c>
      <c r="B161" s="59">
        <v>37987</v>
      </c>
      <c r="C161" s="59">
        <f>'Filter-new'!C39</f>
        <v>37987</v>
      </c>
      <c r="D161" s="63"/>
      <c r="E161" s="63"/>
      <c r="F161" s="63"/>
      <c r="G161" s="36">
        <f>SUM(K161,AA161,AO161,Q161,AW161,W161,BC161,AI161,BG161,BQ161,AE161,BU161,CA161)</f>
        <v>243.15377976190479</v>
      </c>
      <c r="H161" s="36">
        <f>SUM(L161,AB161,AP161,R161,AX161,X161,BD161,AJ161,BJ161,BR161,AF161,BV161,CB161,BN161)</f>
        <v>269.45773809523808</v>
      </c>
      <c r="I161" s="208">
        <f>O161+U161+AM161+BA161+BY161+CE161</f>
        <v>21.196078431372555</v>
      </c>
      <c r="J161" s="41"/>
      <c r="K161" s="45">
        <f>'Filter-old'!E161</f>
        <v>20.102410714285714</v>
      </c>
      <c r="L161" s="61">
        <f>'Filter-new'!E161</f>
        <v>21.314880952380953</v>
      </c>
      <c r="M161" s="62">
        <f>'price-old'!E40</f>
        <v>38.281435285295757</v>
      </c>
      <c r="N161" s="62">
        <f>'price-new'!E40</f>
        <v>28.87</v>
      </c>
      <c r="O161" s="429">
        <f>'Filter-new'!E650</f>
        <v>113.35294117647059</v>
      </c>
      <c r="P161" s="62">
        <f>VLOOKUP(B161,[1]Offpeak_Forward!$A$1:$AG$231,13,FALSE)</f>
        <v>22.435489654541001</v>
      </c>
      <c r="Q161" s="45">
        <f>'Filter-old'!H161</f>
        <v>0</v>
      </c>
      <c r="R161" s="61">
        <f>'Filter-new'!H161</f>
        <v>0</v>
      </c>
      <c r="S161" s="62">
        <f>'price-old'!H40</f>
        <v>38.730865478515625</v>
      </c>
      <c r="T161" s="62">
        <f>'price-new'!H40</f>
        <v>27.32</v>
      </c>
      <c r="U161" s="445">
        <f>'Filter-new'!H650</f>
        <v>0</v>
      </c>
      <c r="V161" s="62">
        <f>VLOOKUP(B161,[1]Offpeak_Forward!$A$1:$AG$231,14,FALSE)</f>
        <v>22.118822097778299</v>
      </c>
      <c r="W161" s="45">
        <f>'Filter-old'!J161</f>
        <v>0</v>
      </c>
      <c r="X161" s="61">
        <f>'Filter-new'!J161</f>
        <v>0</v>
      </c>
      <c r="Y161" s="62">
        <f>'price-old'!J40</f>
        <v>48.298839569091797</v>
      </c>
      <c r="Z161" s="62">
        <f>'price-new'!J40</f>
        <v>29.37</v>
      </c>
      <c r="AA161" s="45">
        <f>'Filter-old'!F161</f>
        <v>0</v>
      </c>
      <c r="AB161" s="61">
        <f>'Filter-new'!F161</f>
        <v>0</v>
      </c>
      <c r="AC161" s="62">
        <f>'price-old'!F40</f>
        <v>38.281435285295757</v>
      </c>
      <c r="AD161" s="62">
        <f>'price-new'!F40</f>
        <v>29.37</v>
      </c>
      <c r="AE161" s="45">
        <f>'Filter-old'!P161</f>
        <v>0</v>
      </c>
      <c r="AF161" s="61">
        <f>'Filter-new'!P161</f>
        <v>0</v>
      </c>
      <c r="AG161" s="62">
        <f>'price-old'!O40</f>
        <v>37.782863616943359</v>
      </c>
      <c r="AH161" s="62">
        <f>'price-new'!P40</f>
        <v>31.82</v>
      </c>
      <c r="AI161" s="45">
        <f>'Filter-old'!L161</f>
        <v>0</v>
      </c>
      <c r="AJ161" s="61">
        <f>'Filter-new'!L161</f>
        <v>0</v>
      </c>
      <c r="AK161" s="62">
        <f>'price-old'!L40</f>
        <v>65.05</v>
      </c>
      <c r="AL161" s="62">
        <f>'price-new'!L40</f>
        <v>31.69</v>
      </c>
      <c r="AM161" s="62">
        <f>'Filter-new'!L650</f>
        <v>0</v>
      </c>
      <c r="AN161" s="62">
        <f>VLOOKUP(B161,[1]Offpeak_Forward!$A$1:$AG$231,18,FALSE)</f>
        <v>26.9715690612793</v>
      </c>
      <c r="AO161" s="45">
        <f>'Filter-old'!G161</f>
        <v>0</v>
      </c>
      <c r="AP161" s="61">
        <f>'Filter-new'!G161</f>
        <v>0</v>
      </c>
      <c r="AQ161" s="62">
        <f>'price-old'!G40</f>
        <v>38.469999694824217</v>
      </c>
      <c r="AR161" s="62">
        <f>'price-new'!G40</f>
        <v>28.11</v>
      </c>
      <c r="AS161" s="45"/>
      <c r="AT161" s="61">
        <f>AX161+BD161+BJ161+BR161+BV161+CB161+BN161</f>
        <v>248.14285714285714</v>
      </c>
      <c r="AU161" s="62"/>
      <c r="AV161" s="208">
        <f>BA161+BY161+CE161</f>
        <v>-92.156862745098039</v>
      </c>
      <c r="AW161" s="45">
        <f>'Filter-old'!I161</f>
        <v>50</v>
      </c>
      <c r="AX161" s="61">
        <f>'Filter-new'!I161</f>
        <v>100</v>
      </c>
      <c r="AY161" s="62">
        <f>'price-old'!I40</f>
        <v>35.254997253417969</v>
      </c>
      <c r="AZ161" s="62">
        <f>'price-new'!I40</f>
        <v>28.37</v>
      </c>
      <c r="BA161" s="62">
        <f>'Filter-new'!I650</f>
        <v>0</v>
      </c>
      <c r="BB161" s="62">
        <f>VLOOKUP(B161,[1]Offpeak_Forward!$A$1:$AG$231,15,FALSE)</f>
        <v>18.812940597534201</v>
      </c>
      <c r="BC161" s="45">
        <f>'Filter-old'!K161</f>
        <v>0</v>
      </c>
      <c r="BD161" s="61">
        <f>'Filter-new'!K161</f>
        <v>0</v>
      </c>
      <c r="BE161" s="62">
        <f>'price-old'!K40</f>
        <v>51.1</v>
      </c>
      <c r="BF161" s="62">
        <f>'price-new'!K40</f>
        <v>40</v>
      </c>
      <c r="BG161" s="45">
        <f>'Filter-old'!M161</f>
        <v>0</v>
      </c>
      <c r="BH161" s="61"/>
      <c r="BI161" s="62">
        <f>VLOOKUP(B161,[1]Offpeak_Forward!$A$1:$AG$231,2,FALSE)</f>
        <v>32.0654907226563</v>
      </c>
      <c r="BJ161" s="61">
        <f>'Filter-new'!M161</f>
        <v>-50</v>
      </c>
      <c r="BK161" s="62">
        <f>'price-old'!M40</f>
        <v>38.25</v>
      </c>
      <c r="BL161" s="62">
        <f>'price-new'!M40</f>
        <v>31.5</v>
      </c>
      <c r="BM161" s="62"/>
      <c r="BN161" s="406">
        <f>'Filter-new'!N161</f>
        <v>0</v>
      </c>
      <c r="BO161" s="62"/>
      <c r="BP161" s="62">
        <f>'price-new'!N40</f>
        <v>40</v>
      </c>
      <c r="BQ161" s="45">
        <f>'Filter-old'!O161</f>
        <v>0</v>
      </c>
      <c r="BR161" s="61">
        <f>'Filter-new'!O161</f>
        <v>0</v>
      </c>
      <c r="BS161" s="62">
        <f>'price-old'!N40</f>
        <v>35.004997253417969</v>
      </c>
      <c r="BT161" s="62">
        <f>'price-new'!O40</f>
        <v>30.1</v>
      </c>
      <c r="BU161" s="45">
        <f>'Filter-old'!Q161</f>
        <v>173.05136904761906</v>
      </c>
      <c r="BV161" s="61">
        <f>'Filter-new'!Q161</f>
        <v>-1.8571428571428572</v>
      </c>
      <c r="BW161" s="62">
        <f>'price-old'!P40</f>
        <v>36.75</v>
      </c>
      <c r="BX161" s="88">
        <f>'price-new'!Q40</f>
        <v>28.812000000000001</v>
      </c>
      <c r="BY161" s="88">
        <f>'Filter-new'!Q650</f>
        <v>0</v>
      </c>
      <c r="BZ161" s="88">
        <f>VLOOKUP(B161,[1]Offpeak_Forward!$A$1:$AG$231,22,FALSE)</f>
        <v>19.192548751831101</v>
      </c>
      <c r="CA161" s="45">
        <f>'Filter-old'!R161</f>
        <v>0</v>
      </c>
      <c r="CB161" s="61">
        <f>'Filter-new'!R161</f>
        <v>200</v>
      </c>
      <c r="CC161" s="61">
        <f>'price-old'!Q40</f>
        <v>38.25</v>
      </c>
      <c r="CD161" s="89">
        <f>'price-new'!R40</f>
        <v>31</v>
      </c>
      <c r="CE161" s="87">
        <f>'Filter-new'!R650</f>
        <v>-92.156862745098039</v>
      </c>
      <c r="CF161" s="87">
        <f>VLOOKUP(B161,[1]Offpeak_Forward!$A$1:$AG$231,6,FALSE)</f>
        <v>23.702548980712901</v>
      </c>
      <c r="CG161" s="4"/>
    </row>
    <row r="162" spans="1:85" hidden="1" x14ac:dyDescent="0.2">
      <c r="A162">
        <v>0</v>
      </c>
      <c r="B162" s="59">
        <v>38018</v>
      </c>
      <c r="C162" s="59">
        <f>'Filter-new'!C40</f>
        <v>38018</v>
      </c>
      <c r="D162" s="63"/>
      <c r="E162" s="63"/>
      <c r="F162" s="63"/>
      <c r="G162" s="36">
        <f>SUM(K162,AA162,AO162,Q162,AW162,W162,BC162,AI162,BG162,BQ162,AE162,BU162,CA162)</f>
        <v>242.22846874999999</v>
      </c>
      <c r="H162" s="36">
        <f>SUM(L162,AB162,AP162,R162,AX162,X162,BD162,AJ162,BJ162,BR162,AF162,BV162,CB162,BN162)</f>
        <v>269.37728125000001</v>
      </c>
      <c r="I162" s="297">
        <f>O162+U162+AM162+BA162+BY162+CE162</f>
        <v>23</v>
      </c>
      <c r="J162" s="41"/>
      <c r="K162" s="45">
        <f>'Filter-old'!E162</f>
        <v>20.006250000000001</v>
      </c>
      <c r="L162" s="61">
        <f>'Filter-new'!E162</f>
        <v>21.227062499999999</v>
      </c>
      <c r="M162" s="62">
        <f>'price-old'!E41</f>
        <v>37.431432996477398</v>
      </c>
      <c r="N162" s="62">
        <f>'price-new'!E41</f>
        <v>28.52</v>
      </c>
      <c r="O162" s="429">
        <f>'Filter-new'!E651</f>
        <v>123</v>
      </c>
      <c r="P162" s="62">
        <f>VLOOKUP(B162,[1]Offpeak_Forward!$A$1:$AG$231,13,FALSE)</f>
        <v>21.209999084472699</v>
      </c>
      <c r="Q162" s="45">
        <f>'Filter-old'!H162</f>
        <v>0</v>
      </c>
      <c r="R162" s="61">
        <f>'Filter-new'!H162</f>
        <v>0</v>
      </c>
      <c r="S162" s="62">
        <f>'price-old'!H41</f>
        <v>39.382862091064453</v>
      </c>
      <c r="T162" s="62">
        <f>'price-new'!H41</f>
        <v>26.97</v>
      </c>
      <c r="U162" s="445">
        <f>'Filter-new'!H651</f>
        <v>0</v>
      </c>
      <c r="V162" s="62">
        <f>VLOOKUP(B162,[1]Offpeak_Forward!$A$1:$AG$231,14,FALSE)</f>
        <v>20.488510131835898</v>
      </c>
      <c r="W162" s="45">
        <f>'Filter-old'!J162</f>
        <v>0</v>
      </c>
      <c r="X162" s="61">
        <f>'Filter-new'!J162</f>
        <v>0</v>
      </c>
      <c r="Y162" s="62">
        <f>'price-old'!J41</f>
        <v>46.298839569091797</v>
      </c>
      <c r="Z162" s="62">
        <f>'price-new'!J41</f>
        <v>29.02</v>
      </c>
      <c r="AA162" s="45">
        <f>'Filter-old'!F162</f>
        <v>0</v>
      </c>
      <c r="AB162" s="61">
        <f>'Filter-new'!F162</f>
        <v>0</v>
      </c>
      <c r="AC162" s="62">
        <f>'price-old'!F41</f>
        <v>37.431432996477398</v>
      </c>
      <c r="AD162" s="62">
        <f>'price-new'!F41</f>
        <v>29.02</v>
      </c>
      <c r="AE162" s="45">
        <f>'Filter-old'!P162</f>
        <v>0</v>
      </c>
      <c r="AF162" s="61">
        <f>'Filter-new'!P162</f>
        <v>0</v>
      </c>
      <c r="AG162" s="62">
        <f>'price-old'!O41</f>
        <v>36.932861328125</v>
      </c>
      <c r="AH162" s="62">
        <f>'price-new'!P41</f>
        <v>32.97</v>
      </c>
      <c r="AI162" s="45">
        <f>'Filter-old'!L162</f>
        <v>0</v>
      </c>
      <c r="AJ162" s="61">
        <f>'Filter-new'!L162</f>
        <v>0</v>
      </c>
      <c r="AK162" s="62">
        <f>'price-old'!L41</f>
        <v>65.05</v>
      </c>
      <c r="AL162" s="62">
        <f>'price-new'!L41</f>
        <v>31.34</v>
      </c>
      <c r="AM162" s="62">
        <f>'Filter-new'!L651</f>
        <v>0</v>
      </c>
      <c r="AN162" s="62">
        <f>VLOOKUP(B162,[1]Offpeak_Forward!$A$1:$AG$231,18,FALSE)</f>
        <v>24.8814888000488</v>
      </c>
      <c r="AO162" s="45">
        <f>'Filter-old'!G162</f>
        <v>0</v>
      </c>
      <c r="AP162" s="61">
        <f>'Filter-new'!G162</f>
        <v>0</v>
      </c>
      <c r="AQ162" s="62">
        <f>'price-old'!G41</f>
        <v>37.319994354248045</v>
      </c>
      <c r="AR162" s="62">
        <f>'price-new'!G41</f>
        <v>27.36</v>
      </c>
      <c r="AS162" s="45"/>
      <c r="AT162" s="61">
        <f>AX162+BD162+BJ162+BR162+BV162+CB162+BN162</f>
        <v>248.15021874999999</v>
      </c>
      <c r="AU162" s="62"/>
      <c r="AV162" s="297">
        <f>BA162+BY162+CE162</f>
        <v>-100</v>
      </c>
      <c r="AW162" s="45">
        <f>'Filter-old'!I162</f>
        <v>50</v>
      </c>
      <c r="AX162" s="61">
        <f>'Filter-new'!I162</f>
        <v>100</v>
      </c>
      <c r="AY162" s="62">
        <f>'price-old'!I41</f>
        <v>35.000003814697266</v>
      </c>
      <c r="AZ162" s="62">
        <f>'price-new'!I41</f>
        <v>28.02</v>
      </c>
      <c r="BA162" s="62">
        <f>'Filter-new'!I651</f>
        <v>0</v>
      </c>
      <c r="BB162" s="62">
        <f>VLOOKUP(B162,[1]Offpeak_Forward!$A$1:$AG$231,15,FALSE)</f>
        <v>19.577020645141602</v>
      </c>
      <c r="BC162" s="45">
        <f>'Filter-old'!K162</f>
        <v>0</v>
      </c>
      <c r="BD162" s="61">
        <f>'Filter-new'!K162</f>
        <v>0</v>
      </c>
      <c r="BE162" s="62">
        <f>'price-old'!K41</f>
        <v>51.1</v>
      </c>
      <c r="BF162" s="62">
        <f>'price-new'!K41</f>
        <v>40</v>
      </c>
      <c r="BG162" s="45">
        <f>'Filter-old'!M162</f>
        <v>0</v>
      </c>
      <c r="BH162" s="61"/>
      <c r="BI162" s="62">
        <f>VLOOKUP(B162,[1]Offpeak_Forward!$A$1:$AG$231,2,FALSE)</f>
        <v>31.0836181640625</v>
      </c>
      <c r="BJ162" s="61">
        <f>'Filter-new'!M162</f>
        <v>-50</v>
      </c>
      <c r="BK162" s="62">
        <f>'price-old'!M41</f>
        <v>38.25</v>
      </c>
      <c r="BL162" s="62">
        <f>'price-new'!M41</f>
        <v>31.5</v>
      </c>
      <c r="BM162" s="62"/>
      <c r="BN162" s="406">
        <f>'Filter-new'!N162</f>
        <v>0</v>
      </c>
      <c r="BO162" s="62"/>
      <c r="BP162" s="62">
        <f>'price-new'!N41</f>
        <v>40</v>
      </c>
      <c r="BQ162" s="45">
        <f>'Filter-old'!O162</f>
        <v>0</v>
      </c>
      <c r="BR162" s="61">
        <f>'Filter-new'!O162</f>
        <v>0</v>
      </c>
      <c r="BS162" s="62">
        <f>'price-old'!N41</f>
        <v>35.000003814697266</v>
      </c>
      <c r="BT162" s="62">
        <f>'price-new'!O41</f>
        <v>30.1</v>
      </c>
      <c r="BU162" s="45">
        <f>'Filter-old'!Q162</f>
        <v>172.22221875</v>
      </c>
      <c r="BV162" s="61">
        <f>'Filter-new'!Q162</f>
        <v>-1.8497812499999999</v>
      </c>
      <c r="BW162" s="62">
        <f>'price-old'!P41</f>
        <v>35.75</v>
      </c>
      <c r="BX162" s="88">
        <f>'price-new'!Q41</f>
        <v>29.986999999999998</v>
      </c>
      <c r="BY162" s="88">
        <f>'Filter-new'!Q651</f>
        <v>0</v>
      </c>
      <c r="BZ162" s="88">
        <f>VLOOKUP(B162,[1]Offpeak_Forward!$A$1:$AG$231,22,FALSE)</f>
        <v>19.088085174560501</v>
      </c>
      <c r="CA162" s="45">
        <f>'Filter-old'!R162</f>
        <v>0</v>
      </c>
      <c r="CB162" s="61">
        <f>'Filter-new'!R162</f>
        <v>200</v>
      </c>
      <c r="CC162" s="61">
        <f>'price-old'!Q41</f>
        <v>38.25</v>
      </c>
      <c r="CD162" s="89">
        <f>'price-new'!R41</f>
        <v>31</v>
      </c>
      <c r="CE162" s="87">
        <f>'Filter-new'!R651</f>
        <v>-100</v>
      </c>
      <c r="CF162" s="87">
        <f>VLOOKUP(B162,[1]Offpeak_Forward!$A$1:$AG$231,6,FALSE)</f>
        <v>23.6431064605713</v>
      </c>
      <c r="CG162" s="4"/>
    </row>
    <row r="163" spans="1:85" x14ac:dyDescent="0.2">
      <c r="A163">
        <v>1</v>
      </c>
      <c r="B163" s="501" t="s">
        <v>145</v>
      </c>
      <c r="C163" s="63"/>
      <c r="D163" s="63"/>
      <c r="E163" s="63"/>
      <c r="F163" s="63"/>
      <c r="G163" s="36"/>
      <c r="H163" s="506">
        <f>AVERAGE(H161:H162)</f>
        <v>269.41750967261908</v>
      </c>
      <c r="I163" s="506">
        <f>AVERAGE(I161:I162)</f>
        <v>22.098039215686278</v>
      </c>
      <c r="J163" s="41"/>
      <c r="K163" s="45"/>
      <c r="L163" s="506">
        <f>AVERAGE(L161:L162)</f>
        <v>21.270971726190474</v>
      </c>
      <c r="M163" s="62"/>
      <c r="N163" s="507">
        <f>AVERAGE(N161:N162)</f>
        <v>28.695</v>
      </c>
      <c r="O163" s="506">
        <f>AVERAGE(O161:O162)</f>
        <v>118.1764705882353</v>
      </c>
      <c r="P163" s="507">
        <f>AVERAGE(P161:P162)</f>
        <v>21.82274436950685</v>
      </c>
      <c r="Q163" s="45"/>
      <c r="R163" s="506">
        <f>AVERAGE(R161:R162)</f>
        <v>0</v>
      </c>
      <c r="S163" s="62"/>
      <c r="T163" s="508">
        <f>AVERAGE(T161:T162)</f>
        <v>27.145</v>
      </c>
      <c r="U163" s="506">
        <f>AVERAGE(U161:U162)</f>
        <v>0</v>
      </c>
      <c r="V163" s="508">
        <f>AVERAGE(V161:V162)</f>
        <v>21.3036661148071</v>
      </c>
      <c r="W163" s="45"/>
      <c r="X163" s="61"/>
      <c r="Y163" s="62"/>
      <c r="Z163" s="62"/>
      <c r="AA163" s="45"/>
      <c r="AB163" s="506">
        <f>AVERAGE(AB161:AB162)</f>
        <v>0</v>
      </c>
      <c r="AC163" s="62"/>
      <c r="AD163" s="508">
        <f>AVERAGE(AD161:AD162)</f>
        <v>29.195</v>
      </c>
      <c r="AE163" s="45"/>
      <c r="AF163" s="506">
        <f>AVERAGE(AF161:AF162)</f>
        <v>0</v>
      </c>
      <c r="AG163" s="62"/>
      <c r="AH163" s="508">
        <f>AVERAGE(AH161:AH162)</f>
        <v>32.394999999999996</v>
      </c>
      <c r="AI163" s="45"/>
      <c r="AJ163" s="506">
        <f>AVERAGE(AJ161:AJ162)</f>
        <v>0</v>
      </c>
      <c r="AK163" s="62"/>
      <c r="AL163" s="508">
        <f>AVERAGE(AL161:AL162)</f>
        <v>31.515000000000001</v>
      </c>
      <c r="AM163" s="506">
        <f>AVERAGE(AM161:AM162)</f>
        <v>0</v>
      </c>
      <c r="AN163" s="508">
        <f>AVERAGE(AN161:AN162)</f>
        <v>25.926528930664048</v>
      </c>
      <c r="AO163" s="45"/>
      <c r="AP163" s="61"/>
      <c r="AQ163" s="62"/>
      <c r="AR163" s="62"/>
      <c r="AS163" s="45"/>
      <c r="AT163" s="506">
        <f>AVERAGE(AT161:AT162)</f>
        <v>248.14653794642857</v>
      </c>
      <c r="AU163" s="62"/>
      <c r="AV163" s="506">
        <f>AVERAGE(AV161:AV162)</f>
        <v>-96.078431372549019</v>
      </c>
      <c r="AW163" s="45"/>
      <c r="AX163" s="506">
        <f>AVERAGE(AX161:AX162)</f>
        <v>100</v>
      </c>
      <c r="AY163" s="62"/>
      <c r="AZ163" s="508">
        <f>AVERAGE(AZ161:AZ162)</f>
        <v>28.195</v>
      </c>
      <c r="BA163" s="506">
        <f>AVERAGE(BA161:BA162)</f>
        <v>0</v>
      </c>
      <c r="BB163" s="508">
        <f>AVERAGE(BB161:BB162)</f>
        <v>19.194980621337901</v>
      </c>
      <c r="BC163" s="45"/>
      <c r="BD163" s="506">
        <f>AVERAGE(BD161:BD162)</f>
        <v>0</v>
      </c>
      <c r="BE163" s="62"/>
      <c r="BF163" s="508">
        <f>AVERAGE(BF161:BF162)</f>
        <v>40</v>
      </c>
      <c r="BG163" s="45"/>
      <c r="BH163" s="506">
        <f>AVERAGE('Filter-new'!K650:K651)</f>
        <v>0</v>
      </c>
      <c r="BI163" s="508">
        <f>AVERAGE(BI161:BI162)</f>
        <v>31.5745544433594</v>
      </c>
      <c r="BJ163" s="506">
        <f>AVERAGE(BJ161:BJ162)</f>
        <v>-50</v>
      </c>
      <c r="BK163" s="62"/>
      <c r="BL163" s="508">
        <f>AVERAGE(BL161:BL162)</f>
        <v>31.5</v>
      </c>
      <c r="BM163" s="62"/>
      <c r="BN163" s="506">
        <f>AVERAGE(BN161:BN162)</f>
        <v>0</v>
      </c>
      <c r="BO163" s="62"/>
      <c r="BP163" s="508">
        <f>AVERAGE(BP161:BP162)</f>
        <v>40</v>
      </c>
      <c r="BQ163" s="45"/>
      <c r="BR163" s="506">
        <f>AVERAGE(BR161:BR162)</f>
        <v>0</v>
      </c>
      <c r="BS163" s="62"/>
      <c r="BT163" s="508">
        <f>AVERAGE(BT161:BT162)</f>
        <v>30.1</v>
      </c>
      <c r="BU163" s="45"/>
      <c r="BV163" s="506">
        <f>AVERAGE(BV161:BV162)</f>
        <v>-1.8534620535714286</v>
      </c>
      <c r="BW163" s="62"/>
      <c r="BX163" s="508">
        <f>AVERAGE(BX161:BX162)</f>
        <v>29.3995</v>
      </c>
      <c r="BY163" s="506">
        <f>AVERAGE(BY161:BY162)</f>
        <v>0</v>
      </c>
      <c r="BZ163" s="508">
        <f>AVERAGE(BZ161:BZ162)</f>
        <v>19.140316963195801</v>
      </c>
      <c r="CA163" s="45"/>
      <c r="CB163" s="506">
        <f>AVERAGE(CB161:CB162)</f>
        <v>200</v>
      </c>
      <c r="CC163" s="61"/>
      <c r="CD163" s="508">
        <f>AVERAGE(CD161:CD162)</f>
        <v>31</v>
      </c>
      <c r="CE163" s="506">
        <f>AVERAGE(CE161:CE162)</f>
        <v>-96.078431372549019</v>
      </c>
      <c r="CF163" s="508">
        <f>AVERAGE(CF161:CF162)</f>
        <v>23.672827720642101</v>
      </c>
      <c r="CG163" s="4"/>
    </row>
    <row r="164" spans="1:85" hidden="1" x14ac:dyDescent="0.2">
      <c r="A164">
        <v>0</v>
      </c>
      <c r="B164" s="59">
        <v>38047</v>
      </c>
      <c r="C164" s="59">
        <f>'Filter-new'!C41</f>
        <v>38047</v>
      </c>
      <c r="D164" s="63"/>
      <c r="E164" s="63"/>
      <c r="F164" s="63"/>
      <c r="G164" s="36">
        <f>SUM(K164,AA164,AO164,Q164,AW164,W164,BC164,AI164,BG164,BQ164,AE164,BU164,CA164)</f>
        <v>241.24972826086957</v>
      </c>
      <c r="H164" s="36">
        <f>SUM(L164,AB164,AP164,R164,AX164,X164,BD164,AJ164,BJ164,BR164,AF164,BV164,CB164,BN164)</f>
        <v>269.29244565217391</v>
      </c>
      <c r="I164" s="134">
        <f>O164+U164+AM164+BA164+BY164+CE164</f>
        <v>22.449468085106389</v>
      </c>
      <c r="J164" s="41"/>
      <c r="K164" s="45">
        <f>'Filter-old'!E163</f>
        <v>19.904211956521738</v>
      </c>
      <c r="L164" s="61">
        <f>'Filter-new'!E163</f>
        <v>21.133532608695653</v>
      </c>
      <c r="M164" s="62">
        <f>'price-old'!E42</f>
        <v>32.395177264546241</v>
      </c>
      <c r="N164" s="62">
        <f>'price-new'!E42</f>
        <v>28.23</v>
      </c>
      <c r="O164" s="429">
        <f>'Filter-new'!E652</f>
        <v>120.05585106382979</v>
      </c>
      <c r="P164" s="62">
        <f>VLOOKUP(B164,[1]Offpeak_Forward!$A$1:$AG$231,13,FALSE)</f>
        <v>20.1610622406006</v>
      </c>
      <c r="Q164" s="45">
        <f>'Filter-old'!H163</f>
        <v>0</v>
      </c>
      <c r="R164" s="61">
        <f>'Filter-new'!H163</f>
        <v>0</v>
      </c>
      <c r="S164" s="62">
        <f>'price-old'!H42</f>
        <v>32.348545074462891</v>
      </c>
      <c r="T164" s="62">
        <f>'price-new'!H42</f>
        <v>26.68</v>
      </c>
      <c r="U164" s="445">
        <f>'Filter-new'!H652</f>
        <v>0</v>
      </c>
      <c r="V164" s="62">
        <f>VLOOKUP(B164,[1]Offpeak_Forward!$A$1:$AG$231,14,FALSE)</f>
        <v>19.5255317687988</v>
      </c>
      <c r="W164" s="45">
        <f>'Filter-old'!J163</f>
        <v>0</v>
      </c>
      <c r="X164" s="61">
        <f>'Filter-new'!J163</f>
        <v>0</v>
      </c>
      <c r="Y164" s="62">
        <f>'price-old'!J42</f>
        <v>40.046916961669922</v>
      </c>
      <c r="Z164" s="62">
        <f>'price-new'!J42</f>
        <v>28.98</v>
      </c>
      <c r="AA164" s="45">
        <f>'Filter-old'!F163</f>
        <v>0</v>
      </c>
      <c r="AB164" s="61">
        <f>'Filter-new'!F163</f>
        <v>0</v>
      </c>
      <c r="AC164" s="62">
        <f>'price-old'!F42</f>
        <v>32.395177264546241</v>
      </c>
      <c r="AD164" s="62">
        <f>'price-new'!F42</f>
        <v>28.98</v>
      </c>
      <c r="AE164" s="45">
        <f>'Filter-old'!P163</f>
        <v>0</v>
      </c>
      <c r="AF164" s="61">
        <f>'Filter-new'!P163</f>
        <v>0</v>
      </c>
      <c r="AG164" s="62">
        <f>'price-old'!O42</f>
        <v>31.648544311523437</v>
      </c>
      <c r="AH164" s="62">
        <f>'price-new'!P42</f>
        <v>30.93</v>
      </c>
      <c r="AI164" s="45">
        <f>'Filter-old'!L163</f>
        <v>0</v>
      </c>
      <c r="AJ164" s="61">
        <f>'Filter-new'!L163</f>
        <v>0</v>
      </c>
      <c r="AK164" s="62">
        <f>'price-old'!L42</f>
        <v>52.05</v>
      </c>
      <c r="AL164" s="62">
        <f>'price-new'!L42</f>
        <v>30.78</v>
      </c>
      <c r="AM164" s="62">
        <f>'Filter-new'!L652</f>
        <v>0</v>
      </c>
      <c r="AN164" s="62">
        <f>VLOOKUP(B164,[1]Offpeak_Forward!$A$1:$AG$231,18,FALSE)</f>
        <v>24.051277160644499</v>
      </c>
      <c r="AO164" s="45">
        <f>'Filter-old'!G163</f>
        <v>0</v>
      </c>
      <c r="AP164" s="61">
        <f>'Filter-new'!G163</f>
        <v>0</v>
      </c>
      <c r="AQ164" s="62">
        <f>'price-old'!G42</f>
        <v>33.34999313354492</v>
      </c>
      <c r="AR164" s="62">
        <f>'price-new'!G42</f>
        <v>25.795999999999999</v>
      </c>
      <c r="AS164" s="45"/>
      <c r="AT164" s="61">
        <f>AX164+BD164+BJ164+BR164+BV164+CB164+BN164</f>
        <v>248.15891304347826</v>
      </c>
      <c r="AU164" s="62"/>
      <c r="AV164" s="179">
        <f>BA164+BY164+CE164</f>
        <v>-97.606382978723403</v>
      </c>
      <c r="AW164" s="45">
        <f>'Filter-old'!I163</f>
        <v>50</v>
      </c>
      <c r="AX164" s="61">
        <f>'Filter-new'!I163</f>
        <v>100</v>
      </c>
      <c r="AY164" s="62">
        <f>'price-old'!I42</f>
        <v>30.5</v>
      </c>
      <c r="AZ164" s="62">
        <f>'price-new'!I42</f>
        <v>27.73</v>
      </c>
      <c r="BA164" s="62">
        <f>'Filter-new'!I652</f>
        <v>0</v>
      </c>
      <c r="BB164" s="62">
        <f>VLOOKUP(B164,[1]Offpeak_Forward!$A$1:$AG$231,15,FALSE)</f>
        <v>19.091915130615199</v>
      </c>
      <c r="BC164" s="45">
        <f>'Filter-old'!K163</f>
        <v>0</v>
      </c>
      <c r="BD164" s="61">
        <f>'Filter-new'!K163</f>
        <v>0</v>
      </c>
      <c r="BE164" s="62">
        <f>'price-old'!K42</f>
        <v>40.200000000000003</v>
      </c>
      <c r="BF164" s="62">
        <f>'price-new'!K42</f>
        <v>33.5</v>
      </c>
      <c r="BG164" s="45">
        <f>'Filter-old'!M163</f>
        <v>0</v>
      </c>
      <c r="BH164" s="61"/>
      <c r="BI164" s="62">
        <f>VLOOKUP(B164,[1]Offpeak_Forward!$A$1:$AG$231,2,FALSE)</f>
        <v>28.417020797729499</v>
      </c>
      <c r="BJ164" s="61">
        <f>'Filter-new'!M163</f>
        <v>-50</v>
      </c>
      <c r="BK164" s="62">
        <f>'price-old'!M42</f>
        <v>34.25</v>
      </c>
      <c r="BL164" s="62">
        <f>'price-new'!M42</f>
        <v>29.5</v>
      </c>
      <c r="BM164" s="62"/>
      <c r="BN164" s="406">
        <f>'Filter-new'!N163</f>
        <v>0</v>
      </c>
      <c r="BO164" s="62"/>
      <c r="BP164" s="62">
        <f>'price-new'!N42</f>
        <v>37</v>
      </c>
      <c r="BQ164" s="45">
        <f>'Filter-old'!O163</f>
        <v>0</v>
      </c>
      <c r="BR164" s="61">
        <f>'Filter-new'!O163</f>
        <v>0</v>
      </c>
      <c r="BS164" s="62">
        <f>'price-old'!N42</f>
        <v>33</v>
      </c>
      <c r="BT164" s="62">
        <f>'price-new'!O42</f>
        <v>27.85</v>
      </c>
      <c r="BU164" s="45">
        <f>'Filter-old'!Q163</f>
        <v>171.34551630434783</v>
      </c>
      <c r="BV164" s="61">
        <f>'Filter-new'!Q163</f>
        <v>-1.8410869565217391</v>
      </c>
      <c r="BW164" s="62">
        <f>'price-old'!P42</f>
        <v>29.650001525878906</v>
      </c>
      <c r="BX164" s="88">
        <f>'price-new'!Q42</f>
        <v>25.887</v>
      </c>
      <c r="BY164" s="88">
        <f>'Filter-new'!Q652</f>
        <v>0</v>
      </c>
      <c r="BZ164" s="88">
        <f>VLOOKUP(B164,[1]Offpeak_Forward!$A$1:$AG$231,22,FALSE)</f>
        <v>17.094467163085898</v>
      </c>
      <c r="CA164" s="45">
        <f>'Filter-old'!R163</f>
        <v>0</v>
      </c>
      <c r="CB164" s="61">
        <f>'Filter-new'!R163</f>
        <v>200</v>
      </c>
      <c r="CC164" s="61">
        <f>'price-old'!Q42</f>
        <v>34.25</v>
      </c>
      <c r="CD164" s="89">
        <f>'price-new'!R42</f>
        <v>29.25</v>
      </c>
      <c r="CE164" s="87">
        <f>'Filter-new'!R652</f>
        <v>-97.606382978723403</v>
      </c>
      <c r="CF164" s="87">
        <f>VLOOKUP(B164,[1]Offpeak_Forward!$A$1:$AG$231,6,FALSE)</f>
        <v>18.6961269378662</v>
      </c>
      <c r="CG164" s="4"/>
    </row>
    <row r="165" spans="1:85" hidden="1" x14ac:dyDescent="0.2">
      <c r="A165">
        <v>0</v>
      </c>
      <c r="B165" s="59">
        <v>38078</v>
      </c>
      <c r="C165" s="59">
        <f>'Filter-new'!C42</f>
        <v>38078</v>
      </c>
      <c r="D165" s="63"/>
      <c r="E165" s="63"/>
      <c r="F165" s="63"/>
      <c r="G165" s="36">
        <f>SUM(K165,AA165,AO165,Q165,AW165,W165,BC165,AI165,BG165,BQ165,AE165,BU165,CA165)</f>
        <v>239.44082386363635</v>
      </c>
      <c r="H165" s="36">
        <f>SUM(L165,AB165,AP165,R165,AX165,X165,BD165,AJ165,BJ165,BR165,AF165,BV165,CB165,BN165)</f>
        <v>268.29238636363635</v>
      </c>
      <c r="I165" s="184">
        <f>O165+U165+AM165+BA165+BY165+CE165</f>
        <v>26.499999999999986</v>
      </c>
      <c r="J165" s="41"/>
      <c r="K165" s="45">
        <f>'Filter-old'!E164</f>
        <v>19.805767045454544</v>
      </c>
      <c r="L165" s="61">
        <f>'Filter-new'!E164</f>
        <v>21.04221590909091</v>
      </c>
      <c r="M165" s="62">
        <f>'price-old'!E43</f>
        <v>32.845178027485694</v>
      </c>
      <c r="N165" s="62">
        <f>'price-new'!E43</f>
        <v>28.67</v>
      </c>
      <c r="O165" s="429">
        <f>'Filter-new'!E653</f>
        <v>141.71739130434781</v>
      </c>
      <c r="P165" s="62">
        <f>VLOOKUP(B165,[1]Offpeak_Forward!$A$1:$AG$231,13,FALSE)</f>
        <v>17.289129257202099</v>
      </c>
      <c r="Q165" s="45">
        <f>'Filter-old'!H164</f>
        <v>0</v>
      </c>
      <c r="R165" s="61">
        <f>'Filter-new'!H164</f>
        <v>0</v>
      </c>
      <c r="S165" s="62">
        <f>'price-old'!H43</f>
        <v>32.348545074462891</v>
      </c>
      <c r="T165" s="62">
        <f>'price-new'!H43</f>
        <v>27.12</v>
      </c>
      <c r="U165" s="445">
        <f>'Filter-new'!H653</f>
        <v>0</v>
      </c>
      <c r="V165" s="62">
        <f>VLOOKUP(B165,[1]Offpeak_Forward!$A$1:$AG$231,14,FALSE)</f>
        <v>16.200870513916001</v>
      </c>
      <c r="W165" s="45">
        <f>'Filter-old'!J164</f>
        <v>0</v>
      </c>
      <c r="X165" s="61">
        <f>'Filter-new'!J164</f>
        <v>0</v>
      </c>
      <c r="Y165" s="62">
        <f>'price-old'!J43</f>
        <v>37.946914672851563</v>
      </c>
      <c r="Z165" s="62">
        <f>'price-new'!J43</f>
        <v>29.42</v>
      </c>
      <c r="AA165" s="45">
        <f>'Filter-old'!F164</f>
        <v>0</v>
      </c>
      <c r="AB165" s="61">
        <f>'Filter-new'!F164</f>
        <v>0</v>
      </c>
      <c r="AC165" s="62">
        <f>'price-old'!F43</f>
        <v>32.845178027485694</v>
      </c>
      <c r="AD165" s="62">
        <f>'price-new'!F43</f>
        <v>29.42</v>
      </c>
      <c r="AE165" s="45">
        <f>'Filter-old'!P164</f>
        <v>0</v>
      </c>
      <c r="AF165" s="61">
        <f>'Filter-new'!P164</f>
        <v>0</v>
      </c>
      <c r="AG165" s="62">
        <f>'price-old'!O43</f>
        <v>32.098545074462891</v>
      </c>
      <c r="AH165" s="62">
        <f>'price-new'!P43</f>
        <v>30.92</v>
      </c>
      <c r="AI165" s="45">
        <f>'Filter-old'!L164</f>
        <v>0</v>
      </c>
      <c r="AJ165" s="61">
        <f>'Filter-new'!L164</f>
        <v>0</v>
      </c>
      <c r="AK165" s="62">
        <f>'price-old'!L43</f>
        <v>52.05</v>
      </c>
      <c r="AL165" s="62">
        <f>'price-new'!L43</f>
        <v>31.22</v>
      </c>
      <c r="AM165" s="62">
        <f>'Filter-new'!L653</f>
        <v>0</v>
      </c>
      <c r="AN165" s="62">
        <f>VLOOKUP(B165,[1]Offpeak_Forward!$A$1:$AG$231,18,FALSE)</f>
        <v>21.141304016113299</v>
      </c>
      <c r="AO165" s="45">
        <f>'Filter-old'!G164</f>
        <v>0</v>
      </c>
      <c r="AP165" s="61">
        <f>'Filter-new'!G164</f>
        <v>0</v>
      </c>
      <c r="AQ165" s="62">
        <f>'price-old'!G43</f>
        <v>31.949991607666014</v>
      </c>
      <c r="AR165" s="62">
        <f>'price-new'!G43</f>
        <v>26.58</v>
      </c>
      <c r="AS165" s="45"/>
      <c r="AT165" s="61">
        <f>AX165+BD165+BJ165+BR165+BV165+CB165+BN165</f>
        <v>247.25017045454547</v>
      </c>
      <c r="AU165" s="62"/>
      <c r="AV165" s="184">
        <f>BA165+BY165+CE165</f>
        <v>-115.21739130434783</v>
      </c>
      <c r="AW165" s="45">
        <f>'Filter-old'!I164</f>
        <v>50</v>
      </c>
      <c r="AX165" s="61">
        <f>'Filter-new'!I164</f>
        <v>100</v>
      </c>
      <c r="AY165" s="62">
        <f>'price-old'!I43</f>
        <v>29.75</v>
      </c>
      <c r="AZ165" s="62">
        <f>'price-new'!I43</f>
        <v>28.17</v>
      </c>
      <c r="BA165" s="62">
        <f>'Filter-new'!I653</f>
        <v>0</v>
      </c>
      <c r="BB165" s="62">
        <f>VLOOKUP(B165,[1]Offpeak_Forward!$A$1:$AG$231,15,FALSE)</f>
        <v>19.104347229003899</v>
      </c>
      <c r="BC165" s="45">
        <f>'Filter-old'!K164</f>
        <v>0</v>
      </c>
      <c r="BD165" s="61">
        <f>'Filter-new'!K164</f>
        <v>0</v>
      </c>
      <c r="BE165" s="62">
        <f>'price-old'!K43</f>
        <v>40.200000000000003</v>
      </c>
      <c r="BF165" s="62">
        <f>'price-new'!K43</f>
        <v>33.5</v>
      </c>
      <c r="BG165" s="45">
        <f>'Filter-old'!M164</f>
        <v>0</v>
      </c>
      <c r="BH165" s="61"/>
      <c r="BI165" s="62">
        <f>VLOOKUP(B165,[1]Offpeak_Forward!$A$1:$AG$231,2,FALSE)</f>
        <v>26.545652389526399</v>
      </c>
      <c r="BJ165" s="61">
        <f>'Filter-new'!M164</f>
        <v>-50</v>
      </c>
      <c r="BK165" s="62">
        <f>'price-old'!M43</f>
        <v>33.25</v>
      </c>
      <c r="BL165" s="62">
        <f>'price-new'!M43</f>
        <v>29.5</v>
      </c>
      <c r="BM165" s="62"/>
      <c r="BN165" s="406">
        <f>'Filter-new'!N164</f>
        <v>0</v>
      </c>
      <c r="BO165" s="62"/>
      <c r="BP165" s="62">
        <f>'price-new'!N43</f>
        <v>37</v>
      </c>
      <c r="BQ165" s="45">
        <f>'Filter-old'!O164</f>
        <v>0</v>
      </c>
      <c r="BR165" s="61">
        <f>'Filter-new'!O164</f>
        <v>0</v>
      </c>
      <c r="BS165" s="62">
        <f>'price-old'!N43</f>
        <v>33</v>
      </c>
      <c r="BT165" s="62">
        <f>'price-new'!O43</f>
        <v>27.85</v>
      </c>
      <c r="BU165" s="45">
        <f>'Filter-old'!Q164</f>
        <v>169.63505681818182</v>
      </c>
      <c r="BV165" s="61">
        <f>'Filter-new'!Q164</f>
        <v>-2.7498295454545456</v>
      </c>
      <c r="BW165" s="62">
        <f>'price-old'!P43</f>
        <v>30.100002288818359</v>
      </c>
      <c r="BX165" s="88">
        <f>'price-new'!Q43</f>
        <v>25.887</v>
      </c>
      <c r="BY165" s="88">
        <f>'Filter-new'!Q653</f>
        <v>0</v>
      </c>
      <c r="BZ165" s="88">
        <f>VLOOKUP(B165,[1]Offpeak_Forward!$A$1:$AG$231,22,FALSE)</f>
        <v>17.111303329467798</v>
      </c>
      <c r="CA165" s="45">
        <f>'Filter-old'!R164</f>
        <v>0</v>
      </c>
      <c r="CB165" s="61">
        <f>'Filter-new'!R164</f>
        <v>200</v>
      </c>
      <c r="CC165" s="61">
        <f>'price-old'!Q43</f>
        <v>33.25</v>
      </c>
      <c r="CD165" s="89">
        <f>'price-new'!R43</f>
        <v>29.25</v>
      </c>
      <c r="CE165" s="87">
        <f>'Filter-new'!R653</f>
        <v>-115.21739130434783</v>
      </c>
      <c r="CF165" s="87">
        <f>VLOOKUP(B165,[1]Offpeak_Forward!$A$1:$AG$231,6,FALSE)</f>
        <v>18.728956222534201</v>
      </c>
      <c r="CG165" s="4"/>
    </row>
    <row r="166" spans="1:85" x14ac:dyDescent="0.2">
      <c r="A166">
        <v>1</v>
      </c>
      <c r="B166" s="509" t="s">
        <v>146</v>
      </c>
      <c r="C166" s="63"/>
      <c r="D166" s="63"/>
      <c r="E166" s="63"/>
      <c r="F166" s="63"/>
      <c r="G166" s="36"/>
      <c r="H166" s="510">
        <f>AVERAGE(H164:H165)</f>
        <v>268.7924160079051</v>
      </c>
      <c r="I166" s="510">
        <f>AVERAGE(I164:I165)</f>
        <v>24.474734042553187</v>
      </c>
      <c r="J166" s="41"/>
      <c r="K166" s="45"/>
      <c r="L166" s="510">
        <f>AVERAGE(L164:L165)</f>
        <v>21.087874258893279</v>
      </c>
      <c r="M166" s="62"/>
      <c r="N166" s="511">
        <f>AVERAGE(N164:N165)</f>
        <v>28.450000000000003</v>
      </c>
      <c r="O166" s="510">
        <f>AVERAGE(O164:O165)</f>
        <v>130.8866211840888</v>
      </c>
      <c r="P166" s="511">
        <f>AVERAGE(P164:P165)</f>
        <v>18.725095748901349</v>
      </c>
      <c r="Q166" s="45"/>
      <c r="R166" s="510">
        <f>AVERAGE(R164:R165)</f>
        <v>0</v>
      </c>
      <c r="S166" s="62"/>
      <c r="T166" s="512">
        <f>AVERAGE(T164:T165)</f>
        <v>26.9</v>
      </c>
      <c r="U166" s="510">
        <f>AVERAGE(U164:U165)</f>
        <v>0</v>
      </c>
      <c r="V166" s="512">
        <f>AVERAGE(V164:V165)</f>
        <v>17.863201141357401</v>
      </c>
      <c r="W166" s="45"/>
      <c r="X166" s="61"/>
      <c r="Y166" s="62"/>
      <c r="Z166" s="62"/>
      <c r="AA166" s="45"/>
      <c r="AB166" s="510">
        <f>AVERAGE(AB164:AB165)</f>
        <v>0</v>
      </c>
      <c r="AC166" s="62"/>
      <c r="AD166" s="512">
        <f>AVERAGE(AD164:AD165)</f>
        <v>29.200000000000003</v>
      </c>
      <c r="AE166" s="45"/>
      <c r="AF166" s="510">
        <f>AVERAGE(AF164:AF165)</f>
        <v>0</v>
      </c>
      <c r="AG166" s="62"/>
      <c r="AH166" s="512">
        <f>AVERAGE(AH164:AH165)</f>
        <v>30.925000000000001</v>
      </c>
      <c r="AI166" s="45"/>
      <c r="AJ166" s="510">
        <f>AVERAGE(AJ164:AJ165)</f>
        <v>0</v>
      </c>
      <c r="AK166" s="62"/>
      <c r="AL166" s="512">
        <f>AVERAGE(AL164:AL165)</f>
        <v>31</v>
      </c>
      <c r="AM166" s="510">
        <f>AVERAGE(AM164:AM165)</f>
        <v>0</v>
      </c>
      <c r="AN166" s="512">
        <f>AVERAGE(AN164:AN165)</f>
        <v>22.596290588378899</v>
      </c>
      <c r="AO166" s="45"/>
      <c r="AP166" s="61"/>
      <c r="AQ166" s="62"/>
      <c r="AR166" s="62"/>
      <c r="AS166" s="45"/>
      <c r="AT166" s="510">
        <f>AVERAGE(AT164:AT165)</f>
        <v>247.70454174901187</v>
      </c>
      <c r="AU166" s="62"/>
      <c r="AV166" s="510">
        <f>AVERAGE(AV164:AV165)</f>
        <v>-106.41188714153562</v>
      </c>
      <c r="AW166" s="45"/>
      <c r="AX166" s="510">
        <f>AVERAGE(AX164:AX165)</f>
        <v>100</v>
      </c>
      <c r="AY166" s="62"/>
      <c r="AZ166" s="512">
        <f>AVERAGE(AZ164:AZ165)</f>
        <v>27.950000000000003</v>
      </c>
      <c r="BA166" s="510">
        <f>AVERAGE(BA164:BA165)</f>
        <v>0</v>
      </c>
      <c r="BB166" s="512">
        <f>AVERAGE(BB164:BB165)</f>
        <v>19.098131179809549</v>
      </c>
      <c r="BC166" s="45"/>
      <c r="BD166" s="510">
        <f>AVERAGE(BD164:BD165)</f>
        <v>0</v>
      </c>
      <c r="BE166" s="62"/>
      <c r="BF166" s="512">
        <f>AVERAGE(BF164:BF165)</f>
        <v>33.5</v>
      </c>
      <c r="BG166" s="45"/>
      <c r="BH166" s="510">
        <f>AVERAGE('Filter-new'!K652:K653)</f>
        <v>0</v>
      </c>
      <c r="BI166" s="512">
        <f>AVERAGE(BI164:BI165)</f>
        <v>27.481336593627951</v>
      </c>
      <c r="BJ166" s="510">
        <f>AVERAGE(BJ164:BJ165)</f>
        <v>-50</v>
      </c>
      <c r="BK166" s="62"/>
      <c r="BL166" s="512">
        <f>AVERAGE(BL164:BL165)</f>
        <v>29.5</v>
      </c>
      <c r="BM166" s="62"/>
      <c r="BN166" s="510">
        <f>AVERAGE(BN164:BN165)</f>
        <v>0</v>
      </c>
      <c r="BO166" s="62"/>
      <c r="BP166" s="512">
        <f>AVERAGE(BP164:BP165)</f>
        <v>37</v>
      </c>
      <c r="BQ166" s="45"/>
      <c r="BR166" s="510">
        <f>AVERAGE(BR164:BR165)</f>
        <v>0</v>
      </c>
      <c r="BS166" s="62"/>
      <c r="BT166" s="512">
        <f>AVERAGE(BT164:BT165)</f>
        <v>27.85</v>
      </c>
      <c r="BU166" s="45"/>
      <c r="BV166" s="510">
        <f>AVERAGE(BV164:BV165)</f>
        <v>-2.2954582509881423</v>
      </c>
      <c r="BW166" s="62"/>
      <c r="BX166" s="512">
        <f>AVERAGE(BX164:BX165)</f>
        <v>25.887</v>
      </c>
      <c r="BY166" s="510">
        <f>AVERAGE(BY164:BY165)</f>
        <v>0</v>
      </c>
      <c r="BZ166" s="512">
        <f>AVERAGE(BZ164:BZ165)</f>
        <v>17.102885246276848</v>
      </c>
      <c r="CA166" s="45"/>
      <c r="CB166" s="510">
        <f>AVERAGE(CB164:CB165)</f>
        <v>200</v>
      </c>
      <c r="CC166" s="61"/>
      <c r="CD166" s="512">
        <f>AVERAGE(CD164:CD165)</f>
        <v>29.25</v>
      </c>
      <c r="CE166" s="510">
        <f>AVERAGE(CE164:CE165)</f>
        <v>-106.41188714153562</v>
      </c>
      <c r="CF166" s="512">
        <f>AVERAGE(CF164:CF165)</f>
        <v>18.712541580200202</v>
      </c>
      <c r="CG166" s="4"/>
    </row>
    <row r="167" spans="1:85" hidden="1" x14ac:dyDescent="0.2">
      <c r="A167">
        <v>0</v>
      </c>
      <c r="B167" s="59">
        <v>38108</v>
      </c>
      <c r="C167" s="59">
        <f>'Filter-new'!C43</f>
        <v>38108</v>
      </c>
      <c r="D167" s="63"/>
      <c r="E167" s="63"/>
      <c r="F167" s="63"/>
      <c r="G167" s="36">
        <f>SUM(K167,AA167,AO167,Q167,AW167,W167,BC167,AI167,BG167,BQ167,AE167,BU167,CA167)</f>
        <v>238.46809374999998</v>
      </c>
      <c r="H167" s="36">
        <f>SUM(L167,AB167,AP167,R167,AX167,X167,BD167,AJ167,BJ167,BR167,AF167,BV167,CB167,BN167)</f>
        <v>268.20962500000002</v>
      </c>
      <c r="I167" s="208">
        <f>O167+U167+AM167+BA167+BY167+CE167</f>
        <v>19.962264150943398</v>
      </c>
      <c r="J167" s="41"/>
      <c r="K167" s="45">
        <f>'Filter-old'!E165</f>
        <v>19.704062499999999</v>
      </c>
      <c r="L167" s="61">
        <f>'Filter-new'!E165</f>
        <v>20.947125</v>
      </c>
      <c r="M167" s="62">
        <f>'price-old'!E44</f>
        <v>39.003570556640625</v>
      </c>
      <c r="N167" s="62">
        <f>'price-new'!E44</f>
        <v>29.45</v>
      </c>
      <c r="O167" s="429">
        <f>'Filter-new'!E654</f>
        <v>106.75471698113208</v>
      </c>
      <c r="P167" s="62">
        <f>VLOOKUP(B167,[1]Offpeak_Forward!$A$1:$AG$231,13,FALSE)</f>
        <v>17.468868255615199</v>
      </c>
      <c r="Q167" s="45">
        <f>'Filter-old'!H165</f>
        <v>0</v>
      </c>
      <c r="R167" s="61">
        <f>'Filter-new'!H165</f>
        <v>0</v>
      </c>
      <c r="S167" s="62">
        <f>'price-old'!H44</f>
        <v>33.053565979003906</v>
      </c>
      <c r="T167" s="62">
        <f>'price-new'!H44</f>
        <v>27.95</v>
      </c>
      <c r="U167" s="445">
        <f>'Filter-new'!H654</f>
        <v>0</v>
      </c>
      <c r="V167" s="62">
        <f>VLOOKUP(B167,[1]Offpeak_Forward!$A$1:$AG$231,14,FALSE)</f>
        <v>16.557735443115199</v>
      </c>
      <c r="W167" s="45">
        <f>'Filter-old'!J165</f>
        <v>0</v>
      </c>
      <c r="X167" s="61">
        <f>'Filter-new'!J165</f>
        <v>0</v>
      </c>
      <c r="Y167" s="62">
        <f>'price-old'!J44</f>
        <v>39.956916809082031</v>
      </c>
      <c r="Z167" s="62">
        <f>'price-new'!J44</f>
        <v>30.45</v>
      </c>
      <c r="AA167" s="45">
        <f>'Filter-old'!F165</f>
        <v>0</v>
      </c>
      <c r="AB167" s="61">
        <f>'Filter-new'!F165</f>
        <v>0</v>
      </c>
      <c r="AC167" s="62">
        <f>'price-old'!F44</f>
        <v>39.003570556640625</v>
      </c>
      <c r="AD167" s="62">
        <f>'price-new'!F44</f>
        <v>30.45</v>
      </c>
      <c r="AE167" s="45">
        <f>'Filter-old'!P165</f>
        <v>0</v>
      </c>
      <c r="AF167" s="61">
        <f>'Filter-new'!P165</f>
        <v>0</v>
      </c>
      <c r="AG167" s="62">
        <f>'price-old'!O44</f>
        <v>40.766067504882813</v>
      </c>
      <c r="AH167" s="62">
        <f>'price-new'!P44</f>
        <v>26.5</v>
      </c>
      <c r="AI167" s="45">
        <f>'Filter-old'!L165</f>
        <v>0</v>
      </c>
      <c r="AJ167" s="61">
        <f>'Filter-new'!L165</f>
        <v>0</v>
      </c>
      <c r="AK167" s="62">
        <f>'price-old'!L44</f>
        <v>53.05</v>
      </c>
      <c r="AL167" s="62">
        <f>'price-new'!L44</f>
        <v>33.79</v>
      </c>
      <c r="AM167" s="62">
        <f>'Filter-new'!L654</f>
        <v>0</v>
      </c>
      <c r="AN167" s="62">
        <f>VLOOKUP(B167,[1]Offpeak_Forward!$A$1:$AG$231,18,FALSE)</f>
        <v>20.975282669067401</v>
      </c>
      <c r="AO167" s="45">
        <f>'Filter-old'!G165</f>
        <v>0</v>
      </c>
      <c r="AP167" s="61">
        <f>'Filter-new'!G165</f>
        <v>0</v>
      </c>
      <c r="AQ167" s="62">
        <f>'price-old'!G44</f>
        <v>35.900009155273438</v>
      </c>
      <c r="AR167" s="62">
        <f>'price-new'!G44</f>
        <v>28.54</v>
      </c>
      <c r="AS167" s="45"/>
      <c r="AT167" s="61">
        <f>AX167+BD167+BJ167+BR167+BV167+CB167+BN167</f>
        <v>247.26249999999999</v>
      </c>
      <c r="AU167" s="62"/>
      <c r="AV167" s="208">
        <f>BA167+BY167+CE167</f>
        <v>-86.79245283018868</v>
      </c>
      <c r="AW167" s="45">
        <f>'Filter-old'!I165</f>
        <v>50</v>
      </c>
      <c r="AX167" s="61">
        <f>'Filter-new'!I165</f>
        <v>100</v>
      </c>
      <c r="AY167" s="62">
        <f>'price-old'!I44</f>
        <v>32.5</v>
      </c>
      <c r="AZ167" s="62">
        <f>'price-new'!I44</f>
        <v>28.95</v>
      </c>
      <c r="BA167" s="62">
        <f>'Filter-new'!I654</f>
        <v>0</v>
      </c>
      <c r="BB167" s="62">
        <f>VLOOKUP(B167,[1]Offpeak_Forward!$A$1:$AG$231,15,FALSE)</f>
        <v>20.431320190429702</v>
      </c>
      <c r="BC167" s="45">
        <f>'Filter-old'!K165</f>
        <v>0</v>
      </c>
      <c r="BD167" s="61">
        <f>'Filter-new'!K165</f>
        <v>0</v>
      </c>
      <c r="BE167" s="62">
        <f>'price-old'!K44</f>
        <v>40.200000000000003</v>
      </c>
      <c r="BF167" s="62">
        <f>'price-new'!K44</f>
        <v>33</v>
      </c>
      <c r="BG167" s="45">
        <f>'Filter-old'!M165</f>
        <v>0</v>
      </c>
      <c r="BH167" s="61"/>
      <c r="BI167" s="62">
        <f>VLOOKUP(B167,[1]Offpeak_Forward!$A$1:$AG$231,2,FALSE)</f>
        <v>26.851886749267599</v>
      </c>
      <c r="BJ167" s="61">
        <f>'Filter-new'!M165</f>
        <v>-50</v>
      </c>
      <c r="BK167" s="62">
        <f>'price-old'!M44</f>
        <v>38.25</v>
      </c>
      <c r="BL167" s="62">
        <f>'price-new'!M44</f>
        <v>30.5</v>
      </c>
      <c r="BM167" s="62"/>
      <c r="BN167" s="406">
        <f>'Filter-new'!N165</f>
        <v>0</v>
      </c>
      <c r="BO167" s="62"/>
      <c r="BP167" s="62">
        <f>'price-new'!N44</f>
        <v>38</v>
      </c>
      <c r="BQ167" s="45">
        <f>'Filter-old'!O165</f>
        <v>0</v>
      </c>
      <c r="BR167" s="61">
        <f>'Filter-new'!O165</f>
        <v>0</v>
      </c>
      <c r="BS167" s="62">
        <f>'price-old'!N44</f>
        <v>38.5</v>
      </c>
      <c r="BT167" s="62">
        <f>'price-new'!O44</f>
        <v>29.55</v>
      </c>
      <c r="BU167" s="45">
        <f>'Filter-old'!Q165</f>
        <v>168.76403124999999</v>
      </c>
      <c r="BV167" s="61">
        <f>'Filter-new'!Q165</f>
        <v>-2.7374999999999998</v>
      </c>
      <c r="BW167" s="62">
        <f>'price-old'!P44</f>
        <v>36</v>
      </c>
      <c r="BX167" s="88">
        <f>'price-new'!Q44</f>
        <v>28.286999999999999</v>
      </c>
      <c r="BY167" s="88">
        <f>'Filter-new'!Q654</f>
        <v>0</v>
      </c>
      <c r="BZ167" s="88">
        <f>VLOOKUP(B167,[1]Offpeak_Forward!$A$1:$AG$231,22,FALSE)</f>
        <v>18.448301315307599</v>
      </c>
      <c r="CA167" s="45">
        <f>'Filter-old'!R165</f>
        <v>0</v>
      </c>
      <c r="CB167" s="61">
        <f>'Filter-new'!R165</f>
        <v>200</v>
      </c>
      <c r="CC167" s="61">
        <f>'price-old'!Q44</f>
        <v>38.25</v>
      </c>
      <c r="CD167" s="89">
        <f>'price-new'!R44</f>
        <v>30.75</v>
      </c>
      <c r="CE167" s="87">
        <f>'Filter-new'!R654</f>
        <v>-86.79245283018868</v>
      </c>
      <c r="CF167" s="87">
        <f>VLOOKUP(B167,[1]Offpeak_Forward!$A$1:$AG$231,6,FALSE)</f>
        <v>19.015623092651399</v>
      </c>
      <c r="CG167" s="4"/>
    </row>
    <row r="168" spans="1:85" x14ac:dyDescent="0.2">
      <c r="A168">
        <v>1</v>
      </c>
      <c r="B168" s="501" t="s">
        <v>147</v>
      </c>
      <c r="C168" s="63"/>
      <c r="D168" s="63"/>
      <c r="E168" s="63"/>
      <c r="F168" s="63"/>
      <c r="G168" s="36"/>
      <c r="H168" s="485">
        <f>AVERAGE(H167)</f>
        <v>268.20962500000002</v>
      </c>
      <c r="I168" s="485">
        <f>AVERAGE(I167)</f>
        <v>19.962264150943398</v>
      </c>
      <c r="J168" s="41"/>
      <c r="K168" s="45"/>
      <c r="L168" s="485">
        <f>AVERAGE(L167)</f>
        <v>20.947125</v>
      </c>
      <c r="M168" s="62"/>
      <c r="N168" s="475">
        <f>AVERAGE(N167)</f>
        <v>29.45</v>
      </c>
      <c r="O168" s="485">
        <f>AVERAGE(O167)</f>
        <v>106.75471698113208</v>
      </c>
      <c r="P168" s="475">
        <f>AVERAGE(P167)</f>
        <v>17.468868255615199</v>
      </c>
      <c r="Q168" s="45"/>
      <c r="R168" s="485">
        <f>AVERAGE(R167)</f>
        <v>0</v>
      </c>
      <c r="S168" s="62"/>
      <c r="T168" s="482">
        <f>AVERAGE(T167)</f>
        <v>27.95</v>
      </c>
      <c r="U168" s="485">
        <f>AVERAGE(U167)</f>
        <v>0</v>
      </c>
      <c r="V168" s="482">
        <f>AVERAGE(V167)</f>
        <v>16.557735443115199</v>
      </c>
      <c r="W168" s="45"/>
      <c r="X168" s="61"/>
      <c r="Y168" s="62"/>
      <c r="Z168" s="62"/>
      <c r="AA168" s="45"/>
      <c r="AB168" s="485">
        <f>AVERAGE(AB167)</f>
        <v>0</v>
      </c>
      <c r="AC168" s="62"/>
      <c r="AD168" s="482">
        <f>AVERAGE(AD167)</f>
        <v>30.45</v>
      </c>
      <c r="AE168" s="45"/>
      <c r="AF168" s="485">
        <f>AVERAGE(AF167)</f>
        <v>0</v>
      </c>
      <c r="AG168" s="62"/>
      <c r="AH168" s="482">
        <f>AVERAGE(AH167)</f>
        <v>26.5</v>
      </c>
      <c r="AI168" s="45"/>
      <c r="AJ168" s="485">
        <f>AVERAGE(AJ167)</f>
        <v>0</v>
      </c>
      <c r="AK168" s="62"/>
      <c r="AL168" s="482">
        <f>AVERAGE(AL167)</f>
        <v>33.79</v>
      </c>
      <c r="AM168" s="485">
        <f>AVERAGE(AM167)</f>
        <v>0</v>
      </c>
      <c r="AN168" s="482">
        <f>AVERAGE(AN167)</f>
        <v>20.975282669067401</v>
      </c>
      <c r="AO168" s="45"/>
      <c r="AP168" s="61"/>
      <c r="AQ168" s="62"/>
      <c r="AR168" s="62"/>
      <c r="AS168" s="45"/>
      <c r="AT168" s="485">
        <f>AVERAGE(AT167)</f>
        <v>247.26249999999999</v>
      </c>
      <c r="AU168" s="62"/>
      <c r="AV168" s="485">
        <f>AVERAGE(AV167)</f>
        <v>-86.79245283018868</v>
      </c>
      <c r="AW168" s="45"/>
      <c r="AX168" s="485">
        <f>AVERAGE(AX167)</f>
        <v>100</v>
      </c>
      <c r="AY168" s="62"/>
      <c r="AZ168" s="482">
        <f>AVERAGE(AZ167)</f>
        <v>28.95</v>
      </c>
      <c r="BA168" s="485">
        <f>AVERAGE(BA167)</f>
        <v>0</v>
      </c>
      <c r="BB168" s="482">
        <f>AVERAGE(BB167)</f>
        <v>20.431320190429702</v>
      </c>
      <c r="BC168" s="45"/>
      <c r="BD168" s="485">
        <f>AVERAGE(BD167)</f>
        <v>0</v>
      </c>
      <c r="BE168" s="62"/>
      <c r="BF168" s="482">
        <f>AVERAGE(BF167)</f>
        <v>33</v>
      </c>
      <c r="BG168" s="45"/>
      <c r="BH168" s="485">
        <f>'Filter-new'!K654</f>
        <v>0</v>
      </c>
      <c r="BI168" s="482">
        <f>AVERAGE(BI167)</f>
        <v>26.851886749267599</v>
      </c>
      <c r="BJ168" s="485">
        <f>AVERAGE(BJ167)</f>
        <v>-50</v>
      </c>
      <c r="BK168" s="62"/>
      <c r="BL168" s="482">
        <f>AVERAGE(BL167)</f>
        <v>30.5</v>
      </c>
      <c r="BM168" s="62"/>
      <c r="BN168" s="485">
        <f>AVERAGE(BN167)</f>
        <v>0</v>
      </c>
      <c r="BO168" s="62"/>
      <c r="BP168" s="482">
        <f>AVERAGE(BP167)</f>
        <v>38</v>
      </c>
      <c r="BQ168" s="45"/>
      <c r="BR168" s="485">
        <f>AVERAGE(BR167)</f>
        <v>0</v>
      </c>
      <c r="BS168" s="62"/>
      <c r="BT168" s="482">
        <f>AVERAGE(BT167)</f>
        <v>29.55</v>
      </c>
      <c r="BU168" s="45"/>
      <c r="BV168" s="485">
        <f>AVERAGE(BV167)</f>
        <v>-2.7374999999999998</v>
      </c>
      <c r="BW168" s="62"/>
      <c r="BX168" s="482">
        <f>AVERAGE(BX167)</f>
        <v>28.286999999999999</v>
      </c>
      <c r="BY168" s="485">
        <f>AVERAGE(BY167)</f>
        <v>0</v>
      </c>
      <c r="BZ168" s="482">
        <f>AVERAGE(BZ167)</f>
        <v>18.448301315307599</v>
      </c>
      <c r="CA168" s="45"/>
      <c r="CB168" s="485">
        <f>AVERAGE(CB167)</f>
        <v>200</v>
      </c>
      <c r="CC168" s="61"/>
      <c r="CD168" s="482">
        <f>AVERAGE(CD167)</f>
        <v>30.75</v>
      </c>
      <c r="CE168" s="485">
        <f>AVERAGE(CE167)</f>
        <v>-86.79245283018868</v>
      </c>
      <c r="CF168" s="482">
        <f>AVERAGE(CF167)</f>
        <v>19.015623092651399</v>
      </c>
      <c r="CG168" s="4"/>
    </row>
    <row r="169" spans="1:85" hidden="1" x14ac:dyDescent="0.2">
      <c r="A169">
        <v>0</v>
      </c>
      <c r="B169" s="59">
        <v>38139</v>
      </c>
      <c r="C169" s="59">
        <f>'Filter-new'!C44</f>
        <v>38139</v>
      </c>
      <c r="D169" s="63"/>
      <c r="E169" s="63"/>
      <c r="F169" s="63"/>
      <c r="G169" s="36">
        <f>SUM(K169,AA169,AO169,Q169,AW169,W169,BC169,AI169,BG169,BQ169,AE169,BU169,CA169)</f>
        <v>-445.27269886363638</v>
      </c>
      <c r="H169" s="36">
        <f>SUM(L169,AB169,AP169,R169,AX169,X169,BD169,AJ169,BJ169,BR169,AF169,BV169,CB169,BN169)</f>
        <v>-458.17227272727268</v>
      </c>
      <c r="I169" s="199">
        <f>O169+U169+AM169+BA169+BY169+CE169</f>
        <v>25.500000000000014</v>
      </c>
      <c r="J169" s="41"/>
      <c r="K169" s="45">
        <f>'Filter-old'!E166</f>
        <v>-449.23428977272727</v>
      </c>
      <c r="L169" s="61">
        <f>'Filter-new'!E166</f>
        <v>-477.85329545454539</v>
      </c>
      <c r="M169" s="62">
        <f>'price-old'!E45</f>
        <v>42.252857208251953</v>
      </c>
      <c r="N169" s="62">
        <f>'price-new'!E45</f>
        <v>34.71</v>
      </c>
      <c r="O169" s="429">
        <f>'Filter-new'!E655</f>
        <v>136.36956521739131</v>
      </c>
      <c r="P169" s="62">
        <f>VLOOKUP(B169,[1]Offpeak_Forward!$A$1:$AG$231,13,FALSE)</f>
        <v>21.387392044067401</v>
      </c>
      <c r="Q169" s="45">
        <f>'Filter-old'!H166</f>
        <v>0</v>
      </c>
      <c r="R169" s="61">
        <f>'Filter-new'!H166</f>
        <v>0</v>
      </c>
      <c r="S169" s="62">
        <f>'price-old'!H45</f>
        <v>35.002857208251953</v>
      </c>
      <c r="T169" s="62">
        <f>'price-new'!H45</f>
        <v>33.06</v>
      </c>
      <c r="U169" s="445">
        <f>'Filter-new'!H655</f>
        <v>0</v>
      </c>
      <c r="V169" s="62">
        <f>VLOOKUP(B169,[1]Offpeak_Forward!$A$1:$AG$231,14,FALSE)</f>
        <v>20.779130935668899</v>
      </c>
      <c r="W169" s="45">
        <f>'Filter-old'!J166</f>
        <v>0</v>
      </c>
      <c r="X169" s="61">
        <f>'Filter-new'!J166</f>
        <v>0</v>
      </c>
      <c r="Y169" s="62">
        <f>'price-old'!J45</f>
        <v>34.082302093505859</v>
      </c>
      <c r="Z169" s="62">
        <f>'price-new'!J45</f>
        <v>36.21</v>
      </c>
      <c r="AA169" s="45">
        <f>'Filter-old'!F166</f>
        <v>0</v>
      </c>
      <c r="AB169" s="61">
        <f>'Filter-new'!F166</f>
        <v>0</v>
      </c>
      <c r="AC169" s="62">
        <f>'price-old'!F45</f>
        <v>42.252857208251953</v>
      </c>
      <c r="AD169" s="62">
        <f>'price-new'!F45</f>
        <v>36.21</v>
      </c>
      <c r="AE169" s="45">
        <f>'Filter-old'!P166</f>
        <v>0</v>
      </c>
      <c r="AF169" s="61">
        <f>'Filter-new'!P166</f>
        <v>0</v>
      </c>
      <c r="AG169" s="62">
        <f>'price-old'!O45</f>
        <v>46.352855682373047</v>
      </c>
      <c r="AH169" s="62">
        <f>'price-new'!P45</f>
        <v>29.46</v>
      </c>
      <c r="AI169" s="45">
        <f>'Filter-old'!L166</f>
        <v>0</v>
      </c>
      <c r="AJ169" s="61">
        <f>'Filter-new'!L166</f>
        <v>0</v>
      </c>
      <c r="AK169" s="62">
        <f>'price-old'!L45</f>
        <v>71.05</v>
      </c>
      <c r="AL169" s="62">
        <f>'price-new'!L45</f>
        <v>38.19</v>
      </c>
      <c r="AM169" s="62">
        <f>'Filter-new'!L655</f>
        <v>0</v>
      </c>
      <c r="AN169" s="62">
        <f>VLOOKUP(B169,[1]Offpeak_Forward!$A$1:$AG$231,18,FALSE)</f>
        <v>25.239564895629901</v>
      </c>
      <c r="AO169" s="45">
        <f>'Filter-old'!G166</f>
        <v>0</v>
      </c>
      <c r="AP169" s="61">
        <f>'Filter-new'!G166</f>
        <v>0</v>
      </c>
      <c r="AQ169" s="62">
        <f>'price-old'!G45</f>
        <v>35.999996185302734</v>
      </c>
      <c r="AR169" s="62">
        <f>'price-new'!G45</f>
        <v>32.590000000000003</v>
      </c>
      <c r="AS169" s="45"/>
      <c r="AT169" s="61">
        <f>AX169+BD169+BJ169+BR169+BV169+CB169+BN169</f>
        <v>19.681022727272733</v>
      </c>
      <c r="AU169" s="62"/>
      <c r="AV169" s="199">
        <f>BA169+BY169+CE169</f>
        <v>-110.8695652173913</v>
      </c>
      <c r="AW169" s="45">
        <f>'Filter-old'!I166</f>
        <v>50</v>
      </c>
      <c r="AX169" s="61">
        <f>'Filter-new'!I166</f>
        <v>100</v>
      </c>
      <c r="AY169" s="62">
        <f>'price-old'!I45</f>
        <v>43.75</v>
      </c>
      <c r="AZ169" s="62">
        <f>'price-new'!I45</f>
        <v>34.21</v>
      </c>
      <c r="BA169" s="62">
        <f>'Filter-new'!I655</f>
        <v>0</v>
      </c>
      <c r="BB169" s="62">
        <f>VLOOKUP(B169,[1]Offpeak_Forward!$A$1:$AG$231,15,FALSE)</f>
        <v>24.6191291809082</v>
      </c>
      <c r="BC169" s="45">
        <f>'Filter-old'!K166</f>
        <v>0</v>
      </c>
      <c r="BD169" s="61">
        <f>'Filter-new'!K166</f>
        <v>0</v>
      </c>
      <c r="BE169" s="62">
        <f>'price-old'!K45</f>
        <v>47.1</v>
      </c>
      <c r="BF169" s="62">
        <f>'price-new'!K45</f>
        <v>38</v>
      </c>
      <c r="BG169" s="45">
        <f>'Filter-old'!M166</f>
        <v>0</v>
      </c>
      <c r="BH169" s="61"/>
      <c r="BI169" s="62">
        <f>VLOOKUP(B169,[1]Offpeak_Forward!$A$1:$AG$231,2,FALSE)</f>
        <v>27.766304016113299</v>
      </c>
      <c r="BJ169" s="61">
        <f>'Filter-new'!M166</f>
        <v>-50</v>
      </c>
      <c r="BK169" s="62">
        <f>'price-old'!M45</f>
        <v>49.25</v>
      </c>
      <c r="BL169" s="62">
        <f>'price-new'!M45</f>
        <v>40</v>
      </c>
      <c r="BM169" s="62"/>
      <c r="BN169" s="406">
        <f>'Filter-new'!N166</f>
        <v>0</v>
      </c>
      <c r="BO169" s="62"/>
      <c r="BP169" s="62">
        <f>'price-new'!N45</f>
        <v>46</v>
      </c>
      <c r="BQ169" s="45">
        <f>'Filter-old'!O166</f>
        <v>0</v>
      </c>
      <c r="BR169" s="61">
        <f>'Filter-new'!O166</f>
        <v>0</v>
      </c>
      <c r="BS169" s="62">
        <f>'price-old'!N45</f>
        <v>47</v>
      </c>
      <c r="BT169" s="62">
        <f>'price-new'!O45</f>
        <v>36.89</v>
      </c>
      <c r="BU169" s="45">
        <f>'Filter-old'!Q166</f>
        <v>-46.038409090909092</v>
      </c>
      <c r="BV169" s="61">
        <f>'Filter-new'!Q166</f>
        <v>-230.31897727272727</v>
      </c>
      <c r="BW169" s="62">
        <f>'price-old'!P45</f>
        <v>43.75</v>
      </c>
      <c r="BX169" s="88">
        <f>'price-new'!Q45</f>
        <v>37.472000000000001</v>
      </c>
      <c r="BY169" s="88">
        <f>'Filter-new'!Q655</f>
        <v>0</v>
      </c>
      <c r="BZ169" s="88">
        <f>VLOOKUP(B169,[1]Offpeak_Forward!$A$1:$AG$231,22,FALSE)</f>
        <v>20.719999313354499</v>
      </c>
      <c r="CA169" s="45">
        <f>'Filter-old'!R166</f>
        <v>0</v>
      </c>
      <c r="CB169" s="61">
        <f>'Filter-new'!R166</f>
        <v>200</v>
      </c>
      <c r="CC169" s="61">
        <f>'price-old'!Q45</f>
        <v>49.25</v>
      </c>
      <c r="CD169" s="89">
        <f>'price-new'!R45</f>
        <v>40.75</v>
      </c>
      <c r="CE169" s="87">
        <f>'Filter-new'!R655</f>
        <v>-110.8695652173913</v>
      </c>
      <c r="CF169" s="87">
        <f>VLOOKUP(B169,[1]Offpeak_Forward!$A$1:$AG$231,6,FALSE)</f>
        <v>20.1200866699219</v>
      </c>
      <c r="CG169" s="4"/>
    </row>
    <row r="170" spans="1:85" x14ac:dyDescent="0.2">
      <c r="A170">
        <v>1</v>
      </c>
      <c r="B170" s="509" t="s">
        <v>148</v>
      </c>
      <c r="C170" s="63"/>
      <c r="D170" s="63"/>
      <c r="E170" s="63"/>
      <c r="F170" s="63"/>
      <c r="G170" s="36"/>
      <c r="H170" s="510">
        <f>H169</f>
        <v>-458.17227272727268</v>
      </c>
      <c r="I170" s="510">
        <f>I169</f>
        <v>25.500000000000014</v>
      </c>
      <c r="J170" s="41"/>
      <c r="K170" s="45"/>
      <c r="L170" s="510">
        <f>L169</f>
        <v>-477.85329545454539</v>
      </c>
      <c r="M170" s="62"/>
      <c r="N170" s="511">
        <f>N169</f>
        <v>34.71</v>
      </c>
      <c r="O170" s="510">
        <f>O169</f>
        <v>136.36956521739131</v>
      </c>
      <c r="P170" s="511">
        <f>P169</f>
        <v>21.387392044067401</v>
      </c>
      <c r="Q170" s="45"/>
      <c r="R170" s="510">
        <f>R169</f>
        <v>0</v>
      </c>
      <c r="S170" s="62"/>
      <c r="T170" s="512">
        <f>T169</f>
        <v>33.06</v>
      </c>
      <c r="U170" s="510">
        <f>U169</f>
        <v>0</v>
      </c>
      <c r="V170" s="512">
        <f>V169</f>
        <v>20.779130935668899</v>
      </c>
      <c r="W170" s="45"/>
      <c r="X170" s="61"/>
      <c r="Y170" s="62"/>
      <c r="Z170" s="62"/>
      <c r="AA170" s="45"/>
      <c r="AB170" s="510">
        <f>AB169</f>
        <v>0</v>
      </c>
      <c r="AC170" s="62"/>
      <c r="AD170" s="512">
        <f>AD169</f>
        <v>36.21</v>
      </c>
      <c r="AE170" s="45"/>
      <c r="AF170" s="510">
        <f>AF169</f>
        <v>0</v>
      </c>
      <c r="AG170" s="62"/>
      <c r="AH170" s="512">
        <f>AH169</f>
        <v>29.46</v>
      </c>
      <c r="AI170" s="45"/>
      <c r="AJ170" s="510">
        <f>AJ169</f>
        <v>0</v>
      </c>
      <c r="AK170" s="62"/>
      <c r="AL170" s="512">
        <f>AL169</f>
        <v>38.19</v>
      </c>
      <c r="AM170" s="510">
        <f>AM169</f>
        <v>0</v>
      </c>
      <c r="AN170" s="512">
        <f>AN169</f>
        <v>25.239564895629901</v>
      </c>
      <c r="AO170" s="45"/>
      <c r="AP170" s="61"/>
      <c r="AQ170" s="62"/>
      <c r="AR170" s="62"/>
      <c r="AS170" s="45"/>
      <c r="AT170" s="510">
        <f>AT169</f>
        <v>19.681022727272733</v>
      </c>
      <c r="AU170" s="62"/>
      <c r="AV170" s="510">
        <f>AV169</f>
        <v>-110.8695652173913</v>
      </c>
      <c r="AW170" s="45"/>
      <c r="AX170" s="510">
        <f>AX169</f>
        <v>100</v>
      </c>
      <c r="AY170" s="62"/>
      <c r="AZ170" s="512">
        <f>AZ169</f>
        <v>34.21</v>
      </c>
      <c r="BA170" s="510">
        <f>BA169</f>
        <v>0</v>
      </c>
      <c r="BB170" s="512">
        <f>BB169</f>
        <v>24.6191291809082</v>
      </c>
      <c r="BC170" s="45"/>
      <c r="BD170" s="510">
        <f>BD169</f>
        <v>0</v>
      </c>
      <c r="BE170" s="62"/>
      <c r="BF170" s="512">
        <f>BF169</f>
        <v>38</v>
      </c>
      <c r="BG170" s="45"/>
      <c r="BH170" s="510">
        <f>'Filter-new'!K655</f>
        <v>0</v>
      </c>
      <c r="BI170" s="512">
        <f>BI169</f>
        <v>27.766304016113299</v>
      </c>
      <c r="BJ170" s="510">
        <f>BJ169</f>
        <v>-50</v>
      </c>
      <c r="BK170" s="62"/>
      <c r="BL170" s="512">
        <f>BL169</f>
        <v>40</v>
      </c>
      <c r="BM170" s="62"/>
      <c r="BN170" s="510">
        <f>BN169</f>
        <v>0</v>
      </c>
      <c r="BO170" s="62"/>
      <c r="BP170" s="512">
        <f>BP169</f>
        <v>46</v>
      </c>
      <c r="BQ170" s="45"/>
      <c r="BR170" s="510">
        <f>BR169</f>
        <v>0</v>
      </c>
      <c r="BS170" s="62"/>
      <c r="BT170" s="512">
        <f>BT169</f>
        <v>36.89</v>
      </c>
      <c r="BU170" s="45"/>
      <c r="BV170" s="510">
        <f>BV169</f>
        <v>-230.31897727272727</v>
      </c>
      <c r="BW170" s="62"/>
      <c r="BX170" s="512">
        <f>BX169</f>
        <v>37.472000000000001</v>
      </c>
      <c r="BY170" s="510">
        <f>BY169</f>
        <v>0</v>
      </c>
      <c r="BZ170" s="512">
        <f>BZ169</f>
        <v>20.719999313354499</v>
      </c>
      <c r="CA170" s="45"/>
      <c r="CB170" s="510">
        <f>CB169</f>
        <v>200</v>
      </c>
      <c r="CC170" s="61"/>
      <c r="CD170" s="512">
        <f>CD169</f>
        <v>40.75</v>
      </c>
      <c r="CE170" s="510">
        <f>CE169</f>
        <v>-110.8695652173913</v>
      </c>
      <c r="CF170" s="512">
        <f>CF169</f>
        <v>20.1200866699219</v>
      </c>
      <c r="CG170" s="4"/>
    </row>
    <row r="171" spans="1:85" hidden="1" x14ac:dyDescent="0.2">
      <c r="A171">
        <v>0</v>
      </c>
      <c r="B171" s="59">
        <v>38169</v>
      </c>
      <c r="C171" s="59">
        <f>'Filter-new'!C45</f>
        <v>38169</v>
      </c>
      <c r="D171" s="63"/>
      <c r="E171" s="63"/>
      <c r="F171" s="63"/>
      <c r="G171" s="36">
        <f>SUM(K171,AA171,AO171,Q171,AW171,W171,BC171,AI171,BG171,BQ171,AE171,BU171,CA171)</f>
        <v>-273.95791666666668</v>
      </c>
      <c r="H171" s="36">
        <f>SUM(L171,AB171,AP171,R171,AX171,X171,BD171,AJ171,BJ171,BR171,AF171,BV171,CB171,BN171)</f>
        <v>189.59434523809523</v>
      </c>
      <c r="I171" s="203">
        <f>O171+U171+AM171+BA171+BY171+CE171</f>
        <v>22.098039215686271</v>
      </c>
      <c r="J171" s="41"/>
      <c r="K171" s="45">
        <f>'Filter-old'!E167</f>
        <v>-362.109375</v>
      </c>
      <c r="L171" s="61">
        <f>'Filter-new'!E167</f>
        <v>-114.62636904761905</v>
      </c>
      <c r="M171" s="62">
        <f>'price-old'!E46</f>
        <v>53.847146606445314</v>
      </c>
      <c r="N171" s="62">
        <f>'price-new'!E46</f>
        <v>45.87</v>
      </c>
      <c r="O171" s="429">
        <f>'Filter-new'!E656</f>
        <v>118.17647058823529</v>
      </c>
      <c r="P171" s="62">
        <f>VLOOKUP(B171,[1]Offpeak_Forward!$A$1:$AG$231,13,FALSE)</f>
        <v>24.189216613769499</v>
      </c>
      <c r="Q171" s="45">
        <f>'Filter-old'!H167</f>
        <v>0</v>
      </c>
      <c r="R171" s="61">
        <f>'Filter-new'!H167</f>
        <v>0</v>
      </c>
      <c r="S171" s="62">
        <f>'price-old'!H46</f>
        <v>46.997146606445313</v>
      </c>
      <c r="T171" s="62">
        <f>'price-new'!H46</f>
        <v>43.82</v>
      </c>
      <c r="U171" s="445">
        <f>'Filter-new'!H656</f>
        <v>0</v>
      </c>
      <c r="V171" s="62">
        <f>VLOOKUP(B171,[1]Offpeak_Forward!$A$1:$AG$231,14,FALSE)</f>
        <v>23.200000762939499</v>
      </c>
      <c r="W171" s="45">
        <f>'Filter-old'!J167</f>
        <v>0</v>
      </c>
      <c r="X171" s="61">
        <f>'Filter-new'!J167</f>
        <v>0</v>
      </c>
      <c r="Y171" s="62">
        <f>'price-old'!J46</f>
        <v>41.375</v>
      </c>
      <c r="Z171" s="62">
        <f>'price-new'!J46</f>
        <v>48.37</v>
      </c>
      <c r="AA171" s="45">
        <f>'Filter-old'!F167</f>
        <v>0</v>
      </c>
      <c r="AB171" s="61">
        <f>'Filter-new'!F167</f>
        <v>0</v>
      </c>
      <c r="AC171" s="62">
        <f>'price-old'!F46</f>
        <v>53.847146606445314</v>
      </c>
      <c r="AD171" s="62">
        <f>'price-new'!F46</f>
        <v>48.37</v>
      </c>
      <c r="AE171" s="45">
        <f>'Filter-old'!P167</f>
        <v>0</v>
      </c>
      <c r="AF171" s="61">
        <f>'Filter-new'!P167</f>
        <v>0</v>
      </c>
      <c r="AG171" s="62">
        <f>'price-old'!O46</f>
        <v>55.397148132324219</v>
      </c>
      <c r="AH171" s="62">
        <f>'price-new'!P46</f>
        <v>39.020000000000003</v>
      </c>
      <c r="AI171" s="45">
        <f>'Filter-old'!L167</f>
        <v>0</v>
      </c>
      <c r="AJ171" s="61">
        <f>'Filter-new'!L167</f>
        <v>-1</v>
      </c>
      <c r="AK171" s="62">
        <f>'price-old'!L46</f>
        <v>97.05</v>
      </c>
      <c r="AL171" s="62">
        <f>'price-new'!L46</f>
        <v>45.62</v>
      </c>
      <c r="AM171" s="62">
        <f>'Filter-new'!L656</f>
        <v>0</v>
      </c>
      <c r="AN171" s="62">
        <f>VLOOKUP(B171,[1]Offpeak_Forward!$A$1:$AG$231,18,FALSE)</f>
        <v>27.813529968261701</v>
      </c>
      <c r="AO171" s="45">
        <f>'Filter-old'!G167</f>
        <v>0</v>
      </c>
      <c r="AP171" s="61">
        <f>'Filter-new'!G167</f>
        <v>0</v>
      </c>
      <c r="AQ171" s="62">
        <f>'price-old'!G46</f>
        <v>46.249992370605469</v>
      </c>
      <c r="AR171" s="62">
        <f>'price-new'!G46</f>
        <v>42.14</v>
      </c>
      <c r="AS171" s="45"/>
      <c r="AT171" s="61">
        <f>AX171+BD171+BJ171+BR171+BV171+CB171+BN171</f>
        <v>305.22071428571428</v>
      </c>
      <c r="AU171" s="62"/>
      <c r="AV171" s="203">
        <f>BA171+BY171+CE171</f>
        <v>-96.078431372549019</v>
      </c>
      <c r="AW171" s="45">
        <f>'Filter-old'!I167</f>
        <v>50</v>
      </c>
      <c r="AX171" s="61">
        <f>'Filter-new'!I167</f>
        <v>100</v>
      </c>
      <c r="AY171" s="62">
        <f>'price-old'!I46</f>
        <v>58.875</v>
      </c>
      <c r="AZ171" s="62">
        <f>'price-new'!I46</f>
        <v>45.37</v>
      </c>
      <c r="BA171" s="62">
        <f>'Filter-new'!I656</f>
        <v>0</v>
      </c>
      <c r="BB171" s="62">
        <f>VLOOKUP(B171,[1]Offpeak_Forward!$A$1:$AG$231,15,FALSE)</f>
        <v>27.516862869262699</v>
      </c>
      <c r="BC171" s="45">
        <f>'Filter-old'!K167</f>
        <v>0</v>
      </c>
      <c r="BD171" s="61">
        <f>'Filter-new'!K167</f>
        <v>0</v>
      </c>
      <c r="BE171" s="62">
        <f>'price-old'!K46</f>
        <v>58.85</v>
      </c>
      <c r="BF171" s="62">
        <f>'price-new'!K46</f>
        <v>46.5</v>
      </c>
      <c r="BG171" s="45">
        <f>'Filter-old'!M167</f>
        <v>0</v>
      </c>
      <c r="BH171" s="61"/>
      <c r="BI171" s="62">
        <f>VLOOKUP(B171,[1]Offpeak_Forward!$A$1:$AG$231,2,FALSE)</f>
        <v>31.4686279296875</v>
      </c>
      <c r="BJ171" s="61">
        <f>'Filter-new'!M167</f>
        <v>-50</v>
      </c>
      <c r="BK171" s="62">
        <f>'price-old'!M46</f>
        <v>61.75</v>
      </c>
      <c r="BL171" s="62">
        <f>'price-new'!M46</f>
        <v>51.5</v>
      </c>
      <c r="BM171" s="62"/>
      <c r="BN171" s="406">
        <f>'Filter-new'!N167</f>
        <v>0</v>
      </c>
      <c r="BO171" s="62"/>
      <c r="BP171" s="62">
        <f>'price-new'!N46</f>
        <v>67</v>
      </c>
      <c r="BQ171" s="45">
        <f>'Filter-old'!O167</f>
        <v>0</v>
      </c>
      <c r="BR171" s="61">
        <f>'Filter-new'!O167</f>
        <v>0</v>
      </c>
      <c r="BS171" s="62">
        <f>'price-old'!N46</f>
        <v>65.995002746582031</v>
      </c>
      <c r="BT171" s="62">
        <f>'price-new'!O46</f>
        <v>45.9</v>
      </c>
      <c r="BU171" s="45">
        <f>'Filter-old'!Q167</f>
        <v>38.151458333333331</v>
      </c>
      <c r="BV171" s="61">
        <f>'Filter-new'!Q167</f>
        <v>-94.77928571428572</v>
      </c>
      <c r="BW171" s="62">
        <f>'price-old'!P46</f>
        <v>60.75</v>
      </c>
      <c r="BX171" s="88">
        <f>'price-new'!Q46</f>
        <v>44.715000000000003</v>
      </c>
      <c r="BY171" s="88">
        <f>'Filter-new'!Q656</f>
        <v>0</v>
      </c>
      <c r="BZ171" s="88">
        <f>VLOOKUP(B171,[1]Offpeak_Forward!$A$1:$AG$231,22,FALSE)</f>
        <v>25.535686492919901</v>
      </c>
      <c r="CA171" s="45">
        <f>'Filter-old'!R167</f>
        <v>0</v>
      </c>
      <c r="CB171" s="61">
        <f>'Filter-new'!R167</f>
        <v>350</v>
      </c>
      <c r="CC171" s="61">
        <f>'price-old'!Q46</f>
        <v>61.75</v>
      </c>
      <c r="CD171" s="89">
        <f>'price-new'!R46</f>
        <v>50.25</v>
      </c>
      <c r="CE171" s="87">
        <f>'Filter-new'!R656</f>
        <v>-96.078431372549019</v>
      </c>
      <c r="CF171" s="87">
        <f>VLOOKUP(B171,[1]Offpeak_Forward!$A$1:$AG$231,6,FALSE)</f>
        <v>23.230392456054702</v>
      </c>
      <c r="CG171" s="4"/>
    </row>
    <row r="172" spans="1:85" hidden="1" x14ac:dyDescent="0.2">
      <c r="A172">
        <v>0</v>
      </c>
      <c r="B172" s="59">
        <v>38200</v>
      </c>
      <c r="C172" s="59">
        <f>'Filter-new'!C46</f>
        <v>38200</v>
      </c>
      <c r="D172" s="63"/>
      <c r="E172" s="63"/>
      <c r="F172" s="63"/>
      <c r="G172" s="36">
        <f>SUM(K172,AA172,AO172,Q172,AW172,W172,BC172,AI172,BG172,BQ172,AE172,BU172,CA172)</f>
        <v>-271.43008522727274</v>
      </c>
      <c r="H172" s="36">
        <f>SUM(L172,AB172,AP172,R172,AX172,X172,BD172,AJ172,BJ172,BR172,AF172,BV172,CB172,BN172)</f>
        <v>191.46832386363639</v>
      </c>
      <c r="I172" s="189">
        <f>O172+U172+AM172+BA172+BY172+CE172</f>
        <v>22.530612244897966</v>
      </c>
      <c r="J172" s="41"/>
      <c r="K172" s="45">
        <f>'Filter-old'!E168</f>
        <v>-360.23028409090909</v>
      </c>
      <c r="L172" s="61">
        <f>'Filter-new'!E168</f>
        <v>-114.09394886363636</v>
      </c>
      <c r="M172" s="62">
        <f>'price-old'!E47</f>
        <v>53.847146606445314</v>
      </c>
      <c r="N172" s="62">
        <f>'price-new'!E47</f>
        <v>44.68</v>
      </c>
      <c r="O172" s="429">
        <f>'Filter-new'!E657</f>
        <v>120.48979591836735</v>
      </c>
      <c r="P172" s="62">
        <f>VLOOKUP(B172,[1]Offpeak_Forward!$A$1:$AG$231,13,FALSE)</f>
        <v>24.1051025390625</v>
      </c>
      <c r="Q172" s="45">
        <f>'Filter-old'!H168</f>
        <v>0</v>
      </c>
      <c r="R172" s="61">
        <f>'Filter-new'!H168</f>
        <v>0</v>
      </c>
      <c r="S172" s="62">
        <f>'price-old'!H47</f>
        <v>46.997146606445313</v>
      </c>
      <c r="T172" s="62">
        <f>'price-new'!H47</f>
        <v>42.63</v>
      </c>
      <c r="U172" s="445">
        <f>'Filter-new'!H657</f>
        <v>0</v>
      </c>
      <c r="V172" s="62">
        <f>VLOOKUP(B172,[1]Offpeak_Forward!$A$1:$AG$231,14,FALSE)</f>
        <v>21.8681640625</v>
      </c>
      <c r="W172" s="45">
        <f>'Filter-old'!J168</f>
        <v>0</v>
      </c>
      <c r="X172" s="61">
        <f>'Filter-new'!J168</f>
        <v>0</v>
      </c>
      <c r="Y172" s="62">
        <f>'price-old'!J47</f>
        <v>41.375</v>
      </c>
      <c r="Z172" s="62">
        <f>'price-new'!J47</f>
        <v>47.18</v>
      </c>
      <c r="AA172" s="45">
        <f>'Filter-old'!F168</f>
        <v>0</v>
      </c>
      <c r="AB172" s="61">
        <f>'Filter-new'!F168</f>
        <v>0</v>
      </c>
      <c r="AC172" s="62">
        <f>'price-old'!F47</f>
        <v>53.847146606445314</v>
      </c>
      <c r="AD172" s="62">
        <f>'price-new'!F47</f>
        <v>47.18</v>
      </c>
      <c r="AE172" s="45">
        <f>'Filter-old'!P168</f>
        <v>0</v>
      </c>
      <c r="AF172" s="61">
        <f>'Filter-new'!P168</f>
        <v>0</v>
      </c>
      <c r="AG172" s="62">
        <f>'price-old'!O47</f>
        <v>55.397148132324219</v>
      </c>
      <c r="AH172" s="62">
        <f>'price-new'!P47</f>
        <v>37.83</v>
      </c>
      <c r="AI172" s="45">
        <f>'Filter-old'!L168</f>
        <v>0</v>
      </c>
      <c r="AJ172" s="61">
        <f>'Filter-new'!L168</f>
        <v>-1</v>
      </c>
      <c r="AK172" s="62">
        <f>'price-old'!L47</f>
        <v>97.54</v>
      </c>
      <c r="AL172" s="62">
        <f>'price-new'!L47</f>
        <v>44.93</v>
      </c>
      <c r="AM172" s="62">
        <f>'Filter-new'!L657</f>
        <v>0</v>
      </c>
      <c r="AN172" s="62">
        <f>VLOOKUP(B172,[1]Offpeak_Forward!$A$1:$AG$231,18,FALSE)</f>
        <v>27.856939315795898</v>
      </c>
      <c r="AO172" s="45">
        <f>'Filter-old'!G168</f>
        <v>0</v>
      </c>
      <c r="AP172" s="61">
        <f>'Filter-new'!G168</f>
        <v>0</v>
      </c>
      <c r="AQ172" s="62">
        <f>'price-old'!G47</f>
        <v>46.25</v>
      </c>
      <c r="AR172" s="62">
        <f>'price-new'!G47</f>
        <v>41.74</v>
      </c>
      <c r="AS172" s="45"/>
      <c r="AT172" s="61">
        <f>AX172+BD172+BJ172+BR172+BV172+CB172+BN172</f>
        <v>306.56227272727273</v>
      </c>
      <c r="AU172" s="62"/>
      <c r="AV172" s="189">
        <f>BA172+BY172+CE172</f>
        <v>-97.959183673469383</v>
      </c>
      <c r="AW172" s="45">
        <f>'Filter-old'!I168</f>
        <v>50</v>
      </c>
      <c r="AX172" s="61">
        <f>'Filter-new'!I168</f>
        <v>100</v>
      </c>
      <c r="AY172" s="62">
        <f>'price-old'!I47</f>
        <v>58.75</v>
      </c>
      <c r="AZ172" s="62">
        <f>'price-new'!I47</f>
        <v>44.18</v>
      </c>
      <c r="BA172" s="62">
        <f>'Filter-new'!I657</f>
        <v>0</v>
      </c>
      <c r="BB172" s="62">
        <f>VLOOKUP(B172,[1]Offpeak_Forward!$A$1:$AG$231,15,FALSE)</f>
        <v>27.468162536621101</v>
      </c>
      <c r="BC172" s="45">
        <f>'Filter-old'!K168</f>
        <v>0</v>
      </c>
      <c r="BD172" s="61">
        <f>'Filter-new'!K168</f>
        <v>0</v>
      </c>
      <c r="BE172" s="62">
        <f>'price-old'!K47</f>
        <v>58.85</v>
      </c>
      <c r="BF172" s="62">
        <f>'price-new'!K47</f>
        <v>46.5</v>
      </c>
      <c r="BG172" s="45">
        <f>'Filter-old'!M168</f>
        <v>0</v>
      </c>
      <c r="BH172" s="61"/>
      <c r="BI172" s="62">
        <f>VLOOKUP(B172,[1]Offpeak_Forward!$A$1:$AG$231,2,FALSE)</f>
        <v>31.2336730957031</v>
      </c>
      <c r="BJ172" s="61">
        <f>'Filter-new'!M168</f>
        <v>-50</v>
      </c>
      <c r="BK172" s="62">
        <f>'price-old'!M47</f>
        <v>61.75</v>
      </c>
      <c r="BL172" s="62">
        <f>'price-new'!M47</f>
        <v>51.5</v>
      </c>
      <c r="BM172" s="62"/>
      <c r="BN172" s="406">
        <f>'Filter-new'!N168</f>
        <v>0</v>
      </c>
      <c r="BO172" s="62"/>
      <c r="BP172" s="62">
        <f>'price-new'!N47</f>
        <v>67</v>
      </c>
      <c r="BQ172" s="45">
        <f>'Filter-old'!O168</f>
        <v>0</v>
      </c>
      <c r="BR172" s="61">
        <f>'Filter-new'!O168</f>
        <v>0</v>
      </c>
      <c r="BS172" s="62">
        <f>'price-old'!N47</f>
        <v>66</v>
      </c>
      <c r="BT172" s="62">
        <f>'price-new'!O47</f>
        <v>45.4</v>
      </c>
      <c r="BU172" s="45">
        <f>'Filter-old'!Q168</f>
        <v>38.800198863636361</v>
      </c>
      <c r="BV172" s="61">
        <f>'Filter-new'!Q168</f>
        <v>-93.437727272727273</v>
      </c>
      <c r="BW172" s="62">
        <f>'price-old'!P47</f>
        <v>60.75</v>
      </c>
      <c r="BX172" s="88">
        <f>'price-new'!Q47</f>
        <v>44.715000000000003</v>
      </c>
      <c r="BY172" s="88">
        <f>'Filter-new'!Q657</f>
        <v>0</v>
      </c>
      <c r="BZ172" s="88">
        <f>VLOOKUP(B172,[1]Offpeak_Forward!$A$1:$AG$231,22,FALSE)</f>
        <v>25.211837768554702</v>
      </c>
      <c r="CA172" s="45">
        <f>'Filter-old'!R168</f>
        <v>0</v>
      </c>
      <c r="CB172" s="61">
        <f>'Filter-new'!R168</f>
        <v>350</v>
      </c>
      <c r="CC172" s="61">
        <f>'price-old'!Q47</f>
        <v>61.75</v>
      </c>
      <c r="CD172" s="89">
        <f>'price-new'!R47</f>
        <v>50.25</v>
      </c>
      <c r="CE172" s="87">
        <f>'Filter-new'!R657</f>
        <v>-97.959183673469383</v>
      </c>
      <c r="CF172" s="87">
        <f>VLOOKUP(B172,[1]Offpeak_Forward!$A$1:$AG$231,6,FALSE)</f>
        <v>22.8520412445068</v>
      </c>
      <c r="CG172" s="4"/>
    </row>
    <row r="173" spans="1:85" x14ac:dyDescent="0.2">
      <c r="A173">
        <v>1</v>
      </c>
      <c r="B173" s="501" t="s">
        <v>149</v>
      </c>
      <c r="C173" s="63"/>
      <c r="D173" s="63"/>
      <c r="E173" s="63"/>
      <c r="F173" s="63"/>
      <c r="G173" s="36"/>
      <c r="H173" s="485">
        <f>AVERAGE(H171:H172)</f>
        <v>190.53133455086581</v>
      </c>
      <c r="I173" s="485">
        <f>AVERAGE(I171:I172)</f>
        <v>22.314325730292119</v>
      </c>
      <c r="J173" s="41"/>
      <c r="K173" s="45"/>
      <c r="L173" s="485">
        <f>AVERAGE(L171:L172)</f>
        <v>-114.3601589556277</v>
      </c>
      <c r="M173" s="62"/>
      <c r="N173" s="475">
        <f>AVERAGE(N171:N172)</f>
        <v>45.274999999999999</v>
      </c>
      <c r="O173" s="485">
        <f>AVERAGE(O171:O172)</f>
        <v>119.33313325330133</v>
      </c>
      <c r="P173" s="475">
        <f>AVERAGE(P171:P172)</f>
        <v>24.147159576416001</v>
      </c>
      <c r="Q173" s="45"/>
      <c r="R173" s="485">
        <f>AVERAGE(R171:R172)</f>
        <v>0</v>
      </c>
      <c r="S173" s="62"/>
      <c r="T173" s="482">
        <f>AVERAGE(T171:T172)</f>
        <v>43.225000000000001</v>
      </c>
      <c r="U173" s="485">
        <f>AVERAGE(U171:U172)</f>
        <v>0</v>
      </c>
      <c r="V173" s="482">
        <f>AVERAGE(V171:V172)</f>
        <v>22.534082412719748</v>
      </c>
      <c r="W173" s="45"/>
      <c r="X173" s="61"/>
      <c r="Y173" s="62"/>
      <c r="Z173" s="62"/>
      <c r="AA173" s="45"/>
      <c r="AB173" s="485">
        <f>AVERAGE(AB171:AB172)</f>
        <v>0</v>
      </c>
      <c r="AC173" s="62"/>
      <c r="AD173" s="482">
        <f>AVERAGE(AD171:AD172)</f>
        <v>47.774999999999999</v>
      </c>
      <c r="AE173" s="45"/>
      <c r="AF173" s="485">
        <f>AVERAGE(AF171:AF172)</f>
        <v>0</v>
      </c>
      <c r="AG173" s="62"/>
      <c r="AH173" s="482">
        <f>AVERAGE(AH171:AH172)</f>
        <v>38.424999999999997</v>
      </c>
      <c r="AI173" s="45"/>
      <c r="AJ173" s="485">
        <f>AVERAGE(AJ171:AJ172)</f>
        <v>-1</v>
      </c>
      <c r="AK173" s="62"/>
      <c r="AL173" s="482">
        <f>AVERAGE(AL171:AL172)</f>
        <v>45.274999999999999</v>
      </c>
      <c r="AM173" s="485">
        <f>AVERAGE(AM171:AM172)</f>
        <v>0</v>
      </c>
      <c r="AN173" s="482">
        <f>AVERAGE(AN171:AN172)</f>
        <v>27.835234642028801</v>
      </c>
      <c r="AO173" s="45"/>
      <c r="AP173" s="61"/>
      <c r="AQ173" s="62"/>
      <c r="AR173" s="62"/>
      <c r="AS173" s="45"/>
      <c r="AT173" s="485">
        <f>AVERAGE(AT171:AT172)</f>
        <v>305.89149350649348</v>
      </c>
      <c r="AU173" s="62"/>
      <c r="AV173" s="485">
        <f>AVERAGE(AV171:AV172)</f>
        <v>-97.018807523009201</v>
      </c>
      <c r="AW173" s="45"/>
      <c r="AX173" s="485">
        <f>AVERAGE(AX171:AX172)</f>
        <v>100</v>
      </c>
      <c r="AY173" s="62"/>
      <c r="AZ173" s="482">
        <f>AVERAGE(AZ171:AZ172)</f>
        <v>44.774999999999999</v>
      </c>
      <c r="BA173" s="485">
        <f>AVERAGE(BA171:BA172)</f>
        <v>0</v>
      </c>
      <c r="BB173" s="482">
        <f>AVERAGE(BB171:BB172)</f>
        <v>27.492512702941902</v>
      </c>
      <c r="BC173" s="45"/>
      <c r="BD173" s="485">
        <f>AVERAGE(BD171:BD172)</f>
        <v>0</v>
      </c>
      <c r="BE173" s="62"/>
      <c r="BF173" s="482">
        <f>AVERAGE(BF171:BF172)</f>
        <v>46.5</v>
      </c>
      <c r="BG173" s="45"/>
      <c r="BH173" s="485">
        <f>AVERAGE('Filter-new'!K656:K657)</f>
        <v>0</v>
      </c>
      <c r="BI173" s="482">
        <f>AVERAGE(BI171:BI172)</f>
        <v>31.351150512695298</v>
      </c>
      <c r="BJ173" s="485">
        <f>AVERAGE(BJ171:BJ172)</f>
        <v>-50</v>
      </c>
      <c r="BK173" s="62"/>
      <c r="BL173" s="482">
        <f>AVERAGE(BL171:BL172)</f>
        <v>51.5</v>
      </c>
      <c r="BM173" s="62"/>
      <c r="BN173" s="485">
        <f>AVERAGE(BN171:BN172)</f>
        <v>0</v>
      </c>
      <c r="BO173" s="62"/>
      <c r="BP173" s="482">
        <f>AVERAGE(BP171:BP172)</f>
        <v>67</v>
      </c>
      <c r="BQ173" s="45"/>
      <c r="BR173" s="485">
        <f>AVERAGE(BR171:BR172)</f>
        <v>0</v>
      </c>
      <c r="BS173" s="62"/>
      <c r="BT173" s="482">
        <f>AVERAGE(BT171:BT172)</f>
        <v>45.65</v>
      </c>
      <c r="BU173" s="45"/>
      <c r="BV173" s="485">
        <f>AVERAGE(BV171:BV172)</f>
        <v>-94.108506493506496</v>
      </c>
      <c r="BW173" s="62"/>
      <c r="BX173" s="482">
        <f>AVERAGE(BX171:BX172)</f>
        <v>44.715000000000003</v>
      </c>
      <c r="BY173" s="485">
        <f>AVERAGE(BY171:BY172)</f>
        <v>0</v>
      </c>
      <c r="BZ173" s="482">
        <f>AVERAGE(BZ171:BZ172)</f>
        <v>25.373762130737301</v>
      </c>
      <c r="CA173" s="45"/>
      <c r="CB173" s="485">
        <f>AVERAGE(CB171:CB172)</f>
        <v>350</v>
      </c>
      <c r="CC173" s="61"/>
      <c r="CD173" s="482">
        <f>AVERAGE(CD171:CD172)</f>
        <v>50.25</v>
      </c>
      <c r="CE173" s="485">
        <f>AVERAGE(CE171:CE172)</f>
        <v>-97.018807523009201</v>
      </c>
      <c r="CF173" s="482">
        <f>AVERAGE(CF171:CF172)</f>
        <v>23.041216850280751</v>
      </c>
      <c r="CG173" s="4"/>
    </row>
    <row r="174" spans="1:85" hidden="1" x14ac:dyDescent="0.2">
      <c r="A174">
        <v>0</v>
      </c>
      <c r="B174" s="59">
        <v>38231</v>
      </c>
      <c r="C174" s="59">
        <f>'Filter-new'!C47</f>
        <v>38231</v>
      </c>
      <c r="D174" s="63"/>
      <c r="E174" s="63"/>
      <c r="F174" s="63"/>
      <c r="G174" s="36">
        <f>SUM(K174,AA174,AO174,Q174,AW174,W174,BC174,AI174,BG174,BQ174,AE174,BU174,CA174)</f>
        <v>234.66032738095237</v>
      </c>
      <c r="H174" s="36">
        <f>SUM(L174,AB174,AP174,R174,AX174,X174,BD174,AJ174,BJ174,BR174,AF174,BV174,CB174,BN172)</f>
        <v>267.88136904761905</v>
      </c>
      <c r="I174" s="203">
        <f>O174+U174+AM174+BA174+BY174+CE174</f>
        <v>24.497395833333329</v>
      </c>
      <c r="J174" s="41"/>
      <c r="K174" s="45">
        <f>'Filter-old'!E169</f>
        <v>19.305982142857143</v>
      </c>
      <c r="L174" s="61">
        <f>'Filter-new'!E169</f>
        <v>20.569613095238097</v>
      </c>
      <c r="M174" s="62">
        <f>'price-old'!E48</f>
        <v>33.402140045166014</v>
      </c>
      <c r="N174" s="62">
        <f>'price-new'!E48</f>
        <v>27.75</v>
      </c>
      <c r="O174" s="429">
        <f>'Filter-new'!E658</f>
        <v>131.0078125</v>
      </c>
      <c r="P174" s="62">
        <f>VLOOKUP(B174,[1]Offpeak_Forward!$A$1:$AG$231,13,FALSE)</f>
        <v>17.8208332061768</v>
      </c>
      <c r="Q174" s="45">
        <f>'Filter-old'!H169</f>
        <v>0</v>
      </c>
      <c r="R174" s="61">
        <f>'Filter-new'!H169</f>
        <v>0</v>
      </c>
      <c r="S174" s="62">
        <f>'price-old'!H48</f>
        <v>27.602143859863283</v>
      </c>
      <c r="T174" s="62">
        <f>'price-new'!H48</f>
        <v>26.5</v>
      </c>
      <c r="U174" s="445">
        <f>'Filter-new'!H658</f>
        <v>0</v>
      </c>
      <c r="V174" s="62">
        <f>VLOOKUP(B174,[1]Offpeak_Forward!$A$1:$AG$231,14,FALSE)</f>
        <v>16.5720825195313</v>
      </c>
      <c r="W174" s="45">
        <f>'Filter-old'!J169</f>
        <v>0</v>
      </c>
      <c r="X174" s="61">
        <f>'Filter-new'!J169</f>
        <v>0</v>
      </c>
      <c r="Y174" s="62">
        <f>'price-old'!J48</f>
        <v>33.461913909912113</v>
      </c>
      <c r="Z174" s="62">
        <f>'price-new'!J48</f>
        <v>29.25</v>
      </c>
      <c r="AA174" s="45">
        <f>'Filter-old'!F169</f>
        <v>0</v>
      </c>
      <c r="AB174" s="61">
        <f>'Filter-new'!F169</f>
        <v>0</v>
      </c>
      <c r="AC174" s="62">
        <f>'price-old'!F48</f>
        <v>33.402140045166014</v>
      </c>
      <c r="AD174" s="62">
        <f>'price-new'!F48</f>
        <v>29.25</v>
      </c>
      <c r="AE174" s="45">
        <f>'Filter-old'!P169</f>
        <v>0</v>
      </c>
      <c r="AF174" s="61">
        <f>'Filter-new'!P169</f>
        <v>0</v>
      </c>
      <c r="AG174" s="62">
        <f>'price-old'!O48</f>
        <v>35.764644622802734</v>
      </c>
      <c r="AH174" s="62">
        <f>'price-new'!P48</f>
        <v>24.1</v>
      </c>
      <c r="AI174" s="45">
        <f>'Filter-old'!L169</f>
        <v>0</v>
      </c>
      <c r="AJ174" s="61">
        <f>'Filter-new'!L169</f>
        <v>0</v>
      </c>
      <c r="AK174" s="62">
        <f>'price-old'!L48</f>
        <v>54.54</v>
      </c>
      <c r="AL174" s="62">
        <f>'price-new'!L48</f>
        <v>28.54</v>
      </c>
      <c r="AM174" s="62">
        <f>'Filter-new'!L658</f>
        <v>0</v>
      </c>
      <c r="AN174" s="62">
        <f>VLOOKUP(B174,[1]Offpeak_Forward!$A$1:$AG$231,18,FALSE)</f>
        <v>21.533332824706999</v>
      </c>
      <c r="AO174" s="45">
        <f>'Filter-old'!G169</f>
        <v>0</v>
      </c>
      <c r="AP174" s="61">
        <f>'Filter-new'!G169</f>
        <v>0</v>
      </c>
      <c r="AQ174" s="62">
        <f>'price-old'!G48</f>
        <v>33.750003814697266</v>
      </c>
      <c r="AR174" s="62">
        <f>'price-new'!G48</f>
        <v>29.49</v>
      </c>
      <c r="AS174" s="45"/>
      <c r="AT174" s="61">
        <f>AX174+BD174+BJ174+BR174+BV174+CB174+BN174</f>
        <v>247.31175595238096</v>
      </c>
      <c r="AU174" s="62"/>
      <c r="AV174" s="203">
        <f>BA174+BY174+CE174</f>
        <v>-106.51041666666667</v>
      </c>
      <c r="AW174" s="45">
        <f>'Filter-old'!I169</f>
        <v>50</v>
      </c>
      <c r="AX174" s="61">
        <f>'Filter-new'!I169</f>
        <v>100</v>
      </c>
      <c r="AY174" s="62">
        <f>'price-old'!I48</f>
        <v>34</v>
      </c>
      <c r="AZ174" s="62">
        <f>'price-new'!I48</f>
        <v>27.25</v>
      </c>
      <c r="BA174" s="62">
        <f>'Filter-new'!I658</f>
        <v>0</v>
      </c>
      <c r="BB174" s="62">
        <f>VLOOKUP(B174,[1]Offpeak_Forward!$A$1:$AG$231,15,FALSE)</f>
        <v>18.2808322906494</v>
      </c>
      <c r="BC174" s="45">
        <f>'Filter-old'!K169</f>
        <v>0</v>
      </c>
      <c r="BD174" s="61">
        <f>'Filter-new'!K169</f>
        <v>0</v>
      </c>
      <c r="BE174" s="62">
        <f>'price-old'!K48</f>
        <v>37.85</v>
      </c>
      <c r="BF174" s="62">
        <f>'price-new'!K48</f>
        <v>31.75</v>
      </c>
      <c r="BG174" s="45">
        <f>'Filter-old'!M169</f>
        <v>0</v>
      </c>
      <c r="BH174" s="61"/>
      <c r="BI174" s="62">
        <f>VLOOKUP(B174,[1]Offpeak_Forward!$A$1:$AG$231,2,FALSE)</f>
        <v>25.8979167938232</v>
      </c>
      <c r="BJ174" s="61">
        <f>'Filter-new'!M169</f>
        <v>-50</v>
      </c>
      <c r="BK174" s="62">
        <f>'price-old'!M48</f>
        <v>33.75</v>
      </c>
      <c r="BL174" s="62">
        <f>'price-new'!M48</f>
        <v>29</v>
      </c>
      <c r="BM174" s="62"/>
      <c r="BN174" s="406">
        <f>'Filter-new'!N169</f>
        <v>0</v>
      </c>
      <c r="BO174" s="62"/>
      <c r="BP174" s="62">
        <f>'price-new'!N48</f>
        <v>37</v>
      </c>
      <c r="BQ174" s="45">
        <f>'Filter-old'!O169</f>
        <v>0</v>
      </c>
      <c r="BR174" s="61">
        <f>'Filter-new'!O169</f>
        <v>0</v>
      </c>
      <c r="BS174" s="62">
        <f>'price-old'!N48</f>
        <v>33.75</v>
      </c>
      <c r="BT174" s="62">
        <f>'price-new'!O48</f>
        <v>27.88</v>
      </c>
      <c r="BU174" s="45">
        <f>'Filter-old'!Q169</f>
        <v>165.35434523809522</v>
      </c>
      <c r="BV174" s="61">
        <f>'Filter-new'!Q169</f>
        <v>-2.6882440476190474</v>
      </c>
      <c r="BW174" s="62">
        <f>'price-old'!P48</f>
        <v>30.400001525878906</v>
      </c>
      <c r="BX174" s="88">
        <f>'price-new'!Q48</f>
        <v>24.56</v>
      </c>
      <c r="BY174" s="88">
        <f>'Filter-new'!Q658</f>
        <v>0</v>
      </c>
      <c r="BZ174" s="88">
        <f>VLOOKUP(B174,[1]Offpeak_Forward!$A$1:$AG$231,22,FALSE)</f>
        <v>19.230415344238299</v>
      </c>
      <c r="CA174" s="45">
        <f>'Filter-old'!R169</f>
        <v>0</v>
      </c>
      <c r="CB174" s="61">
        <f>'Filter-new'!R169</f>
        <v>200</v>
      </c>
      <c r="CC174" s="61">
        <f>'price-old'!Q48</f>
        <v>33.75</v>
      </c>
      <c r="CD174" s="89">
        <f>'price-new'!R48</f>
        <v>29</v>
      </c>
      <c r="CE174" s="87">
        <f>'Filter-new'!R658</f>
        <v>-106.51041666666667</v>
      </c>
      <c r="CF174" s="87">
        <f>VLOOKUP(B174,[1]Offpeak_Forward!$A$1:$AG$231,6,FALSE)</f>
        <v>19.2200412750244</v>
      </c>
      <c r="CG174" s="4"/>
    </row>
    <row r="175" spans="1:85" x14ac:dyDescent="0.2">
      <c r="A175">
        <v>1</v>
      </c>
      <c r="B175" s="509" t="s">
        <v>150</v>
      </c>
      <c r="C175" s="63"/>
      <c r="D175" s="63"/>
      <c r="E175" s="63"/>
      <c r="F175" s="63"/>
      <c r="G175" s="36"/>
      <c r="H175" s="510">
        <f>H174</f>
        <v>267.88136904761905</v>
      </c>
      <c r="I175" s="510">
        <f>I174</f>
        <v>24.497395833333329</v>
      </c>
      <c r="J175" s="41"/>
      <c r="K175" s="45"/>
      <c r="L175" s="510">
        <f>L174</f>
        <v>20.569613095238097</v>
      </c>
      <c r="M175" s="62"/>
      <c r="N175" s="511">
        <f>N174</f>
        <v>27.75</v>
      </c>
      <c r="O175" s="510">
        <f>O174</f>
        <v>131.0078125</v>
      </c>
      <c r="P175" s="511">
        <f>P174</f>
        <v>17.8208332061768</v>
      </c>
      <c r="Q175" s="45"/>
      <c r="R175" s="510">
        <f>R174</f>
        <v>0</v>
      </c>
      <c r="S175" s="62"/>
      <c r="T175" s="512">
        <f>T174</f>
        <v>26.5</v>
      </c>
      <c r="U175" s="510">
        <f>U174</f>
        <v>0</v>
      </c>
      <c r="V175" s="512">
        <f>V174</f>
        <v>16.5720825195313</v>
      </c>
      <c r="W175" s="45"/>
      <c r="X175" s="61"/>
      <c r="Y175" s="62"/>
      <c r="Z175" s="62"/>
      <c r="AA175" s="45"/>
      <c r="AB175" s="510">
        <f>AB174</f>
        <v>0</v>
      </c>
      <c r="AC175" s="62"/>
      <c r="AD175" s="512">
        <f>AD174</f>
        <v>29.25</v>
      </c>
      <c r="AE175" s="45"/>
      <c r="AF175" s="510">
        <f>AF174</f>
        <v>0</v>
      </c>
      <c r="AG175" s="62"/>
      <c r="AH175" s="512">
        <f>AH174</f>
        <v>24.1</v>
      </c>
      <c r="AI175" s="45"/>
      <c r="AJ175" s="510">
        <f>AJ174</f>
        <v>0</v>
      </c>
      <c r="AK175" s="62"/>
      <c r="AL175" s="512">
        <f>AL174</f>
        <v>28.54</v>
      </c>
      <c r="AM175" s="510">
        <f>AM174</f>
        <v>0</v>
      </c>
      <c r="AN175" s="512">
        <f>AN174</f>
        <v>21.533332824706999</v>
      </c>
      <c r="AO175" s="45"/>
      <c r="AP175" s="61"/>
      <c r="AQ175" s="62"/>
      <c r="AR175" s="62"/>
      <c r="AS175" s="45"/>
      <c r="AT175" s="510">
        <f>AT174</f>
        <v>247.31175595238096</v>
      </c>
      <c r="AU175" s="62"/>
      <c r="AV175" s="510">
        <f>AV174</f>
        <v>-106.51041666666667</v>
      </c>
      <c r="AW175" s="45"/>
      <c r="AX175" s="510">
        <f>AX174</f>
        <v>100</v>
      </c>
      <c r="AY175" s="62"/>
      <c r="AZ175" s="512">
        <f>AZ174</f>
        <v>27.25</v>
      </c>
      <c r="BA175" s="510">
        <f>BA174</f>
        <v>0</v>
      </c>
      <c r="BB175" s="512">
        <f>BB174</f>
        <v>18.2808322906494</v>
      </c>
      <c r="BC175" s="45"/>
      <c r="BD175" s="510">
        <f>BD174</f>
        <v>0</v>
      </c>
      <c r="BE175" s="62"/>
      <c r="BF175" s="512">
        <f>BF174</f>
        <v>31.75</v>
      </c>
      <c r="BG175" s="45"/>
      <c r="BH175" s="510">
        <f>'Filter-new'!K658</f>
        <v>0</v>
      </c>
      <c r="BI175" s="512">
        <f>BI174</f>
        <v>25.8979167938232</v>
      </c>
      <c r="BJ175" s="510">
        <f>BJ174</f>
        <v>-50</v>
      </c>
      <c r="BK175" s="62"/>
      <c r="BL175" s="512">
        <f>BL174</f>
        <v>29</v>
      </c>
      <c r="BM175" s="62"/>
      <c r="BN175" s="510">
        <f>BN174</f>
        <v>0</v>
      </c>
      <c r="BO175" s="62"/>
      <c r="BP175" s="512">
        <f>BP174</f>
        <v>37</v>
      </c>
      <c r="BQ175" s="45"/>
      <c r="BR175" s="510">
        <f>BR174</f>
        <v>0</v>
      </c>
      <c r="BS175" s="62"/>
      <c r="BT175" s="512">
        <f>BT174</f>
        <v>27.88</v>
      </c>
      <c r="BU175" s="45"/>
      <c r="BV175" s="510">
        <f>BV174</f>
        <v>-2.6882440476190474</v>
      </c>
      <c r="BW175" s="62"/>
      <c r="BX175" s="512">
        <f>BX174</f>
        <v>24.56</v>
      </c>
      <c r="BY175" s="510">
        <f>BY174</f>
        <v>0</v>
      </c>
      <c r="BZ175" s="512">
        <f>BZ174</f>
        <v>19.230415344238299</v>
      </c>
      <c r="CA175" s="45"/>
      <c r="CB175" s="510">
        <f>CB174</f>
        <v>200</v>
      </c>
      <c r="CC175" s="61"/>
      <c r="CD175" s="512">
        <f>CD174</f>
        <v>29</v>
      </c>
      <c r="CE175" s="510">
        <f>CE174</f>
        <v>-106.51041666666667</v>
      </c>
      <c r="CF175" s="512">
        <f>CF174</f>
        <v>19.2200412750244</v>
      </c>
      <c r="CG175" s="4"/>
    </row>
    <row r="176" spans="1:85" ht="13.5" hidden="1" thickBot="1" x14ac:dyDescent="0.25">
      <c r="A176">
        <v>0</v>
      </c>
      <c r="B176" s="59">
        <v>38261</v>
      </c>
      <c r="C176" s="59">
        <f>'Filter-new'!C48</f>
        <v>38261</v>
      </c>
      <c r="D176" s="63"/>
      <c r="E176" s="63"/>
      <c r="F176" s="63"/>
      <c r="G176" s="36">
        <f>SUM(K176,AA176,AO176,Q176,AW176,W176,BC176,AI176,BG176,BQ176,AE176,BU176,CA176)</f>
        <v>233.69541666666669</v>
      </c>
      <c r="H176" s="36">
        <f>SUM(L176,AB176,AP176,R176,AX176,X176,BD176,AJ176,BJ176,BR176,AF176,BV176,CB176,BN176)</f>
        <v>267.7963095238095</v>
      </c>
      <c r="I176" s="194">
        <f>O176+U176+AM176+BA176+BY176+CE176</f>
        <v>21.647058823529406</v>
      </c>
      <c r="J176" s="41"/>
      <c r="K176" s="45">
        <f>'Filter-old'!E170</f>
        <v>19.205178571428569</v>
      </c>
      <c r="L176" s="61">
        <f>'Filter-new'!E170</f>
        <v>20.472797619047618</v>
      </c>
      <c r="M176" s="62">
        <f>'price-old'!E49</f>
        <v>32.402062177658081</v>
      </c>
      <c r="N176" s="62">
        <f>'price-new'!E49</f>
        <v>27.92</v>
      </c>
      <c r="O176" s="429">
        <f>'Filter-new'!E659</f>
        <v>115.76470588235294</v>
      </c>
      <c r="P176" s="62">
        <f>VLOOKUP(B176,[1]Offpeak_Forward!$A$1:$AG$231,13,FALSE)</f>
        <v>15.748039245605501</v>
      </c>
      <c r="Q176" s="45">
        <f>'Filter-old'!H170</f>
        <v>0</v>
      </c>
      <c r="R176" s="61">
        <f>'Filter-new'!H170</f>
        <v>0</v>
      </c>
      <c r="S176" s="62">
        <f>'price-old'!H49</f>
        <v>31.593929290771484</v>
      </c>
      <c r="T176" s="62">
        <f>'price-new'!H49</f>
        <v>26.67</v>
      </c>
      <c r="U176" s="445">
        <f>'Filter-new'!H659</f>
        <v>0</v>
      </c>
      <c r="V176" s="62">
        <f>VLOOKUP(B176,[1]Offpeak_Forward!$A$1:$AG$231,14,FALSE)</f>
        <v>15.335293769836399</v>
      </c>
      <c r="W176" s="45">
        <f>'Filter-old'!J170</f>
        <v>0</v>
      </c>
      <c r="X176" s="61">
        <f>'Filter-new'!J170</f>
        <v>0</v>
      </c>
      <c r="Y176" s="62">
        <f>'price-old'!J49</f>
        <v>39.154998779296875</v>
      </c>
      <c r="Z176" s="62">
        <f>'price-new'!J49</f>
        <v>27.92</v>
      </c>
      <c r="AA176" s="45">
        <f>'Filter-old'!F170</f>
        <v>0</v>
      </c>
      <c r="AB176" s="61">
        <f>'Filter-new'!F170</f>
        <v>0</v>
      </c>
      <c r="AC176" s="62">
        <f>'price-old'!F49</f>
        <v>32.402062177658081</v>
      </c>
      <c r="AD176" s="62">
        <f>'price-new'!F49</f>
        <v>27.92</v>
      </c>
      <c r="AE176" s="45">
        <f>'Filter-old'!P170</f>
        <v>0</v>
      </c>
      <c r="AF176" s="61">
        <f>'Filter-new'!P170</f>
        <v>0</v>
      </c>
      <c r="AG176" s="62">
        <f>'price-old'!O49</f>
        <v>32.153934478759766</v>
      </c>
      <c r="AH176" s="62">
        <f>'price-new'!P49</f>
        <v>29.61</v>
      </c>
      <c r="AI176" s="45">
        <f>'Filter-old'!L170</f>
        <v>0</v>
      </c>
      <c r="AJ176" s="61">
        <f>'Filter-new'!L170</f>
        <v>0</v>
      </c>
      <c r="AK176" s="62">
        <f>'price-old'!L49</f>
        <v>53.54</v>
      </c>
      <c r="AL176" s="62">
        <f>'price-new'!L49</f>
        <v>28.59</v>
      </c>
      <c r="AM176" s="62">
        <f>'Filter-new'!L659</f>
        <v>0</v>
      </c>
      <c r="AN176" s="62">
        <f>VLOOKUP(B176,[1]Offpeak_Forward!$A$1:$AG$231,18,FALSE)</f>
        <v>19.372352600097699</v>
      </c>
      <c r="AO176" s="45">
        <f>'Filter-old'!G170</f>
        <v>0</v>
      </c>
      <c r="AP176" s="61">
        <f>'Filter-new'!G170</f>
        <v>0</v>
      </c>
      <c r="AQ176" s="62">
        <f>'price-old'!G49</f>
        <v>30.800003051757813</v>
      </c>
      <c r="AR176" s="62">
        <f>'price-new'!G49</f>
        <v>27.71</v>
      </c>
      <c r="AS176" s="45"/>
      <c r="AT176" s="61">
        <f>AX176+BD176+BJ176+BR176+BV176+CB176+BN176</f>
        <v>247.32351190476192</v>
      </c>
      <c r="AU176" s="62"/>
      <c r="AV176" s="194">
        <f>BA176+BY176+CE176</f>
        <v>-94.117647058823536</v>
      </c>
      <c r="AW176" s="45">
        <f>'Filter-old'!I170</f>
        <v>50</v>
      </c>
      <c r="AX176" s="61">
        <f>'Filter-new'!I170</f>
        <v>100</v>
      </c>
      <c r="AY176" s="62">
        <f>'price-old'!I49</f>
        <v>32.375</v>
      </c>
      <c r="AZ176" s="62">
        <f>'price-new'!I49</f>
        <v>27.42</v>
      </c>
      <c r="BA176" s="62">
        <f>'Filter-new'!I659</f>
        <v>0</v>
      </c>
      <c r="BB176" s="62">
        <f>VLOOKUP(B176,[1]Offpeak_Forward!$A$1:$AG$231,15,FALSE)</f>
        <v>16.4580383300781</v>
      </c>
      <c r="BC176" s="45">
        <f>'Filter-old'!K170</f>
        <v>0</v>
      </c>
      <c r="BD176" s="61">
        <f>'Filter-new'!K170</f>
        <v>0</v>
      </c>
      <c r="BE176" s="62">
        <f>'price-old'!K49</f>
        <v>39.1</v>
      </c>
      <c r="BF176" s="62">
        <f>'price-new'!K49</f>
        <v>31.75</v>
      </c>
      <c r="BG176" s="45">
        <f>'Filter-old'!M170</f>
        <v>0</v>
      </c>
      <c r="BH176" s="61"/>
      <c r="BI176" s="62">
        <f>VLOOKUP(B176,[1]Offpeak_Forward!$A$1:$AG$231,2,FALSE)</f>
        <v>24.413724899291999</v>
      </c>
      <c r="BJ176" s="61">
        <f>'Filter-new'!M170</f>
        <v>-50</v>
      </c>
      <c r="BK176" s="62">
        <f>'price-old'!M49</f>
        <v>32.75</v>
      </c>
      <c r="BL176" s="62">
        <f>'price-new'!M49</f>
        <v>29</v>
      </c>
      <c r="BM176" s="62"/>
      <c r="BN176" s="406">
        <f>'Filter-new'!N170</f>
        <v>0</v>
      </c>
      <c r="BO176" s="62"/>
      <c r="BP176" s="62">
        <f>'price-new'!N49</f>
        <v>37</v>
      </c>
      <c r="BQ176" s="45">
        <f>'Filter-old'!O170</f>
        <v>0</v>
      </c>
      <c r="BR176" s="61">
        <f>'Filter-new'!O170</f>
        <v>0</v>
      </c>
      <c r="BS176" s="62">
        <f>'price-old'!N49</f>
        <v>32.004998931884764</v>
      </c>
      <c r="BT176" s="62">
        <f>'price-new'!O49</f>
        <v>28.2</v>
      </c>
      <c r="BU176" s="45">
        <f>'Filter-old'!Q170</f>
        <v>164.49023809523811</v>
      </c>
      <c r="BV176" s="61">
        <f>'Filter-new'!Q170</f>
        <v>-2.6764880952380952</v>
      </c>
      <c r="BW176" s="62">
        <f>'price-old'!P49</f>
        <v>29.5</v>
      </c>
      <c r="BX176" s="88">
        <f>'price-new'!Q49</f>
        <v>26.108000000000001</v>
      </c>
      <c r="BY176" s="88">
        <f>'Filter-new'!Q659</f>
        <v>0</v>
      </c>
      <c r="BZ176" s="88">
        <f>VLOOKUP(B176,[1]Offpeak_Forward!$A$1:$AG$231,22,FALSE)</f>
        <v>17.751371383666999</v>
      </c>
      <c r="CA176" s="45">
        <f>'Filter-old'!R170</f>
        <v>0</v>
      </c>
      <c r="CB176" s="61">
        <f>'Filter-new'!R170</f>
        <v>200</v>
      </c>
      <c r="CC176" s="61">
        <f>'price-old'!Q49</f>
        <v>32.75</v>
      </c>
      <c r="CD176" s="89">
        <f>'price-new'!R49</f>
        <v>29</v>
      </c>
      <c r="CE176" s="87">
        <f>'Filter-new'!R659</f>
        <v>-94.117647058823536</v>
      </c>
      <c r="CF176" s="87">
        <f>VLOOKUP(B176,[1]Offpeak_Forward!$A$1:$AG$231,6,FALSE)</f>
        <v>19.700981140136701</v>
      </c>
      <c r="CG176" s="4"/>
    </row>
    <row r="177" spans="1:85" hidden="1" x14ac:dyDescent="0.2">
      <c r="A177">
        <v>0</v>
      </c>
      <c r="B177" s="59">
        <v>38292</v>
      </c>
      <c r="C177" s="59">
        <f>'Filter-new'!C49</f>
        <v>38292</v>
      </c>
      <c r="D177" s="63"/>
      <c r="E177" s="63"/>
      <c r="F177" s="63"/>
      <c r="G177" s="36">
        <f>SUM(K177,AA177,AO177,Q177,AW177,W177,BC177,AI177,BG177,BQ177,AE177,BU177,CA177)</f>
        <v>232.76279761904763</v>
      </c>
      <c r="H177" s="36">
        <f>SUM(L177,AB177,AP177,R177,AX177,X177,BD177,AJ177,BJ177,BR177,AF177,BV177,CB177,BN176)</f>
        <v>267.71523809523808</v>
      </c>
      <c r="I177" s="36">
        <f>O177+U177+AM177+BA177+BY177+CE177</f>
        <v>22.520833333333329</v>
      </c>
      <c r="J177" s="41"/>
      <c r="K177" s="45">
        <f>'Filter-old'!E171</f>
        <v>19.107589285714283</v>
      </c>
      <c r="L177" s="61">
        <f>'Filter-new'!E171</f>
        <v>20.378630952380952</v>
      </c>
      <c r="M177" s="62">
        <f>'price-old'!E50</f>
        <v>32.502060651779175</v>
      </c>
      <c r="N177" s="62">
        <f>'price-new'!E50</f>
        <v>28.26</v>
      </c>
      <c r="O177" s="429">
        <f>'Filter-new'!E660</f>
        <v>120.4375</v>
      </c>
      <c r="P177" s="62">
        <f>VLOOKUP(B177,[1]Offpeak_Forward!$A$1:$AG$231,13,FALSE)</f>
        <v>16.591667175293001</v>
      </c>
      <c r="Q177" s="45">
        <f>'Filter-old'!H171</f>
        <v>0</v>
      </c>
      <c r="R177" s="61">
        <f>'Filter-new'!H171</f>
        <v>0</v>
      </c>
      <c r="S177" s="62">
        <f>'price-old'!H50</f>
        <v>35.093929290771484</v>
      </c>
      <c r="T177" s="62">
        <f>'price-new'!H50</f>
        <v>27.01</v>
      </c>
      <c r="U177" s="445">
        <f>'Filter-new'!H660</f>
        <v>0</v>
      </c>
      <c r="V177" s="62">
        <f>VLOOKUP(B177,[1]Offpeak_Forward!$A$1:$AG$231,14,FALSE)</f>
        <v>15.815416336059601</v>
      </c>
      <c r="W177" s="45">
        <f>'Filter-old'!J171</f>
        <v>0</v>
      </c>
      <c r="X177" s="61">
        <f>'Filter-new'!J171</f>
        <v>0</v>
      </c>
      <c r="Y177" s="62">
        <f>'price-old'!J50</f>
        <v>39.951915740966797</v>
      </c>
      <c r="Z177" s="62">
        <f>'price-new'!J50</f>
        <v>28.26</v>
      </c>
      <c r="AA177" s="45">
        <f>'Filter-old'!F171</f>
        <v>0</v>
      </c>
      <c r="AB177" s="61">
        <f>'Filter-new'!F171</f>
        <v>0</v>
      </c>
      <c r="AC177" s="62">
        <f>'price-old'!F50</f>
        <v>32.502060651779175</v>
      </c>
      <c r="AD177" s="62">
        <f>'price-new'!F50</f>
        <v>28.26</v>
      </c>
      <c r="AE177" s="45">
        <f>'Filter-old'!P171</f>
        <v>0</v>
      </c>
      <c r="AF177" s="61">
        <f>'Filter-new'!P171</f>
        <v>0</v>
      </c>
      <c r="AG177" s="62">
        <f>'price-old'!O50</f>
        <v>32.253932952880859</v>
      </c>
      <c r="AH177" s="62">
        <f>'price-new'!P50</f>
        <v>33.35</v>
      </c>
      <c r="AI177" s="45">
        <f>'Filter-old'!L171</f>
        <v>0</v>
      </c>
      <c r="AJ177" s="61">
        <f>'Filter-new'!L171</f>
        <v>0</v>
      </c>
      <c r="AK177" s="62">
        <f>'price-old'!L50</f>
        <v>53.54</v>
      </c>
      <c r="AL177" s="62">
        <f>'price-new'!L50</f>
        <v>28.93</v>
      </c>
      <c r="AM177" s="62">
        <f>'Filter-new'!L660</f>
        <v>0</v>
      </c>
      <c r="AN177" s="62">
        <f>VLOOKUP(B177,[1]Offpeak_Forward!$A$1:$AG$231,18,FALSE)</f>
        <v>20.3041667938232</v>
      </c>
      <c r="AO177" s="45">
        <f>'Filter-old'!G171</f>
        <v>0</v>
      </c>
      <c r="AP177" s="61">
        <f>'Filter-new'!G171</f>
        <v>0</v>
      </c>
      <c r="AQ177" s="62">
        <f>'price-old'!G50</f>
        <v>30.499996185302734</v>
      </c>
      <c r="AR177" s="62">
        <f>'price-new'!G50</f>
        <v>26.71</v>
      </c>
      <c r="AS177" s="45"/>
      <c r="AT177" s="61">
        <f>AX177+BD177+BJ177+BR177+BV177+CB177+BN177</f>
        <v>247.33660714285713</v>
      </c>
      <c r="AU177" s="62"/>
      <c r="AV177" s="62">
        <f>BA177+BY177+CE177</f>
        <v>-97.916666666666671</v>
      </c>
      <c r="AW177" s="45">
        <f>'Filter-old'!I171</f>
        <v>50</v>
      </c>
      <c r="AX177" s="61">
        <f>'Filter-new'!I171</f>
        <v>100</v>
      </c>
      <c r="AY177" s="62">
        <f>'price-old'!I50</f>
        <v>32.25</v>
      </c>
      <c r="AZ177" s="62">
        <f>'price-new'!I50</f>
        <v>27.76</v>
      </c>
      <c r="BA177" s="62">
        <f>'Filter-new'!I660</f>
        <v>0</v>
      </c>
      <c r="BB177" s="62">
        <f>VLOOKUP(B177,[1]Offpeak_Forward!$A$1:$AG$231,15,FALSE)</f>
        <v>16.8225002288818</v>
      </c>
      <c r="BC177" s="45">
        <f>'Filter-old'!K171</f>
        <v>0</v>
      </c>
      <c r="BD177" s="61">
        <f>'Filter-new'!K171</f>
        <v>0</v>
      </c>
      <c r="BE177" s="62">
        <f>'price-old'!K50</f>
        <v>39.1</v>
      </c>
      <c r="BF177" s="62">
        <f>'price-new'!K50</f>
        <v>31.75</v>
      </c>
      <c r="BG177" s="45">
        <f>'Filter-old'!M171</f>
        <v>0</v>
      </c>
      <c r="BH177" s="61"/>
      <c r="BI177" s="62">
        <f>VLOOKUP(B177,[1]Offpeak_Forward!$A$1:$AG$231,2,FALSE)</f>
        <v>25.3229160308838</v>
      </c>
      <c r="BJ177" s="61">
        <f>'Filter-new'!M171</f>
        <v>-50</v>
      </c>
      <c r="BK177" s="62">
        <f>'price-old'!M50</f>
        <v>32.75</v>
      </c>
      <c r="BL177" s="62">
        <f>'price-new'!M50</f>
        <v>29</v>
      </c>
      <c r="BM177" s="62"/>
      <c r="BN177" s="406">
        <f>'Filter-new'!N171</f>
        <v>0</v>
      </c>
      <c r="BO177" s="62"/>
      <c r="BP177" s="62">
        <f>'price-new'!N50</f>
        <v>37</v>
      </c>
      <c r="BQ177" s="45">
        <f>'Filter-old'!O171</f>
        <v>0</v>
      </c>
      <c r="BR177" s="61">
        <f>'Filter-new'!O171</f>
        <v>0</v>
      </c>
      <c r="BS177" s="62">
        <f>'price-old'!N50</f>
        <v>32</v>
      </c>
      <c r="BT177" s="62">
        <f>'price-new'!O50</f>
        <v>28.2</v>
      </c>
      <c r="BU177" s="45">
        <f>'Filter-old'!Q171</f>
        <v>163.65520833333335</v>
      </c>
      <c r="BV177" s="61">
        <f>'Filter-new'!Q171</f>
        <v>-2.6633928571428571</v>
      </c>
      <c r="BW177" s="62">
        <f>'price-old'!P50</f>
        <v>29.5</v>
      </c>
      <c r="BX177" s="88">
        <f>'price-new'!Q50</f>
        <v>26.108000000000001</v>
      </c>
      <c r="BY177" s="88">
        <f>'Filter-new'!Q660</f>
        <v>0</v>
      </c>
      <c r="BZ177" s="88">
        <f>VLOOKUP(B177,[1]Offpeak_Forward!$A$1:$AG$231,22,FALSE)</f>
        <v>18.292915344238299</v>
      </c>
      <c r="CA177" s="45">
        <f>'Filter-old'!R171</f>
        <v>0</v>
      </c>
      <c r="CB177" s="61">
        <f>'Filter-new'!R171</f>
        <v>200</v>
      </c>
      <c r="CC177" s="61">
        <f>'price-old'!Q50</f>
        <v>32.75</v>
      </c>
      <c r="CD177" s="89">
        <f>'price-new'!R50</f>
        <v>29</v>
      </c>
      <c r="CE177" s="87">
        <f>'Filter-new'!R660</f>
        <v>-97.916666666666671</v>
      </c>
      <c r="CF177" s="87">
        <f>VLOOKUP(B177,[1]Offpeak_Forward!$A$1:$AG$231,6,FALSE)</f>
        <v>20.4375</v>
      </c>
      <c r="CG177" s="4"/>
    </row>
    <row r="178" spans="1:85" hidden="1" x14ac:dyDescent="0.2">
      <c r="A178">
        <v>0</v>
      </c>
      <c r="B178" s="59">
        <v>38322</v>
      </c>
      <c r="C178" s="59">
        <f>'Filter-new'!C50</f>
        <v>38322</v>
      </c>
      <c r="D178" s="63"/>
      <c r="E178" s="63"/>
      <c r="F178" s="63"/>
      <c r="G178" s="36">
        <f>SUM(K178,AA178,AO178,Q178,AW178,W178,BC178,AI178,BG178,BQ178,AE178,BU178,CA178)</f>
        <v>231.79855978260872</v>
      </c>
      <c r="H178" s="36">
        <f>SUM(L178,AB178,AP178,R178,AX178,X178,BD178,AJ178,BJ178,BR178,AF178,BV178,CB178,BN176)</f>
        <v>267.6304891304348</v>
      </c>
      <c r="I178" s="36">
        <f>O178+U178+AM178+BA178+BY178+CE178</f>
        <v>187.72340425531914</v>
      </c>
      <c r="J178" s="41"/>
      <c r="K178" s="45">
        <f>'Filter-old'!E172</f>
        <v>19.006793478260871</v>
      </c>
      <c r="L178" s="61">
        <f>'Filter-new'!E172</f>
        <v>20.281195652173913</v>
      </c>
      <c r="M178" s="62">
        <f>'price-old'!E51</f>
        <v>32.602059125900269</v>
      </c>
      <c r="N178" s="62">
        <f>'price-new'!E51</f>
        <v>27.96</v>
      </c>
      <c r="O178" s="429">
        <f>'Filter-new'!E661</f>
        <v>187.72340425531914</v>
      </c>
      <c r="P178" s="62">
        <f>VLOOKUP(B178,[1]Offpeak_Forward!$A$1:$AG$231,13,FALSE)</f>
        <v>20.019149780273398</v>
      </c>
      <c r="Q178" s="45">
        <f>'Filter-old'!H172</f>
        <v>0</v>
      </c>
      <c r="R178" s="61">
        <f>'Filter-new'!H172</f>
        <v>0</v>
      </c>
      <c r="S178" s="62">
        <f>'price-old'!H51</f>
        <v>35.593929290771484</v>
      </c>
      <c r="T178" s="62">
        <f>'price-new'!H51</f>
        <v>26.71</v>
      </c>
      <c r="U178" s="445">
        <f>'Filter-new'!H661</f>
        <v>0</v>
      </c>
      <c r="V178" s="62">
        <f>VLOOKUP(B178,[1]Offpeak_Forward!$A$1:$AG$231,14,FALSE)</f>
        <v>19.168724060058601</v>
      </c>
      <c r="W178" s="45">
        <f>'Filter-old'!J172</f>
        <v>0</v>
      </c>
      <c r="X178" s="61">
        <f>'Filter-new'!J172</f>
        <v>0</v>
      </c>
      <c r="Y178" s="62">
        <f>'price-old'!J51</f>
        <v>40.707302093505859</v>
      </c>
      <c r="Z178" s="62">
        <f>'price-new'!J51</f>
        <v>27.96</v>
      </c>
      <c r="AA178" s="45">
        <f>'Filter-old'!F172</f>
        <v>0</v>
      </c>
      <c r="AB178" s="61">
        <f>'Filter-new'!F172</f>
        <v>0</v>
      </c>
      <c r="AC178" s="62">
        <f>'price-old'!F51</f>
        <v>32.602059125900269</v>
      </c>
      <c r="AD178" s="62">
        <f>'price-new'!F51</f>
        <v>27.96</v>
      </c>
      <c r="AE178" s="45">
        <f>'Filter-old'!P172</f>
        <v>0</v>
      </c>
      <c r="AF178" s="61">
        <f>'Filter-new'!P172</f>
        <v>0</v>
      </c>
      <c r="AG178" s="62">
        <f>'price-old'!O51</f>
        <v>32.353931427001953</v>
      </c>
      <c r="AH178" s="62">
        <f>'price-new'!P51</f>
        <v>33.450000000000003</v>
      </c>
      <c r="AI178" s="45">
        <f>'Filter-old'!L172</f>
        <v>0</v>
      </c>
      <c r="AJ178" s="61">
        <f>'Filter-new'!L172</f>
        <v>0</v>
      </c>
      <c r="AK178" s="62">
        <f>'price-old'!L51</f>
        <v>53.54</v>
      </c>
      <c r="AL178" s="62">
        <f>'price-new'!L51</f>
        <v>28.63</v>
      </c>
      <c r="AM178" s="62">
        <f>'Filter-new'!L661</f>
        <v>0</v>
      </c>
      <c r="AN178" s="62">
        <f>VLOOKUP(B178,[1]Offpeak_Forward!$A$1:$AG$231,18,FALSE)</f>
        <v>23.909360885620099</v>
      </c>
      <c r="AO178" s="45">
        <f>'Filter-old'!G172</f>
        <v>0</v>
      </c>
      <c r="AP178" s="61">
        <f>'Filter-new'!G172</f>
        <v>0</v>
      </c>
      <c r="AQ178" s="62">
        <f>'price-old'!G51</f>
        <v>31.499996185302734</v>
      </c>
      <c r="AR178" s="62">
        <f>'price-new'!G51</f>
        <v>27.61</v>
      </c>
      <c r="AS178" s="45"/>
      <c r="AT178" s="61">
        <f>AX178+BD178+BJ178+BR178+BV178+CB178+BN178</f>
        <v>247.34929347826088</v>
      </c>
      <c r="AU178" s="62"/>
      <c r="AV178" s="62">
        <f>BA178+BY178+CE178</f>
        <v>0</v>
      </c>
      <c r="AW178" s="45">
        <f>'Filter-old'!I172</f>
        <v>50</v>
      </c>
      <c r="AX178" s="61">
        <f>'Filter-new'!I172</f>
        <v>100</v>
      </c>
      <c r="AY178" s="62">
        <f>'price-old'!I51</f>
        <v>32.125</v>
      </c>
      <c r="AZ178" s="62">
        <f>'price-new'!I51</f>
        <v>27.46</v>
      </c>
      <c r="BA178" s="62">
        <f>'Filter-new'!I661</f>
        <v>0</v>
      </c>
      <c r="BB178" s="62">
        <f>VLOOKUP(B178,[1]Offpeak_Forward!$A$1:$AG$231,15,FALSE)</f>
        <v>16.202552795410199</v>
      </c>
      <c r="BC178" s="45">
        <f>'Filter-old'!K172</f>
        <v>0</v>
      </c>
      <c r="BD178" s="61">
        <f>'Filter-new'!K172</f>
        <v>0</v>
      </c>
      <c r="BE178" s="62">
        <f>'price-old'!K51</f>
        <v>39.1</v>
      </c>
      <c r="BF178" s="62">
        <f>'price-new'!K51</f>
        <v>31.75</v>
      </c>
      <c r="BG178" s="45">
        <f>'Filter-old'!M172</f>
        <v>0</v>
      </c>
      <c r="BH178" s="61"/>
      <c r="BI178" s="62">
        <f>VLOOKUP(B178,[1]Offpeak_Forward!$A$1:$AG$231,2,FALSE)</f>
        <v>24.686170578002901</v>
      </c>
      <c r="BJ178" s="61">
        <f>'Filter-new'!M172</f>
        <v>-50</v>
      </c>
      <c r="BK178" s="62">
        <f>'price-old'!M51</f>
        <v>32.75</v>
      </c>
      <c r="BL178" s="62">
        <f>'price-new'!M51</f>
        <v>29</v>
      </c>
      <c r="BM178" s="62"/>
      <c r="BN178" s="406">
        <f>'Filter-new'!N172</f>
        <v>0</v>
      </c>
      <c r="BO178" s="62"/>
      <c r="BP178" s="62">
        <f>'price-new'!N51</f>
        <v>37</v>
      </c>
      <c r="BQ178" s="45">
        <f>'Filter-old'!O172</f>
        <v>0</v>
      </c>
      <c r="BR178" s="61">
        <f>'Filter-new'!O172</f>
        <v>0</v>
      </c>
      <c r="BS178" s="62">
        <f>'price-old'!N51</f>
        <v>32.004998931884764</v>
      </c>
      <c r="BT178" s="62">
        <f>'price-new'!O51</f>
        <v>28.2</v>
      </c>
      <c r="BU178" s="45">
        <f>'Filter-old'!Q172</f>
        <v>162.79176630434785</v>
      </c>
      <c r="BV178" s="61">
        <f>'Filter-new'!Q172</f>
        <v>-2.6507065217391306</v>
      </c>
      <c r="BW178" s="62">
        <f>'price-old'!P51</f>
        <v>29.5</v>
      </c>
      <c r="BX178" s="88">
        <f>'price-new'!Q51</f>
        <v>26.358000000000001</v>
      </c>
      <c r="BY178" s="88">
        <f>'Filter-new'!Q661</f>
        <v>0</v>
      </c>
      <c r="BZ178" s="88">
        <f>VLOOKUP(B178,[1]Offpeak_Forward!$A$1:$AG$231,22,FALSE)</f>
        <v>17.839147567748999</v>
      </c>
      <c r="CA178" s="45">
        <f>'Filter-old'!R172</f>
        <v>0</v>
      </c>
      <c r="CB178" s="61">
        <f>'Filter-new'!R172</f>
        <v>200</v>
      </c>
      <c r="CC178" s="61">
        <f>'price-old'!Q51</f>
        <v>32.75</v>
      </c>
      <c r="CD178" s="89">
        <f>'price-new'!R51</f>
        <v>29</v>
      </c>
      <c r="CE178" s="87">
        <f>'Filter-new'!R661</f>
        <v>0</v>
      </c>
      <c r="CF178" s="87">
        <f>VLOOKUP(B178,[1]Offpeak_Forward!$A$1:$AG$231,6,FALSE)</f>
        <v>21.378170013427699</v>
      </c>
      <c r="CG178" s="4"/>
    </row>
    <row r="179" spans="1:85" x14ac:dyDescent="0.2">
      <c r="A179">
        <v>1</v>
      </c>
      <c r="B179" s="501" t="s">
        <v>151</v>
      </c>
      <c r="C179" s="63"/>
      <c r="D179" s="63"/>
      <c r="E179" s="63"/>
      <c r="F179" s="63"/>
      <c r="G179" s="36"/>
      <c r="H179" s="485">
        <f>AVERAGE(H176:H178)</f>
        <v>267.71401224982748</v>
      </c>
      <c r="I179" s="485">
        <f>AVERAGE(I176:I178)</f>
        <v>77.297098804060624</v>
      </c>
      <c r="J179" s="41"/>
      <c r="K179" s="45"/>
      <c r="L179" s="485">
        <f>AVERAGE(L176:L178)</f>
        <v>20.377541407867493</v>
      </c>
      <c r="M179" s="62"/>
      <c r="N179" s="475">
        <f>AVERAGE(N176:N178)</f>
        <v>28.04666666666667</v>
      </c>
      <c r="O179" s="485">
        <f>AVERAGE(O176:O178)</f>
        <v>141.30853671255736</v>
      </c>
      <c r="P179" s="475">
        <f>AVERAGE(P176:P178)</f>
        <v>17.4529520670573</v>
      </c>
      <c r="Q179" s="45"/>
      <c r="R179" s="485">
        <f>AVERAGE(R176:R178)</f>
        <v>0</v>
      </c>
      <c r="S179" s="62"/>
      <c r="T179" s="482">
        <f>AVERAGE(T176:T178)</f>
        <v>26.79666666666667</v>
      </c>
      <c r="U179" s="485">
        <f>AVERAGE(U176:U178)</f>
        <v>0</v>
      </c>
      <c r="V179" s="482">
        <f>AVERAGE(V176:V178)</f>
        <v>16.773144721984867</v>
      </c>
      <c r="W179" s="45"/>
      <c r="X179" s="61"/>
      <c r="Y179" s="62"/>
      <c r="Z179" s="62"/>
      <c r="AA179" s="45"/>
      <c r="AB179" s="485">
        <f>AVERAGE(AB176:AB178)</f>
        <v>0</v>
      </c>
      <c r="AC179" s="62"/>
      <c r="AD179" s="482">
        <f>AVERAGE(AD176:AD178)</f>
        <v>28.04666666666667</v>
      </c>
      <c r="AE179" s="45"/>
      <c r="AF179" s="485">
        <f>AVERAGE(AF176:AF178)</f>
        <v>0</v>
      </c>
      <c r="AG179" s="62"/>
      <c r="AH179" s="482">
        <f>AVERAGE(AH176:AH178)</f>
        <v>32.136666666666663</v>
      </c>
      <c r="AI179" s="45"/>
      <c r="AJ179" s="485">
        <f>AVERAGE(AJ176:AJ178)</f>
        <v>0</v>
      </c>
      <c r="AK179" s="62"/>
      <c r="AL179" s="482">
        <f>AVERAGE(AL176:AL178)</f>
        <v>28.716666666666665</v>
      </c>
      <c r="AM179" s="485">
        <f>AVERAGE(AM176:AM178)</f>
        <v>0</v>
      </c>
      <c r="AN179" s="482">
        <f>AVERAGE(AN176:AN178)</f>
        <v>21.195293426513668</v>
      </c>
      <c r="AO179" s="45"/>
      <c r="AP179" s="61"/>
      <c r="AQ179" s="62"/>
      <c r="AR179" s="62"/>
      <c r="AS179" s="45"/>
      <c r="AT179" s="485">
        <f>AVERAGE(AT176:AT178)</f>
        <v>247.33647084195999</v>
      </c>
      <c r="AU179" s="62"/>
      <c r="AV179" s="485">
        <f>AVERAGE(AV176:AV178)</f>
        <v>-64.011437908496745</v>
      </c>
      <c r="AW179" s="45"/>
      <c r="AX179" s="485">
        <f>AVERAGE(AX176:AX178)</f>
        <v>100</v>
      </c>
      <c r="AY179" s="62"/>
      <c r="AZ179" s="482">
        <f>AVERAGE(AZ176:AZ178)</f>
        <v>27.54666666666667</v>
      </c>
      <c r="BA179" s="485">
        <f>AVERAGE(BA176:BA178)</f>
        <v>0</v>
      </c>
      <c r="BB179" s="482">
        <f>AVERAGE(BB176:BB178)</f>
        <v>16.494363784790036</v>
      </c>
      <c r="BC179" s="45"/>
      <c r="BD179" s="485">
        <f>AVERAGE(BD176:BD178)</f>
        <v>0</v>
      </c>
      <c r="BE179" s="62"/>
      <c r="BF179" s="482">
        <f>AVERAGE(BF176:BF178)</f>
        <v>31.75</v>
      </c>
      <c r="BG179" s="45"/>
      <c r="BH179" s="485">
        <f>AVERAGE('Filter-new'!K659:K661)</f>
        <v>0</v>
      </c>
      <c r="BI179" s="482">
        <f>AVERAGE(BI176:BI178)</f>
        <v>24.807603836059567</v>
      </c>
      <c r="BJ179" s="485">
        <f>AVERAGE(BJ176:BJ178)</f>
        <v>-50</v>
      </c>
      <c r="BK179" s="62"/>
      <c r="BL179" s="482">
        <f>AVERAGE(BL176:BL178)</f>
        <v>29</v>
      </c>
      <c r="BM179" s="62"/>
      <c r="BN179" s="485">
        <f>AVERAGE(BN176:BN178)</f>
        <v>0</v>
      </c>
      <c r="BO179" s="62"/>
      <c r="BP179" s="482">
        <f>AVERAGE(BP176:BP178)</f>
        <v>37</v>
      </c>
      <c r="BQ179" s="45"/>
      <c r="BR179" s="485">
        <f>AVERAGE(BR176:BR178)</f>
        <v>0</v>
      </c>
      <c r="BS179" s="62"/>
      <c r="BT179" s="482">
        <f>AVERAGE(BT176:BT178)</f>
        <v>28.2</v>
      </c>
      <c r="BU179" s="45"/>
      <c r="BV179" s="485">
        <f>AVERAGE(BV176:BV178)</f>
        <v>-2.6635291580400273</v>
      </c>
      <c r="BW179" s="62"/>
      <c r="BX179" s="482">
        <f>AVERAGE(BX176:BX178)</f>
        <v>26.191333333333333</v>
      </c>
      <c r="BY179" s="485">
        <f>AVERAGE(BY176:BY178)</f>
        <v>0</v>
      </c>
      <c r="BZ179" s="482">
        <f>AVERAGE(BZ176:BZ178)</f>
        <v>17.961144765218098</v>
      </c>
      <c r="CA179" s="45"/>
      <c r="CB179" s="485">
        <f>AVERAGE(CB176:CB178)</f>
        <v>200</v>
      </c>
      <c r="CC179" s="61"/>
      <c r="CD179" s="482">
        <f>AVERAGE(CD176:CD178)</f>
        <v>29</v>
      </c>
      <c r="CE179" s="485">
        <f>AVERAGE(CE176:CE178)</f>
        <v>-64.011437908496745</v>
      </c>
      <c r="CF179" s="482">
        <f>AVERAGE(CF176:CF178)</f>
        <v>20.505550384521467</v>
      </c>
      <c r="CG179" s="4"/>
    </row>
    <row r="180" spans="1:85" s="505" customFormat="1" ht="7.5" customHeight="1" x14ac:dyDescent="0.2">
      <c r="A180" s="505">
        <v>1</v>
      </c>
      <c r="B180" s="63"/>
      <c r="C180" s="63"/>
      <c r="D180" s="63"/>
      <c r="E180" s="63"/>
      <c r="F180" s="63"/>
      <c r="G180" s="36"/>
      <c r="H180" s="486"/>
      <c r="I180" s="486"/>
      <c r="J180" s="57"/>
      <c r="K180" s="45"/>
      <c r="L180" s="486"/>
      <c r="M180" s="62"/>
      <c r="N180" s="476"/>
      <c r="O180" s="486"/>
      <c r="P180" s="476"/>
      <c r="Q180" s="61"/>
      <c r="R180" s="486"/>
      <c r="S180" s="62"/>
      <c r="T180" s="483"/>
      <c r="U180" s="486"/>
      <c r="V180" s="483"/>
      <c r="W180" s="61"/>
      <c r="X180" s="61"/>
      <c r="Y180" s="62"/>
      <c r="Z180" s="62"/>
      <c r="AA180" s="45"/>
      <c r="AB180" s="486"/>
      <c r="AC180" s="62"/>
      <c r="AD180" s="483"/>
      <c r="AE180" s="61"/>
      <c r="AF180" s="486"/>
      <c r="AG180" s="62"/>
      <c r="AH180" s="483"/>
      <c r="AI180" s="61"/>
      <c r="AJ180" s="486"/>
      <c r="AK180" s="62"/>
      <c r="AL180" s="483"/>
      <c r="AM180" s="486"/>
      <c r="AN180" s="483"/>
      <c r="AO180" s="61"/>
      <c r="AP180" s="61"/>
      <c r="AQ180" s="62"/>
      <c r="AR180" s="62"/>
      <c r="AS180" s="45"/>
      <c r="AT180" s="486"/>
      <c r="AU180" s="62"/>
      <c r="AV180" s="486"/>
      <c r="AW180" s="61"/>
      <c r="AX180" s="486"/>
      <c r="AY180" s="62"/>
      <c r="AZ180" s="483"/>
      <c r="BA180" s="486"/>
      <c r="BB180" s="483"/>
      <c r="BC180" s="61"/>
      <c r="BD180" s="486"/>
      <c r="BE180" s="62"/>
      <c r="BF180" s="483"/>
      <c r="BG180" s="61"/>
      <c r="BH180" s="61"/>
      <c r="BI180" s="61"/>
      <c r="BJ180" s="486"/>
      <c r="BK180" s="62"/>
      <c r="BL180" s="483"/>
      <c r="BM180" s="62"/>
      <c r="BN180" s="486"/>
      <c r="BO180" s="62"/>
      <c r="BP180" s="483"/>
      <c r="BQ180" s="61"/>
      <c r="BR180" s="486"/>
      <c r="BS180" s="62"/>
      <c r="BT180" s="483"/>
      <c r="BU180" s="61"/>
      <c r="BV180" s="486"/>
      <c r="BW180" s="62"/>
      <c r="BX180" s="483"/>
      <c r="BY180" s="486"/>
      <c r="BZ180" s="483"/>
      <c r="CA180" s="61"/>
      <c r="CB180" s="486"/>
      <c r="CC180" s="61"/>
      <c r="CD180" s="483"/>
      <c r="CE180" s="486"/>
      <c r="CF180" s="483"/>
      <c r="CG180" s="57"/>
    </row>
    <row r="181" spans="1:85" hidden="1" x14ac:dyDescent="0.2">
      <c r="A181">
        <v>0</v>
      </c>
      <c r="B181" s="59">
        <v>38353</v>
      </c>
      <c r="C181" s="59">
        <f>'Filter-new'!C51</f>
        <v>38353</v>
      </c>
      <c r="D181" s="63"/>
      <c r="E181" s="63"/>
      <c r="F181" s="63"/>
      <c r="G181" s="36">
        <f>SUM(K181,AA181,AO181,Q181,AW181,W181,BC181,AI181,BG181,BQ181,AE181,BU181,CA181)</f>
        <v>423.80517857142854</v>
      </c>
      <c r="H181" s="36">
        <f>SUM(L181,AB181,AP181,R181,AX181,X181,BD181,AJ181,BJ181,BR181,AF181,BV181,CB181,BN181)</f>
        <v>65.362470238095241</v>
      </c>
      <c r="I181" s="36">
        <f>O181+U181+AM181+BA181+BY181+CE181</f>
        <v>149.25490196078431</v>
      </c>
      <c r="J181" s="41"/>
      <c r="K181" s="45">
        <f>'Filter-old'!E173</f>
        <v>224.40443452380953</v>
      </c>
      <c r="L181" s="61">
        <f>'Filter-new'!E173</f>
        <v>-67.569285714285712</v>
      </c>
      <c r="M181" s="62">
        <f>'price-old'!E52</f>
        <v>38.381435285295758</v>
      </c>
      <c r="N181" s="62">
        <f>'price-new'!E52</f>
        <v>29.96</v>
      </c>
      <c r="O181" s="429">
        <f>'Filter-new'!E662</f>
        <v>149.25490196078431</v>
      </c>
      <c r="P181" s="62">
        <f>VLOOKUP(B181,[1]Offpeak_Forward!$A$1:$AG$231,13,FALSE)</f>
        <v>23.541175842285199</v>
      </c>
      <c r="Q181" s="45">
        <f>'Filter-old'!H173</f>
        <v>50</v>
      </c>
      <c r="R181" s="61">
        <f>'Filter-new'!H173</f>
        <v>-50</v>
      </c>
      <c r="S181" s="62">
        <f>'price-old'!H52</f>
        <v>39.230865478515625</v>
      </c>
      <c r="T181" s="62">
        <f>'price-new'!H52</f>
        <v>28.41</v>
      </c>
      <c r="U181" s="445">
        <f>'Filter-new'!H662</f>
        <v>0</v>
      </c>
      <c r="V181" s="62">
        <f>VLOOKUP(B181,[1]Offpeak_Forward!$A$1:$AG$231,14,FALSE)</f>
        <v>22.881372451782202</v>
      </c>
      <c r="W181" s="45">
        <f>'Filter-old'!J173</f>
        <v>0</v>
      </c>
      <c r="X181" s="61">
        <f>'Filter-new'!J173</f>
        <v>0</v>
      </c>
      <c r="Y181" s="62">
        <f>'price-old'!J52</f>
        <v>48.798839569091797</v>
      </c>
      <c r="Z181" s="62">
        <f>'price-new'!J52</f>
        <v>30.46</v>
      </c>
      <c r="AA181" s="45">
        <f>'Filter-old'!F173</f>
        <v>0</v>
      </c>
      <c r="AB181" s="61">
        <f>'Filter-new'!F173</f>
        <v>0</v>
      </c>
      <c r="AC181" s="62">
        <f>'price-old'!F52</f>
        <v>38.381435285295758</v>
      </c>
      <c r="AD181" s="62">
        <f>'price-new'!F52</f>
        <v>30.46</v>
      </c>
      <c r="AE181" s="45">
        <f>'Filter-old'!P173</f>
        <v>0</v>
      </c>
      <c r="AF181" s="61">
        <f>'Filter-new'!P173</f>
        <v>0</v>
      </c>
      <c r="AG181" s="62">
        <f>'price-old'!O52</f>
        <v>37.882863616943361</v>
      </c>
      <c r="AH181" s="62">
        <f>'price-new'!P52</f>
        <v>33.06</v>
      </c>
      <c r="AI181" s="45">
        <f>'Filter-old'!L173</f>
        <v>0</v>
      </c>
      <c r="AJ181" s="61">
        <f>'Filter-new'!L173</f>
        <v>0</v>
      </c>
      <c r="AK181" s="62">
        <f>'price-old'!L52</f>
        <v>65.05</v>
      </c>
      <c r="AL181" s="62">
        <f>'price-new'!L52</f>
        <v>33.01</v>
      </c>
      <c r="AM181" s="62">
        <f>'Filter-new'!L662</f>
        <v>0</v>
      </c>
      <c r="AN181" s="62">
        <f>VLOOKUP(B181,[1]Offpeak_Forward!$A$1:$AG$231,18,FALSE)</f>
        <v>27.3539218902588</v>
      </c>
      <c r="AO181" s="45">
        <f>'Filter-old'!G173</f>
        <v>0</v>
      </c>
      <c r="AP181" s="61">
        <f>'Filter-new'!G173</f>
        <v>0</v>
      </c>
      <c r="AQ181" s="62">
        <f>'price-old'!G52</f>
        <v>37.969999694824217</v>
      </c>
      <c r="AR181" s="62">
        <f>'price-new'!G52</f>
        <v>28.68</v>
      </c>
      <c r="AS181" s="45"/>
      <c r="AT181" s="61">
        <f>AX181+BD181+BJ181+BR181+BV181+CB181+BN181</f>
        <v>182.93175595238097</v>
      </c>
      <c r="AU181" s="62"/>
      <c r="AV181" s="62">
        <f>BA181+BY181+CE181</f>
        <v>0</v>
      </c>
      <c r="AW181" s="45">
        <f>'Filter-old'!I173</f>
        <v>-75</v>
      </c>
      <c r="AX181" s="61">
        <f>'Filter-new'!I173</f>
        <v>25</v>
      </c>
      <c r="AY181" s="62">
        <f>'price-old'!I52</f>
        <v>38.754997253417969</v>
      </c>
      <c r="AZ181" s="62">
        <f>'price-new'!I52</f>
        <v>29.46</v>
      </c>
      <c r="BA181" s="62">
        <f>'Filter-new'!I662</f>
        <v>0</v>
      </c>
      <c r="BB181" s="62">
        <f>VLOOKUP(B181,[1]Offpeak_Forward!$A$1:$AG$231,15,FALSE)</f>
        <v>19.3205871582031</v>
      </c>
      <c r="BC181" s="45">
        <f>'Filter-old'!K173</f>
        <v>0</v>
      </c>
      <c r="BD181" s="61">
        <f>'Filter-new'!K173</f>
        <v>0</v>
      </c>
      <c r="BE181" s="62">
        <f>'price-old'!K52</f>
        <v>50.6</v>
      </c>
      <c r="BF181" s="62">
        <f>'price-new'!K52</f>
        <v>40</v>
      </c>
      <c r="BG181" s="45">
        <f>'Filter-old'!M173</f>
        <v>0</v>
      </c>
      <c r="BH181" s="61"/>
      <c r="BI181" s="62">
        <f>VLOOKUP(B181,[1]Offpeak_Forward!$A$1:$AG$231,2,FALSE)</f>
        <v>32.385059356689503</v>
      </c>
      <c r="BJ181" s="61">
        <f>'Filter-new'!M173</f>
        <v>0</v>
      </c>
      <c r="BK181" s="62">
        <f>'price-old'!M52</f>
        <v>38</v>
      </c>
      <c r="BL181" s="62">
        <f>'price-new'!M52</f>
        <v>32</v>
      </c>
      <c r="BM181" s="62"/>
      <c r="BN181" s="406">
        <f>'Filter-new'!N173</f>
        <v>0</v>
      </c>
      <c r="BO181" s="62"/>
      <c r="BP181" s="62">
        <f>'price-new'!N52</f>
        <v>41</v>
      </c>
      <c r="BQ181" s="45">
        <f>'Filter-old'!O173</f>
        <v>0</v>
      </c>
      <c r="BR181" s="61">
        <f>'Filter-new'!O173</f>
        <v>0</v>
      </c>
      <c r="BS181" s="62">
        <f>'price-old'!N52</f>
        <v>40.600717163085939</v>
      </c>
      <c r="BT181" s="62">
        <f>'price-new'!O52</f>
        <v>30.86</v>
      </c>
      <c r="BU181" s="45">
        <f>'Filter-old'!Q173</f>
        <v>224.40074404761904</v>
      </c>
      <c r="BV181" s="61">
        <f>'Filter-new'!Q173</f>
        <v>107.93175595238095</v>
      </c>
      <c r="BW181" s="62">
        <f>'price-old'!P52</f>
        <v>35.150001525878906</v>
      </c>
      <c r="BX181" s="88">
        <f>'price-new'!Q52</f>
        <v>28.317</v>
      </c>
      <c r="BY181" s="88">
        <f>'Filter-new'!Q662</f>
        <v>0</v>
      </c>
      <c r="BZ181" s="88">
        <f>VLOOKUP(B181,[1]Offpeak_Forward!$A$1:$AG$231,22,FALSE)</f>
        <v>18.2970581054688</v>
      </c>
      <c r="CA181" s="45">
        <f>'Filter-old'!R173</f>
        <v>0</v>
      </c>
      <c r="CB181" s="61">
        <f>'Filter-new'!R173</f>
        <v>50</v>
      </c>
      <c r="CC181" s="61">
        <f>'price-old'!Q52</f>
        <v>38</v>
      </c>
      <c r="CD181" s="89">
        <f>'price-new'!R52</f>
        <v>31.25</v>
      </c>
      <c r="CE181" s="87">
        <f>'Filter-new'!R662</f>
        <v>0</v>
      </c>
      <c r="CF181" s="87">
        <f>VLOOKUP(B181,[1]Offpeak_Forward!$A$1:$AG$231,6,FALSE)</f>
        <v>24.147920608520501</v>
      </c>
      <c r="CG181" s="4"/>
    </row>
    <row r="182" spans="1:85" hidden="1" x14ac:dyDescent="0.2">
      <c r="A182">
        <v>0</v>
      </c>
      <c r="B182" s="59">
        <v>38384</v>
      </c>
      <c r="C182" s="59">
        <f>'Filter-new'!C52</f>
        <v>38384</v>
      </c>
      <c r="D182" s="63"/>
      <c r="E182" s="63"/>
      <c r="F182" s="63"/>
      <c r="G182" s="36">
        <f>SUM(K182,AA182,AO182,Q182,AW182,W182,BC182,AI182,BG182,BQ182,AE182,BU182,CA182)</f>
        <v>421.65546874999995</v>
      </c>
      <c r="H182" s="36">
        <f>SUM(L182,AB182,AP182,R182,AX182,X182,BD182,AJ182,BJ182,BR182,AF182,BV182,CB182,BN182)</f>
        <v>65.185937500000009</v>
      </c>
      <c r="I182" s="36">
        <f>O182+U182+AM182+BA182+BY182+CE182</f>
        <v>184.79545454545453</v>
      </c>
      <c r="J182" s="41"/>
      <c r="K182" s="45">
        <f>'Filter-old'!E174</f>
        <v>223.32956250000001</v>
      </c>
      <c r="L182" s="61">
        <f>'Filter-new'!E174</f>
        <v>-67.273749999999993</v>
      </c>
      <c r="M182" s="62">
        <f>'price-old'!E53</f>
        <v>38.031432996477399</v>
      </c>
      <c r="N182" s="62">
        <f>'price-new'!E53</f>
        <v>29.06</v>
      </c>
      <c r="O182" s="429">
        <f>'Filter-new'!E663</f>
        <v>184.79545454545453</v>
      </c>
      <c r="P182" s="62">
        <f>VLOOKUP(B182,[1]Offpeak_Forward!$A$1:$AG$231,13,FALSE)</f>
        <v>21.4181823730469</v>
      </c>
      <c r="Q182" s="45">
        <f>'Filter-old'!H174</f>
        <v>50</v>
      </c>
      <c r="R182" s="61">
        <f>'Filter-new'!H174</f>
        <v>-50</v>
      </c>
      <c r="S182" s="62">
        <f>'price-old'!H53</f>
        <v>39.882862091064453</v>
      </c>
      <c r="T182" s="62">
        <f>'price-new'!H53</f>
        <v>27.51</v>
      </c>
      <c r="U182" s="445">
        <f>'Filter-new'!H663</f>
        <v>0</v>
      </c>
      <c r="V182" s="62">
        <f>VLOOKUP(B182,[1]Offpeak_Forward!$A$1:$AG$231,14,FALSE)</f>
        <v>20.809999465942401</v>
      </c>
      <c r="W182" s="45">
        <f>'Filter-old'!J174</f>
        <v>0</v>
      </c>
      <c r="X182" s="61">
        <f>'Filter-new'!J174</f>
        <v>0</v>
      </c>
      <c r="Y182" s="62">
        <f>'price-old'!J53</f>
        <v>46.798839569091797</v>
      </c>
      <c r="Z182" s="62">
        <f>'price-new'!J53</f>
        <v>29.56</v>
      </c>
      <c r="AA182" s="45">
        <f>'Filter-old'!F174</f>
        <v>0</v>
      </c>
      <c r="AB182" s="61">
        <f>'Filter-new'!F174</f>
        <v>0</v>
      </c>
      <c r="AC182" s="62">
        <f>'price-old'!F53</f>
        <v>38.031432996477399</v>
      </c>
      <c r="AD182" s="62">
        <f>'price-new'!F53</f>
        <v>29.56</v>
      </c>
      <c r="AE182" s="45">
        <f>'Filter-old'!P174</f>
        <v>0</v>
      </c>
      <c r="AF182" s="61">
        <f>'Filter-new'!P174</f>
        <v>0</v>
      </c>
      <c r="AG182" s="62">
        <f>'price-old'!O53</f>
        <v>37.532861328125001</v>
      </c>
      <c r="AH182" s="62">
        <f>'price-new'!P53</f>
        <v>33.159999999999997</v>
      </c>
      <c r="AI182" s="45">
        <f>'Filter-old'!L174</f>
        <v>0</v>
      </c>
      <c r="AJ182" s="61">
        <f>'Filter-new'!L174</f>
        <v>0</v>
      </c>
      <c r="AK182" s="62">
        <f>'price-old'!L53</f>
        <v>65.05</v>
      </c>
      <c r="AL182" s="62">
        <f>'price-new'!L53</f>
        <v>32.17</v>
      </c>
      <c r="AM182" s="62">
        <f>'Filter-new'!L663</f>
        <v>0</v>
      </c>
      <c r="AN182" s="62">
        <f>VLOOKUP(B182,[1]Offpeak_Forward!$A$1:$AG$231,18,FALSE)</f>
        <v>25.3863639831543</v>
      </c>
      <c r="AO182" s="45">
        <f>'Filter-old'!G174</f>
        <v>0</v>
      </c>
      <c r="AP182" s="61">
        <f>'Filter-new'!G174</f>
        <v>0</v>
      </c>
      <c r="AQ182" s="62">
        <f>'price-old'!G53</f>
        <v>36.819994354248045</v>
      </c>
      <c r="AR182" s="62">
        <f>'price-new'!G53</f>
        <v>27.93</v>
      </c>
      <c r="AS182" s="45"/>
      <c r="AT182" s="61">
        <f>AX182+BD182+BJ182+BR182+BV182+CB182+BN182</f>
        <v>182.4596875</v>
      </c>
      <c r="AU182" s="62"/>
      <c r="AV182" s="62">
        <f>BA182+BY182+CE182</f>
        <v>0</v>
      </c>
      <c r="AW182" s="45">
        <f>'Filter-old'!I174</f>
        <v>-75</v>
      </c>
      <c r="AX182" s="61">
        <f>'Filter-new'!I174</f>
        <v>25</v>
      </c>
      <c r="AY182" s="62">
        <f>'price-old'!I53</f>
        <v>38.687862396240234</v>
      </c>
      <c r="AZ182" s="62">
        <f>'price-new'!I53</f>
        <v>28.56</v>
      </c>
      <c r="BA182" s="62">
        <f>'Filter-new'!I663</f>
        <v>0</v>
      </c>
      <c r="BB182" s="62">
        <f>VLOOKUP(B182,[1]Offpeak_Forward!$A$1:$AG$231,15,FALSE)</f>
        <v>19.713636398315401</v>
      </c>
      <c r="BC182" s="45">
        <f>'Filter-old'!K174</f>
        <v>0</v>
      </c>
      <c r="BD182" s="61">
        <f>'Filter-new'!K174</f>
        <v>0</v>
      </c>
      <c r="BE182" s="62">
        <f>'price-old'!K53</f>
        <v>50.6</v>
      </c>
      <c r="BF182" s="62">
        <f>'price-new'!K53</f>
        <v>40</v>
      </c>
      <c r="BG182" s="45">
        <f>'Filter-old'!M174</f>
        <v>0</v>
      </c>
      <c r="BH182" s="61"/>
      <c r="BI182" s="62">
        <f>VLOOKUP(B182,[1]Offpeak_Forward!$A$1:$AG$231,2,FALSE)</f>
        <v>31.6334552764893</v>
      </c>
      <c r="BJ182" s="61">
        <f>'Filter-new'!M174</f>
        <v>0</v>
      </c>
      <c r="BK182" s="62">
        <f>'price-old'!M53</f>
        <v>38</v>
      </c>
      <c r="BL182" s="62">
        <f>'price-new'!M53</f>
        <v>32</v>
      </c>
      <c r="BM182" s="62"/>
      <c r="BN182" s="406">
        <f>'Filter-new'!N174</f>
        <v>0</v>
      </c>
      <c r="BO182" s="62"/>
      <c r="BP182" s="62">
        <f>'price-new'!N53</f>
        <v>41</v>
      </c>
      <c r="BQ182" s="45">
        <f>'Filter-old'!O174</f>
        <v>0</v>
      </c>
      <c r="BR182" s="61">
        <f>'Filter-new'!O174</f>
        <v>0</v>
      </c>
      <c r="BS182" s="62">
        <f>'price-old'!N53</f>
        <v>40.845723724365236</v>
      </c>
      <c r="BT182" s="62">
        <f>'price-new'!O53</f>
        <v>30.81</v>
      </c>
      <c r="BU182" s="45">
        <f>'Filter-old'!Q174</f>
        <v>223.32590624999997</v>
      </c>
      <c r="BV182" s="61">
        <f>'Filter-new'!Q174</f>
        <v>107.4596875</v>
      </c>
      <c r="BW182" s="62">
        <f>'price-old'!P53</f>
        <v>39.437862396240234</v>
      </c>
      <c r="BX182" s="88">
        <f>'price-new'!Q53</f>
        <v>28.315000000000001</v>
      </c>
      <c r="BY182" s="88">
        <f>'Filter-new'!Q663</f>
        <v>0</v>
      </c>
      <c r="BZ182" s="88">
        <f>VLOOKUP(B182,[1]Offpeak_Forward!$A$1:$AG$231,22,FALSE)</f>
        <v>18.240909576416001</v>
      </c>
      <c r="CA182" s="45">
        <f>'Filter-old'!R174</f>
        <v>0</v>
      </c>
      <c r="CB182" s="61">
        <f>'Filter-new'!R174</f>
        <v>50</v>
      </c>
      <c r="CC182" s="61">
        <f>'price-old'!Q53</f>
        <v>38</v>
      </c>
      <c r="CD182" s="89">
        <f>'price-new'!R53</f>
        <v>31.25</v>
      </c>
      <c r="CE182" s="87">
        <f>'Filter-new'!R663</f>
        <v>0</v>
      </c>
      <c r="CF182" s="87">
        <f>VLOOKUP(B182,[1]Offpeak_Forward!$A$1:$AG$231,6,FALSE)</f>
        <v>24.273454666137699</v>
      </c>
      <c r="CG182" s="4"/>
    </row>
    <row r="183" spans="1:85" x14ac:dyDescent="0.2">
      <c r="A183">
        <v>1</v>
      </c>
      <c r="B183" s="501" t="s">
        <v>152</v>
      </c>
      <c r="C183" s="63"/>
      <c r="D183" s="63"/>
      <c r="E183" s="63"/>
      <c r="F183" s="63"/>
      <c r="G183" s="36"/>
      <c r="H183" s="485">
        <f>AVERAGE(H181:H182)</f>
        <v>65.274203869047625</v>
      </c>
      <c r="I183" s="485">
        <f>AVERAGE(I181:I182)</f>
        <v>167.02517825311941</v>
      </c>
      <c r="J183" s="41"/>
      <c r="K183" s="45"/>
      <c r="L183" s="485">
        <f>AVERAGE(L181:L182)</f>
        <v>-67.421517857142845</v>
      </c>
      <c r="M183" s="62"/>
      <c r="N183" s="475">
        <f>AVERAGE(N181:N182)</f>
        <v>29.509999999999998</v>
      </c>
      <c r="O183" s="485">
        <f>AVERAGE(O181:O182)</f>
        <v>167.02517825311941</v>
      </c>
      <c r="P183" s="475">
        <f>AVERAGE(P181:P182)</f>
        <v>22.479679107666051</v>
      </c>
      <c r="Q183" s="45"/>
      <c r="R183" s="485">
        <f>AVERAGE(R181:R182)</f>
        <v>-50</v>
      </c>
      <c r="S183" s="62"/>
      <c r="T183" s="482">
        <f>AVERAGE(T181:T182)</f>
        <v>27.96</v>
      </c>
      <c r="U183" s="485">
        <f>AVERAGE(U181:U182)</f>
        <v>0</v>
      </c>
      <c r="V183" s="482">
        <f>AVERAGE(V181:V182)</f>
        <v>21.845685958862301</v>
      </c>
      <c r="W183" s="45"/>
      <c r="X183" s="61"/>
      <c r="Y183" s="62"/>
      <c r="Z183" s="62"/>
      <c r="AA183" s="45"/>
      <c r="AB183" s="485">
        <f>AVERAGE(AB181:AB182)</f>
        <v>0</v>
      </c>
      <c r="AC183" s="62"/>
      <c r="AD183" s="482">
        <f>AVERAGE(AD181:AD182)</f>
        <v>30.009999999999998</v>
      </c>
      <c r="AE183" s="45"/>
      <c r="AF183" s="485">
        <f>AVERAGE(AF181:AF182)</f>
        <v>0</v>
      </c>
      <c r="AG183" s="62"/>
      <c r="AH183" s="482">
        <f>AVERAGE(AH181:AH182)</f>
        <v>33.11</v>
      </c>
      <c r="AI183" s="45"/>
      <c r="AJ183" s="485">
        <f>AVERAGE(AJ181:AJ182)</f>
        <v>0</v>
      </c>
      <c r="AK183" s="62"/>
      <c r="AL183" s="482">
        <f>AVERAGE(AL181:AL182)</f>
        <v>32.590000000000003</v>
      </c>
      <c r="AM183" s="485">
        <f>AVERAGE(AM181:AM182)</f>
        <v>0</v>
      </c>
      <c r="AN183" s="482">
        <f>AVERAGE(AN181:AN182)</f>
        <v>26.37014293670655</v>
      </c>
      <c r="AO183" s="45"/>
      <c r="AP183" s="61"/>
      <c r="AQ183" s="62"/>
      <c r="AR183" s="62"/>
      <c r="AS183" s="45"/>
      <c r="AT183" s="485">
        <f>AVERAGE(AT181:AT182)</f>
        <v>182.69572172619047</v>
      </c>
      <c r="AU183" s="62"/>
      <c r="AV183" s="485">
        <f>AVERAGE(AV181:AV182)</f>
        <v>0</v>
      </c>
      <c r="AW183" s="45"/>
      <c r="AX183" s="485">
        <f>AVERAGE(AX181:AX182)</f>
        <v>25</v>
      </c>
      <c r="AY183" s="62"/>
      <c r="AZ183" s="482">
        <f>AVERAGE(AZ181:AZ182)</f>
        <v>29.009999999999998</v>
      </c>
      <c r="BA183" s="485">
        <f>AVERAGE(BA181:BA182)</f>
        <v>0</v>
      </c>
      <c r="BB183" s="482">
        <f>AVERAGE(BB181:BB182)</f>
        <v>19.517111778259249</v>
      </c>
      <c r="BC183" s="45"/>
      <c r="BD183" s="485">
        <f>AVERAGE(BD181:BD182)</f>
        <v>0</v>
      </c>
      <c r="BE183" s="62"/>
      <c r="BF183" s="482">
        <f>AVERAGE(BF181:BF182)</f>
        <v>40</v>
      </c>
      <c r="BG183" s="45"/>
      <c r="BH183" s="485">
        <f>AVERAGE('Filter-new'!K662:K663)</f>
        <v>0</v>
      </c>
      <c r="BI183" s="482">
        <f>AVERAGE(BI181:BI182)</f>
        <v>32.009257316589398</v>
      </c>
      <c r="BJ183" s="485">
        <f>AVERAGE(BJ181:BJ182)</f>
        <v>0</v>
      </c>
      <c r="BK183" s="62"/>
      <c r="BL183" s="482">
        <f>AVERAGE(BL181:BL182)</f>
        <v>32</v>
      </c>
      <c r="BM183" s="62"/>
      <c r="BN183" s="485">
        <f>AVERAGE(BN181:BN182)</f>
        <v>0</v>
      </c>
      <c r="BO183" s="62"/>
      <c r="BP183" s="482">
        <f>AVERAGE(BP181:BP182)</f>
        <v>41</v>
      </c>
      <c r="BQ183" s="45"/>
      <c r="BR183" s="485">
        <f>AVERAGE(BR181:BR182)</f>
        <v>0</v>
      </c>
      <c r="BS183" s="62"/>
      <c r="BT183" s="482">
        <f>AVERAGE(BT181:BT182)</f>
        <v>30.835000000000001</v>
      </c>
      <c r="BU183" s="45"/>
      <c r="BV183" s="485">
        <f>AVERAGE(BV181:BV182)</f>
        <v>107.69572172619047</v>
      </c>
      <c r="BW183" s="62"/>
      <c r="BX183" s="482">
        <f>AVERAGE(BX181:BX182)</f>
        <v>28.316000000000003</v>
      </c>
      <c r="BY183" s="485">
        <f>AVERAGE(BY181:BY182)</f>
        <v>0</v>
      </c>
      <c r="BZ183" s="482">
        <f>AVERAGE(BZ181:BZ182)</f>
        <v>18.268983840942401</v>
      </c>
      <c r="CA183" s="45"/>
      <c r="CB183" s="485">
        <f>AVERAGE(CB181:CB182)</f>
        <v>50</v>
      </c>
      <c r="CC183" s="61"/>
      <c r="CD183" s="482">
        <f>AVERAGE(CD181:CD182)</f>
        <v>31.25</v>
      </c>
      <c r="CE183" s="485">
        <f>AVERAGE(CE181:CE182)</f>
        <v>0</v>
      </c>
      <c r="CF183" s="482">
        <f>AVERAGE(CF181:CF182)</f>
        <v>24.210687637329102</v>
      </c>
      <c r="CG183" s="4"/>
    </row>
    <row r="184" spans="1:85" hidden="1" x14ac:dyDescent="0.2">
      <c r="A184">
        <v>0</v>
      </c>
      <c r="B184" s="59">
        <v>38412</v>
      </c>
      <c r="C184" s="59">
        <f>'Filter-new'!C53</f>
        <v>38412</v>
      </c>
      <c r="D184" s="63"/>
      <c r="E184" s="63"/>
      <c r="F184" s="63"/>
      <c r="G184" s="36">
        <f>SUM(K184,AA184,AO184,Q184,AW184,W184,BC184,AI184,BG184,BQ184,AE184,BU184,CA184)</f>
        <v>419.29847826086962</v>
      </c>
      <c r="H184" s="36">
        <f>SUM(L184,AB184,AP184,R184,AX184,X184,BD184,AJ184,BJ184,BR184,AF184,BV184,CB184,BN184)</f>
        <v>64.992391304347819</v>
      </c>
      <c r="I184" s="36">
        <f>O184+U184+AM184+BA184+BY184+CE184</f>
        <v>176.22074468085106</v>
      </c>
      <c r="J184" s="41"/>
      <c r="K184" s="45">
        <f>'Filter-old'!E175</f>
        <v>222.15103260869566</v>
      </c>
      <c r="L184" s="61">
        <f>'Filter-new'!E175</f>
        <v>-66.949646739130444</v>
      </c>
      <c r="M184" s="62">
        <f>'price-old'!E54</f>
        <v>32.995177264546243</v>
      </c>
      <c r="N184" s="62">
        <f>'price-new'!E54</f>
        <v>26.91</v>
      </c>
      <c r="O184" s="429">
        <f>'Filter-new'!E664</f>
        <v>176.22074468085106</v>
      </c>
      <c r="P184" s="62">
        <f>VLOOKUP(B184,[1]Offpeak_Forward!$A$1:$AG$231,13,FALSE)</f>
        <v>20.470212936401399</v>
      </c>
      <c r="Q184" s="45">
        <f>'Filter-old'!H175</f>
        <v>50</v>
      </c>
      <c r="R184" s="61">
        <f>'Filter-new'!H175</f>
        <v>-50</v>
      </c>
      <c r="S184" s="62">
        <f>'price-old'!H54</f>
        <v>32.848545074462891</v>
      </c>
      <c r="T184" s="62">
        <f>'price-new'!H54</f>
        <v>25.36</v>
      </c>
      <c r="U184" s="445">
        <f>'Filter-new'!H664</f>
        <v>0</v>
      </c>
      <c r="V184" s="62">
        <f>VLOOKUP(B184,[1]Offpeak_Forward!$A$1:$AG$231,14,FALSE)</f>
        <v>19.852977752685501</v>
      </c>
      <c r="W184" s="45">
        <f>'Filter-old'!J175</f>
        <v>0</v>
      </c>
      <c r="X184" s="61">
        <f>'Filter-new'!J175</f>
        <v>0</v>
      </c>
      <c r="Y184" s="62">
        <f>'price-old'!J54</f>
        <v>40.296916961669922</v>
      </c>
      <c r="Z184" s="62">
        <f>'price-new'!J54</f>
        <v>27.66</v>
      </c>
      <c r="AA184" s="45">
        <f>'Filter-old'!F175</f>
        <v>0</v>
      </c>
      <c r="AB184" s="61">
        <f>'Filter-new'!F175</f>
        <v>0</v>
      </c>
      <c r="AC184" s="62">
        <f>'price-old'!F54</f>
        <v>32.995177264546243</v>
      </c>
      <c r="AD184" s="62">
        <f>'price-new'!F54</f>
        <v>27.66</v>
      </c>
      <c r="AE184" s="45">
        <f>'Filter-old'!P175</f>
        <v>0</v>
      </c>
      <c r="AF184" s="61">
        <f>'Filter-new'!P175</f>
        <v>0</v>
      </c>
      <c r="AG184" s="62">
        <f>'price-old'!O54</f>
        <v>32.248544311523439</v>
      </c>
      <c r="AH184" s="62">
        <f>'price-new'!P54</f>
        <v>29.26</v>
      </c>
      <c r="AI184" s="45">
        <f>'Filter-old'!L175</f>
        <v>0</v>
      </c>
      <c r="AJ184" s="61">
        <f>'Filter-new'!L175</f>
        <v>0</v>
      </c>
      <c r="AK184" s="62">
        <f>'price-old'!L54</f>
        <v>52.05</v>
      </c>
      <c r="AL184" s="62">
        <f>'price-new'!L54</f>
        <v>29.74</v>
      </c>
      <c r="AM184" s="62">
        <f>'Filter-new'!L664</f>
        <v>0</v>
      </c>
      <c r="AN184" s="62">
        <f>VLOOKUP(B184,[1]Offpeak_Forward!$A$1:$AG$231,18,FALSE)</f>
        <v>24.564893722534201</v>
      </c>
      <c r="AO184" s="45">
        <f>'Filter-old'!G175</f>
        <v>0</v>
      </c>
      <c r="AP184" s="61">
        <f>'Filter-new'!G175</f>
        <v>0</v>
      </c>
      <c r="AQ184" s="62">
        <f>'price-old'!G54</f>
        <v>33.34999313354492</v>
      </c>
      <c r="AR184" s="62">
        <f>'price-new'!G54</f>
        <v>26.366</v>
      </c>
      <c r="AS184" s="45"/>
      <c r="AT184" s="61">
        <f>AX184+BD184+BJ184+BR184+BV184+CB184+BN184</f>
        <v>181.94203804347825</v>
      </c>
      <c r="AU184" s="62"/>
      <c r="AV184" s="62">
        <f>BA184+BY184+CE184</f>
        <v>0</v>
      </c>
      <c r="AW184" s="45">
        <f>'Filter-old'!I175</f>
        <v>-75</v>
      </c>
      <c r="AX184" s="61">
        <f>'Filter-new'!I175</f>
        <v>25</v>
      </c>
      <c r="AY184" s="62">
        <f>'price-old'!I54</f>
        <v>32.348499298095703</v>
      </c>
      <c r="AZ184" s="62">
        <f>'price-new'!I54</f>
        <v>26.41</v>
      </c>
      <c r="BA184" s="62">
        <f>'Filter-new'!I664</f>
        <v>0</v>
      </c>
      <c r="BB184" s="62">
        <f>VLOOKUP(B184,[1]Offpeak_Forward!$A$1:$AG$231,15,FALSE)</f>
        <v>19.326595306396499</v>
      </c>
      <c r="BC184" s="45">
        <f>'Filter-old'!K175</f>
        <v>0</v>
      </c>
      <c r="BD184" s="61">
        <f>'Filter-new'!K175</f>
        <v>0</v>
      </c>
      <c r="BE184" s="62">
        <f>'price-old'!K54</f>
        <v>39.700000000000003</v>
      </c>
      <c r="BF184" s="62">
        <f>'price-new'!K54</f>
        <v>33.5</v>
      </c>
      <c r="BG184" s="45">
        <f>'Filter-old'!M175</f>
        <v>0</v>
      </c>
      <c r="BH184" s="61"/>
      <c r="BI184" s="62">
        <f>VLOOKUP(B184,[1]Offpeak_Forward!$A$1:$AG$231,2,FALSE)</f>
        <v>28.9691486358643</v>
      </c>
      <c r="BJ184" s="61">
        <f>'Filter-new'!M175</f>
        <v>0</v>
      </c>
      <c r="BK184" s="62">
        <f>'price-old'!M54</f>
        <v>34</v>
      </c>
      <c r="BL184" s="62">
        <f>'price-new'!M54</f>
        <v>30</v>
      </c>
      <c r="BM184" s="62"/>
      <c r="BN184" s="406">
        <f>'Filter-new'!N175</f>
        <v>0</v>
      </c>
      <c r="BO184" s="62"/>
      <c r="BP184" s="62">
        <f>'price-new'!N54</f>
        <v>37.5</v>
      </c>
      <c r="BQ184" s="45">
        <f>'Filter-old'!O175</f>
        <v>0</v>
      </c>
      <c r="BR184" s="61">
        <f>'Filter-new'!O175</f>
        <v>0</v>
      </c>
      <c r="BS184" s="62">
        <f>'price-old'!N54</f>
        <v>36.597505187988283</v>
      </c>
      <c r="BT184" s="62">
        <f>'price-new'!O54</f>
        <v>28.56</v>
      </c>
      <c r="BU184" s="45">
        <f>'Filter-old'!Q175</f>
        <v>222.1474456521739</v>
      </c>
      <c r="BV184" s="61">
        <f>'Filter-new'!Q175</f>
        <v>106.94203804347826</v>
      </c>
      <c r="BW184" s="62">
        <f>'price-old'!P54</f>
        <v>30.848499298095703</v>
      </c>
      <c r="BX184" s="88">
        <f>'price-new'!Q54</f>
        <v>28.065000000000001</v>
      </c>
      <c r="BY184" s="88">
        <f>'Filter-new'!Q664</f>
        <v>0</v>
      </c>
      <c r="BZ184" s="88">
        <f>VLOOKUP(B184,[1]Offpeak_Forward!$A$1:$AG$231,22,FALSE)</f>
        <v>17.798934936523398</v>
      </c>
      <c r="CA184" s="45">
        <f>'Filter-old'!R175</f>
        <v>0</v>
      </c>
      <c r="CB184" s="61">
        <f>'Filter-new'!R175</f>
        <v>50</v>
      </c>
      <c r="CC184" s="61">
        <f>'price-old'!Q54</f>
        <v>34</v>
      </c>
      <c r="CD184" s="89">
        <f>'price-new'!R54</f>
        <v>29.5</v>
      </c>
      <c r="CE184" s="87">
        <f>'Filter-new'!R664</f>
        <v>0</v>
      </c>
      <c r="CF184" s="87">
        <f>VLOOKUP(B184,[1]Offpeak_Forward!$A$1:$AG$231,6,FALSE)</f>
        <v>19.086128234863299</v>
      </c>
      <c r="CG184" s="4"/>
    </row>
    <row r="185" spans="1:85" hidden="1" x14ac:dyDescent="0.2">
      <c r="A185">
        <v>0</v>
      </c>
      <c r="B185" s="59">
        <v>38443</v>
      </c>
      <c r="C185" s="59">
        <f>'Filter-new'!C54</f>
        <v>38443</v>
      </c>
      <c r="D185" s="63"/>
      <c r="E185" s="63"/>
      <c r="F185" s="63"/>
      <c r="G185" s="36">
        <f>SUM(K185,AA185,AO185,Q185,AW185,W185,BC185,AI185,BG185,BQ185,AE185,BU185,CA185)</f>
        <v>416.21345238095239</v>
      </c>
      <c r="H185" s="36">
        <f>SUM(L185,AB185,AP185,R185,AX185,X185,BD185,AJ185,BJ185,BR185,AF185,BV185,CB185,BN185)</f>
        <v>63.937202380952371</v>
      </c>
      <c r="I185" s="36">
        <f>O185+U185+AM185+BA185+BY185+CE185</f>
        <v>183.8125</v>
      </c>
      <c r="J185" s="41"/>
      <c r="K185" s="45">
        <f>'Filter-old'!E176</f>
        <v>221.01443452380954</v>
      </c>
      <c r="L185" s="61">
        <f>'Filter-new'!E176</f>
        <v>-66.63568452380953</v>
      </c>
      <c r="M185" s="62">
        <f>'price-old'!E55</f>
        <v>33.445178027485696</v>
      </c>
      <c r="N185" s="62">
        <f>'price-new'!E55</f>
        <v>28.12</v>
      </c>
      <c r="O185" s="429">
        <f>'Filter-new'!E665</f>
        <v>183.8125</v>
      </c>
      <c r="P185" s="62">
        <f>VLOOKUP(B185,[1]Offpeak_Forward!$A$1:$AG$231,13,FALSE)</f>
        <v>17.427082061767599</v>
      </c>
      <c r="Q185" s="45">
        <f>'Filter-old'!H176</f>
        <v>50</v>
      </c>
      <c r="R185" s="61">
        <f>'Filter-new'!H176</f>
        <v>-50</v>
      </c>
      <c r="S185" s="62">
        <f>'price-old'!H55</f>
        <v>32.848545074462891</v>
      </c>
      <c r="T185" s="62">
        <f>'price-new'!H55</f>
        <v>26.57</v>
      </c>
      <c r="U185" s="445">
        <f>'Filter-new'!H665</f>
        <v>0</v>
      </c>
      <c r="V185" s="62">
        <f>VLOOKUP(B185,[1]Offpeak_Forward!$A$1:$AG$231,14,FALSE)</f>
        <v>16.856666564941399</v>
      </c>
      <c r="W185" s="45">
        <f>'Filter-old'!J176</f>
        <v>0</v>
      </c>
      <c r="X185" s="61">
        <f>'Filter-new'!J176</f>
        <v>0</v>
      </c>
      <c r="Y185" s="62">
        <f>'price-old'!J55</f>
        <v>38.196914672851562</v>
      </c>
      <c r="Z185" s="62">
        <f>'price-new'!J55</f>
        <v>28.87</v>
      </c>
      <c r="AA185" s="45">
        <f>'Filter-old'!F176</f>
        <v>0</v>
      </c>
      <c r="AB185" s="61">
        <f>'Filter-new'!F176</f>
        <v>0</v>
      </c>
      <c r="AC185" s="62">
        <f>'price-old'!F55</f>
        <v>33.445178027485696</v>
      </c>
      <c r="AD185" s="62">
        <f>'price-new'!F55</f>
        <v>28.87</v>
      </c>
      <c r="AE185" s="45">
        <f>'Filter-old'!P176</f>
        <v>0</v>
      </c>
      <c r="AF185" s="61">
        <f>'Filter-new'!P176</f>
        <v>0</v>
      </c>
      <c r="AG185" s="62">
        <f>'price-old'!O55</f>
        <v>32.698545074462892</v>
      </c>
      <c r="AH185" s="62">
        <f>'price-new'!P55</f>
        <v>30.02</v>
      </c>
      <c r="AI185" s="45">
        <f>'Filter-old'!L176</f>
        <v>0</v>
      </c>
      <c r="AJ185" s="61">
        <f>'Filter-new'!L176</f>
        <v>0</v>
      </c>
      <c r="AK185" s="62">
        <f>'price-old'!L55</f>
        <v>52.05</v>
      </c>
      <c r="AL185" s="62">
        <f>'price-new'!L55</f>
        <v>30.95</v>
      </c>
      <c r="AM185" s="62">
        <f>'Filter-new'!L665</f>
        <v>0</v>
      </c>
      <c r="AN185" s="62">
        <f>VLOOKUP(B185,[1]Offpeak_Forward!$A$1:$AG$231,18,FALSE)</f>
        <v>21.3333339691162</v>
      </c>
      <c r="AO185" s="45">
        <f>'Filter-old'!G176</f>
        <v>0</v>
      </c>
      <c r="AP185" s="61">
        <f>'Filter-new'!G176</f>
        <v>0</v>
      </c>
      <c r="AQ185" s="62">
        <f>'price-old'!G55</f>
        <v>31.949991607666014</v>
      </c>
      <c r="AR185" s="62">
        <f>'price-new'!G55</f>
        <v>27.15</v>
      </c>
      <c r="AS185" s="45"/>
      <c r="AT185" s="61">
        <f>AX185+BD185+BJ185+BR185+BV185+CB185+BN185</f>
        <v>180.5728869047619</v>
      </c>
      <c r="AU185" s="62"/>
      <c r="AV185" s="62">
        <f>BA185+BY185+CE185</f>
        <v>0</v>
      </c>
      <c r="AW185" s="45">
        <f>'Filter-old'!I176</f>
        <v>-75</v>
      </c>
      <c r="AX185" s="61">
        <f>'Filter-new'!I176</f>
        <v>25</v>
      </c>
      <c r="AY185" s="62">
        <f>'price-old'!I55</f>
        <v>32.448543548583984</v>
      </c>
      <c r="AZ185" s="62">
        <f>'price-new'!I55</f>
        <v>27.62</v>
      </c>
      <c r="BA185" s="62">
        <f>'Filter-new'!I665</f>
        <v>0</v>
      </c>
      <c r="BB185" s="62">
        <f>VLOOKUP(B185,[1]Offpeak_Forward!$A$1:$AG$231,15,FALSE)</f>
        <v>19.270832061767599</v>
      </c>
      <c r="BC185" s="45">
        <f>'Filter-old'!K176</f>
        <v>0</v>
      </c>
      <c r="BD185" s="61">
        <f>'Filter-new'!K176</f>
        <v>0</v>
      </c>
      <c r="BE185" s="62">
        <f>'price-old'!K55</f>
        <v>39.700000000000003</v>
      </c>
      <c r="BF185" s="62">
        <f>'price-new'!K55</f>
        <v>33.5</v>
      </c>
      <c r="BG185" s="45">
        <f>'Filter-old'!M176</f>
        <v>0</v>
      </c>
      <c r="BH185" s="61"/>
      <c r="BI185" s="62">
        <f>VLOOKUP(B185,[1]Offpeak_Forward!$A$1:$AG$231,2,FALSE)</f>
        <v>26.862501144409201</v>
      </c>
      <c r="BJ185" s="61">
        <f>'Filter-new'!M176</f>
        <v>0</v>
      </c>
      <c r="BK185" s="62">
        <f>'price-old'!M55</f>
        <v>33.5</v>
      </c>
      <c r="BL185" s="62">
        <f>'price-new'!M55</f>
        <v>30</v>
      </c>
      <c r="BM185" s="62"/>
      <c r="BN185" s="406">
        <f>'Filter-new'!N176</f>
        <v>0</v>
      </c>
      <c r="BO185" s="62"/>
      <c r="BP185" s="62">
        <f>'price-new'!N55</f>
        <v>37.5</v>
      </c>
      <c r="BQ185" s="45">
        <f>'Filter-old'!O176</f>
        <v>0</v>
      </c>
      <c r="BR185" s="61">
        <f>'Filter-new'!O176</f>
        <v>0</v>
      </c>
      <c r="BS185" s="62">
        <f>'price-old'!N55</f>
        <v>36.847501373291017</v>
      </c>
      <c r="BT185" s="62">
        <f>'price-new'!O55</f>
        <v>28.56</v>
      </c>
      <c r="BU185" s="45">
        <f>'Filter-old'!Q176</f>
        <v>220.19901785714285</v>
      </c>
      <c r="BV185" s="61">
        <f>'Filter-new'!Q176</f>
        <v>105.5728869047619</v>
      </c>
      <c r="BW185" s="62">
        <f>'price-old'!P55</f>
        <v>32.048545837402344</v>
      </c>
      <c r="BX185" s="88">
        <f>'price-new'!Q55</f>
        <v>28.065999999999999</v>
      </c>
      <c r="BY185" s="88">
        <f>'Filter-new'!Q665</f>
        <v>0</v>
      </c>
      <c r="BZ185" s="88">
        <f>VLOOKUP(B185,[1]Offpeak_Forward!$A$1:$AG$231,22,FALSE)</f>
        <v>17.952083587646499</v>
      </c>
      <c r="CA185" s="45">
        <f>'Filter-old'!R176</f>
        <v>0</v>
      </c>
      <c r="CB185" s="61">
        <f>'Filter-new'!R176</f>
        <v>50</v>
      </c>
      <c r="CC185" s="61">
        <f>'price-old'!Q55</f>
        <v>33.5</v>
      </c>
      <c r="CD185" s="89">
        <f>'price-new'!R55</f>
        <v>29.5</v>
      </c>
      <c r="CE185" s="87">
        <f>'Filter-new'!R665</f>
        <v>0</v>
      </c>
      <c r="CF185" s="87">
        <f>VLOOKUP(B185,[1]Offpeak_Forward!$A$1:$AG$231,6,FALSE)</f>
        <v>19.092666625976602</v>
      </c>
      <c r="CG185" s="4"/>
    </row>
    <row r="186" spans="1:85" x14ac:dyDescent="0.2">
      <c r="A186">
        <v>1</v>
      </c>
      <c r="B186" s="509" t="s">
        <v>153</v>
      </c>
      <c r="C186" s="63"/>
      <c r="D186" s="63"/>
      <c r="E186" s="63"/>
      <c r="F186" s="63"/>
      <c r="G186" s="36"/>
      <c r="H186" s="510">
        <f>AVERAGE(H184:H185)</f>
        <v>64.464796842650088</v>
      </c>
      <c r="I186" s="510">
        <f>AVERAGE(I184:I185)</f>
        <v>180.01662234042553</v>
      </c>
      <c r="J186" s="41"/>
      <c r="K186" s="45"/>
      <c r="L186" s="510">
        <f>AVERAGE(L184:L185)</f>
        <v>-66.792665631469987</v>
      </c>
      <c r="M186" s="62"/>
      <c r="N186" s="511">
        <f>AVERAGE(N184:N185)</f>
        <v>27.515000000000001</v>
      </c>
      <c r="O186" s="510">
        <f>AVERAGE(O184:O185)</f>
        <v>180.01662234042553</v>
      </c>
      <c r="P186" s="511">
        <f>AVERAGE(P184:P185)</f>
        <v>18.948647499084501</v>
      </c>
      <c r="Q186" s="45"/>
      <c r="R186" s="510">
        <f>AVERAGE(R184:R185)</f>
        <v>-50</v>
      </c>
      <c r="S186" s="62"/>
      <c r="T186" s="512">
        <f>AVERAGE(T184:T185)</f>
        <v>25.965</v>
      </c>
      <c r="U186" s="510">
        <f>AVERAGE(U184:U185)</f>
        <v>0</v>
      </c>
      <c r="V186" s="512">
        <f>AVERAGE(V184:V185)</f>
        <v>18.354822158813448</v>
      </c>
      <c r="W186" s="45"/>
      <c r="X186" s="61"/>
      <c r="Y186" s="62"/>
      <c r="Z186" s="62"/>
      <c r="AA186" s="45"/>
      <c r="AB186" s="510">
        <f>AVERAGE(AB184:AB185)</f>
        <v>0</v>
      </c>
      <c r="AC186" s="62"/>
      <c r="AD186" s="512">
        <f>AVERAGE(AD184:AD185)</f>
        <v>28.265000000000001</v>
      </c>
      <c r="AE186" s="45"/>
      <c r="AF186" s="510">
        <f>AVERAGE(AF184:AF185)</f>
        <v>0</v>
      </c>
      <c r="AG186" s="62"/>
      <c r="AH186" s="512">
        <f>AVERAGE(AH184:AH185)</f>
        <v>29.64</v>
      </c>
      <c r="AI186" s="45"/>
      <c r="AJ186" s="510">
        <f>AVERAGE(AJ184:AJ185)</f>
        <v>0</v>
      </c>
      <c r="AK186" s="62"/>
      <c r="AL186" s="512">
        <f>AVERAGE(AL184:AL185)</f>
        <v>30.344999999999999</v>
      </c>
      <c r="AM186" s="510">
        <f>AVERAGE(AM184:AM185)</f>
        <v>0</v>
      </c>
      <c r="AN186" s="512">
        <f>AVERAGE(AN184:AN185)</f>
        <v>22.949113845825202</v>
      </c>
      <c r="AO186" s="45"/>
      <c r="AP186" s="61"/>
      <c r="AQ186" s="62"/>
      <c r="AR186" s="62"/>
      <c r="AS186" s="45"/>
      <c r="AT186" s="510">
        <f>AVERAGE(AT184:AT185)</f>
        <v>181.25746247412008</v>
      </c>
      <c r="AU186" s="62"/>
      <c r="AV186" s="510">
        <f>AVERAGE(AV184:AV185)</f>
        <v>0</v>
      </c>
      <c r="AW186" s="45"/>
      <c r="AX186" s="510">
        <f>AVERAGE(AX184:AX185)</f>
        <v>25</v>
      </c>
      <c r="AY186" s="62"/>
      <c r="AZ186" s="512">
        <f>AVERAGE(AZ184:AZ185)</f>
        <v>27.015000000000001</v>
      </c>
      <c r="BA186" s="510">
        <f>AVERAGE(BA184:BA185)</f>
        <v>0</v>
      </c>
      <c r="BB186" s="512">
        <f>AVERAGE(BB184:BB185)</f>
        <v>19.298713684082049</v>
      </c>
      <c r="BC186" s="45"/>
      <c r="BD186" s="510">
        <f>AVERAGE(BD184:BD185)</f>
        <v>0</v>
      </c>
      <c r="BE186" s="62"/>
      <c r="BF186" s="512">
        <f>AVERAGE(BF184:BF185)</f>
        <v>33.5</v>
      </c>
      <c r="BG186" s="45"/>
      <c r="BH186" s="510">
        <f>AVERAGE('Filter-new'!K664:K665)</f>
        <v>0</v>
      </c>
      <c r="BI186" s="512">
        <f>AVERAGE(BI184:BI185)</f>
        <v>27.915824890136751</v>
      </c>
      <c r="BJ186" s="510">
        <f>AVERAGE(BJ184:BJ185)</f>
        <v>0</v>
      </c>
      <c r="BK186" s="62"/>
      <c r="BL186" s="512">
        <f>AVERAGE(BL184:BL185)</f>
        <v>30</v>
      </c>
      <c r="BM186" s="62"/>
      <c r="BN186" s="510">
        <f>AVERAGE(BN184:BN185)</f>
        <v>0</v>
      </c>
      <c r="BO186" s="62"/>
      <c r="BP186" s="512">
        <f>AVERAGE(BP184:BP185)</f>
        <v>37.5</v>
      </c>
      <c r="BQ186" s="45"/>
      <c r="BR186" s="510">
        <f>AVERAGE(BR184:BR185)</f>
        <v>0</v>
      </c>
      <c r="BS186" s="62"/>
      <c r="BT186" s="512">
        <f>AVERAGE(BT184:BT185)</f>
        <v>28.56</v>
      </c>
      <c r="BU186" s="45"/>
      <c r="BV186" s="510">
        <f>AVERAGE(BV184:BV185)</f>
        <v>106.25746247412008</v>
      </c>
      <c r="BW186" s="62"/>
      <c r="BX186" s="512">
        <f>AVERAGE(BX184:BX185)</f>
        <v>28.0655</v>
      </c>
      <c r="BY186" s="510">
        <f>AVERAGE(BY184:BY185)</f>
        <v>0</v>
      </c>
      <c r="BZ186" s="512">
        <f>AVERAGE(BZ184:BZ185)</f>
        <v>17.875509262084947</v>
      </c>
      <c r="CA186" s="45"/>
      <c r="CB186" s="510">
        <f>AVERAGE(CB184:CB185)</f>
        <v>50</v>
      </c>
      <c r="CC186" s="61"/>
      <c r="CD186" s="512">
        <f>AVERAGE(CD184:CD185)</f>
        <v>29.5</v>
      </c>
      <c r="CE186" s="510">
        <f>AVERAGE(CE184:CE185)</f>
        <v>0</v>
      </c>
      <c r="CF186" s="512">
        <f>AVERAGE(CF184:CF185)</f>
        <v>19.08939743041995</v>
      </c>
      <c r="CG186" s="4"/>
    </row>
    <row r="187" spans="1:85" hidden="1" x14ac:dyDescent="0.2">
      <c r="A187">
        <v>0</v>
      </c>
      <c r="B187" s="59">
        <v>38473</v>
      </c>
      <c r="C187" s="59">
        <f>'Filter-new'!C55</f>
        <v>38473</v>
      </c>
      <c r="D187" s="63"/>
      <c r="E187" s="63"/>
      <c r="F187" s="63"/>
      <c r="G187" s="36">
        <f>SUM(K187,AA187,AO187,Q187,AW187,W187,BC187,AI187,BG187,BQ187,AE187,BU187,CA187)</f>
        <v>413.8775</v>
      </c>
      <c r="H187" s="36">
        <f>SUM(L187,AB187,AP187,R187,AX187,X187,BD187,AJ187,BJ187,BR187,AF187,BV187,CB187,BN187)</f>
        <v>63.747976190476194</v>
      </c>
      <c r="I187" s="36">
        <f>O187+U187+AM187+BA187+BY187+CE187</f>
        <v>156.0392156862745</v>
      </c>
      <c r="J187" s="41"/>
      <c r="K187" s="45">
        <f>'Filter-old'!E177</f>
        <v>219.84407738095237</v>
      </c>
      <c r="L187" s="61">
        <f>'Filter-new'!E177</f>
        <v>-66.31113095238095</v>
      </c>
      <c r="M187" s="62">
        <f>'price-old'!E56</f>
        <v>39.603570556640626</v>
      </c>
      <c r="N187" s="62">
        <f>'price-new'!E56</f>
        <v>29.76</v>
      </c>
      <c r="O187" s="429">
        <f>'Filter-new'!E666</f>
        <v>156.0392156862745</v>
      </c>
      <c r="P187" s="62">
        <f>VLOOKUP(B187,[1]Offpeak_Forward!$A$1:$AG$231,13,FALSE)</f>
        <v>17.505098342895501</v>
      </c>
      <c r="Q187" s="45">
        <f>'Filter-old'!H177</f>
        <v>50</v>
      </c>
      <c r="R187" s="61">
        <f>'Filter-new'!H177</f>
        <v>-50</v>
      </c>
      <c r="S187" s="62">
        <f>'price-old'!H56</f>
        <v>33.553565979003906</v>
      </c>
      <c r="T187" s="62">
        <f>'price-new'!H56</f>
        <v>28.26</v>
      </c>
      <c r="U187" s="445">
        <f>'Filter-new'!H666</f>
        <v>0</v>
      </c>
      <c r="V187" s="62">
        <f>VLOOKUP(B187,[1]Offpeak_Forward!$A$1:$AG$231,14,FALSE)</f>
        <v>16.900196075439499</v>
      </c>
      <c r="W187" s="45">
        <f>'Filter-old'!J177</f>
        <v>0</v>
      </c>
      <c r="X187" s="61">
        <f>'Filter-new'!J177</f>
        <v>0</v>
      </c>
      <c r="Y187" s="62">
        <f>'price-old'!J56</f>
        <v>40.466916809082029</v>
      </c>
      <c r="Z187" s="62">
        <f>'price-new'!J56</f>
        <v>30.76</v>
      </c>
      <c r="AA187" s="45">
        <f>'Filter-old'!F177</f>
        <v>0</v>
      </c>
      <c r="AB187" s="61">
        <f>'Filter-new'!F177</f>
        <v>0</v>
      </c>
      <c r="AC187" s="62">
        <f>'price-old'!F56</f>
        <v>39.603570556640626</v>
      </c>
      <c r="AD187" s="62">
        <f>'price-new'!F56</f>
        <v>30.76</v>
      </c>
      <c r="AE187" s="45">
        <f>'Filter-old'!P177</f>
        <v>0</v>
      </c>
      <c r="AF187" s="61">
        <f>'Filter-new'!P177</f>
        <v>0</v>
      </c>
      <c r="AG187" s="62">
        <f>'price-old'!O56</f>
        <v>41.328565216064455</v>
      </c>
      <c r="AH187" s="62">
        <f>'price-new'!P56</f>
        <v>26.46</v>
      </c>
      <c r="AI187" s="45">
        <f>'Filter-old'!L177</f>
        <v>0</v>
      </c>
      <c r="AJ187" s="61">
        <f>'Filter-new'!L177</f>
        <v>0</v>
      </c>
      <c r="AK187" s="62">
        <f>'price-old'!L56</f>
        <v>53.05</v>
      </c>
      <c r="AL187" s="62">
        <f>'price-new'!L56</f>
        <v>34.39</v>
      </c>
      <c r="AM187" s="62">
        <f>'Filter-new'!L666</f>
        <v>0</v>
      </c>
      <c r="AN187" s="62">
        <f>VLOOKUP(B187,[1]Offpeak_Forward!$A$1:$AG$231,18,FALSE)</f>
        <v>21.317842483520501</v>
      </c>
      <c r="AO187" s="45">
        <f>'Filter-old'!G177</f>
        <v>0</v>
      </c>
      <c r="AP187" s="61">
        <f>'Filter-new'!G177</f>
        <v>0</v>
      </c>
      <c r="AQ187" s="62">
        <f>'price-old'!G56</f>
        <v>35.400009155273438</v>
      </c>
      <c r="AR187" s="62">
        <f>'price-new'!G56</f>
        <v>29.11</v>
      </c>
      <c r="AS187" s="45"/>
      <c r="AT187" s="61">
        <f>AX187+BD187+BJ187+BR187+BV187+CB187+BN187</f>
        <v>180.05910714285716</v>
      </c>
      <c r="AU187" s="62"/>
      <c r="AV187" s="62">
        <f>BA187+BY187+CE187</f>
        <v>0</v>
      </c>
      <c r="AW187" s="45">
        <f>'Filter-old'!I177</f>
        <v>-75</v>
      </c>
      <c r="AX187" s="61">
        <f>'Filter-new'!I177</f>
        <v>25</v>
      </c>
      <c r="AY187" s="62">
        <f>'price-old'!I56</f>
        <v>33.853565216064453</v>
      </c>
      <c r="AZ187" s="62">
        <f>'price-new'!I56</f>
        <v>29.26</v>
      </c>
      <c r="BA187" s="62">
        <f>'Filter-new'!I666</f>
        <v>0</v>
      </c>
      <c r="BB187" s="62">
        <f>VLOOKUP(B187,[1]Offpeak_Forward!$A$1:$AG$231,15,FALSE)</f>
        <v>20.418626785278299</v>
      </c>
      <c r="BC187" s="45">
        <f>'Filter-old'!K177</f>
        <v>0</v>
      </c>
      <c r="BD187" s="61">
        <f>'Filter-new'!K177</f>
        <v>0</v>
      </c>
      <c r="BE187" s="62">
        <f>'price-old'!K56</f>
        <v>39.700000000000003</v>
      </c>
      <c r="BF187" s="62">
        <f>'price-new'!K56</f>
        <v>33</v>
      </c>
      <c r="BG187" s="45">
        <f>'Filter-old'!M177</f>
        <v>0</v>
      </c>
      <c r="BH187" s="61"/>
      <c r="BI187" s="62">
        <f>VLOOKUP(B187,[1]Offpeak_Forward!$A$1:$AG$231,2,FALSE)</f>
        <v>27.043138504028299</v>
      </c>
      <c r="BJ187" s="61">
        <f>'Filter-new'!M177</f>
        <v>0</v>
      </c>
      <c r="BK187" s="62">
        <f>'price-old'!M56</f>
        <v>38</v>
      </c>
      <c r="BL187" s="62">
        <f>'price-new'!M56</f>
        <v>31</v>
      </c>
      <c r="BM187" s="62"/>
      <c r="BN187" s="406">
        <f>'Filter-new'!N177</f>
        <v>0</v>
      </c>
      <c r="BO187" s="62"/>
      <c r="BP187" s="62">
        <f>'price-new'!N56</f>
        <v>38.5</v>
      </c>
      <c r="BQ187" s="45">
        <f>'Filter-old'!O177</f>
        <v>0</v>
      </c>
      <c r="BR187" s="61">
        <f>'Filter-new'!O177</f>
        <v>0</v>
      </c>
      <c r="BS187" s="62">
        <f>'price-old'!N56</f>
        <v>41.853570556640626</v>
      </c>
      <c r="BT187" s="62">
        <f>'price-new'!O56</f>
        <v>30.26</v>
      </c>
      <c r="BU187" s="45">
        <f>'Filter-old'!Q177</f>
        <v>219.0334226190476</v>
      </c>
      <c r="BV187" s="61">
        <f>'Filter-new'!Q177</f>
        <v>105.05910714285714</v>
      </c>
      <c r="BW187" s="62">
        <f>'price-old'!P56</f>
        <v>33.453567504882812</v>
      </c>
      <c r="BX187" s="88">
        <f>'price-new'!Q56</f>
        <v>29.420999999999999</v>
      </c>
      <c r="BY187" s="88">
        <f>'Filter-new'!Q666</f>
        <v>0</v>
      </c>
      <c r="BZ187" s="88">
        <f>VLOOKUP(B187,[1]Offpeak_Forward!$A$1:$AG$231,22,FALSE)</f>
        <v>19.120588302612301</v>
      </c>
      <c r="CA187" s="45">
        <f>'Filter-old'!R177</f>
        <v>0</v>
      </c>
      <c r="CB187" s="61">
        <f>'Filter-new'!R177</f>
        <v>50</v>
      </c>
      <c r="CC187" s="61">
        <f>'price-old'!Q56</f>
        <v>38</v>
      </c>
      <c r="CD187" s="89">
        <f>'price-new'!R56</f>
        <v>31</v>
      </c>
      <c r="CE187" s="87">
        <f>'Filter-new'!R666</f>
        <v>0</v>
      </c>
      <c r="CF187" s="87">
        <f>VLOOKUP(B187,[1]Offpeak_Forward!$A$1:$AG$231,6,FALSE)</f>
        <v>19.4908237457275</v>
      </c>
      <c r="CG187" s="4"/>
    </row>
    <row r="188" spans="1:85" x14ac:dyDescent="0.2">
      <c r="A188">
        <v>1</v>
      </c>
      <c r="B188" s="501" t="s">
        <v>154</v>
      </c>
      <c r="C188" s="63"/>
      <c r="D188" s="63"/>
      <c r="E188" s="63"/>
      <c r="F188" s="63"/>
      <c r="G188" s="36"/>
      <c r="H188" s="485">
        <f>H187</f>
        <v>63.747976190476194</v>
      </c>
      <c r="I188" s="485">
        <f>I187</f>
        <v>156.0392156862745</v>
      </c>
      <c r="J188" s="41"/>
      <c r="K188" s="45"/>
      <c r="L188" s="485">
        <f>L187</f>
        <v>-66.31113095238095</v>
      </c>
      <c r="M188" s="62"/>
      <c r="N188" s="475">
        <f>N187</f>
        <v>29.76</v>
      </c>
      <c r="O188" s="485">
        <f>O187</f>
        <v>156.0392156862745</v>
      </c>
      <c r="P188" s="475">
        <f>P187</f>
        <v>17.505098342895501</v>
      </c>
      <c r="Q188" s="45"/>
      <c r="R188" s="485">
        <f>R187</f>
        <v>-50</v>
      </c>
      <c r="S188" s="62"/>
      <c r="T188" s="482">
        <f>T187</f>
        <v>28.26</v>
      </c>
      <c r="U188" s="485">
        <f>U187</f>
        <v>0</v>
      </c>
      <c r="V188" s="482">
        <f>V187</f>
        <v>16.900196075439499</v>
      </c>
      <c r="W188" s="45"/>
      <c r="X188" s="61"/>
      <c r="Y188" s="62"/>
      <c r="Z188" s="62"/>
      <c r="AA188" s="45"/>
      <c r="AB188" s="485">
        <f>AB187</f>
        <v>0</v>
      </c>
      <c r="AC188" s="62"/>
      <c r="AD188" s="482">
        <f>AD187</f>
        <v>30.76</v>
      </c>
      <c r="AE188" s="45"/>
      <c r="AF188" s="485">
        <f>AF187</f>
        <v>0</v>
      </c>
      <c r="AG188" s="62"/>
      <c r="AH188" s="482">
        <f>AH187</f>
        <v>26.46</v>
      </c>
      <c r="AI188" s="45"/>
      <c r="AJ188" s="485">
        <f>AJ187</f>
        <v>0</v>
      </c>
      <c r="AK188" s="62"/>
      <c r="AL188" s="482">
        <f>AL187</f>
        <v>34.39</v>
      </c>
      <c r="AM188" s="485">
        <f>AM187</f>
        <v>0</v>
      </c>
      <c r="AN188" s="482">
        <f>AN187</f>
        <v>21.317842483520501</v>
      </c>
      <c r="AO188" s="45"/>
      <c r="AP188" s="61"/>
      <c r="AQ188" s="62"/>
      <c r="AR188" s="62"/>
      <c r="AS188" s="45"/>
      <c r="AT188" s="485">
        <f>AT187</f>
        <v>180.05910714285716</v>
      </c>
      <c r="AU188" s="62"/>
      <c r="AV188" s="485">
        <f>AV187</f>
        <v>0</v>
      </c>
      <c r="AW188" s="45"/>
      <c r="AX188" s="485">
        <f>AX187</f>
        <v>25</v>
      </c>
      <c r="AY188" s="62"/>
      <c r="AZ188" s="482">
        <f>AZ187</f>
        <v>29.26</v>
      </c>
      <c r="BA188" s="485">
        <f>BA187</f>
        <v>0</v>
      </c>
      <c r="BB188" s="482">
        <f>BB187</f>
        <v>20.418626785278299</v>
      </c>
      <c r="BC188" s="45"/>
      <c r="BD188" s="485">
        <f>BD187</f>
        <v>0</v>
      </c>
      <c r="BE188" s="62"/>
      <c r="BF188" s="482">
        <f>BF187</f>
        <v>33</v>
      </c>
      <c r="BG188" s="45"/>
      <c r="BH188" s="485">
        <f>'Filter-new'!K666</f>
        <v>0</v>
      </c>
      <c r="BI188" s="482">
        <f>BI187</f>
        <v>27.043138504028299</v>
      </c>
      <c r="BJ188" s="485">
        <f>BJ187</f>
        <v>0</v>
      </c>
      <c r="BK188" s="62"/>
      <c r="BL188" s="482">
        <f>BL187</f>
        <v>31</v>
      </c>
      <c r="BM188" s="62"/>
      <c r="BN188" s="485">
        <f>BN187</f>
        <v>0</v>
      </c>
      <c r="BO188" s="62"/>
      <c r="BP188" s="482">
        <f>BP187</f>
        <v>38.5</v>
      </c>
      <c r="BQ188" s="45"/>
      <c r="BR188" s="485">
        <f>BR187</f>
        <v>0</v>
      </c>
      <c r="BS188" s="62"/>
      <c r="BT188" s="482">
        <f>BT187</f>
        <v>30.26</v>
      </c>
      <c r="BU188" s="45"/>
      <c r="BV188" s="485">
        <f>BV187</f>
        <v>105.05910714285714</v>
      </c>
      <c r="BW188" s="62"/>
      <c r="BX188" s="482">
        <f>BX187</f>
        <v>29.420999999999999</v>
      </c>
      <c r="BY188" s="485">
        <f>BY187</f>
        <v>0</v>
      </c>
      <c r="BZ188" s="482">
        <f>BZ187</f>
        <v>19.120588302612301</v>
      </c>
      <c r="CA188" s="45"/>
      <c r="CB188" s="485">
        <f>CB187</f>
        <v>50</v>
      </c>
      <c r="CC188" s="61"/>
      <c r="CD188" s="482">
        <f>CD187</f>
        <v>31</v>
      </c>
      <c r="CE188" s="485">
        <f>CE187</f>
        <v>0</v>
      </c>
      <c r="CF188" s="482">
        <f>CF187</f>
        <v>19.4908237457275</v>
      </c>
      <c r="CG188" s="4"/>
    </row>
    <row r="189" spans="1:85" hidden="1" x14ac:dyDescent="0.2">
      <c r="A189">
        <v>0</v>
      </c>
      <c r="B189" s="59">
        <v>38504</v>
      </c>
      <c r="C189" s="59">
        <f>'Filter-new'!C56</f>
        <v>38504</v>
      </c>
      <c r="D189" s="63"/>
      <c r="E189" s="63"/>
      <c r="F189" s="63"/>
      <c r="G189" s="36">
        <f>SUM(K189,AA189,AO189,Q189,AW189,W189,BC189,AI189,BG189,BQ189,AE189,BU189,CA189)</f>
        <v>370.77122159090908</v>
      </c>
      <c r="H189" s="36">
        <f>SUM(L189,AB189,AP189,R189,AX189,X189,BD189,AJ189,BJ189,BR189,AF189,BV189,CB189,BN189)</f>
        <v>19.850653409090924</v>
      </c>
      <c r="I189" s="36">
        <f>O189+U189+AM189+BA189+BY189+CE189</f>
        <v>199.32608695652175</v>
      </c>
      <c r="J189" s="41"/>
      <c r="K189" s="45">
        <f>'Filter-old'!E178</f>
        <v>178.66082386363635</v>
      </c>
      <c r="L189" s="61">
        <f>'Filter-new'!E178</f>
        <v>-108.85511363636364</v>
      </c>
      <c r="M189" s="62">
        <f>'price-old'!E57</f>
        <v>39.352857208251955</v>
      </c>
      <c r="N189" s="62">
        <f>'price-new'!E57</f>
        <v>35.369999999999997</v>
      </c>
      <c r="O189" s="429">
        <f>'Filter-new'!E667</f>
        <v>199.32608695652175</v>
      </c>
      <c r="P189" s="62">
        <f>VLOOKUP(B189,[1]Offpeak_Forward!$A$1:$AG$231,13,FALSE)</f>
        <v>21.544347763061499</v>
      </c>
      <c r="Q189" s="45">
        <f>'Filter-old'!H178</f>
        <v>50</v>
      </c>
      <c r="R189" s="61">
        <f>'Filter-new'!H178</f>
        <v>-50</v>
      </c>
      <c r="S189" s="62">
        <f>'price-old'!H57</f>
        <v>33.002857208251953</v>
      </c>
      <c r="T189" s="62">
        <f>'price-new'!H57</f>
        <v>33.72</v>
      </c>
      <c r="U189" s="445">
        <f>'Filter-new'!H667</f>
        <v>0</v>
      </c>
      <c r="V189" s="62">
        <f>VLOOKUP(B189,[1]Offpeak_Forward!$A$1:$AG$231,14,FALSE)</f>
        <v>21.316087722778299</v>
      </c>
      <c r="W189" s="45">
        <f>'Filter-old'!J178</f>
        <v>0</v>
      </c>
      <c r="X189" s="61">
        <f>'Filter-new'!J178</f>
        <v>0</v>
      </c>
      <c r="Y189" s="62">
        <f>'price-old'!J57</f>
        <v>32.197302093505861</v>
      </c>
      <c r="Z189" s="62">
        <f>'price-new'!J57</f>
        <v>36.869999999999997</v>
      </c>
      <c r="AA189" s="45">
        <f>'Filter-old'!F178</f>
        <v>0</v>
      </c>
      <c r="AB189" s="61">
        <f>'Filter-new'!F178</f>
        <v>0</v>
      </c>
      <c r="AC189" s="62">
        <f>'price-old'!F57</f>
        <v>39.352857208251955</v>
      </c>
      <c r="AD189" s="62">
        <f>'price-new'!F57</f>
        <v>36.869999999999997</v>
      </c>
      <c r="AE189" s="45">
        <f>'Filter-old'!P178</f>
        <v>0</v>
      </c>
      <c r="AF189" s="61">
        <f>'Filter-new'!P178</f>
        <v>0</v>
      </c>
      <c r="AG189" s="62">
        <f>'price-old'!O57</f>
        <v>44.590356445312501</v>
      </c>
      <c r="AH189" s="62">
        <f>'price-new'!P57</f>
        <v>30.77</v>
      </c>
      <c r="AI189" s="45">
        <f>'Filter-old'!L178</f>
        <v>0</v>
      </c>
      <c r="AJ189" s="61">
        <f>'Filter-new'!L178</f>
        <v>0</v>
      </c>
      <c r="AK189" s="62">
        <f>'price-old'!L57</f>
        <v>71.05</v>
      </c>
      <c r="AL189" s="62">
        <f>'price-new'!L57</f>
        <v>38.39</v>
      </c>
      <c r="AM189" s="62">
        <f>'Filter-new'!L667</f>
        <v>0</v>
      </c>
      <c r="AN189" s="62">
        <f>VLOOKUP(B189,[1]Offpeak_Forward!$A$1:$AG$231,18,FALSE)</f>
        <v>25.598695755004901</v>
      </c>
      <c r="AO189" s="45">
        <f>'Filter-old'!G178</f>
        <v>0</v>
      </c>
      <c r="AP189" s="61">
        <f>'Filter-new'!G178</f>
        <v>0</v>
      </c>
      <c r="AQ189" s="62">
        <f>'price-old'!G57</f>
        <v>35.499996185302734</v>
      </c>
      <c r="AR189" s="62">
        <f>'price-new'!G57</f>
        <v>33.159999999999997</v>
      </c>
      <c r="AS189" s="45"/>
      <c r="AT189" s="61">
        <f>AX189+BD189+BJ189+BR189+BV189+CB189+BN189</f>
        <v>178.70576704545454</v>
      </c>
      <c r="AU189" s="62"/>
      <c r="AV189" s="62">
        <f>BA189+BY189+CE189</f>
        <v>0</v>
      </c>
      <c r="AW189" s="45">
        <f>'Filter-old'!I178</f>
        <v>-75</v>
      </c>
      <c r="AX189" s="61">
        <f>'Filter-new'!I178</f>
        <v>25</v>
      </c>
      <c r="AY189" s="62">
        <f>'price-old'!I57</f>
        <v>39.352855682373047</v>
      </c>
      <c r="AZ189" s="62">
        <f>'price-new'!I57</f>
        <v>34.869999999999997</v>
      </c>
      <c r="BA189" s="62">
        <f>'Filter-new'!I667</f>
        <v>0</v>
      </c>
      <c r="BB189" s="62">
        <f>VLOOKUP(B189,[1]Offpeak_Forward!$A$1:$AG$231,15,FALSE)</f>
        <v>24.710868835449201</v>
      </c>
      <c r="BC189" s="45">
        <f>'Filter-old'!K178</f>
        <v>0</v>
      </c>
      <c r="BD189" s="61">
        <f>'Filter-new'!K178</f>
        <v>0</v>
      </c>
      <c r="BE189" s="62">
        <f>'price-old'!K57</f>
        <v>46.6</v>
      </c>
      <c r="BF189" s="62">
        <f>'price-new'!K57</f>
        <v>38</v>
      </c>
      <c r="BG189" s="45">
        <f>'Filter-old'!M178</f>
        <v>0</v>
      </c>
      <c r="BH189" s="61"/>
      <c r="BI189" s="62">
        <f>VLOOKUP(B189,[1]Offpeak_Forward!$A$1:$AG$231,2,FALSE)</f>
        <v>28.0597820281982</v>
      </c>
      <c r="BJ189" s="61">
        <f>'Filter-new'!M178</f>
        <v>0</v>
      </c>
      <c r="BK189" s="62">
        <f>'price-old'!M57</f>
        <v>49</v>
      </c>
      <c r="BL189" s="62">
        <f>'price-new'!M57</f>
        <v>41</v>
      </c>
      <c r="BM189" s="62"/>
      <c r="BN189" s="406">
        <f>'Filter-new'!N178</f>
        <v>0</v>
      </c>
      <c r="BO189" s="62"/>
      <c r="BP189" s="62">
        <f>'price-new'!N57</f>
        <v>47</v>
      </c>
      <c r="BQ189" s="45">
        <f>'Filter-old'!O178</f>
        <v>0</v>
      </c>
      <c r="BR189" s="61">
        <f>'Filter-new'!O178</f>
        <v>0</v>
      </c>
      <c r="BS189" s="62">
        <f>'price-old'!N57</f>
        <v>45.352857208251955</v>
      </c>
      <c r="BT189" s="62">
        <f>'price-new'!O57</f>
        <v>37.26</v>
      </c>
      <c r="BU189" s="45">
        <f>'Filter-old'!Q178</f>
        <v>217.11039772727273</v>
      </c>
      <c r="BV189" s="61">
        <f>'Filter-new'!Q178</f>
        <v>103.70576704545455</v>
      </c>
      <c r="BW189" s="62">
        <f>'price-old'!P57</f>
        <v>39.452857971191406</v>
      </c>
      <c r="BX189" s="88">
        <f>'price-new'!Q57</f>
        <v>36.895000000000003</v>
      </c>
      <c r="BY189" s="88">
        <f>'Filter-new'!Q667</f>
        <v>0</v>
      </c>
      <c r="BZ189" s="88">
        <f>VLOOKUP(B189,[1]Offpeak_Forward!$A$1:$AG$231,22,FALSE)</f>
        <v>21.4326076507568</v>
      </c>
      <c r="CA189" s="45">
        <f>'Filter-old'!R178</f>
        <v>0</v>
      </c>
      <c r="CB189" s="61">
        <f>'Filter-new'!R178</f>
        <v>50</v>
      </c>
      <c r="CC189" s="61">
        <f>'price-old'!Q57</f>
        <v>49</v>
      </c>
      <c r="CD189" s="89">
        <f>'price-new'!R57</f>
        <v>41</v>
      </c>
      <c r="CE189" s="87">
        <f>'Filter-new'!R667</f>
        <v>0</v>
      </c>
      <c r="CF189" s="87">
        <f>VLOOKUP(B189,[1]Offpeak_Forward!$A$1:$AG$231,6,FALSE)</f>
        <v>21.869043350219702</v>
      </c>
      <c r="CG189" s="4"/>
    </row>
    <row r="190" spans="1:85" x14ac:dyDescent="0.2">
      <c r="A190">
        <v>1</v>
      </c>
      <c r="B190" s="509" t="s">
        <v>155</v>
      </c>
      <c r="C190" s="63"/>
      <c r="D190" s="63"/>
      <c r="E190" s="63"/>
      <c r="F190" s="63"/>
      <c r="G190" s="36"/>
      <c r="H190" s="510">
        <f>H189</f>
        <v>19.850653409090924</v>
      </c>
      <c r="I190" s="510">
        <f>I189</f>
        <v>199.32608695652175</v>
      </c>
      <c r="J190" s="41"/>
      <c r="K190" s="45"/>
      <c r="L190" s="510">
        <f>L189</f>
        <v>-108.85511363636364</v>
      </c>
      <c r="M190" s="62"/>
      <c r="N190" s="511">
        <f>N189</f>
        <v>35.369999999999997</v>
      </c>
      <c r="O190" s="510">
        <f>O189</f>
        <v>199.32608695652175</v>
      </c>
      <c r="P190" s="511">
        <f>P189</f>
        <v>21.544347763061499</v>
      </c>
      <c r="Q190" s="45"/>
      <c r="R190" s="510">
        <f>R189</f>
        <v>-50</v>
      </c>
      <c r="S190" s="62"/>
      <c r="T190" s="512">
        <f>T189</f>
        <v>33.72</v>
      </c>
      <c r="U190" s="510">
        <f>U189</f>
        <v>0</v>
      </c>
      <c r="V190" s="512">
        <f>V189</f>
        <v>21.316087722778299</v>
      </c>
      <c r="W190" s="45"/>
      <c r="X190" s="61"/>
      <c r="Y190" s="62"/>
      <c r="Z190" s="62"/>
      <c r="AA190" s="45"/>
      <c r="AB190" s="510">
        <f>AB189</f>
        <v>0</v>
      </c>
      <c r="AC190" s="62"/>
      <c r="AD190" s="512">
        <f>AD189</f>
        <v>36.869999999999997</v>
      </c>
      <c r="AE190" s="45"/>
      <c r="AF190" s="510">
        <f>AF189</f>
        <v>0</v>
      </c>
      <c r="AG190" s="62"/>
      <c r="AH190" s="512">
        <f>AH189</f>
        <v>30.77</v>
      </c>
      <c r="AI190" s="45"/>
      <c r="AJ190" s="510">
        <f>AJ189</f>
        <v>0</v>
      </c>
      <c r="AK190" s="62"/>
      <c r="AL190" s="512">
        <f>AL189</f>
        <v>38.39</v>
      </c>
      <c r="AM190" s="510">
        <f>AM189</f>
        <v>0</v>
      </c>
      <c r="AN190" s="512">
        <f>AN189</f>
        <v>25.598695755004901</v>
      </c>
      <c r="AO190" s="45"/>
      <c r="AP190" s="61"/>
      <c r="AQ190" s="62"/>
      <c r="AR190" s="62"/>
      <c r="AS190" s="45"/>
      <c r="AT190" s="510">
        <f>AT189</f>
        <v>178.70576704545454</v>
      </c>
      <c r="AU190" s="62"/>
      <c r="AV190" s="510">
        <f>AV189</f>
        <v>0</v>
      </c>
      <c r="AW190" s="45"/>
      <c r="AX190" s="510">
        <f>AX189</f>
        <v>25</v>
      </c>
      <c r="AY190" s="62"/>
      <c r="AZ190" s="512">
        <f>AZ189</f>
        <v>34.869999999999997</v>
      </c>
      <c r="BA190" s="510">
        <f>BA189</f>
        <v>0</v>
      </c>
      <c r="BB190" s="512">
        <f>BB189</f>
        <v>24.710868835449201</v>
      </c>
      <c r="BC190" s="45"/>
      <c r="BD190" s="510">
        <f>BD189</f>
        <v>0</v>
      </c>
      <c r="BE190" s="62"/>
      <c r="BF190" s="512">
        <f>BF189</f>
        <v>38</v>
      </c>
      <c r="BG190" s="45"/>
      <c r="BH190" s="510">
        <f>'Filter-new'!K667</f>
        <v>0</v>
      </c>
      <c r="BI190" s="512">
        <f>BI189</f>
        <v>28.0597820281982</v>
      </c>
      <c r="BJ190" s="510">
        <f>BJ189</f>
        <v>0</v>
      </c>
      <c r="BK190" s="62"/>
      <c r="BL190" s="512">
        <f>BL189</f>
        <v>41</v>
      </c>
      <c r="BM190" s="62"/>
      <c r="BN190" s="510">
        <f>BN189</f>
        <v>0</v>
      </c>
      <c r="BO190" s="62"/>
      <c r="BP190" s="512">
        <f>BP189</f>
        <v>47</v>
      </c>
      <c r="BQ190" s="45"/>
      <c r="BR190" s="510">
        <f>BR189</f>
        <v>0</v>
      </c>
      <c r="BS190" s="62"/>
      <c r="BT190" s="512">
        <f>BT189</f>
        <v>37.26</v>
      </c>
      <c r="BU190" s="45"/>
      <c r="BV190" s="510">
        <f>BV189</f>
        <v>103.70576704545455</v>
      </c>
      <c r="BW190" s="62"/>
      <c r="BX190" s="512">
        <f>BX189</f>
        <v>36.895000000000003</v>
      </c>
      <c r="BY190" s="510">
        <f>BY189</f>
        <v>0</v>
      </c>
      <c r="BZ190" s="512">
        <f>BZ189</f>
        <v>21.4326076507568</v>
      </c>
      <c r="CA190" s="45"/>
      <c r="CB190" s="510">
        <f>CB189</f>
        <v>50</v>
      </c>
      <c r="CC190" s="61"/>
      <c r="CD190" s="512">
        <f>CD189</f>
        <v>41</v>
      </c>
      <c r="CE190" s="510">
        <f>CE189</f>
        <v>0</v>
      </c>
      <c r="CF190" s="512">
        <f>CF189</f>
        <v>21.869043350219702</v>
      </c>
      <c r="CG190" s="4"/>
    </row>
    <row r="191" spans="1:85" hidden="1" x14ac:dyDescent="0.2">
      <c r="A191">
        <v>0</v>
      </c>
      <c r="B191" s="59">
        <v>38534</v>
      </c>
      <c r="C191" s="59">
        <f>'Filter-new'!C57</f>
        <v>38534</v>
      </c>
      <c r="D191" s="63"/>
      <c r="E191" s="63"/>
      <c r="F191" s="63"/>
      <c r="G191" s="36">
        <f>SUM(K191,AA191,AO191,Q191,AW191,W191,BC191,AI191,BG191,BQ191,AE191,BU191,CA191)</f>
        <v>328.02621875</v>
      </c>
      <c r="H191" s="36">
        <f>SUM(L191,AB191,AP191,R191,AX191,X191,BD191,AJ191,BJ191,BR191,AF191,BV191,CB191,BN191)</f>
        <v>60.665625000000006</v>
      </c>
      <c r="I191" s="36">
        <f>O191+U191+AM191+BA191+BY191+CE191</f>
        <v>153.41509433962264</v>
      </c>
      <c r="J191" s="41"/>
      <c r="K191" s="45">
        <f>'Filter-old'!E179</f>
        <v>137.86753125000001</v>
      </c>
      <c r="L191" s="61">
        <f>'Filter-new'!E179</f>
        <v>-65.674999999999997</v>
      </c>
      <c r="M191" s="62">
        <f>'price-old'!E58</f>
        <v>51.447146606445315</v>
      </c>
      <c r="N191" s="62">
        <f>'price-new'!E58</f>
        <v>45.384999999999998</v>
      </c>
      <c r="O191" s="429">
        <f>'Filter-new'!E668</f>
        <v>153.41509433962264</v>
      </c>
      <c r="P191" s="62">
        <f>VLOOKUP(B191,[1]Offpeak_Forward!$A$1:$AG$231,13,FALSE)</f>
        <v>24.387170791626001</v>
      </c>
      <c r="Q191" s="45">
        <f>'Filter-old'!H179</f>
        <v>50</v>
      </c>
      <c r="R191" s="61">
        <f>'Filter-new'!H179</f>
        <v>-50</v>
      </c>
      <c r="S191" s="62">
        <f>'price-old'!H58</f>
        <v>43.997146606445312</v>
      </c>
      <c r="T191" s="62">
        <f>'price-new'!H58</f>
        <v>43.335000000000001</v>
      </c>
      <c r="U191" s="445">
        <f>'Filter-new'!H668</f>
        <v>0</v>
      </c>
      <c r="V191" s="62">
        <f>VLOOKUP(B191,[1]Offpeak_Forward!$A$1:$AG$231,14,FALSE)</f>
        <v>23.739810943603501</v>
      </c>
      <c r="W191" s="45">
        <f>'Filter-old'!J179</f>
        <v>0</v>
      </c>
      <c r="X191" s="61">
        <f>'Filter-new'!J179</f>
        <v>0</v>
      </c>
      <c r="Y191" s="62">
        <f>'price-old'!J58</f>
        <v>39.695</v>
      </c>
      <c r="Z191" s="62">
        <f>'price-new'!J58</f>
        <v>47.884999999999998</v>
      </c>
      <c r="AA191" s="45">
        <f>'Filter-old'!F179</f>
        <v>0</v>
      </c>
      <c r="AB191" s="61">
        <f>'Filter-new'!F179</f>
        <v>0</v>
      </c>
      <c r="AC191" s="62">
        <f>'price-old'!F58</f>
        <v>51.447146606445315</v>
      </c>
      <c r="AD191" s="62">
        <f>'price-new'!F58</f>
        <v>47.884999999999998</v>
      </c>
      <c r="AE191" s="45">
        <f>'Filter-old'!P179</f>
        <v>0</v>
      </c>
      <c r="AF191" s="61">
        <f>'Filter-new'!P179</f>
        <v>0</v>
      </c>
      <c r="AG191" s="62">
        <f>'price-old'!O58</f>
        <v>54.872149658203128</v>
      </c>
      <c r="AH191" s="62">
        <f>'price-new'!P58</f>
        <v>37.685000000000002</v>
      </c>
      <c r="AI191" s="45">
        <f>'Filter-old'!L179</f>
        <v>0</v>
      </c>
      <c r="AJ191" s="61">
        <f>'Filter-new'!L179</f>
        <v>-1</v>
      </c>
      <c r="AK191" s="62">
        <f>'price-old'!L58</f>
        <v>97.05</v>
      </c>
      <c r="AL191" s="62">
        <f>'price-new'!L58</f>
        <v>44.134999999999998</v>
      </c>
      <c r="AM191" s="62">
        <f>'Filter-new'!L668</f>
        <v>0</v>
      </c>
      <c r="AN191" s="62">
        <f>VLOOKUP(B191,[1]Offpeak_Forward!$A$1:$AG$231,18,FALSE)</f>
        <v>28.074905395507798</v>
      </c>
      <c r="AO191" s="45">
        <f>'Filter-old'!G179</f>
        <v>0</v>
      </c>
      <c r="AP191" s="61">
        <f>'Filter-new'!G179</f>
        <v>0</v>
      </c>
      <c r="AQ191" s="62">
        <f>'price-old'!G58</f>
        <v>46.249992370605469</v>
      </c>
      <c r="AR191" s="62">
        <f>'price-new'!G58</f>
        <v>42.71</v>
      </c>
      <c r="AS191" s="45"/>
      <c r="AT191" s="61">
        <f>AX191+BD191+BJ191+BR191+BV191+CB191+BN191</f>
        <v>177.34062499999999</v>
      </c>
      <c r="AU191" s="62"/>
      <c r="AV191" s="62">
        <f>BA191+BY191+CE191</f>
        <v>0</v>
      </c>
      <c r="AW191" s="45">
        <f>'Filter-old'!I179</f>
        <v>-75</v>
      </c>
      <c r="AX191" s="61">
        <f>'Filter-new'!I179</f>
        <v>25</v>
      </c>
      <c r="AY191" s="62">
        <f>'price-old'!I58</f>
        <v>56.122146606445313</v>
      </c>
      <c r="AZ191" s="62">
        <f>'price-new'!I58</f>
        <v>44.884999999999998</v>
      </c>
      <c r="BA191" s="62">
        <f>'Filter-new'!I668</f>
        <v>0</v>
      </c>
      <c r="BB191" s="62">
        <f>VLOOKUP(B191,[1]Offpeak_Forward!$A$1:$AG$231,15,FALSE)</f>
        <v>27.946226119995099</v>
      </c>
      <c r="BC191" s="45">
        <f>'Filter-old'!K179</f>
        <v>0</v>
      </c>
      <c r="BD191" s="61">
        <f>'Filter-new'!K179</f>
        <v>0</v>
      </c>
      <c r="BE191" s="62">
        <f>'price-old'!K58</f>
        <v>58.35</v>
      </c>
      <c r="BF191" s="62">
        <f>'price-new'!K58</f>
        <v>46.5</v>
      </c>
      <c r="BG191" s="45">
        <f>'Filter-old'!M179</f>
        <v>0</v>
      </c>
      <c r="BH191" s="61"/>
      <c r="BI191" s="62">
        <f>VLOOKUP(B191,[1]Offpeak_Forward!$A$1:$AG$231,2,FALSE)</f>
        <v>31.917924880981399</v>
      </c>
      <c r="BJ191" s="61">
        <f>'Filter-new'!M179</f>
        <v>0</v>
      </c>
      <c r="BK191" s="62">
        <f>'price-old'!M58</f>
        <v>63</v>
      </c>
      <c r="BL191" s="62">
        <f>'price-new'!M58</f>
        <v>52</v>
      </c>
      <c r="BM191" s="62"/>
      <c r="BN191" s="406">
        <f>'Filter-new'!N179</f>
        <v>0</v>
      </c>
      <c r="BO191" s="62"/>
      <c r="BP191" s="62">
        <f>'price-new'!N58</f>
        <v>68</v>
      </c>
      <c r="BQ191" s="45">
        <f>'Filter-old'!O179</f>
        <v>0</v>
      </c>
      <c r="BR191" s="61">
        <f>'Filter-new'!O179</f>
        <v>0</v>
      </c>
      <c r="BS191" s="62">
        <f>'price-old'!N58</f>
        <v>61.447146606445315</v>
      </c>
      <c r="BT191" s="62">
        <f>'price-new'!O58</f>
        <v>45.55</v>
      </c>
      <c r="BU191" s="45">
        <f>'Filter-old'!Q179</f>
        <v>215.15868749999998</v>
      </c>
      <c r="BV191" s="61">
        <f>'Filter-new'!Q179</f>
        <v>102.340625</v>
      </c>
      <c r="BW191" s="62">
        <f>'price-old'!P58</f>
        <v>58.597145080566406</v>
      </c>
      <c r="BX191" s="88">
        <f>'price-new'!Q58</f>
        <v>46.552</v>
      </c>
      <c r="BY191" s="88">
        <f>'Filter-new'!Q668</f>
        <v>0</v>
      </c>
      <c r="BZ191" s="88">
        <f>VLOOKUP(B191,[1]Offpeak_Forward!$A$1:$AG$231,22,FALSE)</f>
        <v>26.574529647827099</v>
      </c>
      <c r="CA191" s="45">
        <f>'Filter-old'!R179</f>
        <v>0</v>
      </c>
      <c r="CB191" s="61">
        <f>'Filter-new'!R179</f>
        <v>50</v>
      </c>
      <c r="CC191" s="61">
        <f>'price-old'!Q58</f>
        <v>63</v>
      </c>
      <c r="CD191" s="89">
        <f>'price-new'!R58</f>
        <v>50.25</v>
      </c>
      <c r="CE191" s="87">
        <f>'Filter-new'!R668</f>
        <v>0</v>
      </c>
      <c r="CF191" s="87">
        <f>VLOOKUP(B191,[1]Offpeak_Forward!$A$1:$AG$231,6,FALSE)</f>
        <v>25.3301887512207</v>
      </c>
      <c r="CG191" s="4"/>
    </row>
    <row r="192" spans="1:85" hidden="1" x14ac:dyDescent="0.2">
      <c r="A192">
        <v>0</v>
      </c>
      <c r="B192" s="59">
        <v>38565</v>
      </c>
      <c r="C192" s="59">
        <f>'Filter-new'!C58</f>
        <v>38565</v>
      </c>
      <c r="D192" s="63"/>
      <c r="E192" s="63"/>
      <c r="F192" s="63"/>
      <c r="G192" s="36">
        <f>SUM(K192,AA192,AO192,Q192,AW192,W192,BC192,AI192,BG192,BQ192,AE192,BU192,CA192)</f>
        <v>326.94032608695647</v>
      </c>
      <c r="H192" s="36">
        <f>SUM(L192,AB192,AP192,R192,AX192,X192,BD192,AJ192,BJ192,BR192,AF192,BV192,CB192,BN192)</f>
        <v>61.336956521739125</v>
      </c>
      <c r="I192" s="36">
        <f>O192+U192+AM192+BA192+BY192+CE192</f>
        <v>176.68085106382978</v>
      </c>
      <c r="J192" s="41"/>
      <c r="K192" s="45">
        <f>'Filter-old'!E180</f>
        <v>137.13247282608697</v>
      </c>
      <c r="L192" s="61">
        <f>'Filter-new'!E180</f>
        <v>-65.350543478260875</v>
      </c>
      <c r="M192" s="62">
        <f>'price-old'!E59</f>
        <v>51.447146606445315</v>
      </c>
      <c r="N192" s="62">
        <f>'price-new'!E59</f>
        <v>44.734999999999999</v>
      </c>
      <c r="O192" s="429">
        <f>'Filter-new'!E669</f>
        <v>176.68085106382978</v>
      </c>
      <c r="P192" s="62">
        <f>VLOOKUP(B192,[1]Offpeak_Forward!$A$1:$AG$231,13,FALSE)</f>
        <v>24.2123413085938</v>
      </c>
      <c r="Q192" s="45">
        <f>'Filter-old'!H180</f>
        <v>50</v>
      </c>
      <c r="R192" s="61">
        <f>'Filter-new'!H180</f>
        <v>-50</v>
      </c>
      <c r="S192" s="62">
        <f>'price-old'!H59</f>
        <v>43.997146606445312</v>
      </c>
      <c r="T192" s="62">
        <f>'price-new'!H59</f>
        <v>42.685000000000002</v>
      </c>
      <c r="U192" s="445">
        <f>'Filter-new'!H669</f>
        <v>0</v>
      </c>
      <c r="V192" s="62">
        <f>VLOOKUP(B192,[1]Offpeak_Forward!$A$1:$AG$231,14,FALSE)</f>
        <v>22.4546813964844</v>
      </c>
      <c r="W192" s="45">
        <f>'Filter-old'!J180</f>
        <v>0</v>
      </c>
      <c r="X192" s="61">
        <f>'Filter-new'!J180</f>
        <v>0</v>
      </c>
      <c r="Y192" s="62">
        <f>'price-old'!J59</f>
        <v>39.695</v>
      </c>
      <c r="Z192" s="62">
        <f>'price-new'!J59</f>
        <v>47.234999999999999</v>
      </c>
      <c r="AA192" s="45">
        <f>'Filter-old'!F180</f>
        <v>0</v>
      </c>
      <c r="AB192" s="61">
        <f>'Filter-new'!F180</f>
        <v>0</v>
      </c>
      <c r="AC192" s="62">
        <f>'price-old'!F59</f>
        <v>51.447146606445315</v>
      </c>
      <c r="AD192" s="62">
        <f>'price-new'!F59</f>
        <v>47.234999999999999</v>
      </c>
      <c r="AE192" s="45">
        <f>'Filter-old'!P180</f>
        <v>0</v>
      </c>
      <c r="AF192" s="61">
        <f>'Filter-new'!P180</f>
        <v>0</v>
      </c>
      <c r="AG192" s="62">
        <f>'price-old'!O59</f>
        <v>52.372149658203128</v>
      </c>
      <c r="AH192" s="62">
        <f>'price-new'!P59</f>
        <v>37.034999999999997</v>
      </c>
      <c r="AI192" s="45">
        <f>'Filter-old'!L180</f>
        <v>0</v>
      </c>
      <c r="AJ192" s="61">
        <f>'Filter-new'!L180</f>
        <v>-1</v>
      </c>
      <c r="AK192" s="62">
        <f>'price-old'!L59</f>
        <v>97.54</v>
      </c>
      <c r="AL192" s="62">
        <f>'price-new'!L59</f>
        <v>44.484999999999999</v>
      </c>
      <c r="AM192" s="62">
        <f>'Filter-new'!L669</f>
        <v>0</v>
      </c>
      <c r="AN192" s="62">
        <f>VLOOKUP(B192,[1]Offpeak_Forward!$A$1:$AG$231,18,FALSE)</f>
        <v>28.307020187377901</v>
      </c>
      <c r="AO192" s="45">
        <f>'Filter-old'!G180</f>
        <v>0</v>
      </c>
      <c r="AP192" s="61">
        <f>'Filter-new'!G180</f>
        <v>0</v>
      </c>
      <c r="AQ192" s="62">
        <f>'price-old'!G59</f>
        <v>46.25</v>
      </c>
      <c r="AR192" s="62">
        <f>'price-new'!G59</f>
        <v>42.31</v>
      </c>
      <c r="AS192" s="45"/>
      <c r="AT192" s="61">
        <f>AX192+BD192+BJ192+BR192+BV192+CB192+BN192</f>
        <v>177.6875</v>
      </c>
      <c r="AU192" s="62"/>
      <c r="AV192" s="62">
        <f>BA192+BY192+CE192</f>
        <v>0</v>
      </c>
      <c r="AW192" s="45">
        <f>'Filter-old'!I180</f>
        <v>-75</v>
      </c>
      <c r="AX192" s="61">
        <f>'Filter-new'!I180</f>
        <v>25</v>
      </c>
      <c r="AY192" s="62">
        <f>'price-old'!I59</f>
        <v>55.997146606445313</v>
      </c>
      <c r="AZ192" s="62">
        <f>'price-new'!I59</f>
        <v>44.234999999999999</v>
      </c>
      <c r="BA192" s="62">
        <f>'Filter-new'!I669</f>
        <v>0</v>
      </c>
      <c r="BB192" s="62">
        <f>VLOOKUP(B192,[1]Offpeak_Forward!$A$1:$AG$231,15,FALSE)</f>
        <v>27.2627658843994</v>
      </c>
      <c r="BC192" s="45">
        <f>'Filter-old'!K180</f>
        <v>0</v>
      </c>
      <c r="BD192" s="61">
        <f>'Filter-new'!K180</f>
        <v>0</v>
      </c>
      <c r="BE192" s="62">
        <f>'price-old'!K59</f>
        <v>58.35</v>
      </c>
      <c r="BF192" s="62">
        <f>'price-new'!K59</f>
        <v>46.5</v>
      </c>
      <c r="BG192" s="45">
        <f>'Filter-old'!M180</f>
        <v>0</v>
      </c>
      <c r="BH192" s="61"/>
      <c r="BI192" s="62">
        <f>VLOOKUP(B192,[1]Offpeak_Forward!$A$1:$AG$231,2,FALSE)</f>
        <v>31.404254913330099</v>
      </c>
      <c r="BJ192" s="61">
        <f>'Filter-new'!M180</f>
        <v>0</v>
      </c>
      <c r="BK192" s="62">
        <f>'price-old'!M59</f>
        <v>63</v>
      </c>
      <c r="BL192" s="62">
        <f>'price-new'!M59</f>
        <v>52</v>
      </c>
      <c r="BM192" s="62"/>
      <c r="BN192" s="406">
        <f>'Filter-new'!N180</f>
        <v>0</v>
      </c>
      <c r="BO192" s="62"/>
      <c r="BP192" s="62">
        <f>'price-new'!N59</f>
        <v>68</v>
      </c>
      <c r="BQ192" s="45">
        <f>'Filter-old'!O180</f>
        <v>0</v>
      </c>
      <c r="BR192" s="61">
        <f>'Filter-new'!O180</f>
        <v>0</v>
      </c>
      <c r="BS192" s="62">
        <f>'price-old'!N59</f>
        <v>61.447146606445315</v>
      </c>
      <c r="BT192" s="62">
        <f>'price-new'!O59</f>
        <v>44.55</v>
      </c>
      <c r="BU192" s="45">
        <f>'Filter-old'!Q180</f>
        <v>214.80785326086954</v>
      </c>
      <c r="BV192" s="61">
        <f>'Filter-new'!Q180</f>
        <v>102.6875</v>
      </c>
      <c r="BW192" s="62">
        <f>'price-old'!P59</f>
        <v>58.847145080566406</v>
      </c>
      <c r="BX192" s="88">
        <f>'price-new'!Q59</f>
        <v>46.802</v>
      </c>
      <c r="BY192" s="88">
        <f>'Filter-new'!Q669</f>
        <v>0</v>
      </c>
      <c r="BZ192" s="88">
        <f>VLOOKUP(B192,[1]Offpeak_Forward!$A$1:$AG$231,22,FALSE)</f>
        <v>25.618085861206101</v>
      </c>
      <c r="CA192" s="45">
        <f>'Filter-old'!R180</f>
        <v>0</v>
      </c>
      <c r="CB192" s="61">
        <f>'Filter-new'!R180</f>
        <v>50</v>
      </c>
      <c r="CC192" s="61">
        <f>'price-old'!Q59</f>
        <v>63</v>
      </c>
      <c r="CD192" s="89">
        <f>'price-new'!R59</f>
        <v>50.25</v>
      </c>
      <c r="CE192" s="87">
        <f>'Filter-new'!R669</f>
        <v>0</v>
      </c>
      <c r="CF192" s="87">
        <f>VLOOKUP(B192,[1]Offpeak_Forward!$A$1:$AG$231,6,FALSE)</f>
        <v>24.191490173339801</v>
      </c>
      <c r="CG192" s="4"/>
    </row>
    <row r="193" spans="1:85" x14ac:dyDescent="0.2">
      <c r="A193">
        <v>1</v>
      </c>
      <c r="B193" s="501" t="s">
        <v>156</v>
      </c>
      <c r="C193" s="63"/>
      <c r="D193" s="63"/>
      <c r="E193" s="63"/>
      <c r="F193" s="63"/>
      <c r="G193" s="36"/>
      <c r="H193" s="485">
        <f>AVERAGE(H191:H192)</f>
        <v>61.001290760869566</v>
      </c>
      <c r="I193" s="485">
        <f>AVERAGE(I191:I192)</f>
        <v>165.04797270172622</v>
      </c>
      <c r="J193" s="41"/>
      <c r="K193" s="45"/>
      <c r="L193" s="485">
        <f>AVERAGE(L191:L192)</f>
        <v>-65.512771739130443</v>
      </c>
      <c r="M193" s="62"/>
      <c r="N193" s="475">
        <f>AVERAGE(N191:N192)</f>
        <v>45.06</v>
      </c>
      <c r="O193" s="485">
        <f>AVERAGE(O191:O192)</f>
        <v>165.04797270172622</v>
      </c>
      <c r="P193" s="475">
        <f>AVERAGE(P191:P192)</f>
        <v>24.299756050109899</v>
      </c>
      <c r="Q193" s="45"/>
      <c r="R193" s="485">
        <f>AVERAGE(R191:R192)</f>
        <v>-50</v>
      </c>
      <c r="S193" s="62"/>
      <c r="T193" s="482">
        <f>AVERAGE(T191:T192)</f>
        <v>43.010000000000005</v>
      </c>
      <c r="U193" s="485">
        <f>AVERAGE(U191:U192)</f>
        <v>0</v>
      </c>
      <c r="V193" s="482">
        <f>AVERAGE(V191:V192)</f>
        <v>23.097246170043952</v>
      </c>
      <c r="W193" s="45"/>
      <c r="X193" s="61"/>
      <c r="Y193" s="62"/>
      <c r="Z193" s="62"/>
      <c r="AA193" s="45"/>
      <c r="AB193" s="485">
        <f>AVERAGE(AB191:AB192)</f>
        <v>0</v>
      </c>
      <c r="AC193" s="62"/>
      <c r="AD193" s="482">
        <f>AVERAGE(AD191:AD192)</f>
        <v>47.56</v>
      </c>
      <c r="AE193" s="45"/>
      <c r="AF193" s="485">
        <f>AVERAGE(AF191:AF192)</f>
        <v>0</v>
      </c>
      <c r="AG193" s="62"/>
      <c r="AH193" s="482">
        <f>AVERAGE(AH191:AH192)</f>
        <v>37.36</v>
      </c>
      <c r="AI193" s="45"/>
      <c r="AJ193" s="485">
        <f>AVERAGE(AJ191:AJ192)</f>
        <v>-1</v>
      </c>
      <c r="AK193" s="62"/>
      <c r="AL193" s="482">
        <f>AVERAGE(AL191:AL192)</f>
        <v>44.31</v>
      </c>
      <c r="AM193" s="485">
        <f>AVERAGE(AM191:AM192)</f>
        <v>0</v>
      </c>
      <c r="AN193" s="482">
        <f>AVERAGE(AN191:AN192)</f>
        <v>28.19096279144285</v>
      </c>
      <c r="AO193" s="45"/>
      <c r="AP193" s="61"/>
      <c r="AQ193" s="62"/>
      <c r="AR193" s="62"/>
      <c r="AS193" s="45"/>
      <c r="AT193" s="485">
        <f>AVERAGE(AT191:AT192)</f>
        <v>177.51406249999999</v>
      </c>
      <c r="AU193" s="62"/>
      <c r="AV193" s="485">
        <f>AVERAGE(AV191:AV192)</f>
        <v>0</v>
      </c>
      <c r="AW193" s="45"/>
      <c r="AX193" s="485">
        <f>AVERAGE(AX191:AX192)</f>
        <v>25</v>
      </c>
      <c r="AY193" s="62"/>
      <c r="AZ193" s="482">
        <f>AVERAGE(AZ191:AZ192)</f>
        <v>44.56</v>
      </c>
      <c r="BA193" s="485">
        <f>AVERAGE(BA191:BA192)</f>
        <v>0</v>
      </c>
      <c r="BB193" s="482">
        <f>AVERAGE(BB191:BB192)</f>
        <v>27.604496002197251</v>
      </c>
      <c r="BC193" s="45"/>
      <c r="BD193" s="485">
        <f>AVERAGE(BD191:BD192)</f>
        <v>0</v>
      </c>
      <c r="BE193" s="62"/>
      <c r="BF193" s="482">
        <f>AVERAGE(BF191:BF192)</f>
        <v>46.5</v>
      </c>
      <c r="BG193" s="45"/>
      <c r="BH193" s="485">
        <f>AVERAGE('Filter-new'!K668:K669)</f>
        <v>0</v>
      </c>
      <c r="BI193" s="482">
        <f>AVERAGE(BI191:BI192)</f>
        <v>31.661089897155748</v>
      </c>
      <c r="BJ193" s="485">
        <f>AVERAGE(BJ191:BJ192)</f>
        <v>0</v>
      </c>
      <c r="BK193" s="62"/>
      <c r="BL193" s="482">
        <f>AVERAGE(BL191:BL192)</f>
        <v>52</v>
      </c>
      <c r="BM193" s="62"/>
      <c r="BN193" s="485">
        <f>AVERAGE(BN191:BN192)</f>
        <v>0</v>
      </c>
      <c r="BO193" s="62"/>
      <c r="BP193" s="482">
        <f>AVERAGE(BP191:BP192)</f>
        <v>68</v>
      </c>
      <c r="BQ193" s="45"/>
      <c r="BR193" s="485">
        <f>AVERAGE(BR191:BR192)</f>
        <v>0</v>
      </c>
      <c r="BS193" s="62"/>
      <c r="BT193" s="482">
        <f>AVERAGE(BT191:BT192)</f>
        <v>45.05</v>
      </c>
      <c r="BU193" s="45"/>
      <c r="BV193" s="485">
        <f>AVERAGE(BV191:BV192)</f>
        <v>102.51406249999999</v>
      </c>
      <c r="BW193" s="62"/>
      <c r="BX193" s="482">
        <f>AVERAGE(BX191:BX192)</f>
        <v>46.677</v>
      </c>
      <c r="BY193" s="485">
        <f>AVERAGE(BY191:BY192)</f>
        <v>0</v>
      </c>
      <c r="BZ193" s="482">
        <f>AVERAGE(BZ191:BZ192)</f>
        <v>26.096307754516602</v>
      </c>
      <c r="CA193" s="45"/>
      <c r="CB193" s="485">
        <f>AVERAGE(CB191:CB192)</f>
        <v>50</v>
      </c>
      <c r="CC193" s="61"/>
      <c r="CD193" s="482">
        <f>AVERAGE(CD191:CD192)</f>
        <v>50.25</v>
      </c>
      <c r="CE193" s="485">
        <f>AVERAGE(CE191:CE192)</f>
        <v>0</v>
      </c>
      <c r="CF193" s="482">
        <f>AVERAGE(CF191:CF192)</f>
        <v>24.760839462280252</v>
      </c>
      <c r="CG193" s="4"/>
    </row>
    <row r="194" spans="1:85" hidden="1" x14ac:dyDescent="0.2">
      <c r="A194">
        <v>0</v>
      </c>
      <c r="B194" s="59">
        <v>38596</v>
      </c>
      <c r="C194" s="59">
        <f>'Filter-new'!C59</f>
        <v>38596</v>
      </c>
      <c r="D194" s="63"/>
      <c r="E194" s="63"/>
      <c r="F194" s="63"/>
      <c r="G194" s="36">
        <f>SUM(K194,AA194,AO194,Q194,AW194,W194,BC194,AI194,BG194,BQ194,AE194,BU194,CA194)</f>
        <v>404.75979166666662</v>
      </c>
      <c r="H194" s="36">
        <f>SUM(L194,AB194,AP194,R194,AX194,X194,BD194,AJ194,BJ194,BR194,AF194,BV194,CB194,BN196)</f>
        <v>63.004583333333343</v>
      </c>
      <c r="I194" s="36">
        <f>O194+U194+AM194+BA194+BY194+CE194</f>
        <v>184.26302083333334</v>
      </c>
      <c r="J194" s="41"/>
      <c r="K194" s="45">
        <f>'Filter-old'!E181</f>
        <v>215.27678571428572</v>
      </c>
      <c r="L194" s="61">
        <f>'Filter-new'!E181</f>
        <v>-65.039017857142852</v>
      </c>
      <c r="M194" s="62">
        <f>'price-old'!E60</f>
        <v>34.002140045166016</v>
      </c>
      <c r="N194" s="62">
        <f>'price-new'!E60</f>
        <v>28.16</v>
      </c>
      <c r="O194" s="429">
        <f>'Filter-new'!E670</f>
        <v>184.26302083333334</v>
      </c>
      <c r="P194" s="62">
        <f>VLOOKUP(B194,[1]Offpeak_Forward!$A$1:$AG$231,13,FALSE)</f>
        <v>17.981666564941399</v>
      </c>
      <c r="Q194" s="45">
        <f>'Filter-old'!H181</f>
        <v>50</v>
      </c>
      <c r="R194" s="61">
        <f>'Filter-new'!H181</f>
        <v>-50</v>
      </c>
      <c r="S194" s="62">
        <f>'price-old'!H60</f>
        <v>28.102143859863283</v>
      </c>
      <c r="T194" s="62">
        <f>'price-new'!H60</f>
        <v>26.91</v>
      </c>
      <c r="U194" s="445">
        <f>'Filter-new'!H670</f>
        <v>0</v>
      </c>
      <c r="V194" s="62">
        <f>VLOOKUP(B194,[1]Offpeak_Forward!$A$1:$AG$231,14,FALSE)</f>
        <v>17.097082138061499</v>
      </c>
      <c r="W194" s="45">
        <f>'Filter-old'!J181</f>
        <v>0</v>
      </c>
      <c r="X194" s="61">
        <f>'Filter-new'!J181</f>
        <v>0</v>
      </c>
      <c r="Y194" s="62">
        <f>'price-old'!J60</f>
        <v>33.971913909912111</v>
      </c>
      <c r="Z194" s="62">
        <f>'price-new'!J60</f>
        <v>29.66</v>
      </c>
      <c r="AA194" s="45">
        <f>'Filter-old'!F181</f>
        <v>0</v>
      </c>
      <c r="AB194" s="61">
        <f>'Filter-new'!F181</f>
        <v>0</v>
      </c>
      <c r="AC194" s="62">
        <f>'price-old'!F60</f>
        <v>34.002140045166016</v>
      </c>
      <c r="AD194" s="62">
        <f>'price-new'!F60</f>
        <v>29.66</v>
      </c>
      <c r="AE194" s="45">
        <f>'Filter-old'!P181</f>
        <v>0</v>
      </c>
      <c r="AF194" s="61">
        <f>'Filter-new'!P181</f>
        <v>0</v>
      </c>
      <c r="AG194" s="62">
        <f>'price-old'!O60</f>
        <v>33.827144622802734</v>
      </c>
      <c r="AH194" s="62">
        <f>'price-new'!P60</f>
        <v>24.16</v>
      </c>
      <c r="AI194" s="45">
        <f>'Filter-old'!L181</f>
        <v>0</v>
      </c>
      <c r="AJ194" s="61">
        <f>'Filter-new'!L181</f>
        <v>0</v>
      </c>
      <c r="AK194" s="62">
        <f>'price-old'!L60</f>
        <v>54.54</v>
      </c>
      <c r="AL194" s="62">
        <f>'price-new'!L60</f>
        <v>30.2</v>
      </c>
      <c r="AM194" s="62">
        <f>'Filter-new'!L670</f>
        <v>0</v>
      </c>
      <c r="AN194" s="62">
        <f>VLOOKUP(B194,[1]Offpeak_Forward!$A$1:$AG$231,18,FALSE)</f>
        <v>21.887916564941399</v>
      </c>
      <c r="AO194" s="45">
        <f>'Filter-old'!G181</f>
        <v>0</v>
      </c>
      <c r="AP194" s="61">
        <f>'Filter-new'!G181</f>
        <v>0</v>
      </c>
      <c r="AQ194" s="62">
        <f>'price-old'!G60</f>
        <v>33.250003814697266</v>
      </c>
      <c r="AR194" s="62">
        <f>'price-new'!G60</f>
        <v>30.06</v>
      </c>
      <c r="AS194" s="45"/>
      <c r="AT194" s="61">
        <f>AX194+BD194+BJ194+BR194+BV194+CB194+BN194</f>
        <v>178.04360119047618</v>
      </c>
      <c r="AU194" s="62"/>
      <c r="AV194" s="62">
        <f>BA194+BY194+CE194</f>
        <v>0</v>
      </c>
      <c r="AW194" s="45">
        <f>'Filter-old'!I181</f>
        <v>-75</v>
      </c>
      <c r="AX194" s="61">
        <f>'Filter-new'!I181</f>
        <v>25</v>
      </c>
      <c r="AY194" s="62">
        <f>'price-old'!I60</f>
        <v>33.502143859863281</v>
      </c>
      <c r="AZ194" s="62">
        <f>'price-new'!I60</f>
        <v>27.66</v>
      </c>
      <c r="BA194" s="62">
        <f>'Filter-new'!I670</f>
        <v>0</v>
      </c>
      <c r="BB194" s="62">
        <f>VLOOKUP(B194,[1]Offpeak_Forward!$A$1:$AG$231,15,FALSE)</f>
        <v>18.410415649414102</v>
      </c>
      <c r="BC194" s="45">
        <f>'Filter-old'!K181</f>
        <v>0</v>
      </c>
      <c r="BD194" s="61">
        <f>'Filter-new'!K181</f>
        <v>0</v>
      </c>
      <c r="BE194" s="62">
        <f>'price-old'!K60</f>
        <v>37.35</v>
      </c>
      <c r="BF194" s="62">
        <f>'price-new'!K60</f>
        <v>31.75</v>
      </c>
      <c r="BG194" s="45">
        <f>'Filter-old'!M181</f>
        <v>0</v>
      </c>
      <c r="BH194" s="61"/>
      <c r="BI194" s="62">
        <f>VLOOKUP(B194,[1]Offpeak_Forward!$A$1:$AG$231,2,FALSE)</f>
        <v>26.075000762939499</v>
      </c>
      <c r="BJ194" s="61">
        <f>'Filter-new'!M181</f>
        <v>0</v>
      </c>
      <c r="BK194" s="62">
        <f>'price-old'!M60</f>
        <v>33.5</v>
      </c>
      <c r="BL194" s="62">
        <f>'price-new'!M60</f>
        <v>29.75</v>
      </c>
      <c r="BM194" s="62"/>
      <c r="BN194" s="406">
        <f>'Filter-new'!N181</f>
        <v>0</v>
      </c>
      <c r="BO194" s="62"/>
      <c r="BP194" s="62">
        <f>'price-new'!N60</f>
        <v>37.5</v>
      </c>
      <c r="BQ194" s="45">
        <f>'Filter-old'!O181</f>
        <v>0</v>
      </c>
      <c r="BR194" s="61">
        <f>'Filter-new'!O181</f>
        <v>0</v>
      </c>
      <c r="BS194" s="62">
        <f>'price-old'!N60</f>
        <v>37.002140045166016</v>
      </c>
      <c r="BT194" s="62">
        <f>'price-new'!O60</f>
        <v>27.62</v>
      </c>
      <c r="BU194" s="45">
        <f>'Filter-old'!Q181</f>
        <v>214.48300595238092</v>
      </c>
      <c r="BV194" s="61">
        <f>'Filter-new'!Q181</f>
        <v>103.0436011904762</v>
      </c>
      <c r="BW194" s="62">
        <f>'price-old'!P60</f>
        <v>32.352142333984375</v>
      </c>
      <c r="BX194" s="88">
        <f>'price-new'!Q60</f>
        <v>25.341999999999999</v>
      </c>
      <c r="BY194" s="88">
        <f>'Filter-new'!Q670</f>
        <v>0</v>
      </c>
      <c r="BZ194" s="88">
        <f>VLOOKUP(B194,[1]Offpeak_Forward!$A$1:$AG$231,22,FALSE)</f>
        <v>19.972915649414102</v>
      </c>
      <c r="CA194" s="45">
        <f>'Filter-old'!R181</f>
        <v>0</v>
      </c>
      <c r="CB194" s="61">
        <f>'Filter-new'!R181</f>
        <v>50</v>
      </c>
      <c r="CC194" s="61">
        <f>'price-old'!Q60</f>
        <v>33.5</v>
      </c>
      <c r="CD194" s="89">
        <f>'price-new'!R60</f>
        <v>29</v>
      </c>
      <c r="CE194" s="87">
        <f>'Filter-new'!R670</f>
        <v>0</v>
      </c>
      <c r="CF194" s="87">
        <f>VLOOKUP(B194,[1]Offpeak_Forward!$A$1:$AG$231,6,FALSE)</f>
        <v>18.719957351684599</v>
      </c>
      <c r="CG194" s="4"/>
    </row>
    <row r="195" spans="1:85" x14ac:dyDescent="0.2">
      <c r="A195">
        <v>1</v>
      </c>
      <c r="B195" s="509" t="s">
        <v>157</v>
      </c>
      <c r="C195" s="63"/>
      <c r="D195" s="63"/>
      <c r="E195" s="63"/>
      <c r="F195" s="63"/>
      <c r="G195" s="36"/>
      <c r="H195" s="510">
        <f>H194</f>
        <v>63.004583333333343</v>
      </c>
      <c r="I195" s="510">
        <f>I194</f>
        <v>184.26302083333334</v>
      </c>
      <c r="J195" s="41"/>
      <c r="K195" s="45"/>
      <c r="L195" s="510">
        <f>L194</f>
        <v>-65.039017857142852</v>
      </c>
      <c r="M195" s="62"/>
      <c r="N195" s="511">
        <f>N194</f>
        <v>28.16</v>
      </c>
      <c r="O195" s="510">
        <f>O194</f>
        <v>184.26302083333334</v>
      </c>
      <c r="P195" s="511">
        <f>P194</f>
        <v>17.981666564941399</v>
      </c>
      <c r="Q195" s="45"/>
      <c r="R195" s="510">
        <f>R194</f>
        <v>-50</v>
      </c>
      <c r="S195" s="62"/>
      <c r="T195" s="512">
        <f>T194</f>
        <v>26.91</v>
      </c>
      <c r="U195" s="510">
        <f>U194</f>
        <v>0</v>
      </c>
      <c r="V195" s="512">
        <f>V194</f>
        <v>17.097082138061499</v>
      </c>
      <c r="W195" s="45"/>
      <c r="X195" s="61"/>
      <c r="Y195" s="62"/>
      <c r="Z195" s="62"/>
      <c r="AA195" s="45"/>
      <c r="AB195" s="510">
        <f>AB194</f>
        <v>0</v>
      </c>
      <c r="AC195" s="62"/>
      <c r="AD195" s="512">
        <f>AD194</f>
        <v>29.66</v>
      </c>
      <c r="AE195" s="45"/>
      <c r="AF195" s="510">
        <f>AF194</f>
        <v>0</v>
      </c>
      <c r="AG195" s="62"/>
      <c r="AH195" s="512">
        <f>AH194</f>
        <v>24.16</v>
      </c>
      <c r="AI195" s="45"/>
      <c r="AJ195" s="510">
        <f>AJ194</f>
        <v>0</v>
      </c>
      <c r="AK195" s="62"/>
      <c r="AL195" s="512">
        <f>AL194</f>
        <v>30.2</v>
      </c>
      <c r="AM195" s="510">
        <f>AM194</f>
        <v>0</v>
      </c>
      <c r="AN195" s="512">
        <f>AN194</f>
        <v>21.887916564941399</v>
      </c>
      <c r="AO195" s="45"/>
      <c r="AP195" s="61"/>
      <c r="AQ195" s="62"/>
      <c r="AR195" s="62"/>
      <c r="AS195" s="45"/>
      <c r="AT195" s="510">
        <f>AT194</f>
        <v>178.04360119047618</v>
      </c>
      <c r="AU195" s="62"/>
      <c r="AV195" s="510">
        <f>AV194</f>
        <v>0</v>
      </c>
      <c r="AW195" s="45"/>
      <c r="AX195" s="510">
        <f>AX194</f>
        <v>25</v>
      </c>
      <c r="AY195" s="62"/>
      <c r="AZ195" s="512">
        <f>AZ194</f>
        <v>27.66</v>
      </c>
      <c r="BA195" s="510">
        <f>BA194</f>
        <v>0</v>
      </c>
      <c r="BB195" s="512">
        <f>BB194</f>
        <v>18.410415649414102</v>
      </c>
      <c r="BC195" s="45"/>
      <c r="BD195" s="510">
        <f>BD194</f>
        <v>0</v>
      </c>
      <c r="BE195" s="62"/>
      <c r="BF195" s="512">
        <f>BF194</f>
        <v>31.75</v>
      </c>
      <c r="BG195" s="45"/>
      <c r="BH195" s="510">
        <f>'Filter-new'!K670</f>
        <v>0</v>
      </c>
      <c r="BI195" s="512">
        <f>BI194</f>
        <v>26.075000762939499</v>
      </c>
      <c r="BJ195" s="510">
        <f>BJ194</f>
        <v>0</v>
      </c>
      <c r="BK195" s="62"/>
      <c r="BL195" s="512">
        <f>BL194</f>
        <v>29.75</v>
      </c>
      <c r="BM195" s="62"/>
      <c r="BN195" s="510">
        <f>BN194</f>
        <v>0</v>
      </c>
      <c r="BO195" s="62"/>
      <c r="BP195" s="512">
        <f>BP194</f>
        <v>37.5</v>
      </c>
      <c r="BQ195" s="45"/>
      <c r="BR195" s="510">
        <f>BR194</f>
        <v>0</v>
      </c>
      <c r="BS195" s="62"/>
      <c r="BT195" s="512">
        <f>BT194</f>
        <v>27.62</v>
      </c>
      <c r="BU195" s="45"/>
      <c r="BV195" s="510">
        <f>BV194</f>
        <v>103.0436011904762</v>
      </c>
      <c r="BW195" s="62"/>
      <c r="BX195" s="512">
        <f>BX194</f>
        <v>25.341999999999999</v>
      </c>
      <c r="BY195" s="510">
        <f>BY194</f>
        <v>0</v>
      </c>
      <c r="BZ195" s="512">
        <f>BZ194</f>
        <v>19.972915649414102</v>
      </c>
      <c r="CA195" s="45"/>
      <c r="CB195" s="510">
        <f>CB194</f>
        <v>50</v>
      </c>
      <c r="CC195" s="61"/>
      <c r="CD195" s="512">
        <f>CD194</f>
        <v>29</v>
      </c>
      <c r="CE195" s="510">
        <f>CE194</f>
        <v>0</v>
      </c>
      <c r="CF195" s="512">
        <f>CF194</f>
        <v>18.719957351684599</v>
      </c>
      <c r="CG195" s="4"/>
    </row>
    <row r="196" spans="1:85" hidden="1" x14ac:dyDescent="0.2">
      <c r="A196">
        <v>0</v>
      </c>
      <c r="B196" s="59">
        <v>38626</v>
      </c>
      <c r="C196" s="59">
        <f>'Filter-new'!C60</f>
        <v>38626</v>
      </c>
      <c r="D196" s="63"/>
      <c r="E196" s="63"/>
      <c r="F196" s="63"/>
      <c r="G196" s="36">
        <f>SUM(K196,AA196,AO196,Q196,AW196,W196,BC196,AI196,BG196,BQ196,AE196,BU196,CA196)</f>
        <v>402.44303571428571</v>
      </c>
      <c r="H196" s="36">
        <f>SUM(L196,AB196,AP196,R196,AX196,X196,BD196,AJ196,BJ196,BR196,AF196,BV196,CB196,BN196)</f>
        <v>62.816369047619048</v>
      </c>
      <c r="I196" s="36">
        <f>O196+U196+AM196+BA196+BY196+CE196</f>
        <v>162.8235294117647</v>
      </c>
      <c r="J196" s="41"/>
      <c r="K196" s="45">
        <f>'Filter-old'!E182</f>
        <v>214.11633928571428</v>
      </c>
      <c r="L196" s="61">
        <f>'Filter-new'!E182</f>
        <v>-64.717023809523809</v>
      </c>
      <c r="M196" s="62">
        <f>'price-old'!E61</f>
        <v>33.002062177658082</v>
      </c>
      <c r="N196" s="62">
        <f>'price-new'!E61</f>
        <v>27.85</v>
      </c>
      <c r="O196" s="429">
        <f>'Filter-new'!E671</f>
        <v>162.8235294117647</v>
      </c>
      <c r="P196" s="62">
        <f>VLOOKUP(B196,[1]Offpeak_Forward!$A$1:$AG$231,13,FALSE)</f>
        <v>15.900784492492701</v>
      </c>
      <c r="Q196" s="45">
        <f>'Filter-old'!H182</f>
        <v>50</v>
      </c>
      <c r="R196" s="61">
        <f>'Filter-new'!H182</f>
        <v>-50</v>
      </c>
      <c r="S196" s="62">
        <f>'price-old'!H61</f>
        <v>32.093929290771484</v>
      </c>
      <c r="T196" s="62">
        <f>'price-new'!H61</f>
        <v>26.6</v>
      </c>
      <c r="U196" s="445">
        <f>'Filter-new'!H671</f>
        <v>0</v>
      </c>
      <c r="V196" s="62">
        <f>VLOOKUP(B196,[1]Offpeak_Forward!$A$1:$AG$231,14,FALSE)</f>
        <v>15.852745056152299</v>
      </c>
      <c r="W196" s="45">
        <f>'Filter-old'!J182</f>
        <v>0</v>
      </c>
      <c r="X196" s="61">
        <f>'Filter-new'!J182</f>
        <v>0</v>
      </c>
      <c r="Y196" s="62">
        <f>'price-old'!J61</f>
        <v>39.404998779296875</v>
      </c>
      <c r="Z196" s="62">
        <f>'price-new'!J61</f>
        <v>27.85</v>
      </c>
      <c r="AA196" s="45">
        <f>'Filter-old'!F182</f>
        <v>0</v>
      </c>
      <c r="AB196" s="61">
        <f>'Filter-new'!F182</f>
        <v>0</v>
      </c>
      <c r="AC196" s="62">
        <f>'price-old'!F61</f>
        <v>33.002062177658082</v>
      </c>
      <c r="AD196" s="62">
        <f>'price-new'!F61</f>
        <v>27.85</v>
      </c>
      <c r="AE196" s="45">
        <f>'Filter-old'!P182</f>
        <v>0</v>
      </c>
      <c r="AF196" s="61">
        <f>'Filter-new'!P182</f>
        <v>0</v>
      </c>
      <c r="AG196" s="62">
        <f>'price-old'!O61</f>
        <v>32.753934478759767</v>
      </c>
      <c r="AH196" s="62">
        <f>'price-new'!P61</f>
        <v>29.19</v>
      </c>
      <c r="AI196" s="45">
        <f>'Filter-old'!L182</f>
        <v>0</v>
      </c>
      <c r="AJ196" s="61">
        <f>'Filter-new'!L182</f>
        <v>0</v>
      </c>
      <c r="AK196" s="62">
        <f>'price-old'!L61</f>
        <v>53.54</v>
      </c>
      <c r="AL196" s="62">
        <f>'price-new'!L61</f>
        <v>28.81</v>
      </c>
      <c r="AM196" s="62">
        <f>'Filter-new'!L671</f>
        <v>0</v>
      </c>
      <c r="AN196" s="62">
        <f>VLOOKUP(B196,[1]Offpeak_Forward!$A$1:$AG$231,18,FALSE)</f>
        <v>19.713529586791999</v>
      </c>
      <c r="AO196" s="45">
        <f>'Filter-old'!G182</f>
        <v>0</v>
      </c>
      <c r="AP196" s="61">
        <f>'Filter-new'!G182</f>
        <v>0</v>
      </c>
      <c r="AQ196" s="62">
        <f>'price-old'!G61</f>
        <v>30.300003051757812</v>
      </c>
      <c r="AR196" s="62">
        <f>'price-new'!G61</f>
        <v>28.28</v>
      </c>
      <c r="AS196" s="45"/>
      <c r="AT196" s="61">
        <f>AX196+BD196+BJ196+BR196+BV196+CB196+BN196</f>
        <v>177.53339285714287</v>
      </c>
      <c r="AU196" s="62"/>
      <c r="AV196" s="62">
        <f>BA196+BY196+CE196</f>
        <v>0</v>
      </c>
      <c r="AW196" s="45">
        <f>'Filter-old'!I182</f>
        <v>-75</v>
      </c>
      <c r="AX196" s="61">
        <f>'Filter-new'!I182</f>
        <v>25</v>
      </c>
      <c r="AY196" s="62">
        <f>'price-old'!I61</f>
        <v>32.378932952880859</v>
      </c>
      <c r="AZ196" s="62">
        <f>'price-new'!I61</f>
        <v>27.35</v>
      </c>
      <c r="BA196" s="62">
        <f>'Filter-new'!I671</f>
        <v>0</v>
      </c>
      <c r="BB196" s="62">
        <f>VLOOKUP(B196,[1]Offpeak_Forward!$A$1:$AG$231,15,FALSE)</f>
        <v>16.600980758666999</v>
      </c>
      <c r="BC196" s="45">
        <f>'Filter-old'!K182</f>
        <v>0</v>
      </c>
      <c r="BD196" s="61">
        <f>'Filter-new'!K182</f>
        <v>0</v>
      </c>
      <c r="BE196" s="62">
        <f>'price-old'!K61</f>
        <v>38.6</v>
      </c>
      <c r="BF196" s="62">
        <f>'price-new'!K61</f>
        <v>31.75</v>
      </c>
      <c r="BG196" s="45">
        <f>'Filter-old'!M182</f>
        <v>0</v>
      </c>
      <c r="BH196" s="61"/>
      <c r="BI196" s="62">
        <f>VLOOKUP(B196,[1]Offpeak_Forward!$A$1:$AG$231,2,FALSE)</f>
        <v>24.8833332061768</v>
      </c>
      <c r="BJ196" s="61">
        <f>'Filter-new'!M182</f>
        <v>0</v>
      </c>
      <c r="BK196" s="62">
        <f>'price-old'!M61</f>
        <v>32.75</v>
      </c>
      <c r="BL196" s="62">
        <f>'price-new'!M61</f>
        <v>29.75</v>
      </c>
      <c r="BM196" s="62"/>
      <c r="BN196" s="406">
        <f>'Filter-new'!N182</f>
        <v>0</v>
      </c>
      <c r="BO196" s="62"/>
      <c r="BP196" s="62">
        <f>'price-new'!N61</f>
        <v>37.5</v>
      </c>
      <c r="BQ196" s="45">
        <f>'Filter-old'!O182</f>
        <v>0</v>
      </c>
      <c r="BR196" s="61">
        <f>'Filter-new'!O182</f>
        <v>0</v>
      </c>
      <c r="BS196" s="62">
        <f>'price-old'!N61</f>
        <v>34.848935699462892</v>
      </c>
      <c r="BT196" s="62">
        <f>'price-new'!O61</f>
        <v>29.16</v>
      </c>
      <c r="BU196" s="45">
        <f>'Filter-old'!Q182</f>
        <v>213.32669642857144</v>
      </c>
      <c r="BV196" s="61">
        <f>'Filter-new'!Q182</f>
        <v>102.53339285714286</v>
      </c>
      <c r="BW196" s="62">
        <f>'price-old'!P61</f>
        <v>30.103935241699219</v>
      </c>
      <c r="BX196" s="88">
        <f>'price-new'!Q61</f>
        <v>26.792000000000002</v>
      </c>
      <c r="BY196" s="88">
        <f>'Filter-new'!Q671</f>
        <v>0</v>
      </c>
      <c r="BZ196" s="88">
        <f>VLOOKUP(B196,[1]Offpeak_Forward!$A$1:$AG$231,22,FALSE)</f>
        <v>18.512744903564499</v>
      </c>
      <c r="CA196" s="45">
        <f>'Filter-old'!R182</f>
        <v>0</v>
      </c>
      <c r="CB196" s="61">
        <f>'Filter-new'!R182</f>
        <v>50</v>
      </c>
      <c r="CC196" s="61">
        <f>'price-old'!Q61</f>
        <v>32.75</v>
      </c>
      <c r="CD196" s="89">
        <f>'price-new'!R61</f>
        <v>29</v>
      </c>
      <c r="CE196" s="87">
        <f>'Filter-new'!R671</f>
        <v>0</v>
      </c>
      <c r="CF196" s="87">
        <f>VLOOKUP(B196,[1]Offpeak_Forward!$A$1:$AG$231,6,FALSE)</f>
        <v>19.881959915161101</v>
      </c>
      <c r="CG196" s="4"/>
    </row>
    <row r="197" spans="1:85" hidden="1" x14ac:dyDescent="0.2">
      <c r="A197">
        <v>0</v>
      </c>
      <c r="B197" s="59">
        <v>38657</v>
      </c>
      <c r="C197" s="59">
        <f>'Filter-new'!C61</f>
        <v>38657</v>
      </c>
      <c r="D197" s="63"/>
      <c r="E197" s="63"/>
      <c r="F197" s="63"/>
      <c r="G197" s="36">
        <f>SUM(K197,AA197,AO197,Q197,AW197,W197,BC197,AI197,BG197,BQ197,AE197,BU197,CA197)</f>
        <v>400.20056547619049</v>
      </c>
      <c r="H197" s="36">
        <f>SUM(L197,AB197,AP197,R197,AX197,X197,BD197,AJ197,BJ197,BR197,AF197,BV197,CB197,BN196)</f>
        <v>62.636071428571441</v>
      </c>
      <c r="I197" s="36">
        <f>O197+U197+AM197+BA197+BY197+CE197</f>
        <v>183.8125</v>
      </c>
      <c r="J197" s="41"/>
      <c r="K197" s="45">
        <f>'Filter-old'!E183</f>
        <v>212.99306547619048</v>
      </c>
      <c r="L197" s="61">
        <f>'Filter-new'!E183</f>
        <v>-64.408363095238087</v>
      </c>
      <c r="M197" s="62">
        <f>'price-old'!E62</f>
        <v>33.102060651779176</v>
      </c>
      <c r="N197" s="62">
        <f>'price-new'!E62</f>
        <v>28.96</v>
      </c>
      <c r="O197" s="429">
        <f>'Filter-new'!E672</f>
        <v>183.8125</v>
      </c>
      <c r="P197" s="62">
        <f>VLOOKUP(B197,[1]Offpeak_Forward!$A$1:$AG$231,13,FALSE)</f>
        <v>16.752500534057599</v>
      </c>
      <c r="Q197" s="45">
        <f>'Filter-old'!H183</f>
        <v>50</v>
      </c>
      <c r="R197" s="61">
        <f>'Filter-new'!H183</f>
        <v>-50</v>
      </c>
      <c r="S197" s="62">
        <f>'price-old'!H62</f>
        <v>35.593929290771484</v>
      </c>
      <c r="T197" s="62">
        <f>'price-new'!H62</f>
        <v>27.71</v>
      </c>
      <c r="U197" s="445">
        <f>'Filter-new'!H672</f>
        <v>0</v>
      </c>
      <c r="V197" s="62">
        <f>VLOOKUP(B197,[1]Offpeak_Forward!$A$1:$AG$231,14,FALSE)</f>
        <v>16.340415954589801</v>
      </c>
      <c r="W197" s="45">
        <f>'Filter-old'!J183</f>
        <v>0</v>
      </c>
      <c r="X197" s="61">
        <f>'Filter-new'!J183</f>
        <v>0</v>
      </c>
      <c r="Y197" s="62">
        <f>'price-old'!J62</f>
        <v>40.201915740966797</v>
      </c>
      <c r="Z197" s="62">
        <f>'price-new'!J62</f>
        <v>28.96</v>
      </c>
      <c r="AA197" s="45">
        <f>'Filter-old'!F183</f>
        <v>0</v>
      </c>
      <c r="AB197" s="61">
        <f>'Filter-new'!F183</f>
        <v>0</v>
      </c>
      <c r="AC197" s="62">
        <f>'price-old'!F62</f>
        <v>33.102060651779176</v>
      </c>
      <c r="AD197" s="62">
        <f>'price-new'!F62</f>
        <v>28.96</v>
      </c>
      <c r="AE197" s="45">
        <f>'Filter-old'!P183</f>
        <v>0</v>
      </c>
      <c r="AF197" s="61">
        <f>'Filter-new'!P183</f>
        <v>0</v>
      </c>
      <c r="AG197" s="62">
        <f>'price-old'!O62</f>
        <v>32.853932952880861</v>
      </c>
      <c r="AH197" s="62">
        <f>'price-new'!P62</f>
        <v>33.700000000000003</v>
      </c>
      <c r="AI197" s="45">
        <f>'Filter-old'!L183</f>
        <v>0</v>
      </c>
      <c r="AJ197" s="61">
        <f>'Filter-new'!L183</f>
        <v>0</v>
      </c>
      <c r="AK197" s="62">
        <f>'price-old'!L62</f>
        <v>53.54</v>
      </c>
      <c r="AL197" s="62">
        <f>'price-new'!L62</f>
        <v>29.91</v>
      </c>
      <c r="AM197" s="62">
        <f>'Filter-new'!L672</f>
        <v>0</v>
      </c>
      <c r="AN197" s="62">
        <f>VLOOKUP(B197,[1]Offpeak_Forward!$A$1:$AG$231,18,FALSE)</f>
        <v>20.658750534057599</v>
      </c>
      <c r="AO197" s="45">
        <f>'Filter-old'!G183</f>
        <v>0</v>
      </c>
      <c r="AP197" s="61">
        <f>'Filter-new'!G183</f>
        <v>0</v>
      </c>
      <c r="AQ197" s="62">
        <f>'price-old'!G62</f>
        <v>29.999996185302734</v>
      </c>
      <c r="AR197" s="62">
        <f>'price-new'!G62</f>
        <v>27.28</v>
      </c>
      <c r="AS197" s="45"/>
      <c r="AT197" s="61">
        <f>AX197+BD197+BJ197+BR197+BV197+CB197+BN197</f>
        <v>177.04443452380951</v>
      </c>
      <c r="AU197" s="62"/>
      <c r="AV197" s="62">
        <f>BA197+BY197+CE197</f>
        <v>0</v>
      </c>
      <c r="AW197" s="45">
        <f>'Filter-old'!I183</f>
        <v>-75</v>
      </c>
      <c r="AX197" s="61">
        <f>'Filter-new'!I183</f>
        <v>25</v>
      </c>
      <c r="AY197" s="62">
        <f>'price-old'!I62</f>
        <v>32.353931427001953</v>
      </c>
      <c r="AZ197" s="62">
        <f>'price-new'!I62</f>
        <v>28.46</v>
      </c>
      <c r="BA197" s="62">
        <f>'Filter-new'!I672</f>
        <v>0</v>
      </c>
      <c r="BB197" s="62">
        <f>VLOOKUP(B197,[1]Offpeak_Forward!$A$1:$AG$231,15,FALSE)</f>
        <v>16.952083587646499</v>
      </c>
      <c r="BC197" s="45">
        <f>'Filter-old'!K183</f>
        <v>0</v>
      </c>
      <c r="BD197" s="61">
        <f>'Filter-new'!K183</f>
        <v>0</v>
      </c>
      <c r="BE197" s="62">
        <f>'price-old'!K62</f>
        <v>38.6</v>
      </c>
      <c r="BF197" s="62">
        <f>'price-new'!K62</f>
        <v>31.75</v>
      </c>
      <c r="BG197" s="45">
        <f>'Filter-old'!M183</f>
        <v>0</v>
      </c>
      <c r="BH197" s="61"/>
      <c r="BI197" s="62">
        <f>VLOOKUP(B197,[1]Offpeak_Forward!$A$1:$AG$231,2,FALSE)</f>
        <v>25.8125</v>
      </c>
      <c r="BJ197" s="61">
        <f>'Filter-new'!M183</f>
        <v>0</v>
      </c>
      <c r="BK197" s="62">
        <f>'price-old'!M62</f>
        <v>32.75</v>
      </c>
      <c r="BL197" s="62">
        <f>'price-new'!M62</f>
        <v>29.75</v>
      </c>
      <c r="BM197" s="62"/>
      <c r="BN197" s="406">
        <f>'Filter-new'!N183</f>
        <v>0</v>
      </c>
      <c r="BO197" s="62"/>
      <c r="BP197" s="62">
        <f>'price-new'!N62</f>
        <v>37.5</v>
      </c>
      <c r="BQ197" s="45">
        <f>'Filter-old'!O183</f>
        <v>0</v>
      </c>
      <c r="BR197" s="61">
        <f>'Filter-new'!O183</f>
        <v>0</v>
      </c>
      <c r="BS197" s="62">
        <f>'price-old'!N62</f>
        <v>34.848935699462892</v>
      </c>
      <c r="BT197" s="62">
        <f>'price-new'!O62</f>
        <v>29.16</v>
      </c>
      <c r="BU197" s="45">
        <f>'Filter-old'!Q183</f>
        <v>212.20750000000001</v>
      </c>
      <c r="BV197" s="61">
        <f>'Filter-new'!Q183</f>
        <v>102.04443452380953</v>
      </c>
      <c r="BW197" s="62">
        <f>'price-old'!P62</f>
        <v>30.203933715820313</v>
      </c>
      <c r="BX197" s="88">
        <f>'price-new'!Q62</f>
        <v>26.891999999999999</v>
      </c>
      <c r="BY197" s="88">
        <f>'Filter-new'!Q672</f>
        <v>0</v>
      </c>
      <c r="BZ197" s="88">
        <f>VLOOKUP(B197,[1]Offpeak_Forward!$A$1:$AG$231,22,FALSE)</f>
        <v>19.035415649414102</v>
      </c>
      <c r="CA197" s="45">
        <f>'Filter-old'!R183</f>
        <v>0</v>
      </c>
      <c r="CB197" s="61">
        <f>'Filter-new'!R183</f>
        <v>50</v>
      </c>
      <c r="CC197" s="61">
        <f>'price-old'!Q62</f>
        <v>32.75</v>
      </c>
      <c r="CD197" s="89">
        <f>'price-new'!R62</f>
        <v>29</v>
      </c>
      <c r="CE197" s="87">
        <f>'Filter-new'!R672</f>
        <v>0</v>
      </c>
      <c r="CF197" s="87">
        <f>VLOOKUP(B197,[1]Offpeak_Forward!$A$1:$AG$231,6,FALSE)</f>
        <v>20.3746662139893</v>
      </c>
      <c r="CG197" s="4"/>
    </row>
    <row r="198" spans="1:85" hidden="1" x14ac:dyDescent="0.2">
      <c r="A198">
        <v>0</v>
      </c>
      <c r="B198" s="59">
        <v>38687</v>
      </c>
      <c r="C198" s="59">
        <f>'Filter-new'!C62</f>
        <v>38687</v>
      </c>
      <c r="D198" s="63"/>
      <c r="E198" s="63"/>
      <c r="F198" s="63"/>
      <c r="G198" s="36">
        <f>SUM(K198,AA198,AO198,Q198,AW198,W198,BC198,AI198,BG198,BQ198,AE198,BU198,CA198)</f>
        <v>397.88392857142856</v>
      </c>
      <c r="H198" s="36">
        <f>SUM(L198,AB198,AP198,R198,AX198,X198,BD198,AJ198,BJ198,BR198,AF198,BV198,CB198,BN196)</f>
        <v>62.456517857142856</v>
      </c>
      <c r="I198" s="36">
        <f>O198+U198+AM198+BA198+BY198+CE198</f>
        <v>-2</v>
      </c>
      <c r="J198" s="41"/>
      <c r="K198" s="45">
        <f>'Filter-old'!E184</f>
        <v>211.83220238095237</v>
      </c>
      <c r="L198" s="61">
        <f>'Filter-new'!E184</f>
        <v>-64.099464285714276</v>
      </c>
      <c r="M198" s="62">
        <f>'price-old'!E63</f>
        <v>33.20205912590027</v>
      </c>
      <c r="N198" s="62">
        <f>'price-new'!E63</f>
        <v>29.48</v>
      </c>
      <c r="O198" s="429">
        <f>'Filter-new'!E673</f>
        <v>73</v>
      </c>
      <c r="P198" s="62">
        <f>VLOOKUP(B198,[1]Offpeak_Forward!$A$1:$AG$231,13,FALSE)</f>
        <v>20.621372222900401</v>
      </c>
      <c r="Q198" s="45">
        <f>'Filter-old'!H184</f>
        <v>50</v>
      </c>
      <c r="R198" s="61">
        <f>'Filter-new'!H184</f>
        <v>-50</v>
      </c>
      <c r="S198" s="62">
        <f>'price-old'!H63</f>
        <v>36.093929290771484</v>
      </c>
      <c r="T198" s="62">
        <f>'price-new'!H63</f>
        <v>28.23</v>
      </c>
      <c r="U198" s="445">
        <f>'Filter-new'!H673</f>
        <v>-75</v>
      </c>
      <c r="V198" s="62">
        <f>VLOOKUP(B198,[1]Offpeak_Forward!$A$1:$AG$231,14,FALSE)</f>
        <v>20.259607315063501</v>
      </c>
      <c r="W198" s="45">
        <f>'Filter-old'!J184</f>
        <v>0</v>
      </c>
      <c r="X198" s="61">
        <f>'Filter-new'!J184</f>
        <v>0</v>
      </c>
      <c r="Y198" s="62">
        <f>'price-old'!J63</f>
        <v>40.957302093505859</v>
      </c>
      <c r="Z198" s="62">
        <f>'price-new'!J63</f>
        <v>29.48</v>
      </c>
      <c r="AA198" s="45">
        <f>'Filter-old'!F184</f>
        <v>0</v>
      </c>
      <c r="AB198" s="61">
        <f>'Filter-new'!F184</f>
        <v>0</v>
      </c>
      <c r="AC198" s="62">
        <f>'price-old'!F63</f>
        <v>33.20205912590027</v>
      </c>
      <c r="AD198" s="62">
        <f>'price-new'!F63</f>
        <v>29.48</v>
      </c>
      <c r="AE198" s="45">
        <f>'Filter-old'!P184</f>
        <v>0</v>
      </c>
      <c r="AF198" s="61">
        <f>'Filter-new'!P184</f>
        <v>0</v>
      </c>
      <c r="AG198" s="62">
        <f>'price-old'!O63</f>
        <v>32.953931427001955</v>
      </c>
      <c r="AH198" s="62">
        <f>'price-new'!P63</f>
        <v>34.619999999999997</v>
      </c>
      <c r="AI198" s="45">
        <f>'Filter-old'!L184</f>
        <v>0</v>
      </c>
      <c r="AJ198" s="61">
        <f>'Filter-new'!L184</f>
        <v>0</v>
      </c>
      <c r="AK198" s="62">
        <f>'price-old'!L63</f>
        <v>53.54</v>
      </c>
      <c r="AL198" s="62">
        <f>'price-new'!L63</f>
        <v>30.43</v>
      </c>
      <c r="AM198" s="62">
        <f>'Filter-new'!L673</f>
        <v>0</v>
      </c>
      <c r="AN198" s="62">
        <f>VLOOKUP(B198,[1]Offpeak_Forward!$A$1:$AG$231,18,FALSE)</f>
        <v>24.434118270873999</v>
      </c>
      <c r="AO198" s="45">
        <f>'Filter-old'!G184</f>
        <v>0</v>
      </c>
      <c r="AP198" s="61">
        <f>'Filter-new'!G184</f>
        <v>0</v>
      </c>
      <c r="AQ198" s="62">
        <f>'price-old'!G63</f>
        <v>30.999996185302734</v>
      </c>
      <c r="AR198" s="62">
        <f>'price-new'!G63</f>
        <v>28.18</v>
      </c>
      <c r="AS198" s="45"/>
      <c r="AT198" s="61">
        <f>AX198+BD198+BJ198+BR198+BV198+CB198+BN198</f>
        <v>176.55598214285715</v>
      </c>
      <c r="AU198" s="62"/>
      <c r="AV198" s="62">
        <f>BA198+BY198+CE198</f>
        <v>0</v>
      </c>
      <c r="AW198" s="45">
        <f>'Filter-old'!I184</f>
        <v>-75</v>
      </c>
      <c r="AX198" s="61">
        <f>'Filter-new'!I184</f>
        <v>25</v>
      </c>
      <c r="AY198" s="62">
        <f>'price-old'!I63</f>
        <v>32.328929901123047</v>
      </c>
      <c r="AZ198" s="62">
        <f>'price-new'!I63</f>
        <v>28.98</v>
      </c>
      <c r="BA198" s="62">
        <f>'Filter-new'!I673</f>
        <v>0</v>
      </c>
      <c r="BB198" s="62">
        <f>VLOOKUP(B198,[1]Offpeak_Forward!$A$1:$AG$231,15,FALSE)</f>
        <v>15.9147052764893</v>
      </c>
      <c r="BC198" s="45">
        <f>'Filter-old'!K184</f>
        <v>0</v>
      </c>
      <c r="BD198" s="61">
        <f>'Filter-new'!K184</f>
        <v>0</v>
      </c>
      <c r="BE198" s="62">
        <f>'price-old'!K63</f>
        <v>38.6</v>
      </c>
      <c r="BF198" s="62">
        <f>'price-new'!K63</f>
        <v>31.75</v>
      </c>
      <c r="BG198" s="45">
        <f>'Filter-old'!M184</f>
        <v>0</v>
      </c>
      <c r="BH198" s="61"/>
      <c r="BI198" s="62">
        <f>VLOOKUP(B198,[1]Offpeak_Forward!$A$1:$AG$231,2,FALSE)</f>
        <v>25.198040008544901</v>
      </c>
      <c r="BJ198" s="61">
        <f>'Filter-new'!M184</f>
        <v>0</v>
      </c>
      <c r="BK198" s="62">
        <f>'price-old'!M63</f>
        <v>32.75</v>
      </c>
      <c r="BL198" s="62">
        <f>'price-new'!M63</f>
        <v>29.75</v>
      </c>
      <c r="BM198" s="62"/>
      <c r="BN198" s="406">
        <f>'Filter-new'!N184</f>
        <v>0</v>
      </c>
      <c r="BO198" s="62"/>
      <c r="BP198" s="62">
        <f>'price-new'!N63</f>
        <v>37.5</v>
      </c>
      <c r="BQ198" s="45">
        <f>'Filter-old'!O184</f>
        <v>0</v>
      </c>
      <c r="BR198" s="61">
        <f>'Filter-new'!O184</f>
        <v>0</v>
      </c>
      <c r="BS198" s="62">
        <f>'price-old'!N63</f>
        <v>34.848935699462892</v>
      </c>
      <c r="BT198" s="62">
        <f>'price-new'!O63</f>
        <v>29.16</v>
      </c>
      <c r="BU198" s="45">
        <f>'Filter-old'!Q184</f>
        <v>211.05172619047622</v>
      </c>
      <c r="BV198" s="61">
        <f>'Filter-new'!Q184</f>
        <v>101.55598214285713</v>
      </c>
      <c r="BW198" s="62">
        <f>'price-old'!P63</f>
        <v>30.303932189941406</v>
      </c>
      <c r="BX198" s="88">
        <f>'price-new'!Q63</f>
        <v>26.992000000000001</v>
      </c>
      <c r="BY198" s="88">
        <f>'Filter-new'!Q673</f>
        <v>0</v>
      </c>
      <c r="BZ198" s="88">
        <f>VLOOKUP(B198,[1]Offpeak_Forward!$A$1:$AG$231,22,FALSE)</f>
        <v>18.728431701660199</v>
      </c>
      <c r="CA198" s="45">
        <f>'Filter-old'!R184</f>
        <v>0</v>
      </c>
      <c r="CB198" s="61">
        <f>'Filter-new'!R184</f>
        <v>50</v>
      </c>
      <c r="CC198" s="61">
        <f>'price-old'!Q63</f>
        <v>32.75</v>
      </c>
      <c r="CD198" s="89">
        <f>'price-new'!R63</f>
        <v>29</v>
      </c>
      <c r="CE198" s="87">
        <f>'Filter-new'!R673</f>
        <v>0</v>
      </c>
      <c r="CF198" s="87">
        <f>VLOOKUP(B198,[1]Offpeak_Forward!$A$1:$AG$231,6,FALSE)</f>
        <v>20.9707851409912</v>
      </c>
      <c r="CG198" s="4"/>
    </row>
    <row r="199" spans="1:85" x14ac:dyDescent="0.2">
      <c r="A199">
        <v>1</v>
      </c>
      <c r="B199" s="501" t="s">
        <v>158</v>
      </c>
      <c r="C199" s="63"/>
      <c r="D199" s="63"/>
      <c r="E199" s="63"/>
      <c r="F199" s="63"/>
      <c r="G199" s="36"/>
      <c r="H199" s="485">
        <f>AVERAGE(H196:H198)</f>
        <v>62.636319444444446</v>
      </c>
      <c r="I199" s="485">
        <f>AVERAGE(I196:I198)</f>
        <v>114.87867647058823</v>
      </c>
      <c r="J199" s="41"/>
      <c r="K199" s="45"/>
      <c r="L199" s="485">
        <f>AVERAGE(L196:L198)</f>
        <v>-64.408283730158729</v>
      </c>
      <c r="M199" s="62"/>
      <c r="N199" s="475">
        <f>AVERAGE(N196:N198)</f>
        <v>28.763333333333335</v>
      </c>
      <c r="O199" s="485">
        <f>AVERAGE(O196:O198)</f>
        <v>139.87867647058823</v>
      </c>
      <c r="P199" s="475">
        <f>AVERAGE(P196:P198)</f>
        <v>17.758219083150234</v>
      </c>
      <c r="Q199" s="45"/>
      <c r="R199" s="485">
        <f>AVERAGE(R196:R198)</f>
        <v>-50</v>
      </c>
      <c r="S199" s="62"/>
      <c r="T199" s="482">
        <f>AVERAGE(T196:T198)</f>
        <v>27.513333333333335</v>
      </c>
      <c r="U199" s="485">
        <f>AVERAGE(U196:U198)</f>
        <v>-25</v>
      </c>
      <c r="V199" s="482">
        <f>AVERAGE(V196:V198)</f>
        <v>17.484256108601869</v>
      </c>
      <c r="W199" s="45"/>
      <c r="X199" s="61"/>
      <c r="Y199" s="62"/>
      <c r="Z199" s="62"/>
      <c r="AA199" s="45"/>
      <c r="AB199" s="485">
        <f>AVERAGE(AB196:AB198)</f>
        <v>0</v>
      </c>
      <c r="AC199" s="62"/>
      <c r="AD199" s="482">
        <f>AVERAGE(AD196:AD198)</f>
        <v>28.763333333333335</v>
      </c>
      <c r="AE199" s="45"/>
      <c r="AF199" s="485">
        <f>AVERAGE(AF196:AF198)</f>
        <v>0</v>
      </c>
      <c r="AG199" s="62"/>
      <c r="AH199" s="482">
        <f>AVERAGE(AH196:AH198)</f>
        <v>32.50333333333333</v>
      </c>
      <c r="AI199" s="45"/>
      <c r="AJ199" s="485">
        <f>AVERAGE(AJ196:AJ198)</f>
        <v>0</v>
      </c>
      <c r="AK199" s="62"/>
      <c r="AL199" s="482">
        <f>AVERAGE(AL196:AL198)</f>
        <v>29.716666666666669</v>
      </c>
      <c r="AM199" s="485">
        <f>AVERAGE(AM196:AM198)</f>
        <v>0</v>
      </c>
      <c r="AN199" s="482">
        <f>AVERAGE(AN196:AN198)</f>
        <v>21.602132797241197</v>
      </c>
      <c r="AO199" s="45"/>
      <c r="AP199" s="61"/>
      <c r="AQ199" s="62"/>
      <c r="AR199" s="62"/>
      <c r="AS199" s="45"/>
      <c r="AT199" s="485">
        <f>AVERAGE(AT196:AT198)</f>
        <v>177.04460317460317</v>
      </c>
      <c r="AU199" s="62"/>
      <c r="AV199" s="485">
        <f>AVERAGE(AV196:AV198)</f>
        <v>0</v>
      </c>
      <c r="AW199" s="45"/>
      <c r="AX199" s="485">
        <f>AVERAGE(AX196:AX198)</f>
        <v>25</v>
      </c>
      <c r="AY199" s="62"/>
      <c r="AZ199" s="482">
        <f>AVERAGE(AZ196:AZ198)</f>
        <v>28.263333333333335</v>
      </c>
      <c r="BA199" s="485">
        <f>AVERAGE(BA196:BA198)</f>
        <v>0</v>
      </c>
      <c r="BB199" s="482">
        <f>AVERAGE(BB196:BB198)</f>
        <v>16.489256540934267</v>
      </c>
      <c r="BC199" s="45"/>
      <c r="BD199" s="485">
        <f>AVERAGE(BD196:BD198)</f>
        <v>0</v>
      </c>
      <c r="BE199" s="62"/>
      <c r="BF199" s="482">
        <f>AVERAGE(BF196:BF198)</f>
        <v>31.75</v>
      </c>
      <c r="BG199" s="45"/>
      <c r="BH199" s="485">
        <f>AVERAGE('Filter-new'!K671:K673)</f>
        <v>0</v>
      </c>
      <c r="BI199" s="482">
        <f>AVERAGE(BI196:BI198)</f>
        <v>25.297957738240569</v>
      </c>
      <c r="BJ199" s="485">
        <f>AVERAGE(BJ196:BJ198)</f>
        <v>0</v>
      </c>
      <c r="BK199" s="62"/>
      <c r="BL199" s="482">
        <f>AVERAGE(BL196:BL198)</f>
        <v>29.75</v>
      </c>
      <c r="BM199" s="62"/>
      <c r="BN199" s="485">
        <f>AVERAGE(BN196:BN198)</f>
        <v>0</v>
      </c>
      <c r="BO199" s="62"/>
      <c r="BP199" s="482">
        <f>AVERAGE(BP196:BP198)</f>
        <v>37.5</v>
      </c>
      <c r="BQ199" s="45"/>
      <c r="BR199" s="485">
        <f>AVERAGE(BR196:BR198)</f>
        <v>0</v>
      </c>
      <c r="BS199" s="62"/>
      <c r="BT199" s="482">
        <f>AVERAGE(BT196:BT198)</f>
        <v>29.16</v>
      </c>
      <c r="BU199" s="45"/>
      <c r="BV199" s="485">
        <f>AVERAGE(BV196:BV198)</f>
        <v>102.04460317460318</v>
      </c>
      <c r="BW199" s="62"/>
      <c r="BX199" s="482">
        <f>AVERAGE(BX196:BX198)</f>
        <v>26.891999999999999</v>
      </c>
      <c r="BY199" s="485">
        <f>AVERAGE(BY196:BY198)</f>
        <v>0</v>
      </c>
      <c r="BZ199" s="482">
        <f>AVERAGE(BZ196:BZ198)</f>
        <v>18.758864084879601</v>
      </c>
      <c r="CA199" s="45"/>
      <c r="CB199" s="485">
        <f>AVERAGE(CB196:CB198)</f>
        <v>50</v>
      </c>
      <c r="CC199" s="61"/>
      <c r="CD199" s="482">
        <f>AVERAGE(CD196:CD198)</f>
        <v>29</v>
      </c>
      <c r="CE199" s="485">
        <f>AVERAGE(CE196:CE198)</f>
        <v>0</v>
      </c>
      <c r="CF199" s="481">
        <f>AVERAGE(CF196:CF198)</f>
        <v>20.409137090047199</v>
      </c>
      <c r="CG199" s="4"/>
    </row>
    <row r="200" spans="1:85" hidden="1" x14ac:dyDescent="0.2">
      <c r="A200">
        <v>0</v>
      </c>
      <c r="B200" s="59">
        <v>38718</v>
      </c>
      <c r="C200" s="59">
        <f>'Filter-new'!C63</f>
        <v>38718</v>
      </c>
      <c r="D200" s="63"/>
      <c r="E200" s="63"/>
      <c r="F200" s="63"/>
      <c r="G200" s="36">
        <f t="shared" ref="G200:G231" si="19">SUM(K200,AA200,AO200,Q200,AW200,W200,BC200,AI200,BG200,BQ200,AE200,BU200,CA200)</f>
        <v>-32.921369047619038</v>
      </c>
      <c r="H200" s="36">
        <f t="shared" ref="H200:H231" si="20">SUM(L200,AB200,AP200,R200,AX200,X200,BD200,AJ200,BJ200,BR200,AF200,BV200,CB200)</f>
        <v>-186.04157738095239</v>
      </c>
      <c r="I200" s="36">
        <f t="shared" ref="I200:I231" si="21">O200+U200+AM200+BA200+BY200+CE200</f>
        <v>0</v>
      </c>
      <c r="J200" s="41"/>
      <c r="K200" s="45">
        <f>'Filter-old'!E185</f>
        <v>-20.835625</v>
      </c>
      <c r="L200" s="61">
        <f>'Filter-new'!E185</f>
        <v>19.055624999999999</v>
      </c>
      <c r="M200" s="62">
        <f>'price-old'!E64</f>
        <v>39.531435285295757</v>
      </c>
      <c r="N200" s="62">
        <f>'price-new'!E64</f>
        <v>30.81</v>
      </c>
      <c r="O200" s="429">
        <f>'Filter-new'!E674</f>
        <v>62.980392156862742</v>
      </c>
      <c r="P200" s="62">
        <f>VLOOKUP(B200,[1]Offpeak_Forward!$A$1:$AG$231,13,FALSE)</f>
        <v>23.881959915161101</v>
      </c>
      <c r="Q200" s="45">
        <f>'Filter-old'!H185</f>
        <v>-82</v>
      </c>
      <c r="R200" s="61">
        <f>'Filter-new'!H185</f>
        <v>-282</v>
      </c>
      <c r="S200" s="62">
        <f>'price-old'!H64</f>
        <v>40.230865478515625</v>
      </c>
      <c r="T200" s="62">
        <f>'price-new'!H64</f>
        <v>29.26</v>
      </c>
      <c r="U200" s="445">
        <f>'Filter-new'!H674</f>
        <v>-62.980392156862742</v>
      </c>
      <c r="V200" s="62">
        <f>VLOOKUP(B200,[1]Offpeak_Forward!$A$1:$AG$231,14,FALSE)</f>
        <v>23.538627624511701</v>
      </c>
      <c r="W200" s="45">
        <f>'Filter-old'!J185</f>
        <v>0</v>
      </c>
      <c r="X200" s="61">
        <f>'Filter-new'!J185</f>
        <v>0</v>
      </c>
      <c r="Y200" s="62">
        <f>'price-old'!J64</f>
        <v>49.298839569091797</v>
      </c>
      <c r="Z200" s="62">
        <f>'price-new'!J64</f>
        <v>31.31</v>
      </c>
      <c r="AA200" s="45">
        <f>'Filter-old'!F185</f>
        <v>0</v>
      </c>
      <c r="AB200" s="61">
        <f>'Filter-new'!F185</f>
        <v>0</v>
      </c>
      <c r="AC200" s="62">
        <f>'price-old'!F64</f>
        <v>39.531435285295757</v>
      </c>
      <c r="AD200" s="62">
        <f>'price-new'!F64</f>
        <v>31.31</v>
      </c>
      <c r="AE200" s="45">
        <f>'Filter-old'!P185</f>
        <v>0</v>
      </c>
      <c r="AF200" s="61">
        <f>'Filter-new'!P185</f>
        <v>0</v>
      </c>
      <c r="AG200" s="62">
        <f>'price-old'!O64</f>
        <v>39.032863616943359</v>
      </c>
      <c r="AH200" s="62">
        <f>'price-new'!P64</f>
        <v>33.76</v>
      </c>
      <c r="AI200" s="45">
        <f>'Filter-old'!L185</f>
        <v>0</v>
      </c>
      <c r="AJ200" s="61">
        <f>'Filter-new'!L185</f>
        <v>0</v>
      </c>
      <c r="AK200" s="62">
        <f>'price-old'!L64</f>
        <v>65.55</v>
      </c>
      <c r="AL200" s="62">
        <f>'price-new'!L64</f>
        <v>34</v>
      </c>
      <c r="AM200" s="62">
        <f>'Filter-new'!L674</f>
        <v>0</v>
      </c>
      <c r="AN200" s="62">
        <f>VLOOKUP(B200,[1]Offpeak_Forward!$A$1:$AG$231,18,FALSE)</f>
        <v>27.743333816528299</v>
      </c>
      <c r="AO200" s="45">
        <f>'Filter-old'!G185</f>
        <v>0</v>
      </c>
      <c r="AP200" s="61">
        <f>'Filter-new'!G185</f>
        <v>0</v>
      </c>
      <c r="AQ200" s="62">
        <f>'price-old'!G64</f>
        <v>37.969999694824217</v>
      </c>
      <c r="AR200" s="62">
        <f>'price-new'!G64</f>
        <v>30.22</v>
      </c>
      <c r="AS200" s="45"/>
      <c r="AT200" s="61">
        <f t="shared" ref="AT200:AT231" si="22">AX200+BD200+BJ200+BR200+BV200+CB200+BN200</f>
        <v>76.902797619047604</v>
      </c>
      <c r="AU200" s="62"/>
      <c r="AV200" s="62">
        <f t="shared" ref="AV200:AV231" si="23">BA200+BY200+CE200</f>
        <v>0</v>
      </c>
      <c r="AW200" s="45">
        <f>'Filter-old'!I185</f>
        <v>-25</v>
      </c>
      <c r="AX200" s="61">
        <f>'Filter-new'!I185</f>
        <v>-25</v>
      </c>
      <c r="AY200" s="62">
        <f>'price-old'!I64</f>
        <v>38.532863616943359</v>
      </c>
      <c r="AZ200" s="62">
        <f>'price-new'!I64</f>
        <v>30.31</v>
      </c>
      <c r="BA200" s="62">
        <f>'Filter-new'!I674</f>
        <v>0</v>
      </c>
      <c r="BB200" s="62">
        <f>VLOOKUP(B200,[1]Offpeak_Forward!$A$1:$AG$231,15,FALSE)</f>
        <v>19.651567459106399</v>
      </c>
      <c r="BC200" s="45">
        <f>'Filter-old'!K185</f>
        <v>0</v>
      </c>
      <c r="BD200" s="61">
        <f>'Filter-new'!K185</f>
        <v>0</v>
      </c>
      <c r="BE200" s="62">
        <f>'price-old'!K64</f>
        <v>50.1</v>
      </c>
      <c r="BF200" s="62">
        <f>'price-new'!K64</f>
        <v>42.55</v>
      </c>
      <c r="BG200" s="45">
        <f>'Filter-old'!M185</f>
        <v>0</v>
      </c>
      <c r="BH200" s="61"/>
      <c r="BI200" s="61"/>
      <c r="BJ200" s="61">
        <f>'Filter-new'!M185</f>
        <v>0</v>
      </c>
      <c r="BK200" s="62">
        <f>'price-old'!M64</f>
        <v>38</v>
      </c>
      <c r="BL200" s="62">
        <f>'price-new'!M64</f>
        <v>32.5</v>
      </c>
      <c r="BM200" s="62"/>
      <c r="BN200" s="406">
        <f>'Filter-new'!N185</f>
        <v>0</v>
      </c>
      <c r="BO200" s="62"/>
      <c r="BP200" s="62">
        <f>'price-new'!N64</f>
        <v>42</v>
      </c>
      <c r="BQ200" s="45">
        <f>'Filter-old'!O185</f>
        <v>0</v>
      </c>
      <c r="BR200" s="61">
        <f>'Filter-new'!O185</f>
        <v>0</v>
      </c>
      <c r="BS200" s="62">
        <f>'price-old'!N64</f>
        <v>41.750717163085938</v>
      </c>
      <c r="BT200" s="62">
        <f>'price-new'!O64</f>
        <v>31.62</v>
      </c>
      <c r="BU200" s="45">
        <f>'Filter-old'!Q185</f>
        <v>94.914255952380955</v>
      </c>
      <c r="BV200" s="61">
        <f>'Filter-new'!Q185</f>
        <v>101.9027976190476</v>
      </c>
      <c r="BW200" s="62">
        <f>'price-old'!P64</f>
        <v>39.382862091064453</v>
      </c>
      <c r="BX200" s="88">
        <f>'price-new'!Q64</f>
        <v>28.891999999999999</v>
      </c>
      <c r="BY200" s="88">
        <f>'Filter-new'!Q674</f>
        <v>0</v>
      </c>
      <c r="BZ200" s="88">
        <f>VLOOKUP(B200,[1]Offpeak_Forward!$A$1:$AG$231,22,FALSE)</f>
        <v>20.018037796020501</v>
      </c>
      <c r="CA200" s="45">
        <f>'Filter-old'!R185</f>
        <v>0</v>
      </c>
      <c r="CB200" s="61">
        <f>'Filter-new'!R185</f>
        <v>0</v>
      </c>
      <c r="CC200" s="61">
        <f>'price-old'!Q64</f>
        <v>38</v>
      </c>
      <c r="CD200" s="89">
        <f>'price-new'!R64</f>
        <v>31.75</v>
      </c>
      <c r="CE200" s="87">
        <f>'Filter-new'!R674</f>
        <v>0</v>
      </c>
      <c r="CF200" s="87">
        <f>VLOOKUP(B200,[1]Offpeak_Forward!$A$1:$AG$231,6,FALSE)</f>
        <v>23.2415676116943</v>
      </c>
      <c r="CG200" s="4"/>
    </row>
    <row r="201" spans="1:85" hidden="1" x14ac:dyDescent="0.2">
      <c r="A201">
        <v>0</v>
      </c>
      <c r="B201" s="59">
        <v>38749</v>
      </c>
      <c r="C201" s="59">
        <f>'Filter-new'!C64</f>
        <v>38749</v>
      </c>
      <c r="D201" s="63"/>
      <c r="E201" s="63"/>
      <c r="F201" s="63"/>
      <c r="G201" s="36">
        <f t="shared" si="19"/>
        <v>-33.290062500000005</v>
      </c>
      <c r="H201" s="36">
        <f t="shared" si="20"/>
        <v>-186.56496875000002</v>
      </c>
      <c r="I201" s="36">
        <f t="shared" si="21"/>
        <v>-2.136363636363626</v>
      </c>
      <c r="J201" s="41"/>
      <c r="K201" s="45">
        <f>'Filter-old'!E186</f>
        <v>-20.731906250000002</v>
      </c>
      <c r="L201" s="61">
        <f>'Filter-new'!E186</f>
        <v>18.973156249999999</v>
      </c>
      <c r="M201" s="62">
        <f>'price-old'!E65</f>
        <v>39.181432996477398</v>
      </c>
      <c r="N201" s="62">
        <f>'price-new'!E65</f>
        <v>29.51</v>
      </c>
      <c r="O201" s="429">
        <f>'Filter-new'!E675</f>
        <v>77.977272727272734</v>
      </c>
      <c r="P201" s="62">
        <f>VLOOKUP(B201,[1]Offpeak_Forward!$A$1:$AG$231,13,FALSE)</f>
        <v>21.761817932128899</v>
      </c>
      <c r="Q201" s="45">
        <f>'Filter-old'!H186</f>
        <v>-82</v>
      </c>
      <c r="R201" s="61">
        <f>'Filter-new'!H186</f>
        <v>-282</v>
      </c>
      <c r="S201" s="62">
        <f>'price-old'!H65</f>
        <v>40.882862091064453</v>
      </c>
      <c r="T201" s="62">
        <f>'price-new'!H65</f>
        <v>27.96</v>
      </c>
      <c r="U201" s="445">
        <f>'Filter-new'!H675</f>
        <v>-80.11363636363636</v>
      </c>
      <c r="V201" s="62">
        <f>VLOOKUP(B201,[1]Offpeak_Forward!$A$1:$AG$231,14,FALSE)</f>
        <v>21.486364364623999</v>
      </c>
      <c r="W201" s="45">
        <f>'Filter-old'!J186</f>
        <v>0</v>
      </c>
      <c r="X201" s="61">
        <f>'Filter-new'!J186</f>
        <v>0</v>
      </c>
      <c r="Y201" s="62">
        <f>'price-old'!J65</f>
        <v>47.298839569091797</v>
      </c>
      <c r="Z201" s="62">
        <f>'price-new'!J65</f>
        <v>30.01</v>
      </c>
      <c r="AA201" s="45">
        <f>'Filter-old'!F186</f>
        <v>0</v>
      </c>
      <c r="AB201" s="61">
        <f>'Filter-new'!F186</f>
        <v>0</v>
      </c>
      <c r="AC201" s="62">
        <f>'price-old'!F65</f>
        <v>39.181432996477398</v>
      </c>
      <c r="AD201" s="62">
        <f>'price-new'!F65</f>
        <v>30.01</v>
      </c>
      <c r="AE201" s="45">
        <f>'Filter-old'!P186</f>
        <v>0</v>
      </c>
      <c r="AF201" s="61">
        <f>'Filter-new'!P186</f>
        <v>0</v>
      </c>
      <c r="AG201" s="62">
        <f>'price-old'!O65</f>
        <v>38.682861328125</v>
      </c>
      <c r="AH201" s="62">
        <f>'price-new'!P65</f>
        <v>33.46</v>
      </c>
      <c r="AI201" s="45">
        <f>'Filter-old'!L186</f>
        <v>0</v>
      </c>
      <c r="AJ201" s="61">
        <f>'Filter-new'!L186</f>
        <v>0</v>
      </c>
      <c r="AK201" s="62">
        <f>'price-old'!L65</f>
        <v>65.55</v>
      </c>
      <c r="AL201" s="62">
        <f>'price-new'!L65</f>
        <v>33</v>
      </c>
      <c r="AM201" s="62">
        <f>'Filter-new'!L675</f>
        <v>0</v>
      </c>
      <c r="AN201" s="62">
        <f>VLOOKUP(B201,[1]Offpeak_Forward!$A$1:$AG$231,18,FALSE)</f>
        <v>25.780908584594702</v>
      </c>
      <c r="AO201" s="45">
        <f>'Filter-old'!G186</f>
        <v>0</v>
      </c>
      <c r="AP201" s="61">
        <f>'Filter-new'!G186</f>
        <v>0</v>
      </c>
      <c r="AQ201" s="62">
        <f>'price-old'!G65</f>
        <v>36.819994354248045</v>
      </c>
      <c r="AR201" s="62">
        <f>'price-new'!G65</f>
        <v>29.47</v>
      </c>
      <c r="AS201" s="45"/>
      <c r="AT201" s="61">
        <f t="shared" si="22"/>
        <v>76.461874999999992</v>
      </c>
      <c r="AU201" s="62"/>
      <c r="AV201" s="62">
        <f t="shared" si="23"/>
        <v>0</v>
      </c>
      <c r="AW201" s="45">
        <f>'Filter-old'!I186</f>
        <v>-25</v>
      </c>
      <c r="AX201" s="61">
        <f>'Filter-new'!I186</f>
        <v>-25</v>
      </c>
      <c r="AY201" s="62">
        <f>'price-old'!I65</f>
        <v>37.932861328125</v>
      </c>
      <c r="AZ201" s="62">
        <f>'price-new'!I65</f>
        <v>29.01</v>
      </c>
      <c r="BA201" s="62">
        <f>'Filter-new'!I675</f>
        <v>0</v>
      </c>
      <c r="BB201" s="62">
        <f>VLOOKUP(B201,[1]Offpeak_Forward!$A$1:$AG$231,15,FALSE)</f>
        <v>20.011817932128899</v>
      </c>
      <c r="BC201" s="45">
        <f>'Filter-old'!K186</f>
        <v>0</v>
      </c>
      <c r="BD201" s="61">
        <f>'Filter-new'!K186</f>
        <v>0</v>
      </c>
      <c r="BE201" s="62">
        <f>'price-old'!K65</f>
        <v>50.1</v>
      </c>
      <c r="BF201" s="62">
        <f>'price-new'!K65</f>
        <v>42.55</v>
      </c>
      <c r="BG201" s="45">
        <f>'Filter-old'!M186</f>
        <v>0</v>
      </c>
      <c r="BH201" s="61"/>
      <c r="BI201" s="61"/>
      <c r="BJ201" s="61">
        <f>'Filter-new'!M186</f>
        <v>0</v>
      </c>
      <c r="BK201" s="62">
        <f>'price-old'!M65</f>
        <v>38</v>
      </c>
      <c r="BL201" s="62">
        <f>'price-new'!M65</f>
        <v>32.5</v>
      </c>
      <c r="BM201" s="62"/>
      <c r="BN201" s="406">
        <f>'Filter-new'!N186</f>
        <v>0</v>
      </c>
      <c r="BO201" s="62"/>
      <c r="BP201" s="62">
        <f>'price-new'!N65</f>
        <v>42</v>
      </c>
      <c r="BQ201" s="45">
        <f>'Filter-old'!O186</f>
        <v>0</v>
      </c>
      <c r="BR201" s="61">
        <f>'Filter-new'!O186</f>
        <v>0</v>
      </c>
      <c r="BS201" s="62">
        <f>'price-old'!N65</f>
        <v>41.995723724365234</v>
      </c>
      <c r="BT201" s="62">
        <f>'price-new'!O65</f>
        <v>30.62</v>
      </c>
      <c r="BU201" s="45">
        <f>'Filter-old'!Q186</f>
        <v>94.441843750000004</v>
      </c>
      <c r="BV201" s="61">
        <f>'Filter-new'!Q186</f>
        <v>101.46187499999999</v>
      </c>
      <c r="BW201" s="62">
        <f>'price-old'!P65</f>
        <v>39.032859802246094</v>
      </c>
      <c r="BX201" s="88">
        <f>'price-new'!Q65</f>
        <v>28.645</v>
      </c>
      <c r="BY201" s="88">
        <f>'Filter-new'!Q675</f>
        <v>0</v>
      </c>
      <c r="BZ201" s="88">
        <f>VLOOKUP(B201,[1]Offpeak_Forward!$A$1:$AG$231,22,FALSE)</f>
        <v>19.885452270507798</v>
      </c>
      <c r="CA201" s="45">
        <f>'Filter-old'!R186</f>
        <v>0</v>
      </c>
      <c r="CB201" s="61">
        <f>'Filter-new'!R186</f>
        <v>0</v>
      </c>
      <c r="CC201" s="61">
        <f>'price-old'!Q65</f>
        <v>38</v>
      </c>
      <c r="CD201" s="89">
        <f>'price-new'!R65</f>
        <v>31.75</v>
      </c>
      <c r="CE201" s="87">
        <f>'Filter-new'!R675</f>
        <v>0</v>
      </c>
      <c r="CF201" s="87">
        <f>VLOOKUP(B201,[1]Offpeak_Forward!$A$1:$AG$231,6,FALSE)</f>
        <v>23.099817276001001</v>
      </c>
      <c r="CG201" s="4"/>
    </row>
    <row r="202" spans="1:85" hidden="1" x14ac:dyDescent="0.2">
      <c r="A202">
        <v>0</v>
      </c>
      <c r="B202" s="59">
        <v>38777</v>
      </c>
      <c r="C202" s="59">
        <f>'Filter-new'!C65</f>
        <v>38777</v>
      </c>
      <c r="D202" s="63"/>
      <c r="E202" s="63"/>
      <c r="F202" s="63"/>
      <c r="G202" s="36">
        <f t="shared" si="19"/>
        <v>-37.698288043478271</v>
      </c>
      <c r="H202" s="36">
        <f t="shared" si="20"/>
        <v>-191.14630434782612</v>
      </c>
      <c r="I202" s="36">
        <f t="shared" si="21"/>
        <v>-1.125</v>
      </c>
      <c r="J202" s="41"/>
      <c r="K202" s="45">
        <f>'Filter-old'!E187</f>
        <v>-20.617119565217394</v>
      </c>
      <c r="L202" s="61">
        <f>'Filter-new'!E187</f>
        <v>18.881576086956521</v>
      </c>
      <c r="M202" s="62">
        <f>'price-old'!E66</f>
        <v>34.145177264546241</v>
      </c>
      <c r="N202" s="62">
        <f>'price-new'!E66</f>
        <v>28.45</v>
      </c>
      <c r="O202" s="429">
        <f>'Filter-new'!E676</f>
        <v>77.465425531914889</v>
      </c>
      <c r="P202" s="62">
        <f>VLOOKUP(B202,[1]Offpeak_Forward!$A$1:$AG$231,13,FALSE)</f>
        <v>20.818723678588899</v>
      </c>
      <c r="Q202" s="45">
        <f>'Filter-old'!H187</f>
        <v>-86</v>
      </c>
      <c r="R202" s="61">
        <f>'Filter-new'!H187</f>
        <v>-286</v>
      </c>
      <c r="S202" s="62">
        <f>'price-old'!H66</f>
        <v>33.848545074462891</v>
      </c>
      <c r="T202" s="62">
        <f>'price-new'!H66</f>
        <v>26.9</v>
      </c>
      <c r="U202" s="445">
        <f>'Filter-new'!H676</f>
        <v>-78.590425531914889</v>
      </c>
      <c r="V202" s="62">
        <f>VLOOKUP(B202,[1]Offpeak_Forward!$A$1:$AG$231,14,FALSE)</f>
        <v>20.544893264770501</v>
      </c>
      <c r="W202" s="45">
        <f>'Filter-old'!J187</f>
        <v>0</v>
      </c>
      <c r="X202" s="61">
        <f>'Filter-new'!J187</f>
        <v>0</v>
      </c>
      <c r="Y202" s="62">
        <f>'price-old'!J66</f>
        <v>40.546916961669922</v>
      </c>
      <c r="Z202" s="62">
        <f>'price-new'!J66</f>
        <v>29.2</v>
      </c>
      <c r="AA202" s="45">
        <f>'Filter-old'!F187</f>
        <v>0</v>
      </c>
      <c r="AB202" s="61">
        <f>'Filter-new'!F187</f>
        <v>0</v>
      </c>
      <c r="AC202" s="62">
        <f>'price-old'!F66</f>
        <v>34.145177264546241</v>
      </c>
      <c r="AD202" s="62">
        <f>'price-new'!F66</f>
        <v>29.2</v>
      </c>
      <c r="AE202" s="45">
        <f>'Filter-old'!P187</f>
        <v>0</v>
      </c>
      <c r="AF202" s="61">
        <f>'Filter-new'!P187</f>
        <v>0</v>
      </c>
      <c r="AG202" s="62">
        <f>'price-old'!O66</f>
        <v>33.398544311523438</v>
      </c>
      <c r="AH202" s="62">
        <f>'price-new'!P66</f>
        <v>30.65</v>
      </c>
      <c r="AI202" s="45">
        <f>'Filter-old'!L187</f>
        <v>0</v>
      </c>
      <c r="AJ202" s="61">
        <f>'Filter-new'!L187</f>
        <v>0</v>
      </c>
      <c r="AK202" s="62">
        <f>'price-old'!L66</f>
        <v>52.55</v>
      </c>
      <c r="AL202" s="62">
        <f>'price-new'!L66</f>
        <v>31.66</v>
      </c>
      <c r="AM202" s="62">
        <f>'Filter-new'!L676</f>
        <v>0</v>
      </c>
      <c r="AN202" s="62">
        <f>VLOOKUP(B202,[1]Offpeak_Forward!$A$1:$AG$231,18,FALSE)</f>
        <v>24.966171264648398</v>
      </c>
      <c r="AO202" s="45">
        <f>'Filter-old'!G187</f>
        <v>0</v>
      </c>
      <c r="AP202" s="61">
        <f>'Filter-new'!G187</f>
        <v>0</v>
      </c>
      <c r="AQ202" s="62">
        <f>'price-old'!G66</f>
        <v>33.34999313354492</v>
      </c>
      <c r="AR202" s="62">
        <f>'price-new'!G66</f>
        <v>27.905999999999999</v>
      </c>
      <c r="AS202" s="45"/>
      <c r="AT202" s="61">
        <f t="shared" si="22"/>
        <v>75.972119565217383</v>
      </c>
      <c r="AU202" s="62"/>
      <c r="AV202" s="62">
        <f t="shared" si="23"/>
        <v>0</v>
      </c>
      <c r="AW202" s="45">
        <f>'Filter-old'!I187</f>
        <v>-25</v>
      </c>
      <c r="AX202" s="61">
        <f>'Filter-new'!I187</f>
        <v>-25</v>
      </c>
      <c r="AY202" s="62">
        <f>'price-old'!I66</f>
        <v>33.898544311523438</v>
      </c>
      <c r="AZ202" s="62">
        <f>'price-new'!I66</f>
        <v>27.95</v>
      </c>
      <c r="BA202" s="62">
        <f>'Filter-new'!I676</f>
        <v>0</v>
      </c>
      <c r="BB202" s="62">
        <f>VLOOKUP(B202,[1]Offpeak_Forward!$A$1:$AG$231,15,FALSE)</f>
        <v>19.6006374359131</v>
      </c>
      <c r="BC202" s="45">
        <f>'Filter-old'!K187</f>
        <v>0</v>
      </c>
      <c r="BD202" s="61">
        <f>'Filter-new'!K187</f>
        <v>0</v>
      </c>
      <c r="BE202" s="62">
        <f>'price-old'!K66</f>
        <v>39.200000000000003</v>
      </c>
      <c r="BF202" s="62">
        <f>'price-new'!K66</f>
        <v>34.549999999999997</v>
      </c>
      <c r="BG202" s="45">
        <f>'Filter-old'!M187</f>
        <v>0</v>
      </c>
      <c r="BH202" s="61"/>
      <c r="BI202" s="61"/>
      <c r="BJ202" s="61">
        <f>'Filter-new'!M187</f>
        <v>0</v>
      </c>
      <c r="BK202" s="62">
        <f>'price-old'!M66</f>
        <v>33</v>
      </c>
      <c r="BL202" s="62">
        <f>'price-new'!M66</f>
        <v>30.5</v>
      </c>
      <c r="BM202" s="62"/>
      <c r="BN202" s="406">
        <f>'Filter-new'!N187</f>
        <v>0</v>
      </c>
      <c r="BO202" s="62"/>
      <c r="BP202" s="62">
        <f>'price-new'!N66</f>
        <v>38</v>
      </c>
      <c r="BQ202" s="45">
        <f>'Filter-old'!O187</f>
        <v>0</v>
      </c>
      <c r="BR202" s="61">
        <f>'Filter-new'!O187</f>
        <v>0</v>
      </c>
      <c r="BS202" s="62">
        <f>'price-old'!N66</f>
        <v>37.747505187988281</v>
      </c>
      <c r="BT202" s="62">
        <f>'price-new'!O66</f>
        <v>28.37</v>
      </c>
      <c r="BU202" s="45">
        <f>'Filter-old'!Q187</f>
        <v>93.918831521739122</v>
      </c>
      <c r="BV202" s="61">
        <f>'Filter-new'!Q187</f>
        <v>100.97211956521738</v>
      </c>
      <c r="BW202" s="62">
        <f>'price-old'!P66</f>
        <v>33.748542785644531</v>
      </c>
      <c r="BX202" s="88">
        <f>'price-new'!Q66</f>
        <v>28.395</v>
      </c>
      <c r="BY202" s="88">
        <f>'Filter-new'!Q676</f>
        <v>0</v>
      </c>
      <c r="BZ202" s="88">
        <f>VLOOKUP(B202,[1]Offpeak_Forward!$A$1:$AG$231,22,FALSE)</f>
        <v>19.381275177001999</v>
      </c>
      <c r="CA202" s="45">
        <f>'Filter-old'!R187</f>
        <v>0</v>
      </c>
      <c r="CB202" s="61">
        <f>'Filter-new'!R187</f>
        <v>0</v>
      </c>
      <c r="CC202" s="61">
        <f>'price-old'!Q66</f>
        <v>33</v>
      </c>
      <c r="CD202" s="89">
        <f>'price-new'!R66</f>
        <v>29.75</v>
      </c>
      <c r="CE202" s="87">
        <f>'Filter-new'!R676</f>
        <v>0</v>
      </c>
      <c r="CF202" s="87">
        <f>VLOOKUP(B202,[1]Offpeak_Forward!$A$1:$AG$231,6,FALSE)</f>
        <v>19.7946376800537</v>
      </c>
      <c r="CG202" s="4"/>
    </row>
    <row r="203" spans="1:85" hidden="1" x14ac:dyDescent="0.2">
      <c r="A203">
        <v>0</v>
      </c>
      <c r="B203" s="59">
        <v>38808</v>
      </c>
      <c r="C203" s="59">
        <f>'Filter-new'!C66</f>
        <v>38808</v>
      </c>
      <c r="D203" s="63"/>
      <c r="E203" s="63"/>
      <c r="F203" s="63"/>
      <c r="G203" s="36">
        <f t="shared" si="19"/>
        <v>-37.855343750000003</v>
      </c>
      <c r="H203" s="36">
        <f t="shared" si="20"/>
        <v>-191.53028125</v>
      </c>
      <c r="I203" s="36">
        <f t="shared" si="21"/>
        <v>7.8400000000000034</v>
      </c>
      <c r="J203" s="41"/>
      <c r="K203" s="45">
        <f>'Filter-old'!E188</f>
        <v>-20.506031249999999</v>
      </c>
      <c r="L203" s="61">
        <f>'Filter-new'!E188</f>
        <v>18.79265625</v>
      </c>
      <c r="M203" s="62">
        <f>'price-old'!E67</f>
        <v>34.595178027485694</v>
      </c>
      <c r="N203" s="62">
        <f>'price-new'!E67</f>
        <v>28.4</v>
      </c>
      <c r="O203" s="429">
        <f>'Filter-new'!E677</f>
        <v>71.540000000000006</v>
      </c>
      <c r="P203" s="62">
        <f>VLOOKUP(B203,[1]Offpeak_Forward!$A$1:$AG$231,13,FALSE)</f>
        <v>17.705999374389599</v>
      </c>
      <c r="Q203" s="45">
        <f>'Filter-old'!H188</f>
        <v>-85</v>
      </c>
      <c r="R203" s="61">
        <f>'Filter-new'!H188</f>
        <v>-285</v>
      </c>
      <c r="S203" s="62">
        <f>'price-old'!H67</f>
        <v>33.848545074462891</v>
      </c>
      <c r="T203" s="62">
        <f>'price-new'!H67</f>
        <v>26.85</v>
      </c>
      <c r="U203" s="445">
        <f>'Filter-new'!H677</f>
        <v>-63.7</v>
      </c>
      <c r="V203" s="62">
        <f>VLOOKUP(B203,[1]Offpeak_Forward!$A$1:$AG$231,14,FALSE)</f>
        <v>17.42799949646</v>
      </c>
      <c r="W203" s="45">
        <f>'Filter-old'!J188</f>
        <v>0</v>
      </c>
      <c r="X203" s="61">
        <f>'Filter-new'!J188</f>
        <v>0</v>
      </c>
      <c r="Y203" s="62">
        <f>'price-old'!J67</f>
        <v>38.446914672851562</v>
      </c>
      <c r="Z203" s="62">
        <f>'price-new'!J67</f>
        <v>29.15</v>
      </c>
      <c r="AA203" s="45">
        <f>'Filter-old'!F188</f>
        <v>0</v>
      </c>
      <c r="AB203" s="61">
        <f>'Filter-new'!F188</f>
        <v>0</v>
      </c>
      <c r="AC203" s="62">
        <f>'price-old'!F67</f>
        <v>34.595178027485694</v>
      </c>
      <c r="AD203" s="62">
        <f>'price-new'!F67</f>
        <v>29.15</v>
      </c>
      <c r="AE203" s="45">
        <f>'Filter-old'!P188</f>
        <v>0</v>
      </c>
      <c r="AF203" s="61">
        <f>'Filter-new'!P188</f>
        <v>0</v>
      </c>
      <c r="AG203" s="62">
        <f>'price-old'!O67</f>
        <v>33.848545074462891</v>
      </c>
      <c r="AH203" s="62">
        <f>'price-new'!P67</f>
        <v>30.15</v>
      </c>
      <c r="AI203" s="45">
        <f>'Filter-old'!L188</f>
        <v>0</v>
      </c>
      <c r="AJ203" s="61">
        <f>'Filter-new'!L188</f>
        <v>0</v>
      </c>
      <c r="AK203" s="62">
        <f>'price-old'!L67</f>
        <v>52.55</v>
      </c>
      <c r="AL203" s="62">
        <f>'price-new'!L67</f>
        <v>31.61</v>
      </c>
      <c r="AM203" s="62">
        <f>'Filter-new'!L677</f>
        <v>0</v>
      </c>
      <c r="AN203" s="62">
        <f>VLOOKUP(B203,[1]Offpeak_Forward!$A$1:$AG$231,18,FALSE)</f>
        <v>21.524000167846701</v>
      </c>
      <c r="AO203" s="45">
        <f>'Filter-old'!G188</f>
        <v>0</v>
      </c>
      <c r="AP203" s="61">
        <f>'Filter-new'!G188</f>
        <v>0</v>
      </c>
      <c r="AQ203" s="62">
        <f>'price-old'!G67</f>
        <v>31.949991607666014</v>
      </c>
      <c r="AR203" s="62">
        <f>'price-new'!G67</f>
        <v>28.69</v>
      </c>
      <c r="AS203" s="45"/>
      <c r="AT203" s="61">
        <f t="shared" si="22"/>
        <v>74.677062500000005</v>
      </c>
      <c r="AU203" s="62"/>
      <c r="AV203" s="62">
        <f t="shared" si="23"/>
        <v>0</v>
      </c>
      <c r="AW203" s="45">
        <f>'Filter-old'!I188</f>
        <v>-25</v>
      </c>
      <c r="AX203" s="61">
        <f>'Filter-new'!I188</f>
        <v>-25</v>
      </c>
      <c r="AY203" s="62">
        <f>'price-old'!I67</f>
        <v>33.598545074462891</v>
      </c>
      <c r="AZ203" s="62">
        <f>'price-new'!I67</f>
        <v>27.9</v>
      </c>
      <c r="BA203" s="62">
        <f>'Filter-new'!I677</f>
        <v>0</v>
      </c>
      <c r="BB203" s="62">
        <f>VLOOKUP(B203,[1]Offpeak_Forward!$A$1:$AG$231,15,FALSE)</f>
        <v>19.7560005187988</v>
      </c>
      <c r="BC203" s="45">
        <f>'Filter-old'!K188</f>
        <v>0</v>
      </c>
      <c r="BD203" s="61">
        <f>'Filter-new'!K188</f>
        <v>0</v>
      </c>
      <c r="BE203" s="62">
        <f>'price-old'!K67</f>
        <v>39.200000000000003</v>
      </c>
      <c r="BF203" s="62">
        <f>'price-new'!K67</f>
        <v>34.799999999999997</v>
      </c>
      <c r="BG203" s="45">
        <f>'Filter-old'!M188</f>
        <v>0</v>
      </c>
      <c r="BH203" s="61"/>
      <c r="BI203" s="61"/>
      <c r="BJ203" s="61">
        <f>'Filter-new'!M188</f>
        <v>0</v>
      </c>
      <c r="BK203" s="62">
        <f>'price-old'!M67</f>
        <v>32.5</v>
      </c>
      <c r="BL203" s="62">
        <f>'price-new'!M67</f>
        <v>30.5</v>
      </c>
      <c r="BM203" s="62"/>
      <c r="BN203" s="406">
        <f>'Filter-new'!N188</f>
        <v>0</v>
      </c>
      <c r="BO203" s="62"/>
      <c r="BP203" s="62">
        <f>'price-new'!N67</f>
        <v>38</v>
      </c>
      <c r="BQ203" s="45">
        <f>'Filter-old'!O188</f>
        <v>0</v>
      </c>
      <c r="BR203" s="61">
        <f>'Filter-new'!O188</f>
        <v>0</v>
      </c>
      <c r="BS203" s="62">
        <f>'price-old'!N67</f>
        <v>37.997501373291016</v>
      </c>
      <c r="BT203" s="62">
        <f>'price-new'!O67</f>
        <v>28.37</v>
      </c>
      <c r="BU203" s="45">
        <f>'Filter-old'!Q188</f>
        <v>92.650687500000004</v>
      </c>
      <c r="BV203" s="61">
        <f>'Filter-new'!Q188</f>
        <v>99.677062500000005</v>
      </c>
      <c r="BW203" s="62">
        <f>'price-old'!P67</f>
        <v>34.198543548583984</v>
      </c>
      <c r="BX203" s="88">
        <f>'price-new'!Q67</f>
        <v>28.396000000000001</v>
      </c>
      <c r="BY203" s="88">
        <f>'Filter-new'!Q677</f>
        <v>0</v>
      </c>
      <c r="BZ203" s="88">
        <f>VLOOKUP(B203,[1]Offpeak_Forward!$A$1:$AG$231,22,FALSE)</f>
        <v>19.741998672485401</v>
      </c>
      <c r="CA203" s="45">
        <f>'Filter-old'!R188</f>
        <v>0</v>
      </c>
      <c r="CB203" s="61">
        <f>'Filter-new'!R188</f>
        <v>0</v>
      </c>
      <c r="CC203" s="61">
        <f>'price-old'!Q67</f>
        <v>32.5</v>
      </c>
      <c r="CD203" s="89">
        <f>'price-new'!R67</f>
        <v>29.75</v>
      </c>
      <c r="CE203" s="87">
        <f>'Filter-new'!R677</f>
        <v>0</v>
      </c>
      <c r="CF203" s="87">
        <f>VLOOKUP(B203,[1]Offpeak_Forward!$A$1:$AG$231,6,FALSE)</f>
        <v>19.880800247192401</v>
      </c>
      <c r="CG203" s="4"/>
    </row>
    <row r="204" spans="1:85" hidden="1" x14ac:dyDescent="0.2">
      <c r="A204">
        <v>0</v>
      </c>
      <c r="B204" s="59">
        <v>38838</v>
      </c>
      <c r="C204" s="59">
        <f>'Filter-new'!C67</f>
        <v>38838</v>
      </c>
      <c r="D204" s="63"/>
      <c r="E204" s="63"/>
      <c r="F204" s="63"/>
      <c r="G204" s="36">
        <f t="shared" si="19"/>
        <v>-29.246562499999996</v>
      </c>
      <c r="H204" s="36">
        <f t="shared" si="20"/>
        <v>-183.1106534090909</v>
      </c>
      <c r="I204" s="36">
        <f t="shared" si="21"/>
        <v>10.326530612244888</v>
      </c>
      <c r="J204" s="41"/>
      <c r="K204" s="45">
        <f>'Filter-old'!E189</f>
        <v>-20.394545454545455</v>
      </c>
      <c r="L204" s="61">
        <f>'Filter-new'!E189</f>
        <v>18.700482954545453</v>
      </c>
      <c r="M204" s="62">
        <f>'price-old'!E68</f>
        <v>40.753570556640625</v>
      </c>
      <c r="N204" s="62">
        <f>'price-new'!E68</f>
        <v>29.265000000000001</v>
      </c>
      <c r="O204" s="429">
        <f>'Filter-new'!E678</f>
        <v>68.530612244897952</v>
      </c>
      <c r="P204" s="62">
        <f>VLOOKUP(B204,[1]Offpeak_Forward!$A$1:$AG$231,13,FALSE)</f>
        <v>17.837551116943398</v>
      </c>
      <c r="Q204" s="45">
        <f>'Filter-old'!H189</f>
        <v>-76</v>
      </c>
      <c r="R204" s="61">
        <f>'Filter-new'!H189</f>
        <v>-276</v>
      </c>
      <c r="S204" s="62">
        <f>'price-old'!H68</f>
        <v>34.553565979003906</v>
      </c>
      <c r="T204" s="62">
        <f>'price-new'!H68</f>
        <v>27.765000000000001</v>
      </c>
      <c r="U204" s="445">
        <f>'Filter-new'!H678</f>
        <v>-58.204081632653065</v>
      </c>
      <c r="V204" s="62">
        <f>VLOOKUP(B204,[1]Offpeak_Forward!$A$1:$AG$231,14,FALSE)</f>
        <v>17.5789794921875</v>
      </c>
      <c r="W204" s="45">
        <f>'Filter-old'!J189</f>
        <v>0</v>
      </c>
      <c r="X204" s="61">
        <f>'Filter-new'!J189</f>
        <v>0</v>
      </c>
      <c r="Y204" s="62">
        <f>'price-old'!J68</f>
        <v>41.444416809082028</v>
      </c>
      <c r="Z204" s="62">
        <f>'price-new'!J68</f>
        <v>30.265000000000001</v>
      </c>
      <c r="AA204" s="45">
        <f>'Filter-old'!F189</f>
        <v>0</v>
      </c>
      <c r="AB204" s="61">
        <f>'Filter-new'!F189</f>
        <v>0</v>
      </c>
      <c r="AC204" s="62">
        <f>'price-old'!F68</f>
        <v>40.753570556640625</v>
      </c>
      <c r="AD204" s="62">
        <f>'price-new'!F68</f>
        <v>30.265000000000001</v>
      </c>
      <c r="AE204" s="45">
        <f>'Filter-old'!P189</f>
        <v>0</v>
      </c>
      <c r="AF204" s="61">
        <f>'Filter-new'!P189</f>
        <v>0</v>
      </c>
      <c r="AG204" s="62">
        <f>'price-old'!O68</f>
        <v>42.403568267822266</v>
      </c>
      <c r="AH204" s="62">
        <f>'price-new'!P68</f>
        <v>25.815000000000001</v>
      </c>
      <c r="AI204" s="45">
        <f>'Filter-old'!L189</f>
        <v>0</v>
      </c>
      <c r="AJ204" s="61">
        <f>'Filter-new'!L189</f>
        <v>0</v>
      </c>
      <c r="AK204" s="62">
        <f>'price-old'!L68</f>
        <v>53.55</v>
      </c>
      <c r="AL204" s="62">
        <f>'price-new'!L68</f>
        <v>34.274999999999999</v>
      </c>
      <c r="AM204" s="62">
        <f>'Filter-new'!L678</f>
        <v>0</v>
      </c>
      <c r="AN204" s="62">
        <f>VLOOKUP(B204,[1]Offpeak_Forward!$A$1:$AG$231,18,FALSE)</f>
        <v>21.836122512817401</v>
      </c>
      <c r="AO204" s="45">
        <f>'Filter-old'!G189</f>
        <v>0</v>
      </c>
      <c r="AP204" s="61">
        <f>'Filter-new'!G189</f>
        <v>0</v>
      </c>
      <c r="AQ204" s="62">
        <f>'price-old'!G68</f>
        <v>35.400009155273438</v>
      </c>
      <c r="AR204" s="62">
        <f>'price-new'!G68</f>
        <v>30.65</v>
      </c>
      <c r="AS204" s="45"/>
      <c r="AT204" s="61">
        <f t="shared" si="22"/>
        <v>74.188863636363649</v>
      </c>
      <c r="AU204" s="62"/>
      <c r="AV204" s="62">
        <f t="shared" si="23"/>
        <v>0</v>
      </c>
      <c r="AW204" s="45">
        <f>'Filter-old'!I189</f>
        <v>-25</v>
      </c>
      <c r="AX204" s="61">
        <f>'Filter-new'!I189</f>
        <v>-25</v>
      </c>
      <c r="AY204" s="62">
        <f>'price-old'!I68</f>
        <v>35.003566741943359</v>
      </c>
      <c r="AZ204" s="62">
        <f>'price-new'!I68</f>
        <v>28.765000000000001</v>
      </c>
      <c r="BA204" s="62">
        <f>'Filter-new'!I678</f>
        <v>0</v>
      </c>
      <c r="BB204" s="62">
        <f>VLOOKUP(B204,[1]Offpeak_Forward!$A$1:$AG$231,15,FALSE)</f>
        <v>20.4740810394287</v>
      </c>
      <c r="BC204" s="45">
        <f>'Filter-old'!K189</f>
        <v>0</v>
      </c>
      <c r="BD204" s="61">
        <f>'Filter-new'!K189</f>
        <v>0</v>
      </c>
      <c r="BE204" s="62">
        <f>'price-old'!K68</f>
        <v>39.200000000000003</v>
      </c>
      <c r="BF204" s="62">
        <f>'price-new'!K68</f>
        <v>34.799999999999997</v>
      </c>
      <c r="BG204" s="45">
        <f>'Filter-old'!M189</f>
        <v>0</v>
      </c>
      <c r="BH204" s="61"/>
      <c r="BI204" s="61"/>
      <c r="BJ204" s="61">
        <f>'Filter-new'!M189</f>
        <v>0</v>
      </c>
      <c r="BK204" s="62">
        <f>'price-old'!M68</f>
        <v>36.75</v>
      </c>
      <c r="BL204" s="62">
        <f>'price-new'!M68</f>
        <v>31.25</v>
      </c>
      <c r="BM204" s="62"/>
      <c r="BN204" s="406">
        <f>'Filter-new'!N189</f>
        <v>0</v>
      </c>
      <c r="BO204" s="62"/>
      <c r="BP204" s="62">
        <f>'price-new'!N68</f>
        <v>39.5</v>
      </c>
      <c r="BQ204" s="45">
        <f>'Filter-old'!O189</f>
        <v>0</v>
      </c>
      <c r="BR204" s="61">
        <f>'Filter-new'!O189</f>
        <v>0</v>
      </c>
      <c r="BS204" s="62">
        <f>'price-old'!N68</f>
        <v>43.003570556640625</v>
      </c>
      <c r="BT204" s="62">
        <f>'price-new'!O68</f>
        <v>30.57</v>
      </c>
      <c r="BU204" s="45">
        <f>'Filter-old'!Q189</f>
        <v>92.147982954545455</v>
      </c>
      <c r="BV204" s="61">
        <f>'Filter-new'!Q189</f>
        <v>99.188863636363649</v>
      </c>
      <c r="BW204" s="62">
        <f>'price-old'!P68</f>
        <v>35.103565216064453</v>
      </c>
      <c r="BX204" s="88">
        <f>'price-new'!Q68</f>
        <v>30.251000000000001</v>
      </c>
      <c r="BY204" s="88">
        <f>'Filter-new'!Q678</f>
        <v>0</v>
      </c>
      <c r="BZ204" s="88">
        <f>VLOOKUP(B204,[1]Offpeak_Forward!$A$1:$AG$231,22,FALSE)</f>
        <v>20.702447891235401</v>
      </c>
      <c r="CA204" s="45">
        <f>'Filter-old'!R189</f>
        <v>0</v>
      </c>
      <c r="CB204" s="61">
        <f>'Filter-new'!R189</f>
        <v>0</v>
      </c>
      <c r="CC204" s="61">
        <f>'price-old'!Q68</f>
        <v>36.75</v>
      </c>
      <c r="CD204" s="89">
        <f>'price-new'!R68</f>
        <v>31.5</v>
      </c>
      <c r="CE204" s="87">
        <f>'Filter-new'!R678</f>
        <v>0</v>
      </c>
      <c r="CF204" s="87">
        <f>VLOOKUP(B204,[1]Offpeak_Forward!$A$1:$AG$231,6,FALSE)</f>
        <v>22.0168151855469</v>
      </c>
      <c r="CG204" s="4"/>
    </row>
    <row r="205" spans="1:85" hidden="1" x14ac:dyDescent="0.2">
      <c r="A205">
        <v>0</v>
      </c>
      <c r="B205" s="59">
        <v>38869</v>
      </c>
      <c r="C205" s="59">
        <f>'Filter-new'!C68</f>
        <v>38869</v>
      </c>
      <c r="D205" s="63"/>
      <c r="E205" s="63"/>
      <c r="F205" s="63"/>
      <c r="G205" s="36">
        <f t="shared" si="19"/>
        <v>-25.367329545454552</v>
      </c>
      <c r="H205" s="36">
        <f t="shared" si="20"/>
        <v>-179.48406250000002</v>
      </c>
      <c r="I205" s="36">
        <f t="shared" si="21"/>
        <v>16.130434782608688</v>
      </c>
      <c r="J205" s="41"/>
      <c r="K205" s="45">
        <f>'Filter-old'!E190</f>
        <v>-20.289602272727272</v>
      </c>
      <c r="L205" s="61">
        <f>'Filter-new'!E190</f>
        <v>18.611022727272726</v>
      </c>
      <c r="M205" s="62">
        <f>'price-old'!E69</f>
        <v>38.252857208251953</v>
      </c>
      <c r="N205" s="62">
        <f>'price-new'!E69</f>
        <v>35.43</v>
      </c>
      <c r="O205" s="429">
        <f>'Filter-new'!E679</f>
        <v>84.108695652173907</v>
      </c>
      <c r="P205" s="62">
        <f>VLOOKUP(B205,[1]Offpeak_Forward!$A$1:$AG$231,13,FALSE)</f>
        <v>21.804347991943398</v>
      </c>
      <c r="Q205" s="45">
        <f>'Filter-old'!H190</f>
        <v>-71</v>
      </c>
      <c r="R205" s="61">
        <f>'Filter-new'!H190</f>
        <v>-271</v>
      </c>
      <c r="S205" s="62">
        <f>'price-old'!H69</f>
        <v>32.502857208251953</v>
      </c>
      <c r="T205" s="62">
        <f>'price-new'!H69</f>
        <v>33.78</v>
      </c>
      <c r="U205" s="445">
        <f>'Filter-new'!H679</f>
        <v>-67.978260869565219</v>
      </c>
      <c r="V205" s="62">
        <f>VLOOKUP(B205,[1]Offpeak_Forward!$A$1:$AG$231,14,FALSE)</f>
        <v>21.916088104248001</v>
      </c>
      <c r="W205" s="45">
        <f>'Filter-old'!J190</f>
        <v>0</v>
      </c>
      <c r="X205" s="61">
        <f>'Filter-new'!J190</f>
        <v>0</v>
      </c>
      <c r="Y205" s="62">
        <f>'price-old'!J69</f>
        <v>31.482302093505862</v>
      </c>
      <c r="Z205" s="62">
        <f>'price-new'!J69</f>
        <v>36.93</v>
      </c>
      <c r="AA205" s="45">
        <f>'Filter-old'!F190</f>
        <v>0</v>
      </c>
      <c r="AB205" s="61">
        <f>'Filter-new'!F190</f>
        <v>0</v>
      </c>
      <c r="AC205" s="62">
        <f>'price-old'!F69</f>
        <v>38.252857208251953</v>
      </c>
      <c r="AD205" s="62">
        <f>'price-new'!F69</f>
        <v>36.93</v>
      </c>
      <c r="AE205" s="45">
        <f>'Filter-old'!P190</f>
        <v>0</v>
      </c>
      <c r="AF205" s="61">
        <f>'Filter-new'!P190</f>
        <v>0</v>
      </c>
      <c r="AG205" s="62">
        <f>'price-old'!O69</f>
        <v>44.102855682373047</v>
      </c>
      <c r="AH205" s="62">
        <f>'price-new'!P69</f>
        <v>31.43</v>
      </c>
      <c r="AI205" s="45">
        <f>'Filter-old'!L190</f>
        <v>0</v>
      </c>
      <c r="AJ205" s="61">
        <f>'Filter-new'!L190</f>
        <v>0</v>
      </c>
      <c r="AK205" s="62">
        <f>'price-old'!L69</f>
        <v>71.55</v>
      </c>
      <c r="AL205" s="62">
        <f>'price-new'!L69</f>
        <v>38.72</v>
      </c>
      <c r="AM205" s="62">
        <f>'Filter-new'!L679</f>
        <v>0</v>
      </c>
      <c r="AN205" s="62">
        <f>VLOOKUP(B205,[1]Offpeak_Forward!$A$1:$AG$231,18,FALSE)</f>
        <v>25.9108695983887</v>
      </c>
      <c r="AO205" s="45">
        <f>'Filter-old'!G190</f>
        <v>0</v>
      </c>
      <c r="AP205" s="61">
        <f>'Filter-new'!G190</f>
        <v>0</v>
      </c>
      <c r="AQ205" s="62">
        <f>'price-old'!G69</f>
        <v>35.499996185302734</v>
      </c>
      <c r="AR205" s="62">
        <f>'price-new'!G69</f>
        <v>34.700000000000003</v>
      </c>
      <c r="AS205" s="45"/>
      <c r="AT205" s="61">
        <f t="shared" si="22"/>
        <v>72.904914772727267</v>
      </c>
      <c r="AU205" s="62"/>
      <c r="AV205" s="62">
        <f t="shared" si="23"/>
        <v>0</v>
      </c>
      <c r="AW205" s="45">
        <f>'Filter-old'!I190</f>
        <v>-25</v>
      </c>
      <c r="AX205" s="61">
        <f>'Filter-new'!I190</f>
        <v>-25</v>
      </c>
      <c r="AY205" s="62">
        <f>'price-old'!I69</f>
        <v>38.252857208251953</v>
      </c>
      <c r="AZ205" s="62">
        <f>'price-new'!I69</f>
        <v>34.93</v>
      </c>
      <c r="BA205" s="62">
        <f>'Filter-new'!I679</f>
        <v>0</v>
      </c>
      <c r="BB205" s="62">
        <f>VLOOKUP(B205,[1]Offpeak_Forward!$A$1:$AG$231,15,FALSE)</f>
        <v>24.9056510925293</v>
      </c>
      <c r="BC205" s="45">
        <f>'Filter-old'!K190</f>
        <v>0</v>
      </c>
      <c r="BD205" s="61">
        <f>'Filter-new'!K190</f>
        <v>0</v>
      </c>
      <c r="BE205" s="62">
        <f>'price-old'!K69</f>
        <v>46.1</v>
      </c>
      <c r="BF205" s="62">
        <f>'price-new'!K69</f>
        <v>39.549999999999997</v>
      </c>
      <c r="BG205" s="45">
        <f>'Filter-old'!M190</f>
        <v>0</v>
      </c>
      <c r="BH205" s="61"/>
      <c r="BI205" s="61"/>
      <c r="BJ205" s="61">
        <f>'Filter-new'!M190</f>
        <v>0</v>
      </c>
      <c r="BK205" s="62">
        <f>'price-old'!M69</f>
        <v>48</v>
      </c>
      <c r="BL205" s="62">
        <f>'price-new'!M69</f>
        <v>41.5</v>
      </c>
      <c r="BM205" s="62"/>
      <c r="BN205" s="406">
        <f>'Filter-new'!N190</f>
        <v>0</v>
      </c>
      <c r="BO205" s="62"/>
      <c r="BP205" s="62">
        <f>'price-new'!N69</f>
        <v>48</v>
      </c>
      <c r="BQ205" s="45">
        <f>'Filter-old'!O190</f>
        <v>0</v>
      </c>
      <c r="BR205" s="61">
        <f>'Filter-new'!O190</f>
        <v>0</v>
      </c>
      <c r="BS205" s="62">
        <f>'price-old'!N69</f>
        <v>44.252857208251953</v>
      </c>
      <c r="BT205" s="62">
        <f>'price-new'!O69</f>
        <v>37.479999999999997</v>
      </c>
      <c r="BU205" s="45">
        <f>'Filter-old'!Q190</f>
        <v>90.922272727272727</v>
      </c>
      <c r="BV205" s="61">
        <f>'Filter-new'!Q190</f>
        <v>97.904914772727267</v>
      </c>
      <c r="BW205" s="62">
        <f>'price-old'!P69</f>
        <v>39.352855682373047</v>
      </c>
      <c r="BX205" s="88">
        <f>'price-new'!Q69</f>
        <v>37.634999999999998</v>
      </c>
      <c r="BY205" s="88">
        <f>'Filter-new'!Q679</f>
        <v>0</v>
      </c>
      <c r="BZ205" s="88">
        <f>VLOOKUP(B205,[1]Offpeak_Forward!$A$1:$AG$231,22,FALSE)</f>
        <v>23.0347805023193</v>
      </c>
      <c r="CA205" s="45">
        <f>'Filter-old'!R190</f>
        <v>0</v>
      </c>
      <c r="CB205" s="61">
        <f>'Filter-new'!R190</f>
        <v>0</v>
      </c>
      <c r="CC205" s="61">
        <f>'price-old'!Q69</f>
        <v>48</v>
      </c>
      <c r="CD205" s="89">
        <f>'price-new'!R69</f>
        <v>41.75</v>
      </c>
      <c r="CE205" s="87">
        <f>'Filter-new'!R679</f>
        <v>0</v>
      </c>
      <c r="CF205" s="87">
        <f>VLOOKUP(B205,[1]Offpeak_Forward!$A$1:$AG$231,6,FALSE)</f>
        <v>21.542608261108398</v>
      </c>
      <c r="CG205" s="4"/>
    </row>
    <row r="206" spans="1:85" hidden="1" x14ac:dyDescent="0.2">
      <c r="A206">
        <v>0</v>
      </c>
      <c r="B206" s="59">
        <v>38899</v>
      </c>
      <c r="C206" s="59">
        <f>'Filter-new'!C69</f>
        <v>38899</v>
      </c>
      <c r="D206" s="63"/>
      <c r="E206" s="63"/>
      <c r="F206" s="63"/>
      <c r="G206" s="36">
        <f t="shared" si="19"/>
        <v>-18.493218750000011</v>
      </c>
      <c r="H206" s="36">
        <f t="shared" si="20"/>
        <v>-173.87309375000004</v>
      </c>
      <c r="I206" s="36">
        <f t="shared" si="21"/>
        <v>12.415094339622634</v>
      </c>
      <c r="J206" s="41"/>
      <c r="K206" s="45">
        <f>'Filter-old'!E191</f>
        <v>-20.181812499999999</v>
      </c>
      <c r="L206" s="61">
        <f>'Filter-new'!E191</f>
        <v>18.518281250000001</v>
      </c>
      <c r="M206" s="62">
        <f>'price-old'!E70</f>
        <v>50.847146606445314</v>
      </c>
      <c r="N206" s="62">
        <f>'price-new'!E70</f>
        <v>48.545000000000002</v>
      </c>
      <c r="O206" s="429">
        <f>'Filter-new'!E680</f>
        <v>64.735849056603769</v>
      </c>
      <c r="P206" s="62">
        <f>VLOOKUP(B206,[1]Offpeak_Forward!$A$1:$AG$231,13,FALSE)</f>
        <v>24.6177368164063</v>
      </c>
      <c r="Q206" s="45">
        <f>'Filter-old'!H191</f>
        <v>-63</v>
      </c>
      <c r="R206" s="61">
        <f>'Filter-new'!H191</f>
        <v>-263</v>
      </c>
      <c r="S206" s="62">
        <f>'price-old'!H70</f>
        <v>41.497146606445313</v>
      </c>
      <c r="T206" s="62">
        <f>'price-new'!H70</f>
        <v>46.494999999999997</v>
      </c>
      <c r="U206" s="445">
        <f>'Filter-new'!H680</f>
        <v>-52.320754716981135</v>
      </c>
      <c r="V206" s="62">
        <f>VLOOKUP(B206,[1]Offpeak_Forward!$A$1:$AG$231,14,FALSE)</f>
        <v>24.277925491333001</v>
      </c>
      <c r="W206" s="45">
        <f>'Filter-old'!J191</f>
        <v>0</v>
      </c>
      <c r="X206" s="61">
        <f>'Filter-new'!J191</f>
        <v>0</v>
      </c>
      <c r="Y206" s="62">
        <f>'price-old'!J70</f>
        <v>39.274999999999999</v>
      </c>
      <c r="Z206" s="62">
        <f>'price-new'!J70</f>
        <v>51.045000000000002</v>
      </c>
      <c r="AA206" s="45">
        <f>'Filter-old'!F191</f>
        <v>0</v>
      </c>
      <c r="AB206" s="61">
        <f>'Filter-new'!F191</f>
        <v>0</v>
      </c>
      <c r="AC206" s="62">
        <f>'price-old'!F70</f>
        <v>50.847146606445314</v>
      </c>
      <c r="AD206" s="62">
        <f>'price-new'!F70</f>
        <v>51.045000000000002</v>
      </c>
      <c r="AE206" s="45">
        <f>'Filter-old'!P191</f>
        <v>0</v>
      </c>
      <c r="AF206" s="61">
        <f>'Filter-new'!P191</f>
        <v>0</v>
      </c>
      <c r="AG206" s="62">
        <f>'price-old'!O70</f>
        <v>54.147149658203126</v>
      </c>
      <c r="AH206" s="62">
        <f>'price-new'!P70</f>
        <v>38.945</v>
      </c>
      <c r="AI206" s="45">
        <f>'Filter-old'!L191</f>
        <v>0</v>
      </c>
      <c r="AJ206" s="61">
        <f>'Filter-new'!L191</f>
        <v>-1</v>
      </c>
      <c r="AK206" s="62">
        <f>'price-old'!L70</f>
        <v>97.55</v>
      </c>
      <c r="AL206" s="62">
        <f>'price-new'!L70</f>
        <v>47.045000000000002</v>
      </c>
      <c r="AM206" s="62">
        <f>'Filter-new'!L680</f>
        <v>0</v>
      </c>
      <c r="AN206" s="62">
        <f>VLOOKUP(B206,[1]Offpeak_Forward!$A$1:$AG$231,18,FALSE)</f>
        <v>28.3522644042969</v>
      </c>
      <c r="AO206" s="45">
        <f>'Filter-old'!G191</f>
        <v>0</v>
      </c>
      <c r="AP206" s="61">
        <f>'Filter-new'!G191</f>
        <v>0</v>
      </c>
      <c r="AQ206" s="62">
        <f>'price-old'!G70</f>
        <v>45.249992370605469</v>
      </c>
      <c r="AR206" s="62">
        <f>'price-new'!G70</f>
        <v>44.25</v>
      </c>
      <c r="AS206" s="45"/>
      <c r="AT206" s="61">
        <f t="shared" si="22"/>
        <v>71.608624999999989</v>
      </c>
      <c r="AU206" s="62"/>
      <c r="AV206" s="62">
        <f t="shared" si="23"/>
        <v>0</v>
      </c>
      <c r="AW206" s="45">
        <f>'Filter-old'!I191</f>
        <v>-25</v>
      </c>
      <c r="AX206" s="61">
        <f>'Filter-new'!I191</f>
        <v>-25</v>
      </c>
      <c r="AY206" s="62">
        <f>'price-old'!I70</f>
        <v>55.522148132324219</v>
      </c>
      <c r="AZ206" s="62">
        <f>'price-new'!I70</f>
        <v>48.045000000000002</v>
      </c>
      <c r="BA206" s="62">
        <f>'Filter-new'!I680</f>
        <v>0</v>
      </c>
      <c r="BB206" s="62">
        <f>VLOOKUP(B206,[1]Offpeak_Forward!$A$1:$AG$231,15,FALSE)</f>
        <v>28.1956596374512</v>
      </c>
      <c r="BC206" s="45">
        <f>'Filter-old'!K191</f>
        <v>0</v>
      </c>
      <c r="BD206" s="61">
        <f>'Filter-new'!K191</f>
        <v>0</v>
      </c>
      <c r="BE206" s="62">
        <f>'price-old'!K70</f>
        <v>57.85</v>
      </c>
      <c r="BF206" s="62">
        <f>'price-new'!K70</f>
        <v>46.8</v>
      </c>
      <c r="BG206" s="45">
        <f>'Filter-old'!M191</f>
        <v>0</v>
      </c>
      <c r="BH206" s="61"/>
      <c r="BI206" s="61"/>
      <c r="BJ206" s="61">
        <f>'Filter-new'!M191</f>
        <v>0</v>
      </c>
      <c r="BK206" s="62">
        <f>'price-old'!M70</f>
        <v>61</v>
      </c>
      <c r="BL206" s="62">
        <f>'price-new'!M70</f>
        <v>52.5</v>
      </c>
      <c r="BM206" s="62"/>
      <c r="BN206" s="406">
        <f>'Filter-new'!N191</f>
        <v>0</v>
      </c>
      <c r="BO206" s="62"/>
      <c r="BP206" s="62">
        <f>'price-new'!N70</f>
        <v>69</v>
      </c>
      <c r="BQ206" s="45">
        <f>'Filter-old'!O191</f>
        <v>0</v>
      </c>
      <c r="BR206" s="61">
        <f>'Filter-new'!O191</f>
        <v>0</v>
      </c>
      <c r="BS206" s="62">
        <f>'price-old'!N70</f>
        <v>60.847146606445314</v>
      </c>
      <c r="BT206" s="62">
        <f>'price-new'!O70</f>
        <v>47.3</v>
      </c>
      <c r="BU206" s="45">
        <f>'Filter-old'!Q191</f>
        <v>89.688593749999995</v>
      </c>
      <c r="BV206" s="61">
        <f>'Filter-new'!Q191</f>
        <v>96.608624999999989</v>
      </c>
      <c r="BW206" s="62">
        <f>'price-old'!P70</f>
        <v>58.997146606445313</v>
      </c>
      <c r="BX206" s="88">
        <f>'price-new'!Q70</f>
        <v>48.822000000000003</v>
      </c>
      <c r="BY206" s="88">
        <f>'Filter-new'!Q680</f>
        <v>0</v>
      </c>
      <c r="BZ206" s="88">
        <f>VLOOKUP(B206,[1]Offpeak_Forward!$A$1:$AG$231,22,FALSE)</f>
        <v>28.356979370117202</v>
      </c>
      <c r="CA206" s="45">
        <f>'Filter-old'!R191</f>
        <v>0</v>
      </c>
      <c r="CB206" s="61">
        <f>'Filter-new'!R191</f>
        <v>0</v>
      </c>
      <c r="CC206" s="61">
        <f>'price-old'!Q70</f>
        <v>61</v>
      </c>
      <c r="CD206" s="89">
        <f>'price-new'!R70</f>
        <v>50.5</v>
      </c>
      <c r="CE206" s="87">
        <f>'Filter-new'!R680</f>
        <v>0</v>
      </c>
      <c r="CF206" s="87">
        <f>VLOOKUP(B206,[1]Offpeak_Forward!$A$1:$AG$231,6,FALSE)</f>
        <v>25.920753479003899</v>
      </c>
      <c r="CG206" s="4"/>
    </row>
    <row r="207" spans="1:85" hidden="1" x14ac:dyDescent="0.2">
      <c r="A207">
        <v>0</v>
      </c>
      <c r="B207" s="59">
        <v>38930</v>
      </c>
      <c r="C207" s="59">
        <f>'Filter-new'!C70</f>
        <v>38930</v>
      </c>
      <c r="D207" s="63"/>
      <c r="E207" s="63"/>
      <c r="F207" s="63"/>
      <c r="G207" s="36">
        <f t="shared" si="19"/>
        <v>-17.118125000000006</v>
      </c>
      <c r="H207" s="36">
        <f t="shared" si="20"/>
        <v>-172.64809782608694</v>
      </c>
      <c r="I207" s="36">
        <f t="shared" si="21"/>
        <v>8.5106382978723474</v>
      </c>
      <c r="J207" s="41"/>
      <c r="K207" s="45">
        <f>'Filter-old'!E192</f>
        <v>-20.074239130434783</v>
      </c>
      <c r="L207" s="61">
        <f>'Filter-new'!E192</f>
        <v>18.425271739130434</v>
      </c>
      <c r="M207" s="62">
        <f>'price-old'!E71</f>
        <v>50.847146606445314</v>
      </c>
      <c r="N207" s="62">
        <f>'price-new'!E71</f>
        <v>48.375</v>
      </c>
      <c r="O207" s="429">
        <f>'Filter-new'!E681</f>
        <v>77.659574468085111</v>
      </c>
      <c r="P207" s="62">
        <f>VLOOKUP(B207,[1]Offpeak_Forward!$A$1:$AG$231,13,FALSE)</f>
        <v>24.475746154785199</v>
      </c>
      <c r="Q207" s="45">
        <f>'Filter-old'!H192</f>
        <v>-62</v>
      </c>
      <c r="R207" s="61">
        <f>'Filter-new'!H192</f>
        <v>-262</v>
      </c>
      <c r="S207" s="62">
        <f>'price-old'!H71</f>
        <v>41.497146606445313</v>
      </c>
      <c r="T207" s="62">
        <f>'price-new'!H71</f>
        <v>46.325000000000003</v>
      </c>
      <c r="U207" s="445">
        <f>'Filter-new'!H681</f>
        <v>-69.148936170212764</v>
      </c>
      <c r="V207" s="62">
        <f>VLOOKUP(B207,[1]Offpeak_Forward!$A$1:$AG$231,14,FALSE)</f>
        <v>23.061489105224599</v>
      </c>
      <c r="W207" s="45">
        <f>'Filter-old'!J192</f>
        <v>0</v>
      </c>
      <c r="X207" s="61">
        <f>'Filter-new'!J192</f>
        <v>0</v>
      </c>
      <c r="Y207" s="62">
        <f>'price-old'!J71</f>
        <v>39.274999999999999</v>
      </c>
      <c r="Z207" s="62">
        <f>'price-new'!J71</f>
        <v>50.875</v>
      </c>
      <c r="AA207" s="45">
        <f>'Filter-old'!F192</f>
        <v>0</v>
      </c>
      <c r="AB207" s="61">
        <f>'Filter-new'!F192</f>
        <v>0</v>
      </c>
      <c r="AC207" s="62">
        <f>'price-old'!F71</f>
        <v>50.847146606445314</v>
      </c>
      <c r="AD207" s="62">
        <f>'price-new'!F71</f>
        <v>50.875</v>
      </c>
      <c r="AE207" s="45">
        <f>'Filter-old'!P192</f>
        <v>0</v>
      </c>
      <c r="AF207" s="61">
        <f>'Filter-new'!P192</f>
        <v>0</v>
      </c>
      <c r="AG207" s="62">
        <f>'price-old'!O71</f>
        <v>54.147149658203126</v>
      </c>
      <c r="AH207" s="62">
        <f>'price-new'!P71</f>
        <v>38.774999999999999</v>
      </c>
      <c r="AI207" s="45">
        <f>'Filter-old'!L192</f>
        <v>0</v>
      </c>
      <c r="AJ207" s="61">
        <f>'Filter-new'!L192</f>
        <v>-1</v>
      </c>
      <c r="AK207" s="62">
        <f>'price-old'!L71</f>
        <v>98.04</v>
      </c>
      <c r="AL207" s="62">
        <f>'price-new'!L71</f>
        <v>47.875</v>
      </c>
      <c r="AM207" s="62">
        <f>'Filter-new'!L681</f>
        <v>0</v>
      </c>
      <c r="AN207" s="62">
        <f>VLOOKUP(B207,[1]Offpeak_Forward!$A$1:$AG$231,18,FALSE)</f>
        <v>28.623191833496101</v>
      </c>
      <c r="AO207" s="45">
        <f>'Filter-old'!G192</f>
        <v>0</v>
      </c>
      <c r="AP207" s="61">
        <f>'Filter-new'!G192</f>
        <v>0</v>
      </c>
      <c r="AQ207" s="62">
        <f>'price-old'!G71</f>
        <v>45.25</v>
      </c>
      <c r="AR207" s="62">
        <f>'price-new'!G71</f>
        <v>43.85</v>
      </c>
      <c r="AS207" s="45"/>
      <c r="AT207" s="61">
        <f t="shared" si="22"/>
        <v>71.926630434782609</v>
      </c>
      <c r="AU207" s="62"/>
      <c r="AV207" s="62">
        <f t="shared" si="23"/>
        <v>0</v>
      </c>
      <c r="AW207" s="45">
        <f>'Filter-old'!I192</f>
        <v>-25</v>
      </c>
      <c r="AX207" s="61">
        <f>'Filter-new'!I192</f>
        <v>-25</v>
      </c>
      <c r="AY207" s="62">
        <f>'price-old'!I71</f>
        <v>55.397148132324219</v>
      </c>
      <c r="AZ207" s="62">
        <f>'price-new'!I71</f>
        <v>47.875</v>
      </c>
      <c r="BA207" s="62">
        <f>'Filter-new'!I681</f>
        <v>0</v>
      </c>
      <c r="BB207" s="62">
        <f>VLOOKUP(B207,[1]Offpeak_Forward!$A$1:$AG$231,15,FALSE)</f>
        <v>27.451702117919901</v>
      </c>
      <c r="BC207" s="45">
        <f>'Filter-old'!K192</f>
        <v>0</v>
      </c>
      <c r="BD207" s="61">
        <f>'Filter-new'!K192</f>
        <v>0</v>
      </c>
      <c r="BE207" s="62">
        <f>'price-old'!K71</f>
        <v>57.85</v>
      </c>
      <c r="BF207" s="62">
        <f>'price-new'!K71</f>
        <v>46.8</v>
      </c>
      <c r="BG207" s="45">
        <f>'Filter-old'!M192</f>
        <v>0</v>
      </c>
      <c r="BH207" s="61"/>
      <c r="BI207" s="61"/>
      <c r="BJ207" s="61">
        <f>'Filter-new'!M192</f>
        <v>0</v>
      </c>
      <c r="BK207" s="62">
        <f>'price-old'!M71</f>
        <v>61</v>
      </c>
      <c r="BL207" s="62">
        <f>'price-new'!M71</f>
        <v>52.5</v>
      </c>
      <c r="BM207" s="62"/>
      <c r="BN207" s="406">
        <f>'Filter-new'!N192</f>
        <v>0</v>
      </c>
      <c r="BO207" s="62"/>
      <c r="BP207" s="62">
        <f>'price-new'!N71</f>
        <v>69</v>
      </c>
      <c r="BQ207" s="45">
        <f>'Filter-old'!O192</f>
        <v>0</v>
      </c>
      <c r="BR207" s="61">
        <f>'Filter-new'!O192</f>
        <v>0</v>
      </c>
      <c r="BS207" s="62">
        <f>'price-old'!N71</f>
        <v>60.847146606445314</v>
      </c>
      <c r="BT207" s="62">
        <f>'price-new'!O71</f>
        <v>46.3</v>
      </c>
      <c r="BU207" s="45">
        <f>'Filter-old'!Q192</f>
        <v>89.956114130434784</v>
      </c>
      <c r="BV207" s="61">
        <f>'Filter-new'!Q192</f>
        <v>96.926630434782609</v>
      </c>
      <c r="BW207" s="62">
        <f>'price-old'!P71</f>
        <v>58.997146606445313</v>
      </c>
      <c r="BX207" s="88">
        <f>'price-new'!Q71</f>
        <v>49.072000000000003</v>
      </c>
      <c r="BY207" s="88">
        <f>'Filter-new'!Q681</f>
        <v>0</v>
      </c>
      <c r="BZ207" s="88">
        <f>VLOOKUP(B207,[1]Offpeak_Forward!$A$1:$AG$231,22,FALSE)</f>
        <v>27.200424194335898</v>
      </c>
      <c r="CA207" s="45">
        <f>'Filter-old'!R192</f>
        <v>0</v>
      </c>
      <c r="CB207" s="61">
        <f>'Filter-new'!R192</f>
        <v>0</v>
      </c>
      <c r="CC207" s="61">
        <f>'price-old'!Q71</f>
        <v>61</v>
      </c>
      <c r="CD207" s="89">
        <f>'price-new'!R71</f>
        <v>50.5</v>
      </c>
      <c r="CE207" s="87">
        <f>'Filter-new'!R681</f>
        <v>0</v>
      </c>
      <c r="CF207" s="87">
        <f>VLOOKUP(B207,[1]Offpeak_Forward!$A$1:$AG$231,6,FALSE)</f>
        <v>24.729785919189499</v>
      </c>
      <c r="CG207" s="4"/>
    </row>
    <row r="208" spans="1:85" hidden="1" x14ac:dyDescent="0.2">
      <c r="A208">
        <v>0</v>
      </c>
      <c r="B208" s="59">
        <v>38961</v>
      </c>
      <c r="C208" s="59">
        <f>'Filter-new'!C71</f>
        <v>38961</v>
      </c>
      <c r="D208" s="63"/>
      <c r="E208" s="63"/>
      <c r="F208" s="63"/>
      <c r="G208" s="36">
        <f t="shared" si="19"/>
        <v>-32.739531249999999</v>
      </c>
      <c r="H208" s="36">
        <f t="shared" si="20"/>
        <v>-187.41528125000002</v>
      </c>
      <c r="I208" s="36">
        <f t="shared" si="21"/>
        <v>6.9174999999999898</v>
      </c>
      <c r="J208" s="41"/>
      <c r="K208" s="45">
        <f>'Filter-old'!E193</f>
        <v>-19.970281249999999</v>
      </c>
      <c r="L208" s="61">
        <f>'Filter-new'!E193</f>
        <v>18.335000000000001</v>
      </c>
      <c r="M208" s="62">
        <f>'price-old'!E72</f>
        <v>35.152140045166014</v>
      </c>
      <c r="N208" s="62">
        <f>'price-new'!E72</f>
        <v>27.78</v>
      </c>
      <c r="O208" s="429">
        <f>'Filter-new'!E682</f>
        <v>71.722499999999997</v>
      </c>
      <c r="P208" s="62">
        <f>VLOOKUP(B208,[1]Offpeak_Forward!$A$1:$AG$231,13,FALSE)</f>
        <v>18.446001052856399</v>
      </c>
      <c r="Q208" s="45">
        <f>'Filter-old'!H193</f>
        <v>-78</v>
      </c>
      <c r="R208" s="61">
        <f>'Filter-new'!H193</f>
        <v>-278</v>
      </c>
      <c r="S208" s="62">
        <f>'price-old'!H72</f>
        <v>29.102143859863283</v>
      </c>
      <c r="T208" s="62">
        <f>'price-new'!H72</f>
        <v>26.53</v>
      </c>
      <c r="U208" s="445">
        <f>'Filter-new'!H682</f>
        <v>-64.805000000000007</v>
      </c>
      <c r="V208" s="62">
        <f>VLOOKUP(B208,[1]Offpeak_Forward!$A$1:$AG$231,14,FALSE)</f>
        <v>17.903999328613299</v>
      </c>
      <c r="W208" s="45">
        <f>'Filter-old'!J193</f>
        <v>0</v>
      </c>
      <c r="X208" s="61">
        <f>'Filter-new'!J193</f>
        <v>0</v>
      </c>
      <c r="Y208" s="62">
        <f>'price-old'!J72</f>
        <v>34.94941390991211</v>
      </c>
      <c r="Z208" s="62">
        <f>'price-new'!J72</f>
        <v>29.28</v>
      </c>
      <c r="AA208" s="45">
        <f>'Filter-old'!F193</f>
        <v>0</v>
      </c>
      <c r="AB208" s="61">
        <f>'Filter-new'!F193</f>
        <v>0</v>
      </c>
      <c r="AC208" s="62">
        <f>'price-old'!F72</f>
        <v>35.152140045166014</v>
      </c>
      <c r="AD208" s="62">
        <f>'price-new'!F72</f>
        <v>29.28</v>
      </c>
      <c r="AE208" s="45">
        <f>'Filter-old'!P193</f>
        <v>0</v>
      </c>
      <c r="AF208" s="61">
        <f>'Filter-new'!P193</f>
        <v>0</v>
      </c>
      <c r="AG208" s="62">
        <f>'price-old'!O72</f>
        <v>37.40214385986328</v>
      </c>
      <c r="AH208" s="62">
        <f>'price-new'!P72</f>
        <v>23.63</v>
      </c>
      <c r="AI208" s="45">
        <f>'Filter-old'!L193</f>
        <v>0</v>
      </c>
      <c r="AJ208" s="61">
        <f>'Filter-new'!L193</f>
        <v>0</v>
      </c>
      <c r="AK208" s="62">
        <f>'price-old'!L72</f>
        <v>55.04</v>
      </c>
      <c r="AL208" s="62">
        <f>'price-new'!L72</f>
        <v>30.17</v>
      </c>
      <c r="AM208" s="62">
        <f>'Filter-new'!L682</f>
        <v>0</v>
      </c>
      <c r="AN208" s="62">
        <f>VLOOKUP(B208,[1]Offpeak_Forward!$A$1:$AG$231,18,FALSE)</f>
        <v>22.263999938964801</v>
      </c>
      <c r="AO208" s="45">
        <f>'Filter-old'!G193</f>
        <v>0</v>
      </c>
      <c r="AP208" s="61">
        <f>'Filter-new'!G193</f>
        <v>0</v>
      </c>
      <c r="AQ208" s="62">
        <f>'price-old'!G72</f>
        <v>33.250003814697266</v>
      </c>
      <c r="AR208" s="62">
        <f>'price-new'!G72</f>
        <v>31.6</v>
      </c>
      <c r="AS208" s="45"/>
      <c r="AT208" s="61">
        <f t="shared" si="22"/>
        <v>72.24971875</v>
      </c>
      <c r="AU208" s="62"/>
      <c r="AV208" s="62">
        <f t="shared" si="23"/>
        <v>0</v>
      </c>
      <c r="AW208" s="45">
        <f>'Filter-old'!I193</f>
        <v>-25</v>
      </c>
      <c r="AX208" s="61">
        <f>'Filter-new'!I193</f>
        <v>-25</v>
      </c>
      <c r="AY208" s="62">
        <f>'price-old'!I72</f>
        <v>34.652145385742187</v>
      </c>
      <c r="AZ208" s="62">
        <f>'price-new'!I72</f>
        <v>27.28</v>
      </c>
      <c r="BA208" s="62">
        <f>'Filter-new'!I682</f>
        <v>0</v>
      </c>
      <c r="BB208" s="62">
        <f>VLOOKUP(B208,[1]Offpeak_Forward!$A$1:$AG$231,15,FALSE)</f>
        <v>18.455999374389599</v>
      </c>
      <c r="BC208" s="45">
        <f>'Filter-old'!K193</f>
        <v>0</v>
      </c>
      <c r="BD208" s="61">
        <f>'Filter-new'!K193</f>
        <v>0</v>
      </c>
      <c r="BE208" s="62">
        <f>'price-old'!K72</f>
        <v>36.85</v>
      </c>
      <c r="BF208" s="62">
        <f>'price-new'!K72</f>
        <v>33.799999999999997</v>
      </c>
      <c r="BG208" s="45">
        <f>'Filter-old'!M193</f>
        <v>0</v>
      </c>
      <c r="BH208" s="61"/>
      <c r="BI208" s="61"/>
      <c r="BJ208" s="61">
        <f>'Filter-new'!M193</f>
        <v>0</v>
      </c>
      <c r="BK208" s="62">
        <f>'price-old'!M72</f>
        <v>33.25</v>
      </c>
      <c r="BL208" s="62">
        <f>'price-new'!M72</f>
        <v>30.25</v>
      </c>
      <c r="BM208" s="62"/>
      <c r="BN208" s="406">
        <f>'Filter-new'!N193</f>
        <v>0</v>
      </c>
      <c r="BO208" s="62"/>
      <c r="BP208" s="62">
        <f>'price-new'!N72</f>
        <v>38</v>
      </c>
      <c r="BQ208" s="45">
        <f>'Filter-old'!O193</f>
        <v>0</v>
      </c>
      <c r="BR208" s="61">
        <f>'Filter-new'!O193</f>
        <v>0</v>
      </c>
      <c r="BS208" s="62">
        <f>'price-old'!N72</f>
        <v>38.152140045166014</v>
      </c>
      <c r="BT208" s="62">
        <f>'price-new'!O72</f>
        <v>27.21</v>
      </c>
      <c r="BU208" s="45">
        <f>'Filter-old'!Q193</f>
        <v>90.23075</v>
      </c>
      <c r="BV208" s="61">
        <f>'Filter-new'!Q193</f>
        <v>97.24971875</v>
      </c>
      <c r="BW208" s="62">
        <f>'price-old'!P72</f>
        <v>34.252143859863281</v>
      </c>
      <c r="BX208" s="88">
        <f>'price-new'!Q72</f>
        <v>25.452000000000002</v>
      </c>
      <c r="BY208" s="88">
        <f>'Filter-new'!Q682</f>
        <v>0</v>
      </c>
      <c r="BZ208" s="88">
        <f>VLOOKUP(B208,[1]Offpeak_Forward!$A$1:$AG$231,22,FALSE)</f>
        <v>21.791997909545898</v>
      </c>
      <c r="CA208" s="45">
        <f>'Filter-old'!R193</f>
        <v>0</v>
      </c>
      <c r="CB208" s="61">
        <f>'Filter-new'!R193</f>
        <v>0</v>
      </c>
      <c r="CC208" s="61">
        <f>'price-old'!Q72</f>
        <v>33.25</v>
      </c>
      <c r="CD208" s="89">
        <f>'price-new'!R72</f>
        <v>29.5</v>
      </c>
      <c r="CE208" s="87">
        <f>'Filter-new'!R682</f>
        <v>0</v>
      </c>
      <c r="CF208" s="87">
        <f>VLOOKUP(B208,[1]Offpeak_Forward!$A$1:$AG$231,6,FALSE)</f>
        <v>18.479200363159201</v>
      </c>
      <c r="CG208" s="4"/>
    </row>
    <row r="209" spans="1:85" hidden="1" x14ac:dyDescent="0.2">
      <c r="A209">
        <v>0</v>
      </c>
      <c r="B209" s="59">
        <v>38991</v>
      </c>
      <c r="C209" s="59">
        <f>'Filter-new'!C72</f>
        <v>38991</v>
      </c>
      <c r="D209" s="63"/>
      <c r="E209" s="63"/>
      <c r="F209" s="63"/>
      <c r="G209" s="36">
        <f t="shared" si="19"/>
        <v>-34.11636363636363</v>
      </c>
      <c r="H209" s="36">
        <f t="shared" si="20"/>
        <v>-189.00448863636365</v>
      </c>
      <c r="I209" s="36">
        <f t="shared" si="21"/>
        <v>-0.97959183673469852</v>
      </c>
      <c r="J209" s="41"/>
      <c r="K209" s="45">
        <f>'Filter-old'!E194</f>
        <v>-19.863068181818182</v>
      </c>
      <c r="L209" s="61">
        <f>'Filter-new'!E194</f>
        <v>18.241477272727273</v>
      </c>
      <c r="M209" s="62">
        <f>'price-old'!E73</f>
        <v>34.152062177658081</v>
      </c>
      <c r="N209" s="62">
        <f>'price-new'!E73</f>
        <v>27.89</v>
      </c>
      <c r="O209" s="429">
        <f>'Filter-new'!E683</f>
        <v>71.510204081632651</v>
      </c>
      <c r="P209" s="62">
        <f>VLOOKUP(B209,[1]Offpeak_Forward!$A$1:$AG$231,13,FALSE)</f>
        <v>16.0395908355713</v>
      </c>
      <c r="Q209" s="45">
        <f>'Filter-old'!H194</f>
        <v>-79</v>
      </c>
      <c r="R209" s="61">
        <f>'Filter-new'!H194</f>
        <v>-279</v>
      </c>
      <c r="S209" s="62">
        <f>'price-old'!H73</f>
        <v>33.093929290771484</v>
      </c>
      <c r="T209" s="62">
        <f>'price-new'!H73</f>
        <v>26.64</v>
      </c>
      <c r="U209" s="445">
        <f>'Filter-new'!H683</f>
        <v>-72.489795918367349</v>
      </c>
      <c r="V209" s="62">
        <f>VLOOKUP(B209,[1]Offpeak_Forward!$A$1:$AG$231,14,FALSE)</f>
        <v>16.2438774108887</v>
      </c>
      <c r="W209" s="45">
        <f>'Filter-old'!J194</f>
        <v>0</v>
      </c>
      <c r="X209" s="61">
        <f>'Filter-new'!J194</f>
        <v>0</v>
      </c>
      <c r="Y209" s="62">
        <f>'price-old'!J73</f>
        <v>39.654998779296875</v>
      </c>
      <c r="Z209" s="62">
        <f>'price-new'!J73</f>
        <v>27.89</v>
      </c>
      <c r="AA209" s="45">
        <f>'Filter-old'!F194</f>
        <v>0</v>
      </c>
      <c r="AB209" s="61">
        <f>'Filter-new'!F194</f>
        <v>0</v>
      </c>
      <c r="AC209" s="62">
        <f>'price-old'!F73</f>
        <v>34.152062177658081</v>
      </c>
      <c r="AD209" s="62">
        <f>'price-new'!F73</f>
        <v>27.89</v>
      </c>
      <c r="AE209" s="45">
        <f>'Filter-old'!P194</f>
        <v>0</v>
      </c>
      <c r="AF209" s="61">
        <f>'Filter-new'!P194</f>
        <v>0</v>
      </c>
      <c r="AG209" s="62">
        <f>'price-old'!O73</f>
        <v>33.903934478759766</v>
      </c>
      <c r="AH209" s="62">
        <f>'price-new'!P73</f>
        <v>29.08</v>
      </c>
      <c r="AI209" s="45">
        <f>'Filter-old'!L194</f>
        <v>0</v>
      </c>
      <c r="AJ209" s="61">
        <f>'Filter-new'!L194</f>
        <v>0</v>
      </c>
      <c r="AK209" s="62">
        <f>'price-old'!L73</f>
        <v>54.04</v>
      </c>
      <c r="AL209" s="62">
        <f>'price-new'!L73</f>
        <v>29.23</v>
      </c>
      <c r="AM209" s="62">
        <f>'Filter-new'!L683</f>
        <v>0</v>
      </c>
      <c r="AN209" s="62">
        <f>VLOOKUP(B209,[1]Offpeak_Forward!$A$1:$AG$231,18,FALSE)</f>
        <v>20.038162231445298</v>
      </c>
      <c r="AO209" s="45">
        <f>'Filter-old'!G194</f>
        <v>0</v>
      </c>
      <c r="AP209" s="61">
        <f>'Filter-new'!G194</f>
        <v>0</v>
      </c>
      <c r="AQ209" s="62">
        <f>'price-old'!G73</f>
        <v>30.300003051757812</v>
      </c>
      <c r="AR209" s="62">
        <f>'price-new'!G73</f>
        <v>29.82</v>
      </c>
      <c r="AS209" s="45"/>
      <c r="AT209" s="61">
        <f t="shared" si="22"/>
        <v>71.754034090909087</v>
      </c>
      <c r="AU209" s="62"/>
      <c r="AV209" s="62">
        <f t="shared" si="23"/>
        <v>0</v>
      </c>
      <c r="AW209" s="45">
        <f>'Filter-old'!I194</f>
        <v>-25</v>
      </c>
      <c r="AX209" s="61">
        <f>'Filter-new'!I194</f>
        <v>-25</v>
      </c>
      <c r="AY209" s="62">
        <f>'price-old'!I73</f>
        <v>33.528934478759766</v>
      </c>
      <c r="AZ209" s="62">
        <f>'price-new'!I73</f>
        <v>27.39</v>
      </c>
      <c r="BA209" s="62">
        <f>'Filter-new'!I683</f>
        <v>0</v>
      </c>
      <c r="BB209" s="62">
        <f>VLOOKUP(B209,[1]Offpeak_Forward!$A$1:$AG$231,15,FALSE)</f>
        <v>16.9740810394287</v>
      </c>
      <c r="BC209" s="45">
        <f>'Filter-old'!K194</f>
        <v>0</v>
      </c>
      <c r="BD209" s="61">
        <f>'Filter-new'!K194</f>
        <v>0</v>
      </c>
      <c r="BE209" s="62">
        <f>'price-old'!K73</f>
        <v>38.1</v>
      </c>
      <c r="BF209" s="62">
        <f>'price-new'!K73</f>
        <v>33.549999999999997</v>
      </c>
      <c r="BG209" s="45">
        <f>'Filter-old'!M194</f>
        <v>0</v>
      </c>
      <c r="BH209" s="61"/>
      <c r="BI209" s="61"/>
      <c r="BJ209" s="61">
        <f>'Filter-new'!M194</f>
        <v>0</v>
      </c>
      <c r="BK209" s="62">
        <f>'price-old'!M73</f>
        <v>32.5</v>
      </c>
      <c r="BL209" s="62">
        <f>'price-new'!M73</f>
        <v>30.25</v>
      </c>
      <c r="BM209" s="62"/>
      <c r="BN209" s="406">
        <f>'Filter-new'!N194</f>
        <v>0</v>
      </c>
      <c r="BO209" s="62"/>
      <c r="BP209" s="62">
        <f>'price-new'!N73</f>
        <v>38</v>
      </c>
      <c r="BQ209" s="45">
        <f>'Filter-old'!O194</f>
        <v>0</v>
      </c>
      <c r="BR209" s="61">
        <f>'Filter-new'!O194</f>
        <v>0</v>
      </c>
      <c r="BS209" s="62">
        <f>'price-old'!N73</f>
        <v>35.998935699462891</v>
      </c>
      <c r="BT209" s="62">
        <f>'price-new'!O73</f>
        <v>28.97</v>
      </c>
      <c r="BU209" s="45">
        <f>'Filter-old'!Q194</f>
        <v>89.746704545454548</v>
      </c>
      <c r="BV209" s="61">
        <f>'Filter-new'!Q194</f>
        <v>96.754034090909087</v>
      </c>
      <c r="BW209" s="62">
        <f>'price-old'!P73</f>
        <v>32.003932952880859</v>
      </c>
      <c r="BX209" s="88">
        <f>'price-new'!Q73</f>
        <v>27.122</v>
      </c>
      <c r="BY209" s="88">
        <f>'Filter-new'!Q683</f>
        <v>0</v>
      </c>
      <c r="BZ209" s="88">
        <f>VLOOKUP(B209,[1]Offpeak_Forward!$A$1:$AG$231,22,FALSE)</f>
        <v>20.028978347778299</v>
      </c>
      <c r="CA209" s="45">
        <f>'Filter-old'!R194</f>
        <v>0</v>
      </c>
      <c r="CB209" s="61">
        <f>'Filter-new'!R194</f>
        <v>0</v>
      </c>
      <c r="CC209" s="61">
        <f>'price-old'!Q73</f>
        <v>32.5</v>
      </c>
      <c r="CD209" s="89">
        <f>'price-new'!R73</f>
        <v>29.5</v>
      </c>
      <c r="CE209" s="87">
        <f>'Filter-new'!R683</f>
        <v>0</v>
      </c>
      <c r="CF209" s="87">
        <f>VLOOKUP(B209,[1]Offpeak_Forward!$A$1:$AG$231,6,FALSE)</f>
        <v>19.6481628417969</v>
      </c>
      <c r="CG209" s="4"/>
    </row>
    <row r="210" spans="1:85" hidden="1" x14ac:dyDescent="0.2">
      <c r="A210">
        <v>0</v>
      </c>
      <c r="B210" s="59">
        <v>39022</v>
      </c>
      <c r="C210" s="59">
        <f>'Filter-new'!C73</f>
        <v>39022</v>
      </c>
      <c r="D210" s="63"/>
      <c r="E210" s="63"/>
      <c r="F210" s="63"/>
      <c r="G210" s="36">
        <f t="shared" si="19"/>
        <v>-35.480803571428567</v>
      </c>
      <c r="H210" s="36">
        <f t="shared" si="20"/>
        <v>-190.55648809523814</v>
      </c>
      <c r="I210" s="36">
        <f t="shared" si="21"/>
        <v>0</v>
      </c>
      <c r="J210" s="41"/>
      <c r="K210" s="45">
        <f>'Filter-old'!E195</f>
        <v>-19.759523809523809</v>
      </c>
      <c r="L210" s="61">
        <f>'Filter-new'!E195</f>
        <v>18.153869047619047</v>
      </c>
      <c r="M210" s="62">
        <f>'price-old'!E74</f>
        <v>34.252060651779175</v>
      </c>
      <c r="N210" s="62">
        <f>'price-new'!E74</f>
        <v>27.74</v>
      </c>
      <c r="O210" s="429">
        <f>'Filter-new'!E684</f>
        <v>80.604166666666671</v>
      </c>
      <c r="P210" s="62">
        <f>VLOOKUP(B210,[1]Offpeak_Forward!$A$1:$AG$231,13,FALSE)</f>
        <v>17.001667022705099</v>
      </c>
      <c r="Q210" s="45">
        <f>'Filter-old'!H195</f>
        <v>-80</v>
      </c>
      <c r="R210" s="61">
        <f>'Filter-new'!H195</f>
        <v>-280</v>
      </c>
      <c r="S210" s="62">
        <f>'price-old'!H74</f>
        <v>36.593929290771484</v>
      </c>
      <c r="T210" s="62">
        <f>'price-new'!H74</f>
        <v>26.49</v>
      </c>
      <c r="U210" s="445">
        <f>'Filter-new'!H684</f>
        <v>-80.604166666666671</v>
      </c>
      <c r="V210" s="62">
        <f>VLOOKUP(B210,[1]Offpeak_Forward!$A$1:$AG$231,14,FALSE)</f>
        <v>16.9154167175293</v>
      </c>
      <c r="W210" s="45">
        <f>'Filter-old'!J195</f>
        <v>0</v>
      </c>
      <c r="X210" s="61">
        <f>'Filter-new'!J195</f>
        <v>0</v>
      </c>
      <c r="Y210" s="62">
        <f>'price-old'!J74</f>
        <v>40.451915740966797</v>
      </c>
      <c r="Z210" s="62">
        <f>'price-new'!J74</f>
        <v>27.74</v>
      </c>
      <c r="AA210" s="45">
        <f>'Filter-old'!F195</f>
        <v>0</v>
      </c>
      <c r="AB210" s="61">
        <f>'Filter-new'!F195</f>
        <v>0</v>
      </c>
      <c r="AC210" s="62">
        <f>'price-old'!F74</f>
        <v>34.252060651779175</v>
      </c>
      <c r="AD210" s="62">
        <f>'price-new'!F74</f>
        <v>27.74</v>
      </c>
      <c r="AE210" s="45">
        <f>'Filter-old'!P195</f>
        <v>0</v>
      </c>
      <c r="AF210" s="61">
        <f>'Filter-new'!P195</f>
        <v>0</v>
      </c>
      <c r="AG210" s="62">
        <f>'price-old'!O74</f>
        <v>34.003932952880859</v>
      </c>
      <c r="AH210" s="62">
        <f>'price-new'!P74</f>
        <v>32.33</v>
      </c>
      <c r="AI210" s="45">
        <f>'Filter-old'!L195</f>
        <v>0</v>
      </c>
      <c r="AJ210" s="61">
        <f>'Filter-new'!L195</f>
        <v>0</v>
      </c>
      <c r="AK210" s="62">
        <f>'price-old'!L74</f>
        <v>54.04</v>
      </c>
      <c r="AL210" s="62">
        <f>'price-new'!L74</f>
        <v>29.07</v>
      </c>
      <c r="AM210" s="62">
        <f>'Filter-new'!L684</f>
        <v>0</v>
      </c>
      <c r="AN210" s="62">
        <f>VLOOKUP(B210,[1]Offpeak_Forward!$A$1:$AG$231,18,FALSE)</f>
        <v>20.9579162597656</v>
      </c>
      <c r="AO210" s="45">
        <f>'Filter-old'!G195</f>
        <v>0</v>
      </c>
      <c r="AP210" s="61">
        <f>'Filter-new'!G195</f>
        <v>0</v>
      </c>
      <c r="AQ210" s="62">
        <f>'price-old'!G74</f>
        <v>29.999996185302734</v>
      </c>
      <c r="AR210" s="62">
        <f>'price-new'!G74</f>
        <v>28.82</v>
      </c>
      <c r="AS210" s="45"/>
      <c r="AT210" s="61">
        <f t="shared" si="22"/>
        <v>71.289642857142852</v>
      </c>
      <c r="AU210" s="62"/>
      <c r="AV210" s="62">
        <f t="shared" si="23"/>
        <v>0</v>
      </c>
      <c r="AW210" s="45">
        <f>'Filter-old'!I195</f>
        <v>-25</v>
      </c>
      <c r="AX210" s="61">
        <f>'Filter-new'!I195</f>
        <v>-25</v>
      </c>
      <c r="AY210" s="62">
        <f>'price-old'!I74</f>
        <v>33.503932952880859</v>
      </c>
      <c r="AZ210" s="62">
        <f>'price-new'!I74</f>
        <v>27.24</v>
      </c>
      <c r="BA210" s="62">
        <f>'Filter-new'!I684</f>
        <v>0</v>
      </c>
      <c r="BB210" s="62">
        <f>VLOOKUP(B210,[1]Offpeak_Forward!$A$1:$AG$231,15,FALSE)</f>
        <v>17.170000076293899</v>
      </c>
      <c r="BC210" s="45">
        <f>'Filter-old'!K195</f>
        <v>0</v>
      </c>
      <c r="BD210" s="61">
        <f>'Filter-new'!K195</f>
        <v>0</v>
      </c>
      <c r="BE210" s="62">
        <f>'price-old'!K74</f>
        <v>38.1</v>
      </c>
      <c r="BF210" s="62">
        <f>'price-new'!K74</f>
        <v>33.549999999999997</v>
      </c>
      <c r="BG210" s="45">
        <f>'Filter-old'!M195</f>
        <v>0</v>
      </c>
      <c r="BH210" s="61"/>
      <c r="BI210" s="61"/>
      <c r="BJ210" s="61">
        <f>'Filter-new'!M195</f>
        <v>0</v>
      </c>
      <c r="BK210" s="62">
        <f>'price-old'!M74</f>
        <v>32.5</v>
      </c>
      <c r="BL210" s="62">
        <f>'price-new'!M74</f>
        <v>30.25</v>
      </c>
      <c r="BM210" s="62"/>
      <c r="BN210" s="406">
        <f>'Filter-new'!N195</f>
        <v>0</v>
      </c>
      <c r="BO210" s="62"/>
      <c r="BP210" s="62">
        <f>'price-new'!N74</f>
        <v>38</v>
      </c>
      <c r="BQ210" s="45">
        <f>'Filter-old'!O195</f>
        <v>0</v>
      </c>
      <c r="BR210" s="61">
        <f>'Filter-new'!O195</f>
        <v>0</v>
      </c>
      <c r="BS210" s="62">
        <f>'price-old'!N74</f>
        <v>35.998935699462891</v>
      </c>
      <c r="BT210" s="62">
        <f>'price-new'!O74</f>
        <v>28.97</v>
      </c>
      <c r="BU210" s="45">
        <f>'Filter-old'!Q195</f>
        <v>89.278720238095246</v>
      </c>
      <c r="BV210" s="61">
        <f>'Filter-new'!Q195</f>
        <v>96.289642857142852</v>
      </c>
      <c r="BW210" s="62">
        <f>'price-old'!P74</f>
        <v>32.103931427001953</v>
      </c>
      <c r="BX210" s="88">
        <f>'price-new'!Q74</f>
        <v>27.222000000000001</v>
      </c>
      <c r="BY210" s="88">
        <f>'Filter-new'!Q684</f>
        <v>0</v>
      </c>
      <c r="BZ210" s="88">
        <f>VLOOKUP(B210,[1]Offpeak_Forward!$A$1:$AG$231,22,FALSE)</f>
        <v>20.710414886474599</v>
      </c>
      <c r="CA210" s="45">
        <f>'Filter-old'!R195</f>
        <v>0</v>
      </c>
      <c r="CB210" s="61">
        <f>'Filter-new'!R195</f>
        <v>0</v>
      </c>
      <c r="CC210" s="61">
        <f>'price-old'!Q74</f>
        <v>32.5</v>
      </c>
      <c r="CD210" s="89">
        <f>'price-new'!R74</f>
        <v>29.5</v>
      </c>
      <c r="CE210" s="87">
        <f>'Filter-new'!R684</f>
        <v>0</v>
      </c>
      <c r="CF210" s="87">
        <f>VLOOKUP(B210,[1]Offpeak_Forward!$A$1:$AG$231,6,FALSE)</f>
        <v>20.1866664886475</v>
      </c>
      <c r="CG210" s="4"/>
    </row>
    <row r="211" spans="1:85" hidden="1" x14ac:dyDescent="0.2">
      <c r="A211">
        <v>0</v>
      </c>
      <c r="B211" s="59">
        <v>39052</v>
      </c>
      <c r="C211" s="59">
        <f>'Filter-new'!C74</f>
        <v>39052</v>
      </c>
      <c r="D211" s="63"/>
      <c r="E211" s="63"/>
      <c r="F211" s="63"/>
      <c r="G211" s="36">
        <f t="shared" si="19"/>
        <v>-34.856250000000003</v>
      </c>
      <c r="H211" s="36">
        <f t="shared" si="20"/>
        <v>-190.11199999999999</v>
      </c>
      <c r="I211" s="36">
        <f t="shared" si="21"/>
        <v>-48.075471698113205</v>
      </c>
      <c r="J211" s="41"/>
      <c r="K211" s="45">
        <f>'Filter-old'!E196</f>
        <v>-19.652687499999999</v>
      </c>
      <c r="L211" s="61">
        <f>'Filter-new'!E196</f>
        <v>18.065625000000001</v>
      </c>
      <c r="M211" s="62">
        <f>'price-old'!E75</f>
        <v>34.352059125900269</v>
      </c>
      <c r="N211" s="62">
        <f>'price-new'!E75</f>
        <v>27.06</v>
      </c>
      <c r="O211" s="429">
        <f>'Filter-new'!E685</f>
        <v>21.264150943396228</v>
      </c>
      <c r="P211" s="62">
        <f>VLOOKUP(B211,[1]Offpeak_Forward!$A$1:$AG$231,13,FALSE)</f>
        <v>20.886604309081999</v>
      </c>
      <c r="Q211" s="45">
        <f>'Filter-old'!H196</f>
        <v>-79</v>
      </c>
      <c r="R211" s="61">
        <f>'Filter-new'!H196</f>
        <v>-279</v>
      </c>
      <c r="S211" s="62">
        <f>'price-old'!H75</f>
        <v>37.093929290771484</v>
      </c>
      <c r="T211" s="62">
        <f>'price-new'!H75</f>
        <v>25.81</v>
      </c>
      <c r="U211" s="445">
        <f>'Filter-new'!H685</f>
        <v>-69.339622641509436</v>
      </c>
      <c r="V211" s="62">
        <f>VLOOKUP(B211,[1]Offpeak_Forward!$A$1:$AG$231,14,FALSE)</f>
        <v>20.824905395507798</v>
      </c>
      <c r="W211" s="45">
        <f>'Filter-old'!J196</f>
        <v>0</v>
      </c>
      <c r="X211" s="61">
        <f>'Filter-new'!J196</f>
        <v>0</v>
      </c>
      <c r="Y211" s="62">
        <f>'price-old'!J75</f>
        <v>41.207302093505859</v>
      </c>
      <c r="Z211" s="62">
        <f>'price-new'!J75</f>
        <v>27.06</v>
      </c>
      <c r="AA211" s="45">
        <f>'Filter-old'!F196</f>
        <v>0</v>
      </c>
      <c r="AB211" s="61">
        <f>'Filter-new'!F196</f>
        <v>0</v>
      </c>
      <c r="AC211" s="62">
        <f>'price-old'!F75</f>
        <v>34.352059125900269</v>
      </c>
      <c r="AD211" s="62">
        <f>'price-new'!F75</f>
        <v>27.06</v>
      </c>
      <c r="AE211" s="45">
        <f>'Filter-old'!P196</f>
        <v>0</v>
      </c>
      <c r="AF211" s="61">
        <f>'Filter-new'!P196</f>
        <v>0</v>
      </c>
      <c r="AG211" s="62">
        <f>'price-old'!O75</f>
        <v>34.103931427001953</v>
      </c>
      <c r="AH211" s="62">
        <f>'price-new'!P75</f>
        <v>32.049999999999997</v>
      </c>
      <c r="AI211" s="45">
        <f>'Filter-old'!L196</f>
        <v>0</v>
      </c>
      <c r="AJ211" s="61">
        <f>'Filter-new'!L196</f>
        <v>0</v>
      </c>
      <c r="AK211" s="62">
        <f>'price-old'!L75</f>
        <v>54.04</v>
      </c>
      <c r="AL211" s="62">
        <f>'price-new'!L75</f>
        <v>28.39</v>
      </c>
      <c r="AM211" s="62">
        <f>'Filter-new'!L685</f>
        <v>0</v>
      </c>
      <c r="AN211" s="62">
        <f>VLOOKUP(B211,[1]Offpeak_Forward!$A$1:$AG$231,18,FALSE)</f>
        <v>24.621131896972699</v>
      </c>
      <c r="AO211" s="45">
        <f>'Filter-old'!G196</f>
        <v>0</v>
      </c>
      <c r="AP211" s="61">
        <f>'Filter-new'!G196</f>
        <v>0</v>
      </c>
      <c r="AQ211" s="62">
        <f>'price-old'!G75</f>
        <v>30.999996185302734</v>
      </c>
      <c r="AR211" s="62">
        <f>'price-new'!G75</f>
        <v>29.72</v>
      </c>
      <c r="AS211" s="45"/>
      <c r="AT211" s="61">
        <f t="shared" si="22"/>
        <v>70.822374999999994</v>
      </c>
      <c r="AU211" s="62"/>
      <c r="AV211" s="62">
        <f t="shared" si="23"/>
        <v>0</v>
      </c>
      <c r="AW211" s="45">
        <f>'Filter-old'!I196</f>
        <v>-25</v>
      </c>
      <c r="AX211" s="61">
        <f>'Filter-new'!I196</f>
        <v>-25</v>
      </c>
      <c r="AY211" s="62">
        <f>'price-old'!I75</f>
        <v>33.478931427001953</v>
      </c>
      <c r="AZ211" s="62">
        <f>'price-new'!I75</f>
        <v>26.56</v>
      </c>
      <c r="BA211" s="62">
        <f>'Filter-new'!I685</f>
        <v>0</v>
      </c>
      <c r="BB211" s="62">
        <f>VLOOKUP(B211,[1]Offpeak_Forward!$A$1:$AG$231,15,FALSE)</f>
        <v>16.365470886230501</v>
      </c>
      <c r="BC211" s="45">
        <f>'Filter-old'!K196</f>
        <v>0</v>
      </c>
      <c r="BD211" s="61">
        <f>'Filter-new'!K196</f>
        <v>0</v>
      </c>
      <c r="BE211" s="62">
        <f>'price-old'!K75</f>
        <v>38.1</v>
      </c>
      <c r="BF211" s="62">
        <f>'price-new'!K75</f>
        <v>33.549999999999997</v>
      </c>
      <c r="BG211" s="45">
        <f>'Filter-old'!M196</f>
        <v>0</v>
      </c>
      <c r="BH211" s="61"/>
      <c r="BI211" s="61"/>
      <c r="BJ211" s="61">
        <f>'Filter-new'!M196</f>
        <v>0</v>
      </c>
      <c r="BK211" s="62">
        <f>'price-old'!M75</f>
        <v>32.5</v>
      </c>
      <c r="BL211" s="62">
        <f>'price-new'!M75</f>
        <v>30.25</v>
      </c>
      <c r="BM211" s="62"/>
      <c r="BN211" s="406">
        <f>'Filter-new'!N196</f>
        <v>0</v>
      </c>
      <c r="BO211" s="62"/>
      <c r="BP211" s="62">
        <f>'price-new'!N75</f>
        <v>38</v>
      </c>
      <c r="BQ211" s="45">
        <f>'Filter-old'!O196</f>
        <v>0</v>
      </c>
      <c r="BR211" s="61">
        <f>'Filter-new'!O196</f>
        <v>0</v>
      </c>
      <c r="BS211" s="62">
        <f>'price-old'!N75</f>
        <v>35.998935699462891</v>
      </c>
      <c r="BT211" s="62">
        <f>'price-new'!O75</f>
        <v>28.97</v>
      </c>
      <c r="BU211" s="45">
        <f>'Filter-old'!Q196</f>
        <v>88.796437499999996</v>
      </c>
      <c r="BV211" s="61">
        <f>'Filter-new'!Q196</f>
        <v>95.822374999999994</v>
      </c>
      <c r="BW211" s="62">
        <f>'price-old'!P75</f>
        <v>32.203929901123047</v>
      </c>
      <c r="BX211" s="88">
        <f>'price-new'!Q75</f>
        <v>27.472000000000001</v>
      </c>
      <c r="BY211" s="88">
        <f>'Filter-new'!Q685</f>
        <v>0</v>
      </c>
      <c r="BZ211" s="88">
        <f>VLOOKUP(B211,[1]Offpeak_Forward!$A$1:$AG$231,22,FALSE)</f>
        <v>20.5550937652588</v>
      </c>
      <c r="CA211" s="45">
        <f>'Filter-old'!R196</f>
        <v>0</v>
      </c>
      <c r="CB211" s="61">
        <f>'Filter-new'!R196</f>
        <v>0</v>
      </c>
      <c r="CC211" s="61">
        <f>'price-old'!Q75</f>
        <v>32.5</v>
      </c>
      <c r="CD211" s="89">
        <f>'price-new'!R75</f>
        <v>29.5</v>
      </c>
      <c r="CE211" s="87">
        <f>'Filter-new'!R685</f>
        <v>0</v>
      </c>
      <c r="CF211" s="87">
        <f>VLOOKUP(B211,[1]Offpeak_Forward!$A$1:$AG$231,6,FALSE)</f>
        <v>21.109245300293001</v>
      </c>
      <c r="CG211" s="4"/>
    </row>
    <row r="212" spans="1:85" hidden="1" x14ac:dyDescent="0.2">
      <c r="A212">
        <v>0</v>
      </c>
      <c r="B212" s="59">
        <v>39083</v>
      </c>
      <c r="C212" s="59">
        <f>'Filter-new'!C75</f>
        <v>39083</v>
      </c>
      <c r="D212" s="63"/>
      <c r="E212" s="63"/>
      <c r="F212" s="63"/>
      <c r="G212" s="36">
        <f t="shared" si="19"/>
        <v>-15.113380681818178</v>
      </c>
      <c r="H212" s="36">
        <f t="shared" si="20"/>
        <v>-103.8009375</v>
      </c>
      <c r="I212" s="36">
        <f t="shared" si="21"/>
        <v>-44.897959183673471</v>
      </c>
      <c r="J212" s="41"/>
      <c r="K212" s="45">
        <f>'Filter-old'!E197</f>
        <v>125.23957386363637</v>
      </c>
      <c r="L212" s="61">
        <f>'Filter-new'!E197</f>
        <v>135.22443181818181</v>
      </c>
      <c r="M212" s="62">
        <f>'price-old'!E76</f>
        <v>39.781435285295757</v>
      </c>
      <c r="N212" s="62">
        <f>'price-new'!E76</f>
        <v>30.3</v>
      </c>
      <c r="O212" s="429">
        <f>'Filter-new'!E686</f>
        <v>20.653061224489797</v>
      </c>
      <c r="P212" s="62">
        <f>VLOOKUP(B212,[1]Offpeak_Forward!$A$1:$AG$231,13,FALSE)</f>
        <v>24.152652740478501</v>
      </c>
      <c r="Q212" s="45">
        <f>'Filter-old'!H197</f>
        <v>-132</v>
      </c>
      <c r="R212" s="61">
        <f>'Filter-new'!H197</f>
        <v>-232</v>
      </c>
      <c r="S212" s="62">
        <f>'price-old'!H76</f>
        <v>41.480865478515625</v>
      </c>
      <c r="T212" s="62">
        <f>'price-new'!H76</f>
        <v>28.75</v>
      </c>
      <c r="U212" s="445">
        <f>'Filter-new'!H686</f>
        <v>-65.551020408163268</v>
      </c>
      <c r="V212" s="62">
        <f>VLOOKUP(B212,[1]Offpeak_Forward!$A$1:$AG$231,14,FALSE)</f>
        <v>23.842653274536101</v>
      </c>
      <c r="W212" s="45">
        <f>'Filter-old'!J197</f>
        <v>0</v>
      </c>
      <c r="X212" s="61">
        <f>'Filter-new'!J197</f>
        <v>0</v>
      </c>
      <c r="Y212" s="62">
        <f>'price-old'!J76</f>
        <v>49.798839569091797</v>
      </c>
      <c r="Z212" s="62">
        <f>'price-new'!J76</f>
        <v>30.8</v>
      </c>
      <c r="AA212" s="45">
        <f>'Filter-old'!F197</f>
        <v>0</v>
      </c>
      <c r="AB212" s="61">
        <f>'Filter-new'!F197</f>
        <v>0</v>
      </c>
      <c r="AC212" s="62">
        <f>'price-old'!F76</f>
        <v>39.781435285295757</v>
      </c>
      <c r="AD212" s="62">
        <f>'price-new'!F76</f>
        <v>30.8</v>
      </c>
      <c r="AE212" s="45">
        <f>'Filter-old'!P197</f>
        <v>0</v>
      </c>
      <c r="AF212" s="61">
        <f>'Filter-new'!P197</f>
        <v>0</v>
      </c>
      <c r="AG212" s="62">
        <f>'price-old'!O76</f>
        <v>39.282863616943359</v>
      </c>
      <c r="AH212" s="62">
        <f>'price-new'!P76</f>
        <v>34.5</v>
      </c>
      <c r="AI212" s="45">
        <f>'Filter-old'!L197</f>
        <v>0</v>
      </c>
      <c r="AJ212" s="61">
        <f>'Filter-new'!L197</f>
        <v>0</v>
      </c>
      <c r="AK212" s="62">
        <f>'price-old'!L76</f>
        <v>66.55</v>
      </c>
      <c r="AL212" s="62">
        <f>'price-new'!L76</f>
        <v>33.9</v>
      </c>
      <c r="AM212" s="62">
        <f>'Filter-new'!L686</f>
        <v>0</v>
      </c>
      <c r="AN212" s="62">
        <f>VLOOKUP(B212,[1]Offpeak_Forward!$A$1:$AG$231,18,FALSE)</f>
        <v>28.1512241363525</v>
      </c>
      <c r="AO212" s="45">
        <f>'Filter-old'!G197</f>
        <v>0</v>
      </c>
      <c r="AP212" s="61">
        <f>'Filter-new'!G197</f>
        <v>0</v>
      </c>
      <c r="AQ212" s="62">
        <f>'price-old'!G76</f>
        <v>38.969999694824217</v>
      </c>
      <c r="AR212" s="62">
        <f>'price-new'!G76</f>
        <v>31.12</v>
      </c>
      <c r="AS212" s="45"/>
      <c r="AT212" s="61">
        <f t="shared" si="22"/>
        <v>-7.02536931818182</v>
      </c>
      <c r="AU212" s="62"/>
      <c r="AV212" s="62">
        <f t="shared" si="23"/>
        <v>0</v>
      </c>
      <c r="AW212" s="45">
        <f>'Filter-old'!I197</f>
        <v>-25</v>
      </c>
      <c r="AX212" s="61">
        <f>'Filter-new'!I197</f>
        <v>-25</v>
      </c>
      <c r="AY212" s="62">
        <f>'price-old'!I76</f>
        <v>38.907863616943359</v>
      </c>
      <c r="AZ212" s="62">
        <f>'price-new'!I76</f>
        <v>29.8</v>
      </c>
      <c r="BA212" s="62">
        <f>'Filter-new'!I686</f>
        <v>0</v>
      </c>
      <c r="BB212" s="62">
        <f>VLOOKUP(B212,[1]Offpeak_Forward!$A$1:$AG$231,15,FALSE)</f>
        <v>19.708774566650401</v>
      </c>
      <c r="BC212" s="45">
        <f>'Filter-old'!K197</f>
        <v>0</v>
      </c>
      <c r="BD212" s="61">
        <f>'Filter-new'!K197</f>
        <v>0</v>
      </c>
      <c r="BE212" s="62">
        <f>'price-old'!K76</f>
        <v>50.1</v>
      </c>
      <c r="BF212" s="62">
        <f>'price-new'!K76</f>
        <v>42.75</v>
      </c>
      <c r="BG212" s="45">
        <f>'Filter-old'!M197</f>
        <v>0</v>
      </c>
      <c r="BH212" s="61"/>
      <c r="BI212" s="61"/>
      <c r="BJ212" s="61">
        <f>'Filter-new'!M197</f>
        <v>0</v>
      </c>
      <c r="BK212" s="62">
        <f>'price-old'!M76</f>
        <v>37.5</v>
      </c>
      <c r="BL212" s="62">
        <f>'price-new'!M76</f>
        <v>33</v>
      </c>
      <c r="BM212" s="62"/>
      <c r="BN212" s="406">
        <f>'Filter-new'!N197</f>
        <v>0</v>
      </c>
      <c r="BO212" s="62"/>
      <c r="BP212" s="62">
        <f>'price-new'!N76</f>
        <v>43</v>
      </c>
      <c r="BQ212" s="45">
        <f>'Filter-old'!O197</f>
        <v>0</v>
      </c>
      <c r="BR212" s="61">
        <f>'Filter-new'!O197</f>
        <v>0</v>
      </c>
      <c r="BS212" s="62">
        <f>'price-old'!N76</f>
        <v>42.000717163085938</v>
      </c>
      <c r="BT212" s="62">
        <f>'price-new'!O76</f>
        <v>31.62</v>
      </c>
      <c r="BU212" s="45">
        <f>'Filter-old'!Q197</f>
        <v>16.647045454545456</v>
      </c>
      <c r="BV212" s="61">
        <f>'Filter-new'!Q197</f>
        <v>17.97463068181818</v>
      </c>
      <c r="BW212" s="62">
        <f>'price-old'!P76</f>
        <v>39.382862091064453</v>
      </c>
      <c r="BX212" s="88">
        <f>'price-new'!Q76</f>
        <v>28.891999999999999</v>
      </c>
      <c r="BY212" s="88">
        <f>'Filter-new'!Q686</f>
        <v>0</v>
      </c>
      <c r="BZ212" s="88">
        <f>VLOOKUP(B212,[1]Offpeak_Forward!$A$1:$AG$231,22,FALSE)</f>
        <v>20.284080505371101</v>
      </c>
      <c r="CA212" s="45">
        <f>'Filter-old'!R197</f>
        <v>0</v>
      </c>
      <c r="CB212" s="61">
        <f>'Filter-new'!R197</f>
        <v>0</v>
      </c>
      <c r="CC212" s="61">
        <f>'price-old'!Q76</f>
        <v>37.5</v>
      </c>
      <c r="CD212" s="89">
        <f>'price-new'!R76</f>
        <v>32.25</v>
      </c>
      <c r="CE212" s="87">
        <f>'Filter-new'!R686</f>
        <v>0</v>
      </c>
      <c r="CF212" s="87">
        <f>VLOOKUP(B212,[1]Offpeak_Forward!$A$1:$AG$231,6,FALSE)</f>
        <v>23.7069797515869</v>
      </c>
      <c r="CG212" s="4"/>
    </row>
    <row r="213" spans="1:85" hidden="1" x14ac:dyDescent="0.2">
      <c r="A213">
        <v>0</v>
      </c>
      <c r="B213" s="59">
        <v>39114</v>
      </c>
      <c r="C213" s="59">
        <f>'Filter-new'!C76</f>
        <v>39114</v>
      </c>
      <c r="D213" s="63"/>
      <c r="E213" s="63"/>
      <c r="F213" s="63"/>
      <c r="G213" s="36">
        <f t="shared" si="19"/>
        <v>-15.811218750000009</v>
      </c>
      <c r="H213" s="36">
        <f t="shared" si="20"/>
        <v>-104.4778125</v>
      </c>
      <c r="I213" s="36">
        <f t="shared" si="21"/>
        <v>-57.909090909090907</v>
      </c>
      <c r="J213" s="41"/>
      <c r="K213" s="45">
        <f>'Filter-old'!E198</f>
        <v>124.62362499999999</v>
      </c>
      <c r="L213" s="61">
        <f>'Filter-new'!E198</f>
        <v>134.62700000000001</v>
      </c>
      <c r="M213" s="62">
        <f>'price-old'!E77</f>
        <v>39.431432996477398</v>
      </c>
      <c r="N213" s="62">
        <f>'price-new'!E77</f>
        <v>29.82</v>
      </c>
      <c r="O213" s="429">
        <f>'Filter-new'!E687</f>
        <v>25.613636363636363</v>
      </c>
      <c r="P213" s="62">
        <f>VLOOKUP(B213,[1]Offpeak_Forward!$A$1:$AG$231,13,FALSE)</f>
        <v>22.079999923706101</v>
      </c>
      <c r="Q213" s="45">
        <f>'Filter-old'!H198</f>
        <v>-132</v>
      </c>
      <c r="R213" s="61">
        <f>'Filter-new'!H198</f>
        <v>-232</v>
      </c>
      <c r="S213" s="62">
        <f>'price-old'!H77</f>
        <v>42.132862091064453</v>
      </c>
      <c r="T213" s="62">
        <f>'price-new'!H77</f>
        <v>28.27</v>
      </c>
      <c r="U213" s="445">
        <f>'Filter-new'!H687</f>
        <v>-83.522727272727266</v>
      </c>
      <c r="V213" s="62">
        <f>VLOOKUP(B213,[1]Offpeak_Forward!$A$1:$AG$231,14,FALSE)</f>
        <v>21.8045444488525</v>
      </c>
      <c r="W213" s="45">
        <f>'Filter-old'!J198</f>
        <v>0</v>
      </c>
      <c r="X213" s="61">
        <f>'Filter-new'!J198</f>
        <v>0</v>
      </c>
      <c r="Y213" s="62">
        <f>'price-old'!J77</f>
        <v>47.798839569091797</v>
      </c>
      <c r="Z213" s="62">
        <f>'price-new'!J77</f>
        <v>30.32</v>
      </c>
      <c r="AA213" s="45">
        <f>'Filter-old'!F198</f>
        <v>0</v>
      </c>
      <c r="AB213" s="61">
        <f>'Filter-new'!F198</f>
        <v>0</v>
      </c>
      <c r="AC213" s="62">
        <f>'price-old'!F77</f>
        <v>39.431432996477398</v>
      </c>
      <c r="AD213" s="62">
        <f>'price-new'!F77</f>
        <v>30.32</v>
      </c>
      <c r="AE213" s="45">
        <f>'Filter-old'!P198</f>
        <v>0</v>
      </c>
      <c r="AF213" s="61">
        <f>'Filter-new'!P198</f>
        <v>0</v>
      </c>
      <c r="AG213" s="62">
        <f>'price-old'!O77</f>
        <v>38.932861328125</v>
      </c>
      <c r="AH213" s="62">
        <f>'price-new'!P77</f>
        <v>35.020000000000003</v>
      </c>
      <c r="AI213" s="45">
        <f>'Filter-old'!L198</f>
        <v>0</v>
      </c>
      <c r="AJ213" s="61">
        <f>'Filter-new'!L198</f>
        <v>0</v>
      </c>
      <c r="AK213" s="62">
        <f>'price-old'!L77</f>
        <v>66.55</v>
      </c>
      <c r="AL213" s="62">
        <f>'price-new'!L77</f>
        <v>33.72</v>
      </c>
      <c r="AM213" s="62">
        <f>'Filter-new'!L687</f>
        <v>0</v>
      </c>
      <c r="AN213" s="62">
        <f>VLOOKUP(B213,[1]Offpeak_Forward!$A$1:$AG$231,18,FALSE)</f>
        <v>26.0990905761719</v>
      </c>
      <c r="AO213" s="45">
        <f>'Filter-old'!G198</f>
        <v>0</v>
      </c>
      <c r="AP213" s="61">
        <f>'Filter-new'!G198</f>
        <v>0</v>
      </c>
      <c r="AQ213" s="62">
        <f>'price-old'!G77</f>
        <v>37.819994354248045</v>
      </c>
      <c r="AR213" s="62">
        <f>'price-new'!G77</f>
        <v>30.37</v>
      </c>
      <c r="AS213" s="45"/>
      <c r="AT213" s="61">
        <f t="shared" si="22"/>
        <v>-7.1048125000000013</v>
      </c>
      <c r="AU213" s="62"/>
      <c r="AV213" s="62">
        <f t="shared" si="23"/>
        <v>0</v>
      </c>
      <c r="AW213" s="45">
        <f>'Filter-old'!I198</f>
        <v>-25</v>
      </c>
      <c r="AX213" s="61">
        <f>'Filter-new'!I198</f>
        <v>-25</v>
      </c>
      <c r="AY213" s="62">
        <f>'price-old'!I77</f>
        <v>38.432861328125</v>
      </c>
      <c r="AZ213" s="62">
        <f>'price-new'!I77</f>
        <v>29.32</v>
      </c>
      <c r="BA213" s="62">
        <f>'Filter-new'!I687</f>
        <v>0</v>
      </c>
      <c r="BB213" s="62">
        <f>VLOOKUP(B213,[1]Offpeak_Forward!$A$1:$AG$231,15,FALSE)</f>
        <v>20.239089965820298</v>
      </c>
      <c r="BC213" s="45">
        <f>'Filter-old'!K198</f>
        <v>0</v>
      </c>
      <c r="BD213" s="61">
        <f>'Filter-new'!K198</f>
        <v>0</v>
      </c>
      <c r="BE213" s="62">
        <f>'price-old'!K77</f>
        <v>50.1</v>
      </c>
      <c r="BF213" s="62">
        <f>'price-new'!K77</f>
        <v>42.75</v>
      </c>
      <c r="BG213" s="45">
        <f>'Filter-old'!M198</f>
        <v>0</v>
      </c>
      <c r="BH213" s="61"/>
      <c r="BI213" s="61"/>
      <c r="BJ213" s="61">
        <f>'Filter-new'!M198</f>
        <v>0</v>
      </c>
      <c r="BK213" s="62">
        <f>'price-old'!M77</f>
        <v>37.5</v>
      </c>
      <c r="BL213" s="62">
        <f>'price-new'!M77</f>
        <v>33</v>
      </c>
      <c r="BM213" s="62"/>
      <c r="BN213" s="406">
        <f>'Filter-new'!N198</f>
        <v>0</v>
      </c>
      <c r="BO213" s="62"/>
      <c r="BP213" s="62">
        <f>'price-new'!N77</f>
        <v>43</v>
      </c>
      <c r="BQ213" s="45">
        <f>'Filter-old'!O198</f>
        <v>0</v>
      </c>
      <c r="BR213" s="61">
        <f>'Filter-new'!O198</f>
        <v>0</v>
      </c>
      <c r="BS213" s="62">
        <f>'price-old'!N77</f>
        <v>42.245723724365234</v>
      </c>
      <c r="BT213" s="62">
        <f>'price-new'!O77</f>
        <v>30.62</v>
      </c>
      <c r="BU213" s="45">
        <f>'Filter-old'!Q198</f>
        <v>16.565156250000001</v>
      </c>
      <c r="BV213" s="61">
        <f>'Filter-new'!Q198</f>
        <v>17.895187499999999</v>
      </c>
      <c r="BW213" s="62">
        <f>'price-old'!P77</f>
        <v>39.032859802246094</v>
      </c>
      <c r="BX213" s="88">
        <f>'price-new'!Q77</f>
        <v>28.645</v>
      </c>
      <c r="BY213" s="88">
        <f>'Filter-new'!Q687</f>
        <v>0</v>
      </c>
      <c r="BZ213" s="88">
        <f>VLOOKUP(B213,[1]Offpeak_Forward!$A$1:$AG$231,22,FALSE)</f>
        <v>20.2945442199707</v>
      </c>
      <c r="CA213" s="45">
        <f>'Filter-old'!R198</f>
        <v>0</v>
      </c>
      <c r="CB213" s="61">
        <f>'Filter-new'!R198</f>
        <v>0</v>
      </c>
      <c r="CC213" s="61">
        <f>'price-old'!Q77</f>
        <v>37.5</v>
      </c>
      <c r="CD213" s="89">
        <f>'price-new'!R77</f>
        <v>32.25</v>
      </c>
      <c r="CE213" s="87">
        <f>'Filter-new'!R687</f>
        <v>0</v>
      </c>
      <c r="CF213" s="87">
        <f>VLOOKUP(B213,[1]Offpeak_Forward!$A$1:$AG$231,6,FALSE)</f>
        <v>23.687089920043899</v>
      </c>
      <c r="CG213" s="4"/>
    </row>
    <row r="214" spans="1:85" hidden="1" x14ac:dyDescent="0.2">
      <c r="A214">
        <v>0</v>
      </c>
      <c r="B214" s="59">
        <v>39142</v>
      </c>
      <c r="C214" s="59">
        <f>'Filter-new'!C77</f>
        <v>39142</v>
      </c>
      <c r="D214" s="63"/>
      <c r="E214" s="63"/>
      <c r="F214" s="63"/>
      <c r="G214" s="36">
        <f t="shared" si="19"/>
        <v>-20.582613636363643</v>
      </c>
      <c r="H214" s="36">
        <f t="shared" si="20"/>
        <v>-109.22835227272725</v>
      </c>
      <c r="I214" s="36">
        <f t="shared" si="21"/>
        <v>-49.890306122448983</v>
      </c>
      <c r="J214" s="41"/>
      <c r="K214" s="45">
        <f>'Filter-old'!E199</f>
        <v>123.94295454545454</v>
      </c>
      <c r="L214" s="61">
        <f>'Filter-new'!E199</f>
        <v>133.96482954545456</v>
      </c>
      <c r="M214" s="62">
        <f>'price-old'!E78</f>
        <v>34.395177264546241</v>
      </c>
      <c r="N214" s="62">
        <f>'price-new'!E78</f>
        <v>28.84</v>
      </c>
      <c r="O214" s="429">
        <f>'Filter-new'!E688</f>
        <v>22.471938775510203</v>
      </c>
      <c r="P214" s="62">
        <f>VLOOKUP(B214,[1]Offpeak_Forward!$A$1:$AG$231,13,FALSE)</f>
        <v>21.257551193237301</v>
      </c>
      <c r="Q214" s="45">
        <f>'Filter-old'!H199</f>
        <v>-136</v>
      </c>
      <c r="R214" s="61">
        <f>'Filter-new'!H199</f>
        <v>-236</v>
      </c>
      <c r="S214" s="62">
        <f>'price-old'!H78</f>
        <v>35.098545074462891</v>
      </c>
      <c r="T214" s="62">
        <f>'price-new'!H78</f>
        <v>27.29</v>
      </c>
      <c r="U214" s="445">
        <f>'Filter-new'!H688</f>
        <v>-72.362244897959187</v>
      </c>
      <c r="V214" s="62">
        <f>VLOOKUP(B214,[1]Offpeak_Forward!$A$1:$AG$231,14,FALSE)</f>
        <v>21.0161228179932</v>
      </c>
      <c r="W214" s="45">
        <f>'Filter-old'!J199</f>
        <v>0</v>
      </c>
      <c r="X214" s="61">
        <f>'Filter-new'!J199</f>
        <v>0</v>
      </c>
      <c r="Y214" s="62">
        <f>'price-old'!J78</f>
        <v>40.796916961669922</v>
      </c>
      <c r="Z214" s="62">
        <f>'price-new'!J78</f>
        <v>29.59</v>
      </c>
      <c r="AA214" s="45">
        <f>'Filter-old'!F199</f>
        <v>0</v>
      </c>
      <c r="AB214" s="61">
        <f>'Filter-new'!F199</f>
        <v>0</v>
      </c>
      <c r="AC214" s="62">
        <f>'price-old'!F78</f>
        <v>34.395177264546241</v>
      </c>
      <c r="AD214" s="62">
        <f>'price-new'!F78</f>
        <v>29.59</v>
      </c>
      <c r="AE214" s="45">
        <f>'Filter-old'!P199</f>
        <v>0</v>
      </c>
      <c r="AF214" s="61">
        <f>'Filter-new'!P199</f>
        <v>0</v>
      </c>
      <c r="AG214" s="62">
        <f>'price-old'!O78</f>
        <v>33.648544311523437</v>
      </c>
      <c r="AH214" s="62">
        <f>'price-new'!P78</f>
        <v>32.29</v>
      </c>
      <c r="AI214" s="45">
        <f>'Filter-old'!L199</f>
        <v>0</v>
      </c>
      <c r="AJ214" s="61">
        <f>'Filter-new'!L199</f>
        <v>0</v>
      </c>
      <c r="AK214" s="62">
        <f>'price-old'!L78</f>
        <v>53.55</v>
      </c>
      <c r="AL214" s="62">
        <f>'price-new'!L78</f>
        <v>32.46</v>
      </c>
      <c r="AM214" s="62">
        <f>'Filter-new'!L688</f>
        <v>0</v>
      </c>
      <c r="AN214" s="62">
        <f>VLOOKUP(B214,[1]Offpeak_Forward!$A$1:$AG$231,18,FALSE)</f>
        <v>25.2561225891113</v>
      </c>
      <c r="AO214" s="45">
        <f>'Filter-old'!G199</f>
        <v>0</v>
      </c>
      <c r="AP214" s="61">
        <f>'Filter-new'!G199</f>
        <v>0</v>
      </c>
      <c r="AQ214" s="62">
        <f>'price-old'!G78</f>
        <v>34.34999313354492</v>
      </c>
      <c r="AR214" s="62">
        <f>'price-new'!G78</f>
        <v>28.806000000000001</v>
      </c>
      <c r="AS214" s="45"/>
      <c r="AT214" s="61">
        <f t="shared" si="22"/>
        <v>-7.1931818181818166</v>
      </c>
      <c r="AU214" s="62"/>
      <c r="AV214" s="62">
        <f t="shared" si="23"/>
        <v>0</v>
      </c>
      <c r="AW214" s="45">
        <f>'Filter-old'!I199</f>
        <v>-25</v>
      </c>
      <c r="AX214" s="61">
        <f>'Filter-new'!I199</f>
        <v>-25</v>
      </c>
      <c r="AY214" s="62">
        <f>'price-old'!I78</f>
        <v>34.523544311523438</v>
      </c>
      <c r="AZ214" s="62">
        <f>'price-new'!I78</f>
        <v>28.34</v>
      </c>
      <c r="BA214" s="62">
        <f>'Filter-new'!I688</f>
        <v>0</v>
      </c>
      <c r="BB214" s="62">
        <f>VLOOKUP(B214,[1]Offpeak_Forward!$A$1:$AG$231,15,FALSE)</f>
        <v>20.640203475952099</v>
      </c>
      <c r="BC214" s="45">
        <f>'Filter-old'!K199</f>
        <v>0</v>
      </c>
      <c r="BD214" s="61">
        <f>'Filter-new'!K199</f>
        <v>0</v>
      </c>
      <c r="BE214" s="62">
        <f>'price-old'!K78</f>
        <v>39.200000000000003</v>
      </c>
      <c r="BF214" s="62">
        <f>'price-new'!K78</f>
        <v>34.75</v>
      </c>
      <c r="BG214" s="45">
        <f>'Filter-old'!M199</f>
        <v>0</v>
      </c>
      <c r="BH214" s="61"/>
      <c r="BI214" s="61"/>
      <c r="BJ214" s="61">
        <f>'Filter-new'!M199</f>
        <v>0</v>
      </c>
      <c r="BK214" s="62">
        <f>'price-old'!M78</f>
        <v>33.25</v>
      </c>
      <c r="BL214" s="62">
        <f>'price-new'!M78</f>
        <v>31</v>
      </c>
      <c r="BM214" s="62"/>
      <c r="BN214" s="406">
        <f>'Filter-new'!N199</f>
        <v>0</v>
      </c>
      <c r="BO214" s="62"/>
      <c r="BP214" s="62">
        <f>'price-new'!N78</f>
        <v>38.5</v>
      </c>
      <c r="BQ214" s="45">
        <f>'Filter-old'!O199</f>
        <v>0</v>
      </c>
      <c r="BR214" s="61">
        <f>'Filter-new'!O199</f>
        <v>0</v>
      </c>
      <c r="BS214" s="62">
        <f>'price-old'!N78</f>
        <v>37.997505187988281</v>
      </c>
      <c r="BT214" s="62">
        <f>'price-new'!O78</f>
        <v>28.37</v>
      </c>
      <c r="BU214" s="45">
        <f>'Filter-old'!Q199</f>
        <v>16.474431818181817</v>
      </c>
      <c r="BV214" s="61">
        <f>'Filter-new'!Q199</f>
        <v>17.806818181818183</v>
      </c>
      <c r="BW214" s="62">
        <f>'price-old'!P78</f>
        <v>33.748542785644531</v>
      </c>
      <c r="BX214" s="88">
        <f>'price-new'!Q78</f>
        <v>28.395</v>
      </c>
      <c r="BY214" s="88">
        <f>'Filter-new'!Q688</f>
        <v>0</v>
      </c>
      <c r="BZ214" s="88">
        <f>VLOOKUP(B214,[1]Offpeak_Forward!$A$1:$AG$231,22,FALSE)</f>
        <v>19.988161087036101</v>
      </c>
      <c r="CA214" s="45">
        <f>'Filter-old'!R199</f>
        <v>0</v>
      </c>
      <c r="CB214" s="61">
        <f>'Filter-new'!R199</f>
        <v>0</v>
      </c>
      <c r="CC214" s="61">
        <f>'price-old'!Q78</f>
        <v>33.25</v>
      </c>
      <c r="CD214" s="89">
        <f>'price-new'!R78</f>
        <v>29.5</v>
      </c>
      <c r="CE214" s="87">
        <f>'Filter-new'!R688</f>
        <v>0</v>
      </c>
      <c r="CF214" s="87">
        <f>VLOOKUP(B214,[1]Offpeak_Forward!$A$1:$AG$231,6,FALSE)</f>
        <v>20.4410209655762</v>
      </c>
      <c r="CG214" s="4"/>
    </row>
    <row r="215" spans="1:85" hidden="1" x14ac:dyDescent="0.2">
      <c r="A215">
        <v>0</v>
      </c>
      <c r="B215" s="59">
        <v>39173</v>
      </c>
      <c r="C215" s="59">
        <f>'Filter-new'!C78</f>
        <v>39173</v>
      </c>
      <c r="D215" s="63"/>
      <c r="E215" s="63"/>
      <c r="F215" s="63"/>
      <c r="G215" s="36">
        <f t="shared" si="19"/>
        <v>-21.041458333333331</v>
      </c>
      <c r="H215" s="36">
        <f t="shared" si="20"/>
        <v>-109.72687500000002</v>
      </c>
      <c r="I215" s="36">
        <f t="shared" si="21"/>
        <v>-42.875</v>
      </c>
      <c r="J215" s="41"/>
      <c r="K215" s="45">
        <f>'Filter-old'!E200</f>
        <v>123.28553571428571</v>
      </c>
      <c r="L215" s="61">
        <f>'Filter-new'!E200</f>
        <v>133.32351190476189</v>
      </c>
      <c r="M215" s="62">
        <f>'price-old'!E79</f>
        <v>34.845178027485694</v>
      </c>
      <c r="N215" s="62">
        <f>'price-new'!E79</f>
        <v>28.64</v>
      </c>
      <c r="O215" s="429">
        <f>'Filter-new'!E689</f>
        <v>23.479166666666668</v>
      </c>
      <c r="P215" s="62">
        <f>VLOOKUP(B215,[1]Offpeak_Forward!$A$1:$AG$231,13,FALSE)</f>
        <v>17.909584045410199</v>
      </c>
      <c r="Q215" s="45">
        <f>'Filter-old'!H200</f>
        <v>-135</v>
      </c>
      <c r="R215" s="61">
        <f>'Filter-new'!H200</f>
        <v>-235</v>
      </c>
      <c r="S215" s="62">
        <f>'price-old'!H79</f>
        <v>35.098545074462891</v>
      </c>
      <c r="T215" s="62">
        <f>'price-new'!H79</f>
        <v>27.09</v>
      </c>
      <c r="U215" s="445">
        <f>'Filter-new'!H689</f>
        <v>-66.354166666666671</v>
      </c>
      <c r="V215" s="62">
        <f>VLOOKUP(B215,[1]Offpeak_Forward!$A$1:$AG$231,14,FALSE)</f>
        <v>17.598333358764599</v>
      </c>
      <c r="W215" s="45">
        <f>'Filter-old'!J200</f>
        <v>0</v>
      </c>
      <c r="X215" s="61">
        <f>'Filter-new'!J200</f>
        <v>0</v>
      </c>
      <c r="Y215" s="62">
        <f>'price-old'!J79</f>
        <v>38.696914672851562</v>
      </c>
      <c r="Z215" s="62">
        <f>'price-new'!J79</f>
        <v>29.39</v>
      </c>
      <c r="AA215" s="45">
        <f>'Filter-old'!F200</f>
        <v>0</v>
      </c>
      <c r="AB215" s="61">
        <f>'Filter-new'!F200</f>
        <v>0</v>
      </c>
      <c r="AC215" s="62">
        <f>'price-old'!F79</f>
        <v>34.845178027485694</v>
      </c>
      <c r="AD215" s="62">
        <f>'price-new'!F79</f>
        <v>29.39</v>
      </c>
      <c r="AE215" s="45">
        <f>'Filter-old'!P200</f>
        <v>0</v>
      </c>
      <c r="AF215" s="61">
        <f>'Filter-new'!P200</f>
        <v>0</v>
      </c>
      <c r="AG215" s="62">
        <f>'price-old'!O79</f>
        <v>34.098545074462891</v>
      </c>
      <c r="AH215" s="62">
        <f>'price-new'!P79</f>
        <v>31.64</v>
      </c>
      <c r="AI215" s="45">
        <f>'Filter-old'!L200</f>
        <v>0</v>
      </c>
      <c r="AJ215" s="61">
        <f>'Filter-new'!L200</f>
        <v>0</v>
      </c>
      <c r="AK215" s="62">
        <f>'price-old'!L79</f>
        <v>53.55</v>
      </c>
      <c r="AL215" s="62">
        <f>'price-new'!L79</f>
        <v>32.26</v>
      </c>
      <c r="AM215" s="62">
        <f>'Filter-new'!L689</f>
        <v>0</v>
      </c>
      <c r="AN215" s="62">
        <f>VLOOKUP(B215,[1]Offpeak_Forward!$A$1:$AG$231,18,FALSE)</f>
        <v>21.8658332824707</v>
      </c>
      <c r="AO215" s="45">
        <f>'Filter-old'!G200</f>
        <v>0</v>
      </c>
      <c r="AP215" s="61">
        <f>'Filter-new'!G200</f>
        <v>0</v>
      </c>
      <c r="AQ215" s="62">
        <f>'price-old'!G79</f>
        <v>32.949991607666014</v>
      </c>
      <c r="AR215" s="62">
        <f>'price-new'!G79</f>
        <v>29.59</v>
      </c>
      <c r="AS215" s="45"/>
      <c r="AT215" s="61">
        <f t="shared" si="22"/>
        <v>-8.0503869047619041</v>
      </c>
      <c r="AU215" s="62"/>
      <c r="AV215" s="62">
        <f t="shared" si="23"/>
        <v>0</v>
      </c>
      <c r="AW215" s="45">
        <f>'Filter-old'!I200</f>
        <v>-25</v>
      </c>
      <c r="AX215" s="61">
        <f>'Filter-new'!I200</f>
        <v>-25</v>
      </c>
      <c r="AY215" s="62">
        <f>'price-old'!I79</f>
        <v>34.598545074462891</v>
      </c>
      <c r="AZ215" s="62">
        <f>'price-new'!I79</f>
        <v>28.14</v>
      </c>
      <c r="BA215" s="62">
        <f>'Filter-new'!I689</f>
        <v>0</v>
      </c>
      <c r="BB215" s="62">
        <f>VLOOKUP(B215,[1]Offpeak_Forward!$A$1:$AG$231,15,FALSE)</f>
        <v>20.399166107177699</v>
      </c>
      <c r="BC215" s="45">
        <f>'Filter-old'!K200</f>
        <v>0</v>
      </c>
      <c r="BD215" s="61">
        <f>'Filter-new'!K200</f>
        <v>0</v>
      </c>
      <c r="BE215" s="62">
        <f>'price-old'!K79</f>
        <v>39.200000000000003</v>
      </c>
      <c r="BF215" s="62">
        <f>'price-new'!K79</f>
        <v>35</v>
      </c>
      <c r="BG215" s="45">
        <f>'Filter-old'!M200</f>
        <v>0</v>
      </c>
      <c r="BH215" s="61"/>
      <c r="BI215" s="61"/>
      <c r="BJ215" s="61">
        <f>'Filter-new'!M200</f>
        <v>0</v>
      </c>
      <c r="BK215" s="62">
        <f>'price-old'!M79</f>
        <v>33.25</v>
      </c>
      <c r="BL215" s="62">
        <f>'price-new'!M79</f>
        <v>31</v>
      </c>
      <c r="BM215" s="62"/>
      <c r="BN215" s="406">
        <f>'Filter-new'!N200</f>
        <v>0</v>
      </c>
      <c r="BO215" s="62"/>
      <c r="BP215" s="62">
        <f>'price-new'!N79</f>
        <v>38.5</v>
      </c>
      <c r="BQ215" s="45">
        <f>'Filter-old'!O200</f>
        <v>0</v>
      </c>
      <c r="BR215" s="61">
        <f>'Filter-new'!O200</f>
        <v>0</v>
      </c>
      <c r="BS215" s="62">
        <f>'price-old'!N79</f>
        <v>38.247501373291016</v>
      </c>
      <c r="BT215" s="62">
        <f>'price-new'!O79</f>
        <v>28.37</v>
      </c>
      <c r="BU215" s="45">
        <f>'Filter-old'!Q200</f>
        <v>15.673005952380953</v>
      </c>
      <c r="BV215" s="61">
        <f>'Filter-new'!Q200</f>
        <v>16.949613095238096</v>
      </c>
      <c r="BW215" s="62">
        <f>'price-old'!P79</f>
        <v>34.198543548583984</v>
      </c>
      <c r="BX215" s="88">
        <f>'price-new'!Q79</f>
        <v>28.396000000000001</v>
      </c>
      <c r="BY215" s="88">
        <f>'Filter-new'!Q689</f>
        <v>0</v>
      </c>
      <c r="BZ215" s="88">
        <f>VLOOKUP(B215,[1]Offpeak_Forward!$A$1:$AG$231,22,FALSE)</f>
        <v>19.960414886474599</v>
      </c>
      <c r="CA215" s="45">
        <f>'Filter-old'!R200</f>
        <v>0</v>
      </c>
      <c r="CB215" s="61">
        <f>'Filter-new'!R200</f>
        <v>0</v>
      </c>
      <c r="CC215" s="61">
        <f>'price-old'!Q79</f>
        <v>33.25</v>
      </c>
      <c r="CD215" s="89">
        <f>'price-new'!R79</f>
        <v>29.5</v>
      </c>
      <c r="CE215" s="87">
        <f>'Filter-new'!R689</f>
        <v>0</v>
      </c>
      <c r="CF215" s="87">
        <f>VLOOKUP(B215,[1]Offpeak_Forward!$A$1:$AG$231,6,FALSE)</f>
        <v>20.707166671752901</v>
      </c>
      <c r="CG215" s="4"/>
    </row>
    <row r="216" spans="1:85" hidden="1" x14ac:dyDescent="0.2">
      <c r="A216">
        <v>0</v>
      </c>
      <c r="B216" s="59">
        <v>39203</v>
      </c>
      <c r="C216" s="59">
        <f>'Filter-new'!C79</f>
        <v>39203</v>
      </c>
      <c r="D216" s="63"/>
      <c r="E216" s="63"/>
      <c r="F216" s="63"/>
      <c r="G216" s="36">
        <f t="shared" si="19"/>
        <v>-12.805681818181823</v>
      </c>
      <c r="H216" s="36">
        <f t="shared" si="20"/>
        <v>-101.47440340909091</v>
      </c>
      <c r="I216" s="36">
        <f t="shared" si="21"/>
        <v>-38.204081632653065</v>
      </c>
      <c r="J216" s="41"/>
      <c r="K216" s="45">
        <f>'Filter-old'!E201</f>
        <v>122.6075284090909</v>
      </c>
      <c r="L216" s="61">
        <f>'Filter-new'!E201</f>
        <v>132.6603125</v>
      </c>
      <c r="M216" s="62">
        <f>'price-old'!E80</f>
        <v>41.003570556640625</v>
      </c>
      <c r="N216" s="62">
        <f>'price-new'!E80</f>
        <v>30.42</v>
      </c>
      <c r="O216" s="429">
        <f>'Filter-new'!E690</f>
        <v>22.530612244897959</v>
      </c>
      <c r="P216" s="62">
        <f>VLOOKUP(B216,[1]Offpeak_Forward!$A$1:$AG$231,13,FALSE)</f>
        <v>18.153877258300799</v>
      </c>
      <c r="Q216" s="45">
        <f>'Filter-old'!H201</f>
        <v>-126</v>
      </c>
      <c r="R216" s="61">
        <f>'Filter-new'!H201</f>
        <v>-226</v>
      </c>
      <c r="S216" s="62">
        <f>'price-old'!H80</f>
        <v>35.803565979003906</v>
      </c>
      <c r="T216" s="62">
        <f>'price-new'!H80</f>
        <v>28.92</v>
      </c>
      <c r="U216" s="445">
        <f>'Filter-new'!H690</f>
        <v>-60.734693877551024</v>
      </c>
      <c r="V216" s="62">
        <f>VLOOKUP(B216,[1]Offpeak_Forward!$A$1:$AG$231,14,FALSE)</f>
        <v>17.895305633544901</v>
      </c>
      <c r="W216" s="45">
        <f>'Filter-old'!J201</f>
        <v>0</v>
      </c>
      <c r="X216" s="61">
        <f>'Filter-new'!J201</f>
        <v>0</v>
      </c>
      <c r="Y216" s="62">
        <f>'price-old'!J80</f>
        <v>41.656916809082027</v>
      </c>
      <c r="Z216" s="62">
        <f>'price-new'!J80</f>
        <v>31.42</v>
      </c>
      <c r="AA216" s="45">
        <f>'Filter-old'!F201</f>
        <v>0</v>
      </c>
      <c r="AB216" s="61">
        <f>'Filter-new'!F201</f>
        <v>0</v>
      </c>
      <c r="AC216" s="62">
        <f>'price-old'!F80</f>
        <v>41.003570556640625</v>
      </c>
      <c r="AD216" s="62">
        <f>'price-new'!F80</f>
        <v>31.42</v>
      </c>
      <c r="AE216" s="45">
        <f>'Filter-old'!P201</f>
        <v>0</v>
      </c>
      <c r="AF216" s="61">
        <f>'Filter-new'!P201</f>
        <v>0</v>
      </c>
      <c r="AG216" s="62">
        <f>'price-old'!O80</f>
        <v>42.578567504882813</v>
      </c>
      <c r="AH216" s="62">
        <f>'price-new'!P80</f>
        <v>28.22</v>
      </c>
      <c r="AI216" s="45">
        <f>'Filter-old'!L201</f>
        <v>0</v>
      </c>
      <c r="AJ216" s="61">
        <f>'Filter-new'!L201</f>
        <v>0</v>
      </c>
      <c r="AK216" s="62">
        <f>'price-old'!L80</f>
        <v>54.55</v>
      </c>
      <c r="AL216" s="62">
        <f>'price-new'!L80</f>
        <v>35.840000000000003</v>
      </c>
      <c r="AM216" s="62">
        <f>'Filter-new'!L690</f>
        <v>0</v>
      </c>
      <c r="AN216" s="62">
        <f>VLOOKUP(B216,[1]Offpeak_Forward!$A$1:$AG$231,18,FALSE)</f>
        <v>22.152448654174801</v>
      </c>
      <c r="AO216" s="45">
        <f>'Filter-old'!G201</f>
        <v>0</v>
      </c>
      <c r="AP216" s="61">
        <f>'Filter-new'!G201</f>
        <v>0</v>
      </c>
      <c r="AQ216" s="62">
        <f>'price-old'!G80</f>
        <v>36.400009155273438</v>
      </c>
      <c r="AR216" s="62">
        <f>'price-new'!G80</f>
        <v>31.55</v>
      </c>
      <c r="AS216" s="45"/>
      <c r="AT216" s="61">
        <f t="shared" si="22"/>
        <v>-8.1347159090909109</v>
      </c>
      <c r="AU216" s="62"/>
      <c r="AV216" s="62">
        <f t="shared" si="23"/>
        <v>0</v>
      </c>
      <c r="AW216" s="45">
        <f>'Filter-old'!I201</f>
        <v>-25</v>
      </c>
      <c r="AX216" s="61">
        <f>'Filter-new'!I201</f>
        <v>-25</v>
      </c>
      <c r="AY216" s="62">
        <f>'price-old'!I80</f>
        <v>36.003566741943359</v>
      </c>
      <c r="AZ216" s="62">
        <f>'price-new'!I80</f>
        <v>29.92</v>
      </c>
      <c r="BA216" s="62">
        <f>'Filter-new'!I690</f>
        <v>0</v>
      </c>
      <c r="BB216" s="62">
        <f>VLOOKUP(B216,[1]Offpeak_Forward!$A$1:$AG$231,15,FALSE)</f>
        <v>21.341428756713899</v>
      </c>
      <c r="BC216" s="45">
        <f>'Filter-old'!K201</f>
        <v>0</v>
      </c>
      <c r="BD216" s="61">
        <f>'Filter-new'!K201</f>
        <v>0</v>
      </c>
      <c r="BE216" s="62">
        <f>'price-old'!K80</f>
        <v>39.200000000000003</v>
      </c>
      <c r="BF216" s="62">
        <f>'price-new'!K80</f>
        <v>35</v>
      </c>
      <c r="BG216" s="45">
        <f>'Filter-old'!M201</f>
        <v>0</v>
      </c>
      <c r="BH216" s="61"/>
      <c r="BI216" s="61"/>
      <c r="BJ216" s="61">
        <f>'Filter-new'!M201</f>
        <v>0</v>
      </c>
      <c r="BK216" s="62">
        <f>'price-old'!M80</f>
        <v>36.75</v>
      </c>
      <c r="BL216" s="62">
        <f>'price-new'!M80</f>
        <v>31.5</v>
      </c>
      <c r="BM216" s="62"/>
      <c r="BN216" s="406">
        <f>'Filter-new'!N201</f>
        <v>0</v>
      </c>
      <c r="BO216" s="62"/>
      <c r="BP216" s="62">
        <f>'price-new'!N80</f>
        <v>40</v>
      </c>
      <c r="BQ216" s="45">
        <f>'Filter-old'!O201</f>
        <v>0</v>
      </c>
      <c r="BR216" s="61">
        <f>'Filter-new'!O201</f>
        <v>0</v>
      </c>
      <c r="BS216" s="62">
        <f>'price-old'!N80</f>
        <v>43.253570556640625</v>
      </c>
      <c r="BT216" s="62">
        <f>'price-new'!O80</f>
        <v>31.07</v>
      </c>
      <c r="BU216" s="45">
        <f>'Filter-old'!Q201</f>
        <v>15.586789772727274</v>
      </c>
      <c r="BV216" s="61">
        <f>'Filter-new'!Q201</f>
        <v>16.865284090909089</v>
      </c>
      <c r="BW216" s="62">
        <f>'price-old'!P80</f>
        <v>35.103565216064453</v>
      </c>
      <c r="BX216" s="88">
        <f>'price-new'!Q80</f>
        <v>30.751000000000001</v>
      </c>
      <c r="BY216" s="88">
        <f>'Filter-new'!Q690</f>
        <v>0</v>
      </c>
      <c r="BZ216" s="88">
        <f>VLOOKUP(B216,[1]Offpeak_Forward!$A$1:$AG$231,22,FALSE)</f>
        <v>21.110610961914102</v>
      </c>
      <c r="CA216" s="45">
        <f>'Filter-old'!R201</f>
        <v>0</v>
      </c>
      <c r="CB216" s="61">
        <f>'Filter-new'!R201</f>
        <v>0</v>
      </c>
      <c r="CC216" s="61">
        <f>'price-old'!Q80</f>
        <v>36.75</v>
      </c>
      <c r="CD216" s="89">
        <f>'price-new'!R80</f>
        <v>31.75</v>
      </c>
      <c r="CE216" s="87">
        <f>'Filter-new'!R690</f>
        <v>0</v>
      </c>
      <c r="CF216" s="87">
        <f>VLOOKUP(B216,[1]Offpeak_Forward!$A$1:$AG$231,6,FALSE)</f>
        <v>20.7696723937988</v>
      </c>
      <c r="CG216" s="4"/>
    </row>
    <row r="217" spans="1:85" hidden="1" x14ac:dyDescent="0.2">
      <c r="A217">
        <v>0</v>
      </c>
      <c r="B217" s="59">
        <v>39234</v>
      </c>
      <c r="C217" s="59">
        <f>'Filter-new'!C80</f>
        <v>39234</v>
      </c>
      <c r="D217" s="63"/>
      <c r="E217" s="63"/>
      <c r="F217" s="63"/>
      <c r="G217" s="36">
        <f t="shared" si="19"/>
        <v>-9.2493452380952395</v>
      </c>
      <c r="H217" s="36">
        <f t="shared" si="20"/>
        <v>-97.962053571428555</v>
      </c>
      <c r="I217" s="36">
        <f t="shared" si="21"/>
        <v>-38.25</v>
      </c>
      <c r="J217" s="41"/>
      <c r="K217" s="45">
        <f>'Filter-old'!E202</f>
        <v>121.95270833333333</v>
      </c>
      <c r="L217" s="61">
        <f>'Filter-new'!E202</f>
        <v>132.01806547619049</v>
      </c>
      <c r="M217" s="62">
        <f>'price-old'!E81</f>
        <v>38.502857208251953</v>
      </c>
      <c r="N217" s="62">
        <f>'price-new'!E81</f>
        <v>35.67</v>
      </c>
      <c r="O217" s="429">
        <f>'Filter-new'!E691</f>
        <v>24.4375</v>
      </c>
      <c r="P217" s="62">
        <f>VLOOKUP(B217,[1]Offpeak_Forward!$A$1:$AG$231,13,FALSE)</f>
        <v>22.358751296997099</v>
      </c>
      <c r="Q217" s="45">
        <f>'Filter-old'!H202</f>
        <v>-121</v>
      </c>
      <c r="R217" s="61">
        <f>'Filter-new'!H202</f>
        <v>-221</v>
      </c>
      <c r="S217" s="62">
        <f>'price-old'!H81</f>
        <v>33.252857208251953</v>
      </c>
      <c r="T217" s="62">
        <f>'price-new'!H81</f>
        <v>34.020000000000003</v>
      </c>
      <c r="U217" s="445">
        <f>'Filter-new'!H691</f>
        <v>-62.6875</v>
      </c>
      <c r="V217" s="62">
        <f>VLOOKUP(B217,[1]Offpeak_Forward!$A$1:$AG$231,14,FALSE)</f>
        <v>22.533750534057599</v>
      </c>
      <c r="W217" s="45">
        <f>'Filter-old'!J202</f>
        <v>0</v>
      </c>
      <c r="X217" s="61">
        <f>'Filter-new'!J202</f>
        <v>0</v>
      </c>
      <c r="Y217" s="62">
        <f>'price-old'!J81</f>
        <v>31.644802093505863</v>
      </c>
      <c r="Z217" s="62">
        <f>'price-new'!J81</f>
        <v>37.17</v>
      </c>
      <c r="AA217" s="45">
        <f>'Filter-old'!F202</f>
        <v>0</v>
      </c>
      <c r="AB217" s="61">
        <f>'Filter-new'!F202</f>
        <v>0</v>
      </c>
      <c r="AC217" s="62">
        <f>'price-old'!F81</f>
        <v>38.502857208251953</v>
      </c>
      <c r="AD217" s="62">
        <f>'price-new'!F81</f>
        <v>37.17</v>
      </c>
      <c r="AE217" s="45">
        <f>'Filter-old'!P202</f>
        <v>0</v>
      </c>
      <c r="AF217" s="61">
        <f>'Filter-new'!P202</f>
        <v>0</v>
      </c>
      <c r="AG217" s="62">
        <f>'price-old'!O81</f>
        <v>44.1778564453125</v>
      </c>
      <c r="AH217" s="62">
        <f>'price-new'!P81</f>
        <v>32.42</v>
      </c>
      <c r="AI217" s="45">
        <f>'Filter-old'!L202</f>
        <v>0</v>
      </c>
      <c r="AJ217" s="61">
        <f>'Filter-new'!L202</f>
        <v>0</v>
      </c>
      <c r="AK217" s="62">
        <f>'price-old'!L81</f>
        <v>72.55</v>
      </c>
      <c r="AL217" s="62">
        <f>'price-new'!L81</f>
        <v>39.5</v>
      </c>
      <c r="AM217" s="62">
        <f>'Filter-new'!L691</f>
        <v>0</v>
      </c>
      <c r="AN217" s="62">
        <f>VLOOKUP(B217,[1]Offpeak_Forward!$A$1:$AG$231,18,FALSE)</f>
        <v>26.315000534057599</v>
      </c>
      <c r="AO217" s="45">
        <f>'Filter-old'!G202</f>
        <v>0</v>
      </c>
      <c r="AP217" s="61">
        <f>'Filter-new'!G202</f>
        <v>0</v>
      </c>
      <c r="AQ217" s="62">
        <f>'price-old'!G81</f>
        <v>36.499996185302734</v>
      </c>
      <c r="AR217" s="62">
        <f>'price-new'!G81</f>
        <v>35.6</v>
      </c>
      <c r="AS217" s="45"/>
      <c r="AT217" s="61">
        <f t="shared" si="22"/>
        <v>-8.9801190476190484</v>
      </c>
      <c r="AU217" s="62"/>
      <c r="AV217" s="62">
        <f t="shared" si="23"/>
        <v>0</v>
      </c>
      <c r="AW217" s="45">
        <f>'Filter-old'!I202</f>
        <v>-25</v>
      </c>
      <c r="AX217" s="61">
        <f>'Filter-new'!I202</f>
        <v>-25</v>
      </c>
      <c r="AY217" s="62">
        <f>'price-old'!I81</f>
        <v>38.752857208251953</v>
      </c>
      <c r="AZ217" s="62">
        <f>'price-new'!I81</f>
        <v>35.17</v>
      </c>
      <c r="BA217" s="62">
        <f>'Filter-new'!I691</f>
        <v>0</v>
      </c>
      <c r="BB217" s="62">
        <f>VLOOKUP(B217,[1]Offpeak_Forward!$A$1:$AG$231,15,FALSE)</f>
        <v>25.954166412353501</v>
      </c>
      <c r="BC217" s="45">
        <f>'Filter-old'!K202</f>
        <v>0</v>
      </c>
      <c r="BD217" s="61">
        <f>'Filter-new'!K202</f>
        <v>0</v>
      </c>
      <c r="BE217" s="62">
        <f>'price-old'!K81</f>
        <v>46.1</v>
      </c>
      <c r="BF217" s="62">
        <f>'price-new'!K81</f>
        <v>39.75</v>
      </c>
      <c r="BG217" s="45">
        <f>'Filter-old'!M202</f>
        <v>0</v>
      </c>
      <c r="BH217" s="61"/>
      <c r="BI217" s="61"/>
      <c r="BJ217" s="61">
        <f>'Filter-new'!M202</f>
        <v>0</v>
      </c>
      <c r="BK217" s="62">
        <f>'price-old'!M81</f>
        <v>47.5</v>
      </c>
      <c r="BL217" s="62">
        <f>'price-new'!M81</f>
        <v>42</v>
      </c>
      <c r="BM217" s="62"/>
      <c r="BN217" s="406">
        <f>'Filter-new'!N202</f>
        <v>0</v>
      </c>
      <c r="BO217" s="62"/>
      <c r="BP217" s="62">
        <f>'price-new'!N81</f>
        <v>48.5</v>
      </c>
      <c r="BQ217" s="45">
        <f>'Filter-old'!O202</f>
        <v>0</v>
      </c>
      <c r="BR217" s="61">
        <f>'Filter-new'!O202</f>
        <v>0</v>
      </c>
      <c r="BS217" s="62">
        <f>'price-old'!N81</f>
        <v>44.502857208251953</v>
      </c>
      <c r="BT217" s="62">
        <f>'price-new'!O81</f>
        <v>37.950000000000003</v>
      </c>
      <c r="BU217" s="45">
        <f>'Filter-old'!Q202</f>
        <v>14.797946428571427</v>
      </c>
      <c r="BV217" s="61">
        <f>'Filter-new'!Q202</f>
        <v>16.019880952380952</v>
      </c>
      <c r="BW217" s="62">
        <f>'price-old'!P81</f>
        <v>39.602855682373047</v>
      </c>
      <c r="BX217" s="88">
        <f>'price-new'!Q81</f>
        <v>38.104999999999997</v>
      </c>
      <c r="BY217" s="88">
        <f>'Filter-new'!Q691</f>
        <v>0</v>
      </c>
      <c r="BZ217" s="88">
        <f>VLOOKUP(B217,[1]Offpeak_Forward!$A$1:$AG$231,22,FALSE)</f>
        <v>23.679164886474599</v>
      </c>
      <c r="CA217" s="45">
        <f>'Filter-old'!R202</f>
        <v>0</v>
      </c>
      <c r="CB217" s="61">
        <f>'Filter-new'!R202</f>
        <v>0</v>
      </c>
      <c r="CC217" s="61">
        <f>'price-old'!Q81</f>
        <v>47.5</v>
      </c>
      <c r="CD217" s="89">
        <f>'price-new'!R81</f>
        <v>42</v>
      </c>
      <c r="CE217" s="87">
        <f>'Filter-new'!R691</f>
        <v>0</v>
      </c>
      <c r="CF217" s="87">
        <f>VLOOKUP(B217,[1]Offpeak_Forward!$A$1:$AG$231,6,FALSE)</f>
        <v>22.1674995422363</v>
      </c>
      <c r="CG217" s="4"/>
    </row>
    <row r="218" spans="1:85" hidden="1" x14ac:dyDescent="0.2">
      <c r="A218">
        <v>0</v>
      </c>
      <c r="B218" s="59">
        <v>39264</v>
      </c>
      <c r="C218" s="59">
        <f>'Filter-new'!C81</f>
        <v>39264</v>
      </c>
      <c r="D218" s="63"/>
      <c r="E218" s="63"/>
      <c r="F218" s="63"/>
      <c r="G218" s="36">
        <f t="shared" si="19"/>
        <v>-2.7102380952380933</v>
      </c>
      <c r="H218" s="36">
        <f t="shared" si="20"/>
        <v>-92.468660714285704</v>
      </c>
      <c r="I218" s="36">
        <f t="shared" si="21"/>
        <v>-33.176470588235297</v>
      </c>
      <c r="J218" s="41"/>
      <c r="K218" s="45">
        <f>'Filter-old'!E203</f>
        <v>121.27744047619048</v>
      </c>
      <c r="L218" s="61">
        <f>'Filter-new'!E203</f>
        <v>131.35395833333334</v>
      </c>
      <c r="M218" s="62">
        <f>'price-old'!E82</f>
        <v>51.097146606445314</v>
      </c>
      <c r="N218" s="62">
        <f>'price-new'!E82</f>
        <v>47.564999999999998</v>
      </c>
      <c r="O218" s="429">
        <f>'Filter-new'!E692</f>
        <v>21.196078431372548</v>
      </c>
      <c r="P218" s="62">
        <f>VLOOKUP(B218,[1]Offpeak_Forward!$A$1:$AG$231,13,FALSE)</f>
        <v>24.5690212249756</v>
      </c>
      <c r="Q218" s="45">
        <f>'Filter-old'!H203</f>
        <v>-113</v>
      </c>
      <c r="R218" s="61">
        <f>'Filter-new'!H203</f>
        <v>-213</v>
      </c>
      <c r="S218" s="62">
        <f>'price-old'!H82</f>
        <v>40.247146606445313</v>
      </c>
      <c r="T218" s="62">
        <f>'price-new'!H82</f>
        <v>45.515000000000001</v>
      </c>
      <c r="U218" s="445">
        <f>'Filter-new'!H692</f>
        <v>-54.372549019607845</v>
      </c>
      <c r="V218" s="62">
        <f>VLOOKUP(B218,[1]Offpeak_Forward!$A$1:$AG$231,14,FALSE)</f>
        <v>24.198236465454102</v>
      </c>
      <c r="W218" s="45">
        <f>'Filter-old'!J203</f>
        <v>0</v>
      </c>
      <c r="X218" s="61">
        <f>'Filter-new'!J203</f>
        <v>0</v>
      </c>
      <c r="Y218" s="62">
        <f>'price-old'!J82</f>
        <v>39.450000000000003</v>
      </c>
      <c r="Z218" s="62">
        <f>'price-new'!J82</f>
        <v>50.064999999999998</v>
      </c>
      <c r="AA218" s="45">
        <f>'Filter-old'!F203</f>
        <v>0</v>
      </c>
      <c r="AB218" s="61">
        <f>'Filter-new'!F203</f>
        <v>0</v>
      </c>
      <c r="AC218" s="62">
        <f>'price-old'!F82</f>
        <v>51.097146606445314</v>
      </c>
      <c r="AD218" s="62">
        <f>'price-new'!F82</f>
        <v>50.064999999999998</v>
      </c>
      <c r="AE218" s="45">
        <f>'Filter-old'!P203</f>
        <v>0</v>
      </c>
      <c r="AF218" s="61">
        <f>'Filter-new'!P203</f>
        <v>0</v>
      </c>
      <c r="AG218" s="62">
        <f>'price-old'!O82</f>
        <v>54.24714813232422</v>
      </c>
      <c r="AH218" s="62">
        <f>'price-new'!P82</f>
        <v>36.715000000000003</v>
      </c>
      <c r="AI218" s="45">
        <f>'Filter-old'!L203</f>
        <v>0</v>
      </c>
      <c r="AJ218" s="61">
        <f>'Filter-new'!L203</f>
        <v>-1</v>
      </c>
      <c r="AK218" s="62">
        <f>'price-old'!L82</f>
        <v>98.55</v>
      </c>
      <c r="AL218" s="62">
        <f>'price-new'!L82</f>
        <v>46.814999999999998</v>
      </c>
      <c r="AM218" s="62">
        <f>'Filter-new'!L692</f>
        <v>0</v>
      </c>
      <c r="AN218" s="62">
        <f>VLOOKUP(B218,[1]Offpeak_Forward!$A$1:$AG$231,18,FALSE)</f>
        <v>28.430391311645501</v>
      </c>
      <c r="AO218" s="45">
        <f>'Filter-old'!G203</f>
        <v>0</v>
      </c>
      <c r="AP218" s="61">
        <f>'Filter-new'!G203</f>
        <v>0</v>
      </c>
      <c r="AQ218" s="62">
        <f>'price-old'!G82</f>
        <v>45.249992370605469</v>
      </c>
      <c r="AR218" s="62">
        <f>'price-new'!G82</f>
        <v>45.15</v>
      </c>
      <c r="AS218" s="45"/>
      <c r="AT218" s="61">
        <f t="shared" si="22"/>
        <v>-9.822619047619046</v>
      </c>
      <c r="AU218" s="62"/>
      <c r="AV218" s="62">
        <f t="shared" si="23"/>
        <v>0</v>
      </c>
      <c r="AW218" s="45">
        <f>'Filter-old'!I203</f>
        <v>-25</v>
      </c>
      <c r="AX218" s="61">
        <f>'Filter-new'!I203</f>
        <v>-25</v>
      </c>
      <c r="AY218" s="62">
        <f>'price-old'!I82</f>
        <v>55.834648132324219</v>
      </c>
      <c r="AZ218" s="62">
        <f>'price-new'!I82</f>
        <v>47.064999999999998</v>
      </c>
      <c r="BA218" s="62">
        <f>'Filter-new'!I692</f>
        <v>0</v>
      </c>
      <c r="BB218" s="62">
        <f>VLOOKUP(B218,[1]Offpeak_Forward!$A$1:$AG$231,15,FALSE)</f>
        <v>28.984901428222699</v>
      </c>
      <c r="BC218" s="45">
        <f>'Filter-old'!K203</f>
        <v>0</v>
      </c>
      <c r="BD218" s="61">
        <f>'Filter-new'!K203</f>
        <v>0</v>
      </c>
      <c r="BE218" s="62">
        <f>'price-old'!K82</f>
        <v>57.85</v>
      </c>
      <c r="BF218" s="62">
        <f>'price-new'!K82</f>
        <v>47</v>
      </c>
      <c r="BG218" s="45">
        <f>'Filter-old'!M203</f>
        <v>0</v>
      </c>
      <c r="BH218" s="61"/>
      <c r="BI218" s="61"/>
      <c r="BJ218" s="61">
        <f>'Filter-new'!M203</f>
        <v>0</v>
      </c>
      <c r="BK218" s="62">
        <f>'price-old'!M82</f>
        <v>61</v>
      </c>
      <c r="BL218" s="62">
        <f>'price-new'!M82</f>
        <v>53</v>
      </c>
      <c r="BM218" s="62"/>
      <c r="BN218" s="406">
        <f>'Filter-new'!N203</f>
        <v>0</v>
      </c>
      <c r="BO218" s="62"/>
      <c r="BP218" s="62">
        <f>'price-new'!N82</f>
        <v>70</v>
      </c>
      <c r="BQ218" s="45">
        <f>'Filter-old'!O203</f>
        <v>0</v>
      </c>
      <c r="BR218" s="61">
        <f>'Filter-new'!O203</f>
        <v>0</v>
      </c>
      <c r="BS218" s="62">
        <f>'price-old'!N82</f>
        <v>61.097146606445314</v>
      </c>
      <c r="BT218" s="62">
        <f>'price-new'!O82</f>
        <v>48.05</v>
      </c>
      <c r="BU218" s="45">
        <f>'Filter-old'!Q203</f>
        <v>14.012321428571429</v>
      </c>
      <c r="BV218" s="61">
        <f>'Filter-new'!Q203</f>
        <v>15.177380952380954</v>
      </c>
      <c r="BW218" s="62">
        <f>'price-old'!P82</f>
        <v>58.372146606445313</v>
      </c>
      <c r="BX218" s="88">
        <f>'price-new'!Q82</f>
        <v>49.572000000000003</v>
      </c>
      <c r="BY218" s="88">
        <f>'Filter-new'!Q692</f>
        <v>0</v>
      </c>
      <c r="BZ218" s="88">
        <f>VLOOKUP(B218,[1]Offpeak_Forward!$A$1:$AG$231,22,FALSE)</f>
        <v>28.370979309081999</v>
      </c>
      <c r="CA218" s="45">
        <f>'Filter-old'!R203</f>
        <v>0</v>
      </c>
      <c r="CB218" s="61">
        <f>'Filter-new'!R203</f>
        <v>0</v>
      </c>
      <c r="CC218" s="61">
        <f>'price-old'!Q82</f>
        <v>61</v>
      </c>
      <c r="CD218" s="89">
        <f>'price-new'!R82</f>
        <v>50.75</v>
      </c>
      <c r="CE218" s="87">
        <f>'Filter-new'!R692</f>
        <v>0</v>
      </c>
      <c r="CF218" s="87">
        <f>VLOOKUP(B218,[1]Offpeak_Forward!$A$1:$AG$231,6,FALSE)</f>
        <v>24.277450561523398</v>
      </c>
      <c r="CG218" s="4"/>
    </row>
    <row r="219" spans="1:85" hidden="1" x14ac:dyDescent="0.2">
      <c r="A219">
        <v>0</v>
      </c>
      <c r="B219" s="59">
        <v>39295</v>
      </c>
      <c r="C219" s="59">
        <f>'Filter-new'!C82</f>
        <v>39295</v>
      </c>
      <c r="D219" s="63"/>
      <c r="E219" s="63"/>
      <c r="F219" s="63"/>
      <c r="G219" s="36">
        <f t="shared" si="19"/>
        <v>-1.7616847826086826</v>
      </c>
      <c r="H219" s="36">
        <f t="shared" si="20"/>
        <v>-91.451440217391308</v>
      </c>
      <c r="I219" s="36">
        <f t="shared" si="21"/>
        <v>-46.468085106382979</v>
      </c>
      <c r="J219" s="41"/>
      <c r="K219" s="45">
        <f>'Filter-old'!E204</f>
        <v>120.60358695652175</v>
      </c>
      <c r="L219" s="61">
        <f>'Filter-new'!E204</f>
        <v>130.68948369565217</v>
      </c>
      <c r="M219" s="62">
        <f>'price-old'!E83</f>
        <v>51.097146606445314</v>
      </c>
      <c r="N219" s="62">
        <f>'price-new'!E83</f>
        <v>48.164999999999999</v>
      </c>
      <c r="O219" s="429">
        <f>'Filter-new'!E693</f>
        <v>25.446808510638299</v>
      </c>
      <c r="P219" s="62">
        <f>VLOOKUP(B219,[1]Offpeak_Forward!$A$1:$AG$231,13,FALSE)</f>
        <v>24.8055324554443</v>
      </c>
      <c r="Q219" s="45">
        <f>'Filter-old'!H204</f>
        <v>-112</v>
      </c>
      <c r="R219" s="61">
        <f>'Filter-new'!H204</f>
        <v>-212</v>
      </c>
      <c r="S219" s="62">
        <f>'price-old'!H83</f>
        <v>40.247146606445313</v>
      </c>
      <c r="T219" s="62">
        <f>'price-new'!H83</f>
        <v>46.115000000000002</v>
      </c>
      <c r="U219" s="445">
        <f>'Filter-new'!H693</f>
        <v>-71.914893617021278</v>
      </c>
      <c r="V219" s="62">
        <f>VLOOKUP(B219,[1]Offpeak_Forward!$A$1:$AG$231,14,FALSE)</f>
        <v>23.391277313232401</v>
      </c>
      <c r="W219" s="45">
        <f>'Filter-old'!J204</f>
        <v>0</v>
      </c>
      <c r="X219" s="61">
        <f>'Filter-new'!J204</f>
        <v>0</v>
      </c>
      <c r="Y219" s="62">
        <f>'price-old'!J83</f>
        <v>39.450000000000003</v>
      </c>
      <c r="Z219" s="62">
        <f>'price-new'!J83</f>
        <v>50.664999999999999</v>
      </c>
      <c r="AA219" s="45">
        <f>'Filter-old'!F204</f>
        <v>0</v>
      </c>
      <c r="AB219" s="61">
        <f>'Filter-new'!F204</f>
        <v>0</v>
      </c>
      <c r="AC219" s="62">
        <f>'price-old'!F83</f>
        <v>51.097146606445314</v>
      </c>
      <c r="AD219" s="62">
        <f>'price-new'!F83</f>
        <v>50.664999999999999</v>
      </c>
      <c r="AE219" s="45">
        <f>'Filter-old'!P204</f>
        <v>0</v>
      </c>
      <c r="AF219" s="61">
        <f>'Filter-new'!P204</f>
        <v>0</v>
      </c>
      <c r="AG219" s="62">
        <f>'price-old'!O83</f>
        <v>54.24714813232422</v>
      </c>
      <c r="AH219" s="62">
        <f>'price-new'!P83</f>
        <v>37.314999999999998</v>
      </c>
      <c r="AI219" s="45">
        <f>'Filter-old'!L204</f>
        <v>0</v>
      </c>
      <c r="AJ219" s="61">
        <f>'Filter-new'!L204</f>
        <v>-1</v>
      </c>
      <c r="AK219" s="62">
        <f>'price-old'!L83</f>
        <v>99.04</v>
      </c>
      <c r="AL219" s="62">
        <f>'price-new'!L83</f>
        <v>48.414999999999999</v>
      </c>
      <c r="AM219" s="62">
        <f>'Filter-new'!L693</f>
        <v>0</v>
      </c>
      <c r="AN219" s="62">
        <f>VLOOKUP(B219,[1]Offpeak_Forward!$A$1:$AG$231,18,FALSE)</f>
        <v>28.952978134155298</v>
      </c>
      <c r="AO219" s="45">
        <f>'Filter-old'!G204</f>
        <v>0</v>
      </c>
      <c r="AP219" s="61">
        <f>'Filter-new'!G204</f>
        <v>0</v>
      </c>
      <c r="AQ219" s="62">
        <f>'price-old'!G83</f>
        <v>45.25</v>
      </c>
      <c r="AR219" s="62">
        <f>'price-new'!G83</f>
        <v>44.75</v>
      </c>
      <c r="AS219" s="45"/>
      <c r="AT219" s="61">
        <f t="shared" si="22"/>
        <v>-9.1409239130434781</v>
      </c>
      <c r="AU219" s="62"/>
      <c r="AV219" s="62">
        <f t="shared" si="23"/>
        <v>0</v>
      </c>
      <c r="AW219" s="45">
        <f>'Filter-old'!I204</f>
        <v>-25</v>
      </c>
      <c r="AX219" s="61">
        <f>'Filter-new'!I204</f>
        <v>-25</v>
      </c>
      <c r="AY219" s="62">
        <f>'price-old'!I83</f>
        <v>55.772148132324219</v>
      </c>
      <c r="AZ219" s="62">
        <f>'price-new'!I83</f>
        <v>47.664999999999999</v>
      </c>
      <c r="BA219" s="62">
        <f>'Filter-new'!I693</f>
        <v>0</v>
      </c>
      <c r="BB219" s="62">
        <f>VLOOKUP(B219,[1]Offpeak_Forward!$A$1:$AG$231,15,FALSE)</f>
        <v>28.324041366577099</v>
      </c>
      <c r="BC219" s="45">
        <f>'Filter-old'!K204</f>
        <v>0</v>
      </c>
      <c r="BD219" s="61">
        <f>'Filter-new'!K204</f>
        <v>0</v>
      </c>
      <c r="BE219" s="62">
        <f>'price-old'!K83</f>
        <v>57.85</v>
      </c>
      <c r="BF219" s="62">
        <f>'price-new'!K83</f>
        <v>47</v>
      </c>
      <c r="BG219" s="45">
        <f>'Filter-old'!M204</f>
        <v>0</v>
      </c>
      <c r="BH219" s="61"/>
      <c r="BI219" s="61"/>
      <c r="BJ219" s="61">
        <f>'Filter-new'!M204</f>
        <v>0</v>
      </c>
      <c r="BK219" s="62">
        <f>'price-old'!M83</f>
        <v>61</v>
      </c>
      <c r="BL219" s="62">
        <f>'price-new'!M83</f>
        <v>53</v>
      </c>
      <c r="BM219" s="62"/>
      <c r="BN219" s="406">
        <f>'Filter-new'!N204</f>
        <v>0</v>
      </c>
      <c r="BO219" s="62"/>
      <c r="BP219" s="62">
        <f>'price-new'!N83</f>
        <v>70</v>
      </c>
      <c r="BQ219" s="45">
        <f>'Filter-old'!O204</f>
        <v>0</v>
      </c>
      <c r="BR219" s="61">
        <f>'Filter-new'!O204</f>
        <v>0</v>
      </c>
      <c r="BS219" s="62">
        <f>'price-old'!N83</f>
        <v>61.097146606445314</v>
      </c>
      <c r="BT219" s="62">
        <f>'price-new'!O83</f>
        <v>47.05</v>
      </c>
      <c r="BU219" s="45">
        <f>'Filter-old'!Q204</f>
        <v>14.634728260869565</v>
      </c>
      <c r="BV219" s="61">
        <f>'Filter-new'!Q204</f>
        <v>15.859076086956522</v>
      </c>
      <c r="BW219" s="62">
        <f>'price-old'!P83</f>
        <v>58.372146606445313</v>
      </c>
      <c r="BX219" s="88">
        <f>'price-new'!Q83</f>
        <v>49.822000000000003</v>
      </c>
      <c r="BY219" s="88">
        <f>'Filter-new'!Q693</f>
        <v>0</v>
      </c>
      <c r="BZ219" s="88">
        <f>VLOOKUP(B219,[1]Offpeak_Forward!$A$1:$AG$231,22,FALSE)</f>
        <v>27.615318298339801</v>
      </c>
      <c r="CA219" s="45">
        <f>'Filter-old'!R204</f>
        <v>0</v>
      </c>
      <c r="CB219" s="61">
        <f>'Filter-new'!R204</f>
        <v>0</v>
      </c>
      <c r="CC219" s="61">
        <f>'price-old'!Q83</f>
        <v>61</v>
      </c>
      <c r="CD219" s="89">
        <f>'price-new'!R83</f>
        <v>50.75</v>
      </c>
      <c r="CE219" s="87">
        <f>'Filter-new'!R693</f>
        <v>0</v>
      </c>
      <c r="CF219" s="87">
        <f>VLOOKUP(B219,[1]Offpeak_Forward!$A$1:$AG$231,6,FALSE)</f>
        <v>23.769147872924801</v>
      </c>
      <c r="CG219" s="4"/>
    </row>
    <row r="220" spans="1:85" hidden="1" x14ac:dyDescent="0.2">
      <c r="A220">
        <v>0</v>
      </c>
      <c r="B220" s="59">
        <v>39326</v>
      </c>
      <c r="C220" s="59">
        <f>'Filter-new'!C83</f>
        <v>39326</v>
      </c>
      <c r="D220" s="63"/>
      <c r="E220" s="63"/>
      <c r="F220" s="63"/>
      <c r="G220" s="36">
        <f t="shared" si="19"/>
        <v>-17.798684210526304</v>
      </c>
      <c r="H220" s="36">
        <f t="shared" si="20"/>
        <v>-106.42187499999999</v>
      </c>
      <c r="I220" s="36">
        <f t="shared" si="21"/>
        <v>-38.93028846153846</v>
      </c>
      <c r="J220" s="41"/>
      <c r="K220" s="45">
        <f>'Filter-old'!E205</f>
        <v>119.95282894736843</v>
      </c>
      <c r="L220" s="61">
        <f>'Filter-new'!E205</f>
        <v>130.04605263157896</v>
      </c>
      <c r="M220" s="62">
        <f>'price-old'!E84</f>
        <v>35.402140045166014</v>
      </c>
      <c r="N220" s="62">
        <f>'price-new'!E84</f>
        <v>28.17</v>
      </c>
      <c r="O220" s="429">
        <f>'Filter-new'!E694</f>
        <v>20.84375</v>
      </c>
      <c r="P220" s="62">
        <f>VLOOKUP(B220,[1]Offpeak_Forward!$A$1:$AG$231,13,FALSE)</f>
        <v>18.776538848876999</v>
      </c>
      <c r="Q220" s="45">
        <f>'Filter-old'!H205</f>
        <v>-128</v>
      </c>
      <c r="R220" s="61">
        <f>'Filter-new'!H205</f>
        <v>-228</v>
      </c>
      <c r="S220" s="62">
        <f>'price-old'!H84</f>
        <v>30.352143859863283</v>
      </c>
      <c r="T220" s="62">
        <f>'price-new'!H84</f>
        <v>26.92</v>
      </c>
      <c r="U220" s="445">
        <f>'Filter-new'!H694</f>
        <v>-59.77403846153846</v>
      </c>
      <c r="V220" s="62">
        <f>VLOOKUP(B220,[1]Offpeak_Forward!$A$1:$AG$231,14,FALSE)</f>
        <v>18.1853847503662</v>
      </c>
      <c r="W220" s="45">
        <f>'Filter-old'!J205</f>
        <v>0</v>
      </c>
      <c r="X220" s="61">
        <f>'Filter-new'!J205</f>
        <v>0</v>
      </c>
      <c r="Y220" s="62">
        <f>'price-old'!J84</f>
        <v>35.161913909912109</v>
      </c>
      <c r="Z220" s="62">
        <f>'price-new'!J84</f>
        <v>29.67</v>
      </c>
      <c r="AA220" s="45">
        <f>'Filter-old'!F205</f>
        <v>0</v>
      </c>
      <c r="AB220" s="61">
        <f>'Filter-new'!F205</f>
        <v>0</v>
      </c>
      <c r="AC220" s="62">
        <f>'price-old'!F84</f>
        <v>35.402140045166014</v>
      </c>
      <c r="AD220" s="62">
        <f>'price-new'!F84</f>
        <v>29.67</v>
      </c>
      <c r="AE220" s="45">
        <f>'Filter-old'!P205</f>
        <v>0</v>
      </c>
      <c r="AF220" s="61">
        <f>'Filter-new'!P205</f>
        <v>0</v>
      </c>
      <c r="AG220" s="62">
        <f>'price-old'!O84</f>
        <v>37.577143096923827</v>
      </c>
      <c r="AH220" s="62">
        <f>'price-new'!P84</f>
        <v>25.27</v>
      </c>
      <c r="AI220" s="45">
        <f>'Filter-old'!L205</f>
        <v>0</v>
      </c>
      <c r="AJ220" s="61">
        <f>'Filter-new'!L205</f>
        <v>0</v>
      </c>
      <c r="AK220" s="62">
        <f>'price-old'!L84</f>
        <v>56.04</v>
      </c>
      <c r="AL220" s="62">
        <f>'price-new'!L84</f>
        <v>30.94</v>
      </c>
      <c r="AM220" s="62">
        <f>'Filter-new'!L694</f>
        <v>0</v>
      </c>
      <c r="AN220" s="62">
        <f>VLOOKUP(B220,[1]Offpeak_Forward!$A$1:$AG$231,18,FALSE)</f>
        <v>22.466922760009801</v>
      </c>
      <c r="AO220" s="45">
        <f>'Filter-old'!G205</f>
        <v>0</v>
      </c>
      <c r="AP220" s="61">
        <f>'Filter-new'!G205</f>
        <v>0</v>
      </c>
      <c r="AQ220" s="62">
        <f>'price-old'!G84</f>
        <v>34.250003814697266</v>
      </c>
      <c r="AR220" s="62">
        <f>'price-new'!G84</f>
        <v>32.5</v>
      </c>
      <c r="AS220" s="45"/>
      <c r="AT220" s="61">
        <f t="shared" si="22"/>
        <v>-8.4679276315789487</v>
      </c>
      <c r="AU220" s="62"/>
      <c r="AV220" s="62">
        <f t="shared" si="23"/>
        <v>0</v>
      </c>
      <c r="AW220" s="45">
        <f>'Filter-old'!I205</f>
        <v>-25</v>
      </c>
      <c r="AX220" s="61">
        <f>'Filter-new'!I205</f>
        <v>-25</v>
      </c>
      <c r="AY220" s="62">
        <f>'price-old'!I84</f>
        <v>35.027145385742187</v>
      </c>
      <c r="AZ220" s="62">
        <f>'price-new'!I84</f>
        <v>27.67</v>
      </c>
      <c r="BA220" s="62">
        <f>'Filter-new'!I694</f>
        <v>0</v>
      </c>
      <c r="BB220" s="62">
        <f>VLOOKUP(B220,[1]Offpeak_Forward!$A$1:$AG$231,15,FALSE)</f>
        <v>19.563461303710898</v>
      </c>
      <c r="BC220" s="45">
        <f>'Filter-old'!K205</f>
        <v>0</v>
      </c>
      <c r="BD220" s="61">
        <f>'Filter-new'!K205</f>
        <v>0</v>
      </c>
      <c r="BE220" s="62">
        <f>'price-old'!K84</f>
        <v>36.85</v>
      </c>
      <c r="BF220" s="62">
        <f>'price-new'!K84</f>
        <v>34</v>
      </c>
      <c r="BG220" s="45">
        <f>'Filter-old'!M205</f>
        <v>0</v>
      </c>
      <c r="BH220" s="61"/>
      <c r="BI220" s="61"/>
      <c r="BJ220" s="61">
        <f>'Filter-new'!M205</f>
        <v>0</v>
      </c>
      <c r="BK220" s="62">
        <f>'price-old'!M84</f>
        <v>33.25</v>
      </c>
      <c r="BL220" s="62">
        <f>'price-new'!M84</f>
        <v>30.75</v>
      </c>
      <c r="BM220" s="62"/>
      <c r="BN220" s="406">
        <f>'Filter-new'!N205</f>
        <v>0</v>
      </c>
      <c r="BO220" s="62"/>
      <c r="BP220" s="62">
        <f>'price-new'!N84</f>
        <v>38.5</v>
      </c>
      <c r="BQ220" s="45">
        <f>'Filter-old'!O205</f>
        <v>0</v>
      </c>
      <c r="BR220" s="61">
        <f>'Filter-new'!O205</f>
        <v>0</v>
      </c>
      <c r="BS220" s="62">
        <f>'price-old'!N84</f>
        <v>38.402140045166014</v>
      </c>
      <c r="BT220" s="62">
        <f>'price-new'!O84</f>
        <v>26.99</v>
      </c>
      <c r="BU220" s="45">
        <f>'Filter-old'!Q205</f>
        <v>15.248486842105264</v>
      </c>
      <c r="BV220" s="61">
        <f>'Filter-new'!Q205</f>
        <v>16.532072368421051</v>
      </c>
      <c r="BW220" s="62">
        <f>'price-old'!P84</f>
        <v>34.252143859863281</v>
      </c>
      <c r="BX220" s="88">
        <f>'price-new'!Q84</f>
        <v>25.231999999999999</v>
      </c>
      <c r="BY220" s="88">
        <f>'Filter-new'!Q694</f>
        <v>0</v>
      </c>
      <c r="BZ220" s="88">
        <f>VLOOKUP(B220,[1]Offpeak_Forward!$A$1:$AG$231,22,FALSE)</f>
        <v>22.280767440795898</v>
      </c>
      <c r="CA220" s="45">
        <f>'Filter-old'!R205</f>
        <v>0</v>
      </c>
      <c r="CB220" s="61">
        <f>'Filter-new'!R205</f>
        <v>0</v>
      </c>
      <c r="CC220" s="61">
        <f>'price-old'!Q84</f>
        <v>33.25</v>
      </c>
      <c r="CD220" s="89">
        <f>'price-new'!R84</f>
        <v>30</v>
      </c>
      <c r="CE220" s="87">
        <f>'Filter-new'!R694</f>
        <v>0</v>
      </c>
      <c r="CF220" s="87">
        <f>VLOOKUP(B220,[1]Offpeak_Forward!$A$1:$AG$231,6,FALSE)</f>
        <v>20.287693023681602</v>
      </c>
      <c r="CG220" s="4"/>
    </row>
    <row r="221" spans="1:85" hidden="1" x14ac:dyDescent="0.2">
      <c r="A221">
        <v>0</v>
      </c>
      <c r="B221" s="59">
        <v>39356</v>
      </c>
      <c r="C221" s="59">
        <f>'Filter-new'!C84</f>
        <v>39356</v>
      </c>
      <c r="D221" s="63"/>
      <c r="E221" s="63"/>
      <c r="F221" s="63"/>
      <c r="G221" s="36">
        <f t="shared" si="19"/>
        <v>-19.554266304347834</v>
      </c>
      <c r="H221" s="36">
        <f t="shared" si="20"/>
        <v>-108.17065217391304</v>
      </c>
      <c r="I221" s="36">
        <f t="shared" si="21"/>
        <v>-52.085106382978729</v>
      </c>
      <c r="J221" s="41"/>
      <c r="K221" s="45">
        <f>'Filter-old'!E206</f>
        <v>119.28182065217391</v>
      </c>
      <c r="L221" s="61">
        <f>'Filter-new'!E206</f>
        <v>129.38097826086957</v>
      </c>
      <c r="M221" s="62">
        <f>'price-old'!E85</f>
        <v>34.402062177658081</v>
      </c>
      <c r="N221" s="62">
        <f>'price-new'!E85</f>
        <v>29.53</v>
      </c>
      <c r="O221" s="429">
        <f>'Filter-new'!E695</f>
        <v>23.48936170212766</v>
      </c>
      <c r="P221" s="62">
        <f>VLOOKUP(B221,[1]Offpeak_Forward!$A$1:$AG$231,13,FALSE)</f>
        <v>16.433191299438501</v>
      </c>
      <c r="Q221" s="45">
        <f>'Filter-old'!H206</f>
        <v>-129</v>
      </c>
      <c r="R221" s="61">
        <f>'Filter-new'!H206</f>
        <v>-229</v>
      </c>
      <c r="S221" s="62">
        <f>'price-old'!H85</f>
        <v>34.343929290771484</v>
      </c>
      <c r="T221" s="62">
        <f>'price-new'!H85</f>
        <v>28.28</v>
      </c>
      <c r="U221" s="445">
        <f>'Filter-new'!H695</f>
        <v>-75.574468085106389</v>
      </c>
      <c r="V221" s="62">
        <f>VLOOKUP(B221,[1]Offpeak_Forward!$A$1:$AG$231,14,FALSE)</f>
        <v>16.635957717895501</v>
      </c>
      <c r="W221" s="45">
        <f>'Filter-old'!J206</f>
        <v>0</v>
      </c>
      <c r="X221" s="61">
        <f>'Filter-new'!J206</f>
        <v>0</v>
      </c>
      <c r="Y221" s="62">
        <f>'price-old'!J85</f>
        <v>39.904998779296875</v>
      </c>
      <c r="Z221" s="62">
        <f>'price-new'!J85</f>
        <v>29.53</v>
      </c>
      <c r="AA221" s="45">
        <f>'Filter-old'!F206</f>
        <v>0</v>
      </c>
      <c r="AB221" s="61">
        <f>'Filter-new'!F206</f>
        <v>0</v>
      </c>
      <c r="AC221" s="62">
        <f>'price-old'!F85</f>
        <v>34.402062177658081</v>
      </c>
      <c r="AD221" s="62">
        <f>'price-new'!F85</f>
        <v>29.53</v>
      </c>
      <c r="AE221" s="45">
        <f>'Filter-old'!P206</f>
        <v>0</v>
      </c>
      <c r="AF221" s="61">
        <f>'Filter-new'!P206</f>
        <v>0</v>
      </c>
      <c r="AG221" s="62">
        <f>'price-old'!O85</f>
        <v>34.153934478759766</v>
      </c>
      <c r="AH221" s="62">
        <f>'price-new'!P85</f>
        <v>31.97</v>
      </c>
      <c r="AI221" s="45">
        <f>'Filter-old'!L206</f>
        <v>0</v>
      </c>
      <c r="AJ221" s="61">
        <f>'Filter-new'!L206</f>
        <v>0</v>
      </c>
      <c r="AK221" s="62">
        <f>'price-old'!L85</f>
        <v>55.04</v>
      </c>
      <c r="AL221" s="62">
        <f>'price-new'!L85</f>
        <v>31.27</v>
      </c>
      <c r="AM221" s="62">
        <f>'Filter-new'!L695</f>
        <v>0</v>
      </c>
      <c r="AN221" s="62">
        <f>VLOOKUP(B221,[1]Offpeak_Forward!$A$1:$AG$231,18,FALSE)</f>
        <v>20.580638885498001</v>
      </c>
      <c r="AO221" s="45">
        <f>'Filter-old'!G206</f>
        <v>0</v>
      </c>
      <c r="AP221" s="61">
        <f>'Filter-new'!G206</f>
        <v>0</v>
      </c>
      <c r="AQ221" s="62">
        <f>'price-old'!G85</f>
        <v>31.300003051757813</v>
      </c>
      <c r="AR221" s="62">
        <f>'price-new'!G85</f>
        <v>30.72</v>
      </c>
      <c r="AS221" s="45"/>
      <c r="AT221" s="61">
        <f t="shared" si="22"/>
        <v>-8.5516304347826093</v>
      </c>
      <c r="AU221" s="62"/>
      <c r="AV221" s="62">
        <f t="shared" si="23"/>
        <v>0</v>
      </c>
      <c r="AW221" s="45">
        <f>'Filter-old'!I206</f>
        <v>-25</v>
      </c>
      <c r="AX221" s="61">
        <f>'Filter-new'!I206</f>
        <v>-25</v>
      </c>
      <c r="AY221" s="62">
        <f>'price-old'!I85</f>
        <v>33.841434478759766</v>
      </c>
      <c r="AZ221" s="62">
        <f>'price-new'!I85</f>
        <v>29.03</v>
      </c>
      <c r="BA221" s="62">
        <f>'Filter-new'!I695</f>
        <v>0</v>
      </c>
      <c r="BB221" s="62">
        <f>VLOOKUP(B221,[1]Offpeak_Forward!$A$1:$AG$231,15,FALSE)</f>
        <v>17.536808013916001</v>
      </c>
      <c r="BC221" s="45">
        <f>'Filter-old'!K206</f>
        <v>0</v>
      </c>
      <c r="BD221" s="61">
        <f>'Filter-new'!K206</f>
        <v>0</v>
      </c>
      <c r="BE221" s="62">
        <f>'price-old'!K85</f>
        <v>38.1</v>
      </c>
      <c r="BF221" s="62">
        <f>'price-new'!K85</f>
        <v>33.75</v>
      </c>
      <c r="BG221" s="45">
        <f>'Filter-old'!M206</f>
        <v>0</v>
      </c>
      <c r="BH221" s="61"/>
      <c r="BI221" s="61"/>
      <c r="BJ221" s="61">
        <f>'Filter-new'!M206</f>
        <v>0</v>
      </c>
      <c r="BK221" s="62">
        <f>'price-old'!M85</f>
        <v>32.5</v>
      </c>
      <c r="BL221" s="62">
        <f>'price-new'!M85</f>
        <v>30.75</v>
      </c>
      <c r="BM221" s="62"/>
      <c r="BN221" s="406">
        <f>'Filter-new'!N206</f>
        <v>0</v>
      </c>
      <c r="BO221" s="62"/>
      <c r="BP221" s="62">
        <f>'price-new'!N85</f>
        <v>38.5</v>
      </c>
      <c r="BQ221" s="45">
        <f>'Filter-old'!O206</f>
        <v>0</v>
      </c>
      <c r="BR221" s="61">
        <f>'Filter-new'!O206</f>
        <v>0</v>
      </c>
      <c r="BS221" s="62">
        <f>'price-old'!N85</f>
        <v>36.248935699462891</v>
      </c>
      <c r="BT221" s="62">
        <f>'price-new'!O85</f>
        <v>28.97</v>
      </c>
      <c r="BU221" s="45">
        <f>'Filter-old'!Q206</f>
        <v>15.16391304347826</v>
      </c>
      <c r="BV221" s="61">
        <f>'Filter-new'!Q206</f>
        <v>16.448369565217391</v>
      </c>
      <c r="BW221" s="62">
        <f>'price-old'!P85</f>
        <v>32.003932952880859</v>
      </c>
      <c r="BX221" s="88">
        <f>'price-new'!Q85</f>
        <v>27.122</v>
      </c>
      <c r="BY221" s="88">
        <f>'Filter-new'!Q695</f>
        <v>0</v>
      </c>
      <c r="BZ221" s="88">
        <f>VLOOKUP(B221,[1]Offpeak_Forward!$A$1:$AG$231,22,FALSE)</f>
        <v>20.264253616333001</v>
      </c>
      <c r="CA221" s="45">
        <f>'Filter-old'!R206</f>
        <v>0</v>
      </c>
      <c r="CB221" s="61">
        <f>'Filter-new'!R206</f>
        <v>0</v>
      </c>
      <c r="CC221" s="61">
        <f>'price-old'!Q85</f>
        <v>32.5</v>
      </c>
      <c r="CD221" s="89">
        <f>'price-new'!R85</f>
        <v>30</v>
      </c>
      <c r="CE221" s="87">
        <f>'Filter-new'!R695</f>
        <v>0</v>
      </c>
      <c r="CF221" s="87">
        <f>VLOOKUP(B221,[1]Offpeak_Forward!$A$1:$AG$231,6,FALSE)</f>
        <v>20.876041412353501</v>
      </c>
      <c r="CG221" s="4"/>
    </row>
    <row r="222" spans="1:85" hidden="1" x14ac:dyDescent="0.2">
      <c r="A222">
        <v>0</v>
      </c>
      <c r="B222" s="59">
        <v>39387</v>
      </c>
      <c r="C222" s="59">
        <f>'Filter-new'!C85</f>
        <v>39387</v>
      </c>
      <c r="D222" s="63"/>
      <c r="E222" s="63"/>
      <c r="F222" s="63"/>
      <c r="G222" s="36">
        <f t="shared" si="19"/>
        <v>-21.284553571428575</v>
      </c>
      <c r="H222" s="36">
        <f t="shared" si="20"/>
        <v>-109.89660714285712</v>
      </c>
      <c r="I222" s="36">
        <f t="shared" si="21"/>
        <v>-55.208333333333343</v>
      </c>
      <c r="J222" s="41"/>
      <c r="K222" s="45">
        <f>'Filter-old'!E207</f>
        <v>118.63392857142857</v>
      </c>
      <c r="L222" s="61">
        <f>'Filter-new'!E207</f>
        <v>128.73705357142859</v>
      </c>
      <c r="M222" s="62">
        <f>'price-old'!E86</f>
        <v>34.502060651779175</v>
      </c>
      <c r="N222" s="62">
        <f>'price-new'!E86</f>
        <v>29.23</v>
      </c>
      <c r="O222" s="429">
        <f>'Filter-new'!E696</f>
        <v>25.395833333333332</v>
      </c>
      <c r="P222" s="62">
        <f>VLOOKUP(B222,[1]Offpeak_Forward!$A$1:$AG$231,13,FALSE)</f>
        <v>17.314167022705099</v>
      </c>
      <c r="Q222" s="45">
        <f>'Filter-old'!H207</f>
        <v>-130</v>
      </c>
      <c r="R222" s="61">
        <f>'Filter-new'!H207</f>
        <v>-230</v>
      </c>
      <c r="S222" s="62">
        <f>'price-old'!H86</f>
        <v>37.843929290771484</v>
      </c>
      <c r="T222" s="62">
        <f>'price-new'!H86</f>
        <v>27.98</v>
      </c>
      <c r="U222" s="445">
        <f>'Filter-new'!H696</f>
        <v>-80.604166666666671</v>
      </c>
      <c r="V222" s="62">
        <f>VLOOKUP(B222,[1]Offpeak_Forward!$A$1:$AG$231,14,FALSE)</f>
        <v>17.2279167175293</v>
      </c>
      <c r="W222" s="45">
        <f>'Filter-old'!J207</f>
        <v>0</v>
      </c>
      <c r="X222" s="61">
        <f>'Filter-new'!J207</f>
        <v>0</v>
      </c>
      <c r="Y222" s="62">
        <f>'price-old'!J86</f>
        <v>40.701915740966797</v>
      </c>
      <c r="Z222" s="62">
        <f>'price-new'!J86</f>
        <v>29.23</v>
      </c>
      <c r="AA222" s="45">
        <f>'Filter-old'!F207</f>
        <v>0</v>
      </c>
      <c r="AB222" s="61">
        <f>'Filter-new'!F207</f>
        <v>0</v>
      </c>
      <c r="AC222" s="62">
        <f>'price-old'!F86</f>
        <v>34.502060651779175</v>
      </c>
      <c r="AD222" s="62">
        <f>'price-new'!F86</f>
        <v>29.23</v>
      </c>
      <c r="AE222" s="45">
        <f>'Filter-old'!P207</f>
        <v>0</v>
      </c>
      <c r="AF222" s="61">
        <f>'Filter-new'!P207</f>
        <v>0</v>
      </c>
      <c r="AG222" s="62">
        <f>'price-old'!O86</f>
        <v>34.253932952880859</v>
      </c>
      <c r="AH222" s="62">
        <f>'price-new'!P86</f>
        <v>35.07</v>
      </c>
      <c r="AI222" s="45">
        <f>'Filter-old'!L207</f>
        <v>0</v>
      </c>
      <c r="AJ222" s="61">
        <f>'Filter-new'!L207</f>
        <v>0</v>
      </c>
      <c r="AK222" s="62">
        <f>'price-old'!L86</f>
        <v>55.04</v>
      </c>
      <c r="AL222" s="62">
        <f>'price-new'!L86</f>
        <v>30.97</v>
      </c>
      <c r="AM222" s="62">
        <f>'Filter-new'!L696</f>
        <v>0</v>
      </c>
      <c r="AN222" s="62">
        <f>VLOOKUP(B222,[1]Offpeak_Forward!$A$1:$AG$231,18,FALSE)</f>
        <v>21.2704162597656</v>
      </c>
      <c r="AO222" s="45">
        <f>'Filter-old'!G207</f>
        <v>0</v>
      </c>
      <c r="AP222" s="61">
        <f>'Filter-new'!G207</f>
        <v>0</v>
      </c>
      <c r="AQ222" s="62">
        <f>'price-old'!G86</f>
        <v>30.999996185302734</v>
      </c>
      <c r="AR222" s="62">
        <f>'price-new'!G86</f>
        <v>29.72</v>
      </c>
      <c r="AS222" s="45"/>
      <c r="AT222" s="61">
        <f t="shared" si="22"/>
        <v>-8.633660714285714</v>
      </c>
      <c r="AU222" s="62"/>
      <c r="AV222" s="62">
        <f t="shared" si="23"/>
        <v>0</v>
      </c>
      <c r="AW222" s="45">
        <f>'Filter-old'!I207</f>
        <v>-25</v>
      </c>
      <c r="AX222" s="61">
        <f>'Filter-new'!I207</f>
        <v>-25</v>
      </c>
      <c r="AY222" s="62">
        <f>'price-old'!I86</f>
        <v>33.878932952880859</v>
      </c>
      <c r="AZ222" s="62">
        <f>'price-new'!I86</f>
        <v>28.73</v>
      </c>
      <c r="BA222" s="62">
        <f>'Filter-new'!I696</f>
        <v>0</v>
      </c>
      <c r="BB222" s="62">
        <f>VLOOKUP(B222,[1]Offpeak_Forward!$A$1:$AG$231,15,FALSE)</f>
        <v>18.034584045410199</v>
      </c>
      <c r="BC222" s="45">
        <f>'Filter-old'!K207</f>
        <v>0</v>
      </c>
      <c r="BD222" s="61">
        <f>'Filter-new'!K207</f>
        <v>0</v>
      </c>
      <c r="BE222" s="62">
        <f>'price-old'!K86</f>
        <v>38.1</v>
      </c>
      <c r="BF222" s="62">
        <f>'price-new'!K86</f>
        <v>33.75</v>
      </c>
      <c r="BG222" s="45">
        <f>'Filter-old'!M207</f>
        <v>0</v>
      </c>
      <c r="BH222" s="61"/>
      <c r="BI222" s="61"/>
      <c r="BJ222" s="61">
        <f>'Filter-new'!M207</f>
        <v>0</v>
      </c>
      <c r="BK222" s="62">
        <f>'price-old'!M86</f>
        <v>32.5</v>
      </c>
      <c r="BL222" s="62">
        <f>'price-new'!M86</f>
        <v>30.75</v>
      </c>
      <c r="BM222" s="62"/>
      <c r="BN222" s="406">
        <f>'Filter-new'!N207</f>
        <v>0</v>
      </c>
      <c r="BO222" s="62"/>
      <c r="BP222" s="62">
        <f>'price-new'!N86</f>
        <v>38.5</v>
      </c>
      <c r="BQ222" s="45">
        <f>'Filter-old'!O207</f>
        <v>0</v>
      </c>
      <c r="BR222" s="61">
        <f>'Filter-new'!O207</f>
        <v>0</v>
      </c>
      <c r="BS222" s="62">
        <f>'price-old'!N86</f>
        <v>36.248935699462891</v>
      </c>
      <c r="BT222" s="62">
        <f>'price-new'!O86</f>
        <v>28.97</v>
      </c>
      <c r="BU222" s="45">
        <f>'Filter-old'!Q207</f>
        <v>15.081517857142858</v>
      </c>
      <c r="BV222" s="61">
        <f>'Filter-new'!Q207</f>
        <v>16.366339285714286</v>
      </c>
      <c r="BW222" s="62">
        <f>'price-old'!P86</f>
        <v>32.103931427001953</v>
      </c>
      <c r="BX222" s="88">
        <f>'price-new'!Q86</f>
        <v>27.222000000000001</v>
      </c>
      <c r="BY222" s="88">
        <f>'Filter-new'!Q696</f>
        <v>0</v>
      </c>
      <c r="BZ222" s="88">
        <f>VLOOKUP(B222,[1]Offpeak_Forward!$A$1:$AG$231,22,FALSE)</f>
        <v>21.116664886474599</v>
      </c>
      <c r="CA222" s="45">
        <f>'Filter-old'!R207</f>
        <v>0</v>
      </c>
      <c r="CB222" s="61">
        <f>'Filter-new'!R207</f>
        <v>0</v>
      </c>
      <c r="CC222" s="61">
        <f>'price-old'!Q86</f>
        <v>32.5</v>
      </c>
      <c r="CD222" s="89">
        <f>'price-new'!R86</f>
        <v>30</v>
      </c>
      <c r="CE222" s="87">
        <f>'Filter-new'!R696</f>
        <v>0</v>
      </c>
      <c r="CF222" s="87">
        <f>VLOOKUP(B222,[1]Offpeak_Forward!$A$1:$AG$231,6,FALSE)</f>
        <v>21.1567497253418</v>
      </c>
      <c r="CG222" s="4"/>
    </row>
    <row r="223" spans="1:85" hidden="1" x14ac:dyDescent="0.2">
      <c r="A223">
        <v>0</v>
      </c>
      <c r="B223" s="59">
        <v>39417</v>
      </c>
      <c r="C223" s="59">
        <f>'Filter-new'!C86</f>
        <v>39417</v>
      </c>
      <c r="D223" s="63"/>
      <c r="E223" s="63"/>
      <c r="F223" s="63"/>
      <c r="G223" s="36">
        <f t="shared" si="19"/>
        <v>-21.037343749999994</v>
      </c>
      <c r="H223" s="36">
        <f t="shared" si="20"/>
        <v>-109.6465</v>
      </c>
      <c r="I223" s="36">
        <f t="shared" si="21"/>
        <v>-140.52830188679246</v>
      </c>
      <c r="J223" s="41"/>
      <c r="K223" s="45">
        <f>'Filter-old'!E208</f>
        <v>117.96578125000001</v>
      </c>
      <c r="L223" s="61">
        <f>'Filter-new'!E208</f>
        <v>128.0714375</v>
      </c>
      <c r="M223" s="62">
        <f>'price-old'!E87</f>
        <v>34.602059125900269</v>
      </c>
      <c r="N223" s="62">
        <f>'price-new'!E87</f>
        <v>29.09</v>
      </c>
      <c r="O223" s="429">
        <f>'Filter-new'!E697</f>
        <v>-24.962264150943398</v>
      </c>
      <c r="P223" s="62">
        <f>VLOOKUP(B223,[1]Offpeak_Forward!$A$1:$AG$231,13,FALSE)</f>
        <v>21.1790580749512</v>
      </c>
      <c r="Q223" s="45">
        <f>'Filter-old'!H208</f>
        <v>-129</v>
      </c>
      <c r="R223" s="61">
        <f>'Filter-new'!H208</f>
        <v>-229</v>
      </c>
      <c r="S223" s="62">
        <f>'price-old'!H87</f>
        <v>38.343929290771484</v>
      </c>
      <c r="T223" s="62">
        <f>'price-new'!H87</f>
        <v>27.84</v>
      </c>
      <c r="U223" s="445">
        <f>'Filter-new'!H697</f>
        <v>-69.339622641509436</v>
      </c>
      <c r="V223" s="62">
        <f>VLOOKUP(B223,[1]Offpeak_Forward!$A$1:$AG$231,14,FALSE)</f>
        <v>21.117359161376999</v>
      </c>
      <c r="W223" s="45">
        <f>'Filter-old'!J208</f>
        <v>0</v>
      </c>
      <c r="X223" s="61">
        <f>'Filter-new'!J208</f>
        <v>0</v>
      </c>
      <c r="Y223" s="62">
        <f>'price-old'!J87</f>
        <v>41.457302093505859</v>
      </c>
      <c r="Z223" s="62">
        <f>'price-new'!J87</f>
        <v>29.09</v>
      </c>
      <c r="AA223" s="45">
        <f>'Filter-old'!F208</f>
        <v>0</v>
      </c>
      <c r="AB223" s="61">
        <f>'Filter-new'!F208</f>
        <v>0</v>
      </c>
      <c r="AC223" s="62">
        <f>'price-old'!F87</f>
        <v>34.602059125900269</v>
      </c>
      <c r="AD223" s="62">
        <f>'price-new'!F87</f>
        <v>29.09</v>
      </c>
      <c r="AE223" s="45">
        <f>'Filter-old'!P208</f>
        <v>0</v>
      </c>
      <c r="AF223" s="61">
        <f>'Filter-new'!P208</f>
        <v>0</v>
      </c>
      <c r="AG223" s="62">
        <f>'price-old'!O87</f>
        <v>34.353931427001953</v>
      </c>
      <c r="AH223" s="62">
        <f>'price-new'!P87</f>
        <v>35.33</v>
      </c>
      <c r="AI223" s="45">
        <f>'Filter-old'!L208</f>
        <v>0</v>
      </c>
      <c r="AJ223" s="61">
        <f>'Filter-new'!L208</f>
        <v>0</v>
      </c>
      <c r="AK223" s="62">
        <f>'price-old'!L87</f>
        <v>55.04</v>
      </c>
      <c r="AL223" s="62">
        <f>'price-new'!L87</f>
        <v>30.83</v>
      </c>
      <c r="AM223" s="62">
        <f>'Filter-new'!L697</f>
        <v>0</v>
      </c>
      <c r="AN223" s="62">
        <f>VLOOKUP(B223,[1]Offpeak_Forward!$A$1:$AG$231,18,FALSE)</f>
        <v>24.9135856628418</v>
      </c>
      <c r="AO223" s="45">
        <f>'Filter-old'!G208</f>
        <v>0</v>
      </c>
      <c r="AP223" s="61">
        <f>'Filter-new'!G208</f>
        <v>0</v>
      </c>
      <c r="AQ223" s="62">
        <f>'price-old'!G87</f>
        <v>31.999996185302734</v>
      </c>
      <c r="AR223" s="62">
        <f>'price-new'!G87</f>
        <v>30.62</v>
      </c>
      <c r="AS223" s="45"/>
      <c r="AT223" s="61">
        <f t="shared" si="22"/>
        <v>-8.7179374999999979</v>
      </c>
      <c r="AU223" s="62"/>
      <c r="AV223" s="62">
        <f t="shared" si="23"/>
        <v>-46.226415094339622</v>
      </c>
      <c r="AW223" s="45">
        <f>'Filter-old'!I208</f>
        <v>-25</v>
      </c>
      <c r="AX223" s="61">
        <f>'Filter-new'!I208</f>
        <v>-25</v>
      </c>
      <c r="AY223" s="62">
        <f>'price-old'!I87</f>
        <v>33.916431427001953</v>
      </c>
      <c r="AZ223" s="62">
        <f>'price-new'!I87</f>
        <v>28.59</v>
      </c>
      <c r="BA223" s="62">
        <f>'Filter-new'!I697</f>
        <v>-46.226415094339622</v>
      </c>
      <c r="BB223" s="62">
        <f>VLOOKUP(B223,[1]Offpeak_Forward!$A$1:$AG$231,15,FALSE)</f>
        <v>17.214527130126999</v>
      </c>
      <c r="BC223" s="45">
        <f>'Filter-old'!K208</f>
        <v>0</v>
      </c>
      <c r="BD223" s="61">
        <f>'Filter-new'!K208</f>
        <v>0</v>
      </c>
      <c r="BE223" s="62">
        <f>'price-old'!K87</f>
        <v>38.1</v>
      </c>
      <c r="BF223" s="62">
        <f>'price-new'!K87</f>
        <v>33.75</v>
      </c>
      <c r="BG223" s="45">
        <f>'Filter-old'!M208</f>
        <v>0</v>
      </c>
      <c r="BH223" s="61"/>
      <c r="BI223" s="61"/>
      <c r="BJ223" s="61">
        <f>'Filter-new'!M208</f>
        <v>0</v>
      </c>
      <c r="BK223" s="62">
        <f>'price-old'!M87</f>
        <v>32.5</v>
      </c>
      <c r="BL223" s="62">
        <f>'price-new'!M87</f>
        <v>30.75</v>
      </c>
      <c r="BM223" s="62"/>
      <c r="BN223" s="406">
        <f>'Filter-new'!N208</f>
        <v>0</v>
      </c>
      <c r="BO223" s="62"/>
      <c r="BP223" s="62">
        <f>'price-new'!N87</f>
        <v>38.5</v>
      </c>
      <c r="BQ223" s="45">
        <f>'Filter-old'!O208</f>
        <v>0</v>
      </c>
      <c r="BR223" s="61">
        <f>'Filter-new'!O208</f>
        <v>0</v>
      </c>
      <c r="BS223" s="62">
        <f>'price-old'!N87</f>
        <v>36.248935699462891</v>
      </c>
      <c r="BT223" s="62">
        <f>'price-new'!O87</f>
        <v>28.97</v>
      </c>
      <c r="BU223" s="45">
        <f>'Filter-old'!Q208</f>
        <v>14.996874999999999</v>
      </c>
      <c r="BV223" s="61">
        <f>'Filter-new'!Q208</f>
        <v>16.282062500000002</v>
      </c>
      <c r="BW223" s="62">
        <f>'price-old'!P87</f>
        <v>32.203929901123047</v>
      </c>
      <c r="BX223" s="88">
        <f>'price-new'!Q87</f>
        <v>27.321999999999999</v>
      </c>
      <c r="BY223" s="88">
        <f>'Filter-new'!Q697</f>
        <v>0</v>
      </c>
      <c r="BZ223" s="88">
        <f>VLOOKUP(B223,[1]Offpeak_Forward!$A$1:$AG$231,22,FALSE)</f>
        <v>20.951318740844702</v>
      </c>
      <c r="CA223" s="45">
        <f>'Filter-old'!R208</f>
        <v>0</v>
      </c>
      <c r="CB223" s="61">
        <f>'Filter-new'!R208</f>
        <v>0</v>
      </c>
      <c r="CC223" s="61">
        <f>'price-old'!Q87</f>
        <v>32.5</v>
      </c>
      <c r="CD223" s="89">
        <f>'price-new'!R87</f>
        <v>30</v>
      </c>
      <c r="CE223" s="87">
        <f>'Filter-new'!R697</f>
        <v>0</v>
      </c>
      <c r="CF223" s="87">
        <f>VLOOKUP(B223,[1]Offpeak_Forward!$A$1:$AG$231,6,FALSE)</f>
        <v>22.1435852050781</v>
      </c>
      <c r="CG223" s="4"/>
    </row>
    <row r="224" spans="1:85" hidden="1" x14ac:dyDescent="0.2">
      <c r="A224">
        <v>0</v>
      </c>
      <c r="B224" s="59">
        <v>39448</v>
      </c>
      <c r="C224" s="59">
        <f>'Filter-new'!C87</f>
        <v>39448</v>
      </c>
      <c r="D224" s="63"/>
      <c r="E224" s="63"/>
      <c r="F224" s="63"/>
      <c r="G224" s="36">
        <f t="shared" si="19"/>
        <v>-25.813863636363639</v>
      </c>
      <c r="H224" s="36">
        <f t="shared" si="20"/>
        <v>-49.481732954545464</v>
      </c>
      <c r="I224" s="36">
        <f t="shared" si="21"/>
        <v>-137.75510204081633</v>
      </c>
      <c r="J224" s="41"/>
      <c r="K224" s="45">
        <f>'Filter-old'!E209</f>
        <v>15.594687499999999</v>
      </c>
      <c r="L224" s="61">
        <f>'Filter-new'!E209</f>
        <v>90.583181818181814</v>
      </c>
      <c r="M224" s="62">
        <f>'price-old'!E88</f>
        <v>40.031435285295757</v>
      </c>
      <c r="N224" s="62">
        <f>'price-new'!E88</f>
        <v>30.12</v>
      </c>
      <c r="O224" s="429">
        <f>'Filter-new'!E698</f>
        <v>-24.795918367346939</v>
      </c>
      <c r="P224" s="62">
        <f>VLOOKUP(B224,[1]Offpeak_Forward!$A$1:$AG$231,13,FALSE)</f>
        <v>24.468978881835898</v>
      </c>
      <c r="Q224" s="45">
        <f>'Filter-old'!H209</f>
        <v>-32</v>
      </c>
      <c r="R224" s="61">
        <f>'Filter-new'!H209</f>
        <v>-132</v>
      </c>
      <c r="S224" s="62">
        <f>'price-old'!H88</f>
        <v>42.230865478515625</v>
      </c>
      <c r="T224" s="62">
        <f>'price-new'!H88</f>
        <v>28.57</v>
      </c>
      <c r="U224" s="445">
        <f>'Filter-new'!H698</f>
        <v>-67.040816326530617</v>
      </c>
      <c r="V224" s="62">
        <f>VLOOKUP(B224,[1]Offpeak_Forward!$A$1:$AG$231,14,FALSE)</f>
        <v>24.158979415893601</v>
      </c>
      <c r="W224" s="45">
        <f>'Filter-old'!J209</f>
        <v>0</v>
      </c>
      <c r="X224" s="61">
        <f>'Filter-new'!J209</f>
        <v>0</v>
      </c>
      <c r="Y224" s="62">
        <f>'price-old'!J88</f>
        <v>50.298839569091797</v>
      </c>
      <c r="Z224" s="62">
        <f>'price-new'!J88</f>
        <v>30.62</v>
      </c>
      <c r="AA224" s="45">
        <f>'Filter-old'!F209</f>
        <v>0</v>
      </c>
      <c r="AB224" s="61">
        <f>'Filter-new'!F209</f>
        <v>0</v>
      </c>
      <c r="AC224" s="62">
        <f>'price-old'!F88</f>
        <v>40.031435285295757</v>
      </c>
      <c r="AD224" s="62">
        <f>'price-new'!F88</f>
        <v>30.62</v>
      </c>
      <c r="AE224" s="45">
        <f>'Filter-old'!P209</f>
        <v>0</v>
      </c>
      <c r="AF224" s="61">
        <f>'Filter-new'!P209</f>
        <v>0</v>
      </c>
      <c r="AG224" s="62">
        <f>'price-old'!O88</f>
        <v>39.532863616943359</v>
      </c>
      <c r="AH224" s="62">
        <f>'price-new'!P88</f>
        <v>35.07</v>
      </c>
      <c r="AI224" s="45">
        <f>'Filter-old'!L209</f>
        <v>0</v>
      </c>
      <c r="AJ224" s="61">
        <f>'Filter-new'!L209</f>
        <v>0</v>
      </c>
      <c r="AK224" s="62">
        <f>'price-old'!L88</f>
        <v>67.55</v>
      </c>
      <c r="AL224" s="62">
        <f>'price-new'!L88</f>
        <v>33.69</v>
      </c>
      <c r="AM224" s="62">
        <f>'Filter-new'!L698</f>
        <v>0</v>
      </c>
      <c r="AN224" s="62">
        <f>VLOOKUP(B224,[1]Offpeak_Forward!$A$1:$AG$231,18,FALSE)</f>
        <v>28.46755027771</v>
      </c>
      <c r="AO224" s="45">
        <f>'Filter-old'!G209</f>
        <v>0</v>
      </c>
      <c r="AP224" s="61">
        <f>'Filter-new'!G209</f>
        <v>0</v>
      </c>
      <c r="AQ224" s="62">
        <f>'price-old'!G88</f>
        <v>39.969999694824217</v>
      </c>
      <c r="AR224" s="62">
        <f>'price-new'!G88</f>
        <v>32.020000000000003</v>
      </c>
      <c r="AS224" s="45"/>
      <c r="AT224" s="61">
        <f t="shared" si="22"/>
        <v>-8.0649147727272741</v>
      </c>
      <c r="AU224" s="62"/>
      <c r="AV224" s="62">
        <f t="shared" si="23"/>
        <v>-45.918367346938773</v>
      </c>
      <c r="AW224" s="45">
        <f>'Filter-old'!I209</f>
        <v>-25</v>
      </c>
      <c r="AX224" s="61">
        <f>'Filter-new'!I209</f>
        <v>-25</v>
      </c>
      <c r="AY224" s="62">
        <f>'price-old'!I88</f>
        <v>39.157863616943359</v>
      </c>
      <c r="AZ224" s="62">
        <f>'price-new'!I88</f>
        <v>29.62</v>
      </c>
      <c r="BA224" s="62">
        <f>'Filter-new'!I698</f>
        <v>-45.918367346938773</v>
      </c>
      <c r="BB224" s="62">
        <f>VLOOKUP(B224,[1]Offpeak_Forward!$A$1:$AG$231,15,FALSE)</f>
        <v>20.576122283935501</v>
      </c>
      <c r="BC224" s="45">
        <f>'Filter-old'!K209</f>
        <v>0</v>
      </c>
      <c r="BD224" s="61">
        <f>'Filter-new'!K209</f>
        <v>0</v>
      </c>
      <c r="BE224" s="62">
        <f>'price-old'!K88</f>
        <v>50.6</v>
      </c>
      <c r="BF224" s="62">
        <f>'price-new'!K88</f>
        <v>43.75</v>
      </c>
      <c r="BG224" s="45">
        <f>'Filter-old'!M209</f>
        <v>0</v>
      </c>
      <c r="BH224" s="61"/>
      <c r="BI224" s="61"/>
      <c r="BJ224" s="61">
        <f>'Filter-new'!M209</f>
        <v>0</v>
      </c>
      <c r="BK224" s="62">
        <f>'price-old'!M88</f>
        <v>38</v>
      </c>
      <c r="BL224" s="62">
        <f>'price-new'!M88</f>
        <v>33.5</v>
      </c>
      <c r="BM224" s="62"/>
      <c r="BN224" s="406">
        <f>'Filter-new'!N209</f>
        <v>0</v>
      </c>
      <c r="BO224" s="62"/>
      <c r="BP224" s="62">
        <f>'price-new'!N88</f>
        <v>44</v>
      </c>
      <c r="BQ224" s="45">
        <f>'Filter-old'!O209</f>
        <v>0</v>
      </c>
      <c r="BR224" s="61">
        <f>'Filter-new'!O209</f>
        <v>0</v>
      </c>
      <c r="BS224" s="62">
        <f>'price-old'!N88</f>
        <v>42.250717163085938</v>
      </c>
      <c r="BT224" s="62">
        <f>'price-new'!O88</f>
        <v>31.97</v>
      </c>
      <c r="BU224" s="45">
        <f>'Filter-old'!Q209</f>
        <v>15.591448863636362</v>
      </c>
      <c r="BV224" s="61">
        <f>'Filter-new'!Q209</f>
        <v>16.935085227272726</v>
      </c>
      <c r="BW224" s="62">
        <f>'price-old'!P88</f>
        <v>39.632862091064453</v>
      </c>
      <c r="BX224" s="88">
        <f>'price-new'!Q88</f>
        <v>29.641999999999999</v>
      </c>
      <c r="BY224" s="88">
        <f>'Filter-new'!Q698</f>
        <v>0</v>
      </c>
      <c r="BZ224" s="88">
        <f>VLOOKUP(B224,[1]Offpeak_Forward!$A$1:$AG$231,22,FALSE)</f>
        <v>20.692243576049801</v>
      </c>
      <c r="CA224" s="45">
        <f>'Filter-old'!R209</f>
        <v>0</v>
      </c>
      <c r="CB224" s="61">
        <f>'Filter-new'!R209</f>
        <v>0</v>
      </c>
      <c r="CC224" s="61">
        <f>'price-old'!Q88</f>
        <v>38</v>
      </c>
      <c r="CD224" s="89">
        <f>'price-new'!R88</f>
        <v>32.75</v>
      </c>
      <c r="CE224" s="87">
        <f>'Filter-new'!R698</f>
        <v>0</v>
      </c>
      <c r="CF224" s="87">
        <f>VLOOKUP(B224,[1]Offpeak_Forward!$A$1:$AG$231,6,FALSE)</f>
        <v>23.499223709106399</v>
      </c>
      <c r="CG224" s="4"/>
    </row>
    <row r="225" spans="1:85" hidden="1" x14ac:dyDescent="0.2">
      <c r="A225">
        <v>0</v>
      </c>
      <c r="B225" s="59">
        <v>39479</v>
      </c>
      <c r="C225" s="59">
        <f>'Filter-new'!C88</f>
        <v>39479</v>
      </c>
      <c r="D225" s="63"/>
      <c r="E225" s="63"/>
      <c r="F225" s="63"/>
      <c r="G225" s="36">
        <f t="shared" si="19"/>
        <v>-25.979345238095242</v>
      </c>
      <c r="H225" s="36">
        <f t="shared" si="20"/>
        <v>-50.007500000000007</v>
      </c>
      <c r="I225" s="36">
        <f t="shared" si="21"/>
        <v>-172.26666666666665</v>
      </c>
      <c r="J225" s="41"/>
      <c r="K225" s="45">
        <f>'Filter-old'!E210</f>
        <v>15.511904761904763</v>
      </c>
      <c r="L225" s="61">
        <f>'Filter-new'!E210</f>
        <v>90.140238095238089</v>
      </c>
      <c r="M225" s="62">
        <f>'price-old'!E89</f>
        <v>39.681432996477398</v>
      </c>
      <c r="N225" s="62">
        <f>'price-new'!E89</f>
        <v>28.5</v>
      </c>
      <c r="O225" s="429">
        <f>'Filter-new'!E699</f>
        <v>-30.6</v>
      </c>
      <c r="P225" s="62">
        <f>VLOOKUP(B225,[1]Offpeak_Forward!$A$1:$AG$231,13,FALSE)</f>
        <v>22.3519992828369</v>
      </c>
      <c r="Q225" s="45">
        <f>'Filter-old'!H210</f>
        <v>-32</v>
      </c>
      <c r="R225" s="61">
        <f>'Filter-new'!H210</f>
        <v>-132</v>
      </c>
      <c r="S225" s="62">
        <f>'price-old'!H89</f>
        <v>42.882862091064453</v>
      </c>
      <c r="T225" s="62">
        <f>'price-new'!H89</f>
        <v>26.95</v>
      </c>
      <c r="U225" s="445">
        <f>'Filter-new'!H699</f>
        <v>-85</v>
      </c>
      <c r="V225" s="62">
        <f>VLOOKUP(B225,[1]Offpeak_Forward!$A$1:$AG$231,14,FALSE)</f>
        <v>22.077110290527301</v>
      </c>
      <c r="W225" s="45">
        <f>'Filter-old'!J210</f>
        <v>0</v>
      </c>
      <c r="X225" s="61">
        <f>'Filter-new'!J210</f>
        <v>0</v>
      </c>
      <c r="Y225" s="62">
        <f>'price-old'!J89</f>
        <v>48.298839569091797</v>
      </c>
      <c r="Z225" s="62">
        <f>'price-new'!J89</f>
        <v>29</v>
      </c>
      <c r="AA225" s="45">
        <f>'Filter-old'!F210</f>
        <v>0</v>
      </c>
      <c r="AB225" s="61">
        <f>'Filter-new'!F210</f>
        <v>0</v>
      </c>
      <c r="AC225" s="62">
        <f>'price-old'!F89</f>
        <v>39.681432996477398</v>
      </c>
      <c r="AD225" s="62">
        <f>'price-new'!F89</f>
        <v>29</v>
      </c>
      <c r="AE225" s="45">
        <f>'Filter-old'!P210</f>
        <v>0</v>
      </c>
      <c r="AF225" s="61">
        <f>'Filter-new'!P210</f>
        <v>0</v>
      </c>
      <c r="AG225" s="62">
        <f>'price-old'!O89</f>
        <v>39.182861328125</v>
      </c>
      <c r="AH225" s="62">
        <f>'price-new'!P89</f>
        <v>34.450000000000003</v>
      </c>
      <c r="AI225" s="45">
        <f>'Filter-old'!L210</f>
        <v>0</v>
      </c>
      <c r="AJ225" s="61">
        <f>'Filter-new'!L210</f>
        <v>0</v>
      </c>
      <c r="AK225" s="62">
        <f>'price-old'!L89</f>
        <v>67.55</v>
      </c>
      <c r="AL225" s="62">
        <f>'price-new'!L89</f>
        <v>32.32</v>
      </c>
      <c r="AM225" s="62">
        <f>'Filter-new'!L699</f>
        <v>0</v>
      </c>
      <c r="AN225" s="62">
        <f>VLOOKUP(B225,[1]Offpeak_Forward!$A$1:$AG$231,18,FALSE)</f>
        <v>26.415777206420898</v>
      </c>
      <c r="AO225" s="45">
        <f>'Filter-old'!G210</f>
        <v>0</v>
      </c>
      <c r="AP225" s="61">
        <f>'Filter-new'!G210</f>
        <v>0</v>
      </c>
      <c r="AQ225" s="62">
        <f>'price-old'!G89</f>
        <v>38.819994354248045</v>
      </c>
      <c r="AR225" s="62">
        <f>'price-new'!G89</f>
        <v>31.27</v>
      </c>
      <c r="AS225" s="45"/>
      <c r="AT225" s="61">
        <f t="shared" si="22"/>
        <v>-8.1477380952380969</v>
      </c>
      <c r="AU225" s="62"/>
      <c r="AV225" s="62">
        <f t="shared" si="23"/>
        <v>-56.666666666666664</v>
      </c>
      <c r="AW225" s="45">
        <f>'Filter-old'!I210</f>
        <v>-25</v>
      </c>
      <c r="AX225" s="61">
        <f>'Filter-new'!I210</f>
        <v>-25</v>
      </c>
      <c r="AY225" s="62">
        <f>'price-old'!I89</f>
        <v>38.682861328125</v>
      </c>
      <c r="AZ225" s="62">
        <f>'price-new'!I89</f>
        <v>28</v>
      </c>
      <c r="BA225" s="62">
        <f>'Filter-new'!I699</f>
        <v>-56.666666666666664</v>
      </c>
      <c r="BB225" s="62">
        <f>VLOOKUP(B225,[1]Offpeak_Forward!$A$1:$AG$231,15,FALSE)</f>
        <v>21.068666458129901</v>
      </c>
      <c r="BC225" s="45">
        <f>'Filter-old'!K210</f>
        <v>0</v>
      </c>
      <c r="BD225" s="61">
        <f>'Filter-new'!K210</f>
        <v>0</v>
      </c>
      <c r="BE225" s="62">
        <f>'price-old'!K89</f>
        <v>50.6</v>
      </c>
      <c r="BF225" s="62">
        <f>'price-new'!K89</f>
        <v>43.75</v>
      </c>
      <c r="BG225" s="45">
        <f>'Filter-old'!M210</f>
        <v>0</v>
      </c>
      <c r="BH225" s="61"/>
      <c r="BI225" s="61"/>
      <c r="BJ225" s="61">
        <f>'Filter-new'!M210</f>
        <v>0</v>
      </c>
      <c r="BK225" s="62">
        <f>'price-old'!M89</f>
        <v>38</v>
      </c>
      <c r="BL225" s="62">
        <f>'price-new'!M89</f>
        <v>33.5</v>
      </c>
      <c r="BM225" s="62"/>
      <c r="BN225" s="406">
        <f>'Filter-new'!N210</f>
        <v>0</v>
      </c>
      <c r="BO225" s="62"/>
      <c r="BP225" s="62">
        <f>'price-new'!N89</f>
        <v>44</v>
      </c>
      <c r="BQ225" s="45">
        <f>'Filter-old'!O210</f>
        <v>0</v>
      </c>
      <c r="BR225" s="61">
        <f>'Filter-new'!O210</f>
        <v>0</v>
      </c>
      <c r="BS225" s="62">
        <f>'price-old'!N89</f>
        <v>42.495723724365234</v>
      </c>
      <c r="BT225" s="62">
        <f>'price-new'!O89</f>
        <v>31.03</v>
      </c>
      <c r="BU225" s="45">
        <f>'Filter-old'!Q210</f>
        <v>15.508749999999999</v>
      </c>
      <c r="BV225" s="61">
        <f>'Filter-new'!Q210</f>
        <v>16.852261904761903</v>
      </c>
      <c r="BW225" s="62">
        <f>'price-old'!P89</f>
        <v>39.282859802246094</v>
      </c>
      <c r="BX225" s="88">
        <f>'price-new'!Q89</f>
        <v>29.555</v>
      </c>
      <c r="BY225" s="88">
        <f>'Filter-new'!Q699</f>
        <v>0</v>
      </c>
      <c r="BZ225" s="88">
        <f>VLOOKUP(B225,[1]Offpeak_Forward!$A$1:$AG$231,22,FALSE)</f>
        <v>20.6506652832031</v>
      </c>
      <c r="CA225" s="45">
        <f>'Filter-old'!R210</f>
        <v>0</v>
      </c>
      <c r="CB225" s="61">
        <f>'Filter-new'!R210</f>
        <v>0</v>
      </c>
      <c r="CC225" s="61">
        <f>'price-old'!Q89</f>
        <v>38</v>
      </c>
      <c r="CD225" s="89">
        <f>'price-new'!R89</f>
        <v>32.75</v>
      </c>
      <c r="CE225" s="87">
        <f>'Filter-new'!R699</f>
        <v>0</v>
      </c>
      <c r="CF225" s="87">
        <f>VLOOKUP(B225,[1]Offpeak_Forward!$A$1:$AG$231,6,FALSE)</f>
        <v>23.4466667175293</v>
      </c>
      <c r="CG225" s="4"/>
    </row>
    <row r="226" spans="1:85" hidden="1" x14ac:dyDescent="0.2">
      <c r="A226">
        <v>0</v>
      </c>
      <c r="B226" s="59">
        <v>39508</v>
      </c>
      <c r="C226" s="59">
        <f>'Filter-new'!C89</f>
        <v>39508</v>
      </c>
      <c r="D226" s="63"/>
      <c r="E226" s="63"/>
      <c r="F226" s="63"/>
      <c r="G226" s="36">
        <f t="shared" si="19"/>
        <v>-30.155714285714289</v>
      </c>
      <c r="H226" s="36">
        <f t="shared" si="20"/>
        <v>-54.56961309523809</v>
      </c>
      <c r="I226" s="36">
        <f t="shared" si="21"/>
        <v>-135.88480392156862</v>
      </c>
      <c r="J226" s="41"/>
      <c r="K226" s="45">
        <f>'Filter-old'!E211</f>
        <v>15.42375</v>
      </c>
      <c r="L226" s="61">
        <f>'Filter-new'!E211</f>
        <v>89.666666666666671</v>
      </c>
      <c r="M226" s="62">
        <f>'price-old'!E90</f>
        <v>34.645177264546241</v>
      </c>
      <c r="N226" s="62">
        <f>'price-new'!E90</f>
        <v>28.54</v>
      </c>
      <c r="O226" s="429">
        <f>'Filter-new'!E700</f>
        <v>-24.286764705882351</v>
      </c>
      <c r="P226" s="62">
        <f>VLOOKUP(B226,[1]Offpeak_Forward!$A$1:$AG$231,13,FALSE)</f>
        <v>21.5023517608643</v>
      </c>
      <c r="Q226" s="45">
        <f>'Filter-old'!H211</f>
        <v>-36</v>
      </c>
      <c r="R226" s="61">
        <f>'Filter-new'!H211</f>
        <v>-136</v>
      </c>
      <c r="S226" s="62">
        <f>'price-old'!H90</f>
        <v>35.848545074462891</v>
      </c>
      <c r="T226" s="62">
        <f>'price-new'!H90</f>
        <v>26.99</v>
      </c>
      <c r="U226" s="445">
        <f>'Filter-new'!H700</f>
        <v>-66.622549019607845</v>
      </c>
      <c r="V226" s="62">
        <f>VLOOKUP(B226,[1]Offpeak_Forward!$A$1:$AG$231,14,FALSE)</f>
        <v>21.224901199340799</v>
      </c>
      <c r="W226" s="45">
        <f>'Filter-old'!J211</f>
        <v>0</v>
      </c>
      <c r="X226" s="61">
        <f>'Filter-new'!J211</f>
        <v>0</v>
      </c>
      <c r="Y226" s="62">
        <f>'price-old'!J90</f>
        <v>41.046916961669922</v>
      </c>
      <c r="Z226" s="62">
        <f>'price-new'!J90</f>
        <v>29.29</v>
      </c>
      <c r="AA226" s="45">
        <f>'Filter-old'!F211</f>
        <v>0</v>
      </c>
      <c r="AB226" s="61">
        <f>'Filter-new'!F211</f>
        <v>0</v>
      </c>
      <c r="AC226" s="62">
        <f>'price-old'!F90</f>
        <v>34.645177264546241</v>
      </c>
      <c r="AD226" s="62">
        <f>'price-new'!F90</f>
        <v>29.29</v>
      </c>
      <c r="AE226" s="45">
        <f>'Filter-old'!P211</f>
        <v>0</v>
      </c>
      <c r="AF226" s="61">
        <f>'Filter-new'!P211</f>
        <v>0</v>
      </c>
      <c r="AG226" s="62">
        <f>'price-old'!O90</f>
        <v>33.898544311523438</v>
      </c>
      <c r="AH226" s="62">
        <f>'price-new'!P90</f>
        <v>32.74</v>
      </c>
      <c r="AI226" s="45">
        <f>'Filter-old'!L211</f>
        <v>0</v>
      </c>
      <c r="AJ226" s="61">
        <f>'Filter-new'!L211</f>
        <v>0</v>
      </c>
      <c r="AK226" s="62">
        <f>'price-old'!L90</f>
        <v>54.55</v>
      </c>
      <c r="AL226" s="62">
        <f>'price-new'!L90</f>
        <v>32.08</v>
      </c>
      <c r="AM226" s="62">
        <f>'Filter-new'!L700</f>
        <v>0</v>
      </c>
      <c r="AN226" s="62">
        <f>VLOOKUP(B226,[1]Offpeak_Forward!$A$1:$AG$231,18,FALSE)</f>
        <v>25.363725662231399</v>
      </c>
      <c r="AO226" s="45">
        <f>'Filter-old'!G211</f>
        <v>0</v>
      </c>
      <c r="AP226" s="61">
        <f>'Filter-new'!G211</f>
        <v>0</v>
      </c>
      <c r="AQ226" s="62">
        <f>'price-old'!G90</f>
        <v>35.34999313354492</v>
      </c>
      <c r="AR226" s="62">
        <f>'price-new'!G90</f>
        <v>29.706</v>
      </c>
      <c r="AS226" s="45"/>
      <c r="AT226" s="61">
        <f t="shared" si="22"/>
        <v>-8.2362797619047612</v>
      </c>
      <c r="AU226" s="62"/>
      <c r="AV226" s="62">
        <f t="shared" si="23"/>
        <v>-44.975490196078432</v>
      </c>
      <c r="AW226" s="45">
        <f>'Filter-old'!I211</f>
        <v>-25</v>
      </c>
      <c r="AX226" s="61">
        <f>'Filter-new'!I211</f>
        <v>-25</v>
      </c>
      <c r="AY226" s="62">
        <f>'price-old'!I90</f>
        <v>34.773544311523437</v>
      </c>
      <c r="AZ226" s="62">
        <f>'price-new'!I90</f>
        <v>28.04</v>
      </c>
      <c r="BA226" s="62">
        <f>'Filter-new'!I700</f>
        <v>-44.975490196078432</v>
      </c>
      <c r="BB226" s="62">
        <f>VLOOKUP(B226,[1]Offpeak_Forward!$A$1:$AG$231,15,FALSE)</f>
        <v>21.007255554199201</v>
      </c>
      <c r="BC226" s="45">
        <f>'Filter-old'!K211</f>
        <v>0</v>
      </c>
      <c r="BD226" s="61">
        <f>'Filter-new'!K211</f>
        <v>0</v>
      </c>
      <c r="BE226" s="62">
        <f>'price-old'!K90</f>
        <v>39.700000000000003</v>
      </c>
      <c r="BF226" s="62">
        <f>'price-new'!K90</f>
        <v>35.75</v>
      </c>
      <c r="BG226" s="45">
        <f>'Filter-old'!M211</f>
        <v>0</v>
      </c>
      <c r="BH226" s="61"/>
      <c r="BI226" s="61"/>
      <c r="BJ226" s="61">
        <f>'Filter-new'!M211</f>
        <v>0</v>
      </c>
      <c r="BK226" s="62">
        <f>'price-old'!M90</f>
        <v>34.5</v>
      </c>
      <c r="BL226" s="62">
        <f>'price-new'!M90</f>
        <v>31.5</v>
      </c>
      <c r="BM226" s="62"/>
      <c r="BN226" s="406">
        <f>'Filter-new'!N211</f>
        <v>0</v>
      </c>
      <c r="BO226" s="62"/>
      <c r="BP226" s="62">
        <f>'price-new'!N90</f>
        <v>39</v>
      </c>
      <c r="BQ226" s="45">
        <f>'Filter-old'!O211</f>
        <v>0</v>
      </c>
      <c r="BR226" s="61">
        <f>'Filter-new'!O211</f>
        <v>0</v>
      </c>
      <c r="BS226" s="62">
        <f>'price-old'!N90</f>
        <v>38.247505187988281</v>
      </c>
      <c r="BT226" s="62">
        <f>'price-new'!O90</f>
        <v>28.78</v>
      </c>
      <c r="BU226" s="45">
        <f>'Filter-old'!Q211</f>
        <v>15.420535714285714</v>
      </c>
      <c r="BV226" s="61">
        <f>'Filter-new'!Q211</f>
        <v>16.763720238095239</v>
      </c>
      <c r="BW226" s="62">
        <f>'price-old'!P90</f>
        <v>33.998542785644531</v>
      </c>
      <c r="BX226" s="88">
        <f>'price-new'!Q90</f>
        <v>29.305</v>
      </c>
      <c r="BY226" s="88">
        <f>'Filter-new'!Q700</f>
        <v>0</v>
      </c>
      <c r="BZ226" s="88">
        <f>VLOOKUP(B226,[1]Offpeak_Forward!$A$1:$AG$231,22,FALSE)</f>
        <v>20.498430252075199</v>
      </c>
      <c r="CA226" s="45">
        <f>'Filter-old'!R211</f>
        <v>0</v>
      </c>
      <c r="CB226" s="61">
        <f>'Filter-new'!R211</f>
        <v>0</v>
      </c>
      <c r="CC226" s="61">
        <f>'price-old'!Q90</f>
        <v>34.5</v>
      </c>
      <c r="CD226" s="89">
        <f>'price-new'!R90</f>
        <v>30</v>
      </c>
      <c r="CE226" s="87">
        <f>'Filter-new'!R700</f>
        <v>0</v>
      </c>
      <c r="CF226" s="87">
        <f>VLOOKUP(B226,[1]Offpeak_Forward!$A$1:$AG$231,6,FALSE)</f>
        <v>21.212940216064499</v>
      </c>
      <c r="CG226" s="4"/>
    </row>
    <row r="227" spans="1:85" hidden="1" x14ac:dyDescent="0.2">
      <c r="A227">
        <v>0</v>
      </c>
      <c r="B227" s="59">
        <v>39539</v>
      </c>
      <c r="C227" s="59">
        <f>'Filter-new'!C90</f>
        <v>39539</v>
      </c>
      <c r="D227" s="63"/>
      <c r="E227" s="63"/>
      <c r="F227" s="63"/>
      <c r="G227" s="36">
        <f t="shared" si="19"/>
        <v>-29.994602272727278</v>
      </c>
      <c r="H227" s="36">
        <f t="shared" si="20"/>
        <v>-54.840568181818178</v>
      </c>
      <c r="I227" s="36">
        <f t="shared" si="21"/>
        <v>-157.43478260869566</v>
      </c>
      <c r="J227" s="41"/>
      <c r="K227" s="45">
        <f>'Filter-old'!E212</f>
        <v>15.338551136363636</v>
      </c>
      <c r="L227" s="61">
        <f>'Filter-new'!E212</f>
        <v>89.208323863636366</v>
      </c>
      <c r="M227" s="62">
        <f>'price-old'!E91</f>
        <v>35.095178027485694</v>
      </c>
      <c r="N227" s="62">
        <f>'price-new'!E91</f>
        <v>29.16</v>
      </c>
      <c r="O227" s="429">
        <f>'Filter-new'!E701</f>
        <v>-29.934782608695652</v>
      </c>
      <c r="P227" s="62">
        <f>VLOOKUP(B227,[1]Offpeak_Forward!$A$1:$AG$231,13,FALSE)</f>
        <v>18.307825088501001</v>
      </c>
      <c r="Q227" s="45">
        <f>'Filter-old'!H212</f>
        <v>-35</v>
      </c>
      <c r="R227" s="61">
        <f>'Filter-new'!H212</f>
        <v>-135</v>
      </c>
      <c r="S227" s="62">
        <f>'price-old'!H91</f>
        <v>35.848545074462891</v>
      </c>
      <c r="T227" s="62">
        <f>'price-new'!H91</f>
        <v>27.61</v>
      </c>
      <c r="U227" s="445">
        <f>'Filter-new'!H701</f>
        <v>-72.065217391304344</v>
      </c>
      <c r="V227" s="62">
        <f>VLOOKUP(B227,[1]Offpeak_Forward!$A$1:$AG$231,14,FALSE)</f>
        <v>18.0334777832031</v>
      </c>
      <c r="W227" s="45">
        <f>'Filter-old'!J212</f>
        <v>0</v>
      </c>
      <c r="X227" s="61">
        <f>'Filter-new'!J212</f>
        <v>0</v>
      </c>
      <c r="Y227" s="62">
        <f>'price-old'!J91</f>
        <v>38.946914672851563</v>
      </c>
      <c r="Z227" s="62">
        <f>'price-new'!J91</f>
        <v>29.91</v>
      </c>
      <c r="AA227" s="45">
        <f>'Filter-old'!F212</f>
        <v>0</v>
      </c>
      <c r="AB227" s="61">
        <f>'Filter-new'!F212</f>
        <v>0</v>
      </c>
      <c r="AC227" s="62">
        <f>'price-old'!F91</f>
        <v>35.095178027485694</v>
      </c>
      <c r="AD227" s="62">
        <f>'price-new'!F91</f>
        <v>29.91</v>
      </c>
      <c r="AE227" s="45">
        <f>'Filter-old'!P212</f>
        <v>0</v>
      </c>
      <c r="AF227" s="61">
        <f>'Filter-new'!P212</f>
        <v>0</v>
      </c>
      <c r="AG227" s="62">
        <f>'price-old'!O91</f>
        <v>34.348545074462891</v>
      </c>
      <c r="AH227" s="62">
        <f>'price-new'!P91</f>
        <v>32.909999999999997</v>
      </c>
      <c r="AI227" s="45">
        <f>'Filter-old'!L212</f>
        <v>0</v>
      </c>
      <c r="AJ227" s="61">
        <f>'Filter-new'!L212</f>
        <v>0</v>
      </c>
      <c r="AK227" s="62">
        <f>'price-old'!L91</f>
        <v>54.55</v>
      </c>
      <c r="AL227" s="62">
        <f>'price-new'!L91</f>
        <v>32.700000000000003</v>
      </c>
      <c r="AM227" s="62">
        <f>'Filter-new'!L701</f>
        <v>0</v>
      </c>
      <c r="AN227" s="62">
        <f>VLOOKUP(B227,[1]Offpeak_Forward!$A$1:$AG$231,18,FALSE)</f>
        <v>22.414348602294901</v>
      </c>
      <c r="AO227" s="45">
        <f>'Filter-old'!G212</f>
        <v>0</v>
      </c>
      <c r="AP227" s="61">
        <f>'Filter-new'!G212</f>
        <v>0</v>
      </c>
      <c r="AQ227" s="62">
        <f>'price-old'!G91</f>
        <v>33.949991607666014</v>
      </c>
      <c r="AR227" s="62">
        <f>'price-new'!G91</f>
        <v>30.49</v>
      </c>
      <c r="AS227" s="45"/>
      <c r="AT227" s="61">
        <f t="shared" si="22"/>
        <v>-9.0488920454545454</v>
      </c>
      <c r="AU227" s="62"/>
      <c r="AV227" s="62">
        <f t="shared" si="23"/>
        <v>-55.434782608695649</v>
      </c>
      <c r="AW227" s="45">
        <f>'Filter-old'!I212</f>
        <v>-25</v>
      </c>
      <c r="AX227" s="61">
        <f>'Filter-new'!I212</f>
        <v>-25</v>
      </c>
      <c r="AY227" s="62">
        <f>'price-old'!I91</f>
        <v>34.848545074462891</v>
      </c>
      <c r="AZ227" s="62">
        <f>'price-new'!I91</f>
        <v>28.66</v>
      </c>
      <c r="BA227" s="62">
        <f>'Filter-new'!I701</f>
        <v>-55.434782608695649</v>
      </c>
      <c r="BB227" s="62">
        <f>VLOOKUP(B227,[1]Offpeak_Forward!$A$1:$AG$231,15,FALSE)</f>
        <v>20.427391052246101</v>
      </c>
      <c r="BC227" s="45">
        <f>'Filter-old'!K212</f>
        <v>0</v>
      </c>
      <c r="BD227" s="61">
        <f>'Filter-new'!K212</f>
        <v>0</v>
      </c>
      <c r="BE227" s="62">
        <f>'price-old'!K91</f>
        <v>39.700000000000003</v>
      </c>
      <c r="BF227" s="62">
        <f>'price-new'!K91</f>
        <v>36</v>
      </c>
      <c r="BG227" s="45">
        <f>'Filter-old'!M212</f>
        <v>0</v>
      </c>
      <c r="BH227" s="61"/>
      <c r="BI227" s="61"/>
      <c r="BJ227" s="61">
        <f>'Filter-new'!M212</f>
        <v>0</v>
      </c>
      <c r="BK227" s="62">
        <f>'price-old'!M91</f>
        <v>34</v>
      </c>
      <c r="BL227" s="62">
        <f>'price-new'!M91</f>
        <v>31.5</v>
      </c>
      <c r="BM227" s="62"/>
      <c r="BN227" s="406">
        <f>'Filter-new'!N212</f>
        <v>0</v>
      </c>
      <c r="BO227" s="62"/>
      <c r="BP227" s="62">
        <f>'price-new'!N91</f>
        <v>39</v>
      </c>
      <c r="BQ227" s="45">
        <f>'Filter-old'!O212</f>
        <v>0</v>
      </c>
      <c r="BR227" s="61">
        <f>'Filter-new'!O212</f>
        <v>0</v>
      </c>
      <c r="BS227" s="62">
        <f>'price-old'!N91</f>
        <v>38.497501373291016</v>
      </c>
      <c r="BT227" s="62">
        <f>'price-new'!O91</f>
        <v>28.78</v>
      </c>
      <c r="BU227" s="45">
        <f>'Filter-old'!Q212</f>
        <v>14.66684659090909</v>
      </c>
      <c r="BV227" s="61">
        <f>'Filter-new'!Q212</f>
        <v>15.951107954545455</v>
      </c>
      <c r="BW227" s="62">
        <f>'price-old'!P91</f>
        <v>34.448543548583984</v>
      </c>
      <c r="BX227" s="88">
        <f>'price-new'!Q91</f>
        <v>29.306000000000001</v>
      </c>
      <c r="BY227" s="88">
        <f>'Filter-new'!Q701</f>
        <v>0</v>
      </c>
      <c r="BZ227" s="88">
        <f>VLOOKUP(B227,[1]Offpeak_Forward!$A$1:$AG$231,22,FALSE)</f>
        <v>20.252172470092798</v>
      </c>
      <c r="CA227" s="45">
        <f>'Filter-old'!R212</f>
        <v>0</v>
      </c>
      <c r="CB227" s="61">
        <f>'Filter-new'!R212</f>
        <v>0</v>
      </c>
      <c r="CC227" s="61">
        <f>'price-old'!Q91</f>
        <v>34</v>
      </c>
      <c r="CD227" s="89">
        <f>'price-new'!R91</f>
        <v>30</v>
      </c>
      <c r="CE227" s="87">
        <f>'Filter-new'!R701</f>
        <v>0</v>
      </c>
      <c r="CF227" s="87">
        <f>VLOOKUP(B227,[1]Offpeak_Forward!$A$1:$AG$231,6,FALSE)</f>
        <v>20.022434234619102</v>
      </c>
      <c r="CG227" s="4"/>
    </row>
    <row r="228" spans="1:85" hidden="1" x14ac:dyDescent="0.2">
      <c r="A228">
        <v>0</v>
      </c>
      <c r="B228" s="59">
        <v>39569</v>
      </c>
      <c r="C228" s="59">
        <f>'Filter-new'!C91</f>
        <v>39569</v>
      </c>
      <c r="D228" s="63"/>
      <c r="E228" s="63"/>
      <c r="F228" s="63"/>
      <c r="G228" s="36">
        <f t="shared" si="19"/>
        <v>-21.162321428571431</v>
      </c>
      <c r="H228" s="36">
        <f t="shared" si="20"/>
        <v>-46.399255952380955</v>
      </c>
      <c r="I228" s="36">
        <f t="shared" si="21"/>
        <v>-130.8235294117647</v>
      </c>
      <c r="J228" s="41"/>
      <c r="K228" s="45">
        <f>'Filter-old'!E213</f>
        <v>15.25297619047619</v>
      </c>
      <c r="L228" s="61">
        <f>'Filter-new'!E213</f>
        <v>88.734672619047615</v>
      </c>
      <c r="M228" s="62">
        <f>'price-old'!E92</f>
        <v>41.253570556640625</v>
      </c>
      <c r="N228" s="62">
        <f>'price-new'!E92</f>
        <v>31.82</v>
      </c>
      <c r="O228" s="429">
        <f>'Filter-new'!E702</f>
        <v>-25.411764705882351</v>
      </c>
      <c r="P228" s="62">
        <f>VLOOKUP(B228,[1]Offpeak_Forward!$A$1:$AG$231,13,FALSE)</f>
        <v>18.554119110107401</v>
      </c>
      <c r="Q228" s="45">
        <f>'Filter-old'!H213</f>
        <v>-26</v>
      </c>
      <c r="R228" s="61">
        <f>'Filter-new'!H213</f>
        <v>-126</v>
      </c>
      <c r="S228" s="62">
        <f>'price-old'!H92</f>
        <v>36.553565979003906</v>
      </c>
      <c r="T228" s="62">
        <f>'price-new'!H92</f>
        <v>30.32</v>
      </c>
      <c r="U228" s="445">
        <f>'Filter-new'!H702</f>
        <v>-58.352941176470587</v>
      </c>
      <c r="V228" s="62">
        <f>VLOOKUP(B228,[1]Offpeak_Forward!$A$1:$AG$231,14,FALSE)</f>
        <v>18.331569671630898</v>
      </c>
      <c r="W228" s="45">
        <f>'Filter-old'!J213</f>
        <v>0</v>
      </c>
      <c r="X228" s="61">
        <f>'Filter-new'!J213</f>
        <v>0</v>
      </c>
      <c r="Y228" s="62">
        <f>'price-old'!J92</f>
        <v>41.869416809082026</v>
      </c>
      <c r="Z228" s="62">
        <f>'price-new'!J92</f>
        <v>32.82</v>
      </c>
      <c r="AA228" s="45">
        <f>'Filter-old'!F213</f>
        <v>0</v>
      </c>
      <c r="AB228" s="61">
        <f>'Filter-new'!F213</f>
        <v>0</v>
      </c>
      <c r="AC228" s="62">
        <f>'price-old'!F92</f>
        <v>41.253570556640625</v>
      </c>
      <c r="AD228" s="62">
        <f>'price-new'!F92</f>
        <v>32.82</v>
      </c>
      <c r="AE228" s="45">
        <f>'Filter-old'!P213</f>
        <v>0</v>
      </c>
      <c r="AF228" s="61">
        <f>'Filter-new'!P213</f>
        <v>0</v>
      </c>
      <c r="AG228" s="62">
        <f>'price-old'!O92</f>
        <v>42.753566741943359</v>
      </c>
      <c r="AH228" s="62">
        <f>'price-new'!P92</f>
        <v>30.37</v>
      </c>
      <c r="AI228" s="45">
        <f>'Filter-old'!L213</f>
        <v>0</v>
      </c>
      <c r="AJ228" s="61">
        <f>'Filter-new'!L213</f>
        <v>0</v>
      </c>
      <c r="AK228" s="62">
        <f>'price-old'!L92</f>
        <v>55.55</v>
      </c>
      <c r="AL228" s="62">
        <f>'price-new'!L92</f>
        <v>37.159999999999997</v>
      </c>
      <c r="AM228" s="62">
        <f>'Filter-new'!L702</f>
        <v>0</v>
      </c>
      <c r="AN228" s="62">
        <f>VLOOKUP(B228,[1]Offpeak_Forward!$A$1:$AG$231,18,FALSE)</f>
        <v>22.415489196777301</v>
      </c>
      <c r="AO228" s="45">
        <f>'Filter-old'!G213</f>
        <v>0</v>
      </c>
      <c r="AP228" s="61">
        <f>'Filter-new'!G213</f>
        <v>0</v>
      </c>
      <c r="AQ228" s="62">
        <f>'price-old'!G92</f>
        <v>37.400009155273437</v>
      </c>
      <c r="AR228" s="62">
        <f>'price-new'!G92</f>
        <v>32.450000000000003</v>
      </c>
      <c r="AS228" s="45"/>
      <c r="AT228" s="61">
        <f t="shared" si="22"/>
        <v>-9.1339285714285712</v>
      </c>
      <c r="AU228" s="62"/>
      <c r="AV228" s="62">
        <f t="shared" si="23"/>
        <v>-47.058823529411768</v>
      </c>
      <c r="AW228" s="45">
        <f>'Filter-old'!I213</f>
        <v>-25</v>
      </c>
      <c r="AX228" s="61">
        <f>'Filter-new'!I213</f>
        <v>-25</v>
      </c>
      <c r="AY228" s="62">
        <f>'price-old'!I92</f>
        <v>36.253566741943359</v>
      </c>
      <c r="AZ228" s="62">
        <f>'price-new'!I92</f>
        <v>31.32</v>
      </c>
      <c r="BA228" s="62">
        <f>'Filter-new'!I702</f>
        <v>-47.058823529411768</v>
      </c>
      <c r="BB228" s="62">
        <f>VLOOKUP(B228,[1]Offpeak_Forward!$A$1:$AG$231,15,FALSE)</f>
        <v>21.791568756103501</v>
      </c>
      <c r="BC228" s="45">
        <f>'Filter-old'!K213</f>
        <v>0</v>
      </c>
      <c r="BD228" s="61">
        <f>'Filter-new'!K213</f>
        <v>0</v>
      </c>
      <c r="BE228" s="62">
        <f>'price-old'!K92</f>
        <v>39.700000000000003</v>
      </c>
      <c r="BF228" s="62">
        <f>'price-new'!K92</f>
        <v>36</v>
      </c>
      <c r="BG228" s="45">
        <f>'Filter-old'!M213</f>
        <v>0</v>
      </c>
      <c r="BH228" s="61"/>
      <c r="BI228" s="61"/>
      <c r="BJ228" s="61">
        <f>'Filter-new'!M213</f>
        <v>0</v>
      </c>
      <c r="BK228" s="62">
        <f>'price-old'!M92</f>
        <v>37</v>
      </c>
      <c r="BL228" s="62">
        <f>'price-new'!M92</f>
        <v>32</v>
      </c>
      <c r="BM228" s="62"/>
      <c r="BN228" s="406">
        <f>'Filter-new'!N213</f>
        <v>0</v>
      </c>
      <c r="BO228" s="62"/>
      <c r="BP228" s="62">
        <f>'price-new'!N92</f>
        <v>40.5</v>
      </c>
      <c r="BQ228" s="45">
        <f>'Filter-old'!O213</f>
        <v>0</v>
      </c>
      <c r="BR228" s="61">
        <f>'Filter-new'!O213</f>
        <v>0</v>
      </c>
      <c r="BS228" s="62">
        <f>'price-old'!N92</f>
        <v>43.503570556640625</v>
      </c>
      <c r="BT228" s="62">
        <f>'price-new'!O92</f>
        <v>31.98</v>
      </c>
      <c r="BU228" s="45">
        <f>'Filter-old'!Q213</f>
        <v>14.584702380952381</v>
      </c>
      <c r="BV228" s="61">
        <f>'Filter-new'!Q213</f>
        <v>15.866071428571429</v>
      </c>
      <c r="BW228" s="62">
        <f>'price-old'!P92</f>
        <v>35.353565216064453</v>
      </c>
      <c r="BX228" s="88">
        <f>'price-new'!Q92</f>
        <v>32.161000000000001</v>
      </c>
      <c r="BY228" s="88">
        <f>'Filter-new'!Q702</f>
        <v>0</v>
      </c>
      <c r="BZ228" s="88">
        <f>VLOOKUP(B228,[1]Offpeak_Forward!$A$1:$AG$231,22,FALSE)</f>
        <v>21.694507598876999</v>
      </c>
      <c r="CA228" s="45">
        <f>'Filter-old'!R213</f>
        <v>0</v>
      </c>
      <c r="CB228" s="61">
        <f>'Filter-new'!R213</f>
        <v>0</v>
      </c>
      <c r="CC228" s="61">
        <f>'price-old'!Q92</f>
        <v>37</v>
      </c>
      <c r="CD228" s="89">
        <f>'price-new'!R92</f>
        <v>32.25</v>
      </c>
      <c r="CE228" s="87">
        <f>'Filter-new'!R702</f>
        <v>0</v>
      </c>
      <c r="CF228" s="87">
        <f>VLOOKUP(B228,[1]Offpeak_Forward!$A$1:$AG$231,6,FALSE)</f>
        <v>20.234704971313501</v>
      </c>
      <c r="CG228" s="4"/>
    </row>
    <row r="229" spans="1:85" hidden="1" x14ac:dyDescent="0.2">
      <c r="A229">
        <v>0</v>
      </c>
      <c r="B229" s="59">
        <v>39600</v>
      </c>
      <c r="C229" s="59">
        <f>'Filter-new'!C92</f>
        <v>39600</v>
      </c>
      <c r="D229" s="63"/>
      <c r="E229" s="63"/>
      <c r="F229" s="63"/>
      <c r="G229" s="36">
        <f t="shared" si="19"/>
        <v>-16.980535714285715</v>
      </c>
      <c r="H229" s="36">
        <f t="shared" si="20"/>
        <v>-42.65821428571428</v>
      </c>
      <c r="I229" s="36">
        <f t="shared" si="21"/>
        <v>-138.83333333333331</v>
      </c>
      <c r="J229" s="41"/>
      <c r="K229" s="45">
        <f>'Filter-old'!E214</f>
        <v>15.17217261904762</v>
      </c>
      <c r="L229" s="61">
        <f>'Filter-new'!E214</f>
        <v>88.27630952380953</v>
      </c>
      <c r="M229" s="62">
        <f>'price-old'!E93</f>
        <v>39.002857208251953</v>
      </c>
      <c r="N229" s="62">
        <f>'price-new'!E93</f>
        <v>36.53</v>
      </c>
      <c r="O229" s="429">
        <f>'Filter-new'!E703</f>
        <v>-27.5625</v>
      </c>
      <c r="P229" s="62">
        <f>VLOOKUP(B229,[1]Offpeak_Forward!$A$1:$AG$231,13,FALSE)</f>
        <v>22.3350009918213</v>
      </c>
      <c r="Q229" s="45">
        <f>'Filter-old'!H214</f>
        <v>-21</v>
      </c>
      <c r="R229" s="61">
        <f>'Filter-new'!H214</f>
        <v>-121</v>
      </c>
      <c r="S229" s="62">
        <f>'price-old'!H93</f>
        <v>33.502857208251953</v>
      </c>
      <c r="T229" s="62">
        <f>'price-new'!H93</f>
        <v>34.880000000000003</v>
      </c>
      <c r="U229" s="445">
        <f>'Filter-new'!H703</f>
        <v>-60.229166666666664</v>
      </c>
      <c r="V229" s="62">
        <f>VLOOKUP(B229,[1]Offpeak_Forward!$A$1:$AG$231,14,FALSE)</f>
        <v>22.440000534057599</v>
      </c>
      <c r="W229" s="45">
        <f>'Filter-old'!J214</f>
        <v>0</v>
      </c>
      <c r="X229" s="61">
        <f>'Filter-new'!J214</f>
        <v>0</v>
      </c>
      <c r="Y229" s="62">
        <f>'price-old'!J93</f>
        <v>31.969802093505862</v>
      </c>
      <c r="Z229" s="62">
        <f>'price-new'!J93</f>
        <v>38.03</v>
      </c>
      <c r="AA229" s="45">
        <f>'Filter-old'!F214</f>
        <v>0</v>
      </c>
      <c r="AB229" s="61">
        <f>'Filter-new'!F214</f>
        <v>0</v>
      </c>
      <c r="AC229" s="62">
        <f>'price-old'!F93</f>
        <v>39.002857208251953</v>
      </c>
      <c r="AD229" s="62">
        <f>'price-new'!F93</f>
        <v>38.03</v>
      </c>
      <c r="AE229" s="45">
        <f>'Filter-old'!P214</f>
        <v>0</v>
      </c>
      <c r="AF229" s="61">
        <f>'Filter-new'!P214</f>
        <v>0</v>
      </c>
      <c r="AG229" s="62">
        <f>'price-old'!O93</f>
        <v>44.415355682373047</v>
      </c>
      <c r="AH229" s="62">
        <f>'price-new'!P93</f>
        <v>33.28</v>
      </c>
      <c r="AI229" s="45">
        <f>'Filter-old'!L214</f>
        <v>0</v>
      </c>
      <c r="AJ229" s="61">
        <f>'Filter-new'!L214</f>
        <v>0</v>
      </c>
      <c r="AK229" s="62">
        <f>'price-old'!L93</f>
        <v>73.55</v>
      </c>
      <c r="AL229" s="62">
        <f>'price-new'!L93</f>
        <v>40.58</v>
      </c>
      <c r="AM229" s="62">
        <f>'Filter-new'!L703</f>
        <v>0</v>
      </c>
      <c r="AN229" s="62">
        <f>VLOOKUP(B229,[1]Offpeak_Forward!$A$1:$AG$231,18,FALSE)</f>
        <v>26.2912502288818</v>
      </c>
      <c r="AO229" s="45">
        <f>'Filter-old'!G214</f>
        <v>0</v>
      </c>
      <c r="AP229" s="61">
        <f>'Filter-new'!G214</f>
        <v>0</v>
      </c>
      <c r="AQ229" s="62">
        <f>'price-old'!G93</f>
        <v>37.499996185302734</v>
      </c>
      <c r="AR229" s="62">
        <f>'price-new'!G93</f>
        <v>36.5</v>
      </c>
      <c r="AS229" s="45"/>
      <c r="AT229" s="61">
        <f t="shared" si="22"/>
        <v>-9.9345238095238102</v>
      </c>
      <c r="AU229" s="62"/>
      <c r="AV229" s="62">
        <f t="shared" si="23"/>
        <v>-51.041666666666664</v>
      </c>
      <c r="AW229" s="45">
        <f>'Filter-old'!I214</f>
        <v>-25</v>
      </c>
      <c r="AX229" s="61">
        <f>'Filter-new'!I214</f>
        <v>-25</v>
      </c>
      <c r="AY229" s="62">
        <f>'price-old'!I93</f>
        <v>39.252857208251953</v>
      </c>
      <c r="AZ229" s="62">
        <f>'price-new'!I93</f>
        <v>36.03</v>
      </c>
      <c r="BA229" s="62">
        <f>'Filter-new'!I703</f>
        <v>-51.041666666666664</v>
      </c>
      <c r="BB229" s="62">
        <f>VLOOKUP(B229,[1]Offpeak_Forward!$A$1:$AG$231,15,FALSE)</f>
        <v>26.180416107177699</v>
      </c>
      <c r="BC229" s="45">
        <f>'Filter-old'!K214</f>
        <v>0</v>
      </c>
      <c r="BD229" s="61">
        <f>'Filter-new'!K214</f>
        <v>0</v>
      </c>
      <c r="BE229" s="62">
        <f>'price-old'!K93</f>
        <v>46.6</v>
      </c>
      <c r="BF229" s="62">
        <f>'price-new'!K93</f>
        <v>40.75</v>
      </c>
      <c r="BG229" s="45">
        <f>'Filter-old'!M214</f>
        <v>0</v>
      </c>
      <c r="BH229" s="61"/>
      <c r="BI229" s="61"/>
      <c r="BJ229" s="61">
        <f>'Filter-new'!M214</f>
        <v>0</v>
      </c>
      <c r="BK229" s="62">
        <f>'price-old'!M93</f>
        <v>47.5</v>
      </c>
      <c r="BL229" s="62">
        <f>'price-new'!M93</f>
        <v>42.5</v>
      </c>
      <c r="BM229" s="62"/>
      <c r="BN229" s="406">
        <f>'Filter-new'!N214</f>
        <v>0</v>
      </c>
      <c r="BO229" s="62"/>
      <c r="BP229" s="62">
        <f>'price-new'!N93</f>
        <v>49</v>
      </c>
      <c r="BQ229" s="45">
        <f>'Filter-old'!O214</f>
        <v>0</v>
      </c>
      <c r="BR229" s="61">
        <f>'Filter-new'!O214</f>
        <v>0</v>
      </c>
      <c r="BS229" s="62">
        <f>'price-old'!N93</f>
        <v>45.002857208251953</v>
      </c>
      <c r="BT229" s="62">
        <f>'price-new'!O93</f>
        <v>38.479999999999997</v>
      </c>
      <c r="BU229" s="45">
        <f>'Filter-old'!Q214</f>
        <v>13.847291666666665</v>
      </c>
      <c r="BV229" s="61">
        <f>'Filter-new'!Q214</f>
        <v>15.06547619047619</v>
      </c>
      <c r="BW229" s="62">
        <f>'price-old'!P93</f>
        <v>40.102855682373047</v>
      </c>
      <c r="BX229" s="88">
        <f>'price-new'!Q93</f>
        <v>39.134999999999998</v>
      </c>
      <c r="BY229" s="88">
        <f>'Filter-new'!Q703</f>
        <v>0</v>
      </c>
      <c r="BZ229" s="88">
        <f>VLOOKUP(B229,[1]Offpeak_Forward!$A$1:$AG$231,22,FALSE)</f>
        <v>24.033332824706999</v>
      </c>
      <c r="CA229" s="45">
        <f>'Filter-old'!R214</f>
        <v>0</v>
      </c>
      <c r="CB229" s="61">
        <f>'Filter-new'!R214</f>
        <v>0</v>
      </c>
      <c r="CC229" s="61">
        <f>'price-old'!Q93</f>
        <v>47.5</v>
      </c>
      <c r="CD229" s="89">
        <f>'price-new'!R93</f>
        <v>42.25</v>
      </c>
      <c r="CE229" s="87">
        <f>'Filter-new'!R703</f>
        <v>0</v>
      </c>
      <c r="CF229" s="87">
        <f>VLOOKUP(B229,[1]Offpeak_Forward!$A$1:$AG$231,6,FALSE)</f>
        <v>23.030208587646499</v>
      </c>
      <c r="CG229" s="4"/>
    </row>
    <row r="230" spans="1:85" hidden="1" x14ac:dyDescent="0.2">
      <c r="A230">
        <v>0</v>
      </c>
      <c r="B230" s="59">
        <v>39630</v>
      </c>
      <c r="C230" s="59">
        <f>'Filter-new'!C93</f>
        <v>39630</v>
      </c>
      <c r="D230" s="63"/>
      <c r="E230" s="63"/>
      <c r="F230" s="63"/>
      <c r="G230" s="36">
        <f t="shared" si="19"/>
        <v>-9.7966477272727222</v>
      </c>
      <c r="H230" s="36">
        <f t="shared" si="20"/>
        <v>-36.92855113636363</v>
      </c>
      <c r="I230" s="36">
        <f t="shared" si="21"/>
        <v>-141.55102040816325</v>
      </c>
      <c r="J230" s="41"/>
      <c r="K230" s="45">
        <f>'Filter-old'!E215</f>
        <v>15.089545454545457</v>
      </c>
      <c r="L230" s="61">
        <f>'Filter-new'!E215</f>
        <v>87.802670454545463</v>
      </c>
      <c r="M230" s="62">
        <f>'price-old'!E94</f>
        <v>51.597146606445314</v>
      </c>
      <c r="N230" s="62">
        <f>'price-new'!E94</f>
        <v>50.47</v>
      </c>
      <c r="O230" s="429">
        <f>'Filter-new'!E704</f>
        <v>-28.102040816326532</v>
      </c>
      <c r="P230" s="62">
        <f>VLOOKUP(B230,[1]Offpeak_Forward!$A$1:$AG$231,13,FALSE)</f>
        <v>24.8457145690918</v>
      </c>
      <c r="Q230" s="45">
        <f>'Filter-old'!H215</f>
        <v>-13</v>
      </c>
      <c r="R230" s="61">
        <f>'Filter-new'!H215</f>
        <v>-113</v>
      </c>
      <c r="S230" s="62">
        <f>'price-old'!H94</f>
        <v>38.497146606445313</v>
      </c>
      <c r="T230" s="62">
        <f>'price-new'!H94</f>
        <v>48.42</v>
      </c>
      <c r="U230" s="445">
        <f>'Filter-new'!H704</f>
        <v>-61.408163265306122</v>
      </c>
      <c r="V230" s="62">
        <f>VLOOKUP(B230,[1]Offpeak_Forward!$A$1:$AG$231,14,FALSE)</f>
        <v>24.5100002288818</v>
      </c>
      <c r="W230" s="45">
        <f>'Filter-old'!J215</f>
        <v>0</v>
      </c>
      <c r="X230" s="61">
        <f>'Filter-new'!J215</f>
        <v>0</v>
      </c>
      <c r="Y230" s="62">
        <f>'price-old'!J94</f>
        <v>39.799999999999997</v>
      </c>
      <c r="Z230" s="62">
        <f>'price-new'!J94</f>
        <v>52.97</v>
      </c>
      <c r="AA230" s="45">
        <f>'Filter-old'!F215</f>
        <v>0</v>
      </c>
      <c r="AB230" s="61">
        <f>'Filter-new'!F215</f>
        <v>0</v>
      </c>
      <c r="AC230" s="62">
        <f>'price-old'!F94</f>
        <v>51.597146606445314</v>
      </c>
      <c r="AD230" s="62">
        <f>'price-new'!F94</f>
        <v>52.97</v>
      </c>
      <c r="AE230" s="45">
        <f>'Filter-old'!P215</f>
        <v>0</v>
      </c>
      <c r="AF230" s="61">
        <f>'Filter-new'!P215</f>
        <v>0</v>
      </c>
      <c r="AG230" s="62">
        <f>'price-old'!O94</f>
        <v>54.522149658203126</v>
      </c>
      <c r="AH230" s="62">
        <f>'price-new'!P94</f>
        <v>37.619999999999997</v>
      </c>
      <c r="AI230" s="45">
        <f>'Filter-old'!L215</f>
        <v>0</v>
      </c>
      <c r="AJ230" s="61">
        <f>'Filter-new'!L215</f>
        <v>-1</v>
      </c>
      <c r="AK230" s="62">
        <f>'price-old'!L94</f>
        <v>99.55</v>
      </c>
      <c r="AL230" s="62">
        <f>'price-new'!L94</f>
        <v>50.22</v>
      </c>
      <c r="AM230" s="62">
        <f>'Filter-new'!L704</f>
        <v>0</v>
      </c>
      <c r="AN230" s="62">
        <f>VLOOKUP(B230,[1]Offpeak_Forward!$A$1:$AG$231,18,FALSE)</f>
        <v>28.844285964965799</v>
      </c>
      <c r="AO230" s="45">
        <f>'Filter-old'!G215</f>
        <v>0</v>
      </c>
      <c r="AP230" s="61">
        <f>'Filter-new'!G215</f>
        <v>0</v>
      </c>
      <c r="AQ230" s="62">
        <f>'price-old'!G94</f>
        <v>45.249992370605469</v>
      </c>
      <c r="AR230" s="62">
        <f>'price-new'!G94</f>
        <v>46.05</v>
      </c>
      <c r="AS230" s="45"/>
      <c r="AT230" s="61">
        <f t="shared" si="22"/>
        <v>-10.731221590909092</v>
      </c>
      <c r="AU230" s="62"/>
      <c r="AV230" s="62">
        <f t="shared" si="23"/>
        <v>-52.04081632653061</v>
      </c>
      <c r="AW230" s="45">
        <f>'Filter-old'!I215</f>
        <v>-25</v>
      </c>
      <c r="AX230" s="61">
        <f>'Filter-new'!I215</f>
        <v>-25</v>
      </c>
      <c r="AY230" s="62">
        <f>'price-old'!I94</f>
        <v>56.334648132324219</v>
      </c>
      <c r="AZ230" s="62">
        <f>'price-new'!I94</f>
        <v>49.97</v>
      </c>
      <c r="BA230" s="62">
        <f>'Filter-new'!I704</f>
        <v>-52.04081632653061</v>
      </c>
      <c r="BB230" s="62">
        <f>VLOOKUP(B230,[1]Offpeak_Forward!$A$1:$AG$231,15,FALSE)</f>
        <v>28.902652740478501</v>
      </c>
      <c r="BC230" s="45">
        <f>'Filter-old'!K215</f>
        <v>0</v>
      </c>
      <c r="BD230" s="61">
        <f>'Filter-new'!K215</f>
        <v>0</v>
      </c>
      <c r="BE230" s="62">
        <f>'price-old'!K94</f>
        <v>58.35</v>
      </c>
      <c r="BF230" s="62">
        <f>'price-new'!K94</f>
        <v>48</v>
      </c>
      <c r="BG230" s="45">
        <f>'Filter-old'!M215</f>
        <v>0</v>
      </c>
      <c r="BH230" s="61"/>
      <c r="BI230" s="61"/>
      <c r="BJ230" s="61">
        <f>'Filter-new'!M215</f>
        <v>0</v>
      </c>
      <c r="BK230" s="62">
        <f>'price-old'!M94</f>
        <v>61</v>
      </c>
      <c r="BL230" s="62">
        <f>'price-new'!M94</f>
        <v>53.5</v>
      </c>
      <c r="BM230" s="62"/>
      <c r="BN230" s="406">
        <f>'Filter-new'!N215</f>
        <v>0</v>
      </c>
      <c r="BO230" s="62"/>
      <c r="BP230" s="62">
        <f>'price-new'!N94</f>
        <v>70.5</v>
      </c>
      <c r="BQ230" s="45">
        <f>'Filter-old'!O215</f>
        <v>0</v>
      </c>
      <c r="BR230" s="61">
        <f>'Filter-new'!O215</f>
        <v>0</v>
      </c>
      <c r="BS230" s="62">
        <f>'price-old'!N94</f>
        <v>61.597146606445314</v>
      </c>
      <c r="BT230" s="62">
        <f>'price-new'!O94</f>
        <v>49.55</v>
      </c>
      <c r="BU230" s="45">
        <f>'Filter-old'!Q215</f>
        <v>13.113806818181819</v>
      </c>
      <c r="BV230" s="61">
        <f>'Filter-new'!Q215</f>
        <v>14.268778409090908</v>
      </c>
      <c r="BW230" s="62">
        <f>'price-old'!P94</f>
        <v>58.872146606445313</v>
      </c>
      <c r="BX230" s="88">
        <f>'price-new'!Q94</f>
        <v>51.572000000000003</v>
      </c>
      <c r="BY230" s="88">
        <f>'Filter-new'!Q704</f>
        <v>0</v>
      </c>
      <c r="BZ230" s="88">
        <f>VLOOKUP(B230,[1]Offpeak_Forward!$A$1:$AG$231,22,FALSE)</f>
        <v>28.416732788085898</v>
      </c>
      <c r="CA230" s="45">
        <f>'Filter-old'!R215</f>
        <v>0</v>
      </c>
      <c r="CB230" s="61">
        <f>'Filter-new'!R215</f>
        <v>0</v>
      </c>
      <c r="CC230" s="61">
        <f>'price-old'!Q94</f>
        <v>61</v>
      </c>
      <c r="CD230" s="89">
        <f>'price-new'!R94</f>
        <v>51.25</v>
      </c>
      <c r="CE230" s="87">
        <f>'Filter-new'!R704</f>
        <v>0</v>
      </c>
      <c r="CF230" s="87">
        <f>VLOOKUP(B230,[1]Offpeak_Forward!$A$1:$AG$231,6,FALSE)</f>
        <v>24.804080963134801</v>
      </c>
      <c r="CG230" s="4"/>
    </row>
    <row r="231" spans="1:85" hidden="1" x14ac:dyDescent="0.2">
      <c r="A231">
        <v>0</v>
      </c>
      <c r="B231" s="59">
        <v>39661</v>
      </c>
      <c r="C231" s="59">
        <f>'Filter-new'!C94</f>
        <v>39661</v>
      </c>
      <c r="D231" s="63"/>
      <c r="E231" s="63"/>
      <c r="F231" s="63"/>
      <c r="G231" s="36">
        <f t="shared" si="19"/>
        <v>-8.2961309523809508</v>
      </c>
      <c r="H231" s="36">
        <f t="shared" si="20"/>
        <v>-35.766994047619036</v>
      </c>
      <c r="I231" s="36">
        <f t="shared" si="21"/>
        <v>-119.52941176470588</v>
      </c>
      <c r="J231" s="41"/>
      <c r="K231" s="45">
        <f>'Filter-old'!E216</f>
        <v>15.007202380952382</v>
      </c>
      <c r="L231" s="61">
        <f>'Filter-new'!E216</f>
        <v>87.329107142857154</v>
      </c>
      <c r="M231" s="62">
        <f>'price-old'!E95</f>
        <v>51.597146606445314</v>
      </c>
      <c r="N231" s="62">
        <f>'price-new'!E95</f>
        <v>49.81</v>
      </c>
      <c r="O231" s="429">
        <f>'Filter-new'!E705</f>
        <v>-25.411764705882351</v>
      </c>
      <c r="P231" s="62">
        <f>VLOOKUP(B231,[1]Offpeak_Forward!$A$1:$AG$231,13,FALSE)</f>
        <v>25.405097961425799</v>
      </c>
      <c r="Q231" s="45">
        <f>'Filter-old'!H216</f>
        <v>-12</v>
      </c>
      <c r="R231" s="61">
        <f>'Filter-new'!H216</f>
        <v>-112</v>
      </c>
      <c r="S231" s="62">
        <f>'price-old'!H95</f>
        <v>38.497146606445313</v>
      </c>
      <c r="T231" s="62">
        <f>'price-new'!H95</f>
        <v>47.76</v>
      </c>
      <c r="U231" s="445">
        <f>'Filter-new'!H705</f>
        <v>-47.058823529411768</v>
      </c>
      <c r="V231" s="62">
        <f>VLOOKUP(B231,[1]Offpeak_Forward!$A$1:$AG$231,14,FALSE)</f>
        <v>23.813922882080099</v>
      </c>
      <c r="W231" s="45">
        <f>'Filter-old'!J216</f>
        <v>0</v>
      </c>
      <c r="X231" s="61">
        <f>'Filter-new'!J216</f>
        <v>0</v>
      </c>
      <c r="Y231" s="62">
        <f>'price-old'!J95</f>
        <v>39.799999999999997</v>
      </c>
      <c r="Z231" s="62">
        <f>'price-new'!J95</f>
        <v>52.31</v>
      </c>
      <c r="AA231" s="45">
        <f>'Filter-old'!F216</f>
        <v>0</v>
      </c>
      <c r="AB231" s="61">
        <f>'Filter-new'!F216</f>
        <v>0</v>
      </c>
      <c r="AC231" s="62">
        <f>'price-old'!F95</f>
        <v>51.597146606445314</v>
      </c>
      <c r="AD231" s="62">
        <f>'price-new'!F95</f>
        <v>52.31</v>
      </c>
      <c r="AE231" s="45">
        <f>'Filter-old'!P216</f>
        <v>0</v>
      </c>
      <c r="AF231" s="61">
        <f>'Filter-new'!P216</f>
        <v>0</v>
      </c>
      <c r="AG231" s="62">
        <f>'price-old'!O95</f>
        <v>54.522149658203126</v>
      </c>
      <c r="AH231" s="62">
        <f>'price-new'!P95</f>
        <v>36.96</v>
      </c>
      <c r="AI231" s="45">
        <f>'Filter-old'!L216</f>
        <v>0</v>
      </c>
      <c r="AJ231" s="61">
        <f>'Filter-new'!L216</f>
        <v>-1</v>
      </c>
      <c r="AK231" s="62">
        <f>'price-old'!L95</f>
        <v>100.04</v>
      </c>
      <c r="AL231" s="62">
        <f>'price-new'!L95</f>
        <v>50.56</v>
      </c>
      <c r="AM231" s="62">
        <f>'Filter-new'!L705</f>
        <v>0</v>
      </c>
      <c r="AN231" s="62">
        <f>VLOOKUP(B231,[1]Offpeak_Forward!$A$1:$AG$231,18,FALSE)</f>
        <v>29.2664699554443</v>
      </c>
      <c r="AO231" s="45">
        <f>'Filter-old'!G216</f>
        <v>0</v>
      </c>
      <c r="AP231" s="61">
        <f>'Filter-new'!G216</f>
        <v>0</v>
      </c>
      <c r="AQ231" s="62">
        <f>'price-old'!G95</f>
        <v>45.25</v>
      </c>
      <c r="AR231" s="62">
        <f>'price-new'!G95</f>
        <v>45.65</v>
      </c>
      <c r="AS231" s="45"/>
      <c r="AT231" s="61">
        <f t="shared" si="22"/>
        <v>-10.09610119047619</v>
      </c>
      <c r="AU231" s="62"/>
      <c r="AV231" s="62">
        <f t="shared" si="23"/>
        <v>-47.058823529411768</v>
      </c>
      <c r="AW231" s="45">
        <f>'Filter-old'!I216</f>
        <v>-25</v>
      </c>
      <c r="AX231" s="61">
        <f>'Filter-new'!I216</f>
        <v>-25</v>
      </c>
      <c r="AY231" s="62">
        <f>'price-old'!I95</f>
        <v>56.272148132324219</v>
      </c>
      <c r="AZ231" s="62">
        <f>'price-new'!I95</f>
        <v>49.31</v>
      </c>
      <c r="BA231" s="62">
        <f>'Filter-new'!I705</f>
        <v>-47.058823529411768</v>
      </c>
      <c r="BB231" s="62">
        <f>VLOOKUP(B231,[1]Offpeak_Forward!$A$1:$AG$231,15,FALSE)</f>
        <v>28.987646102905298</v>
      </c>
      <c r="BC231" s="45">
        <f>'Filter-old'!K216</f>
        <v>0</v>
      </c>
      <c r="BD231" s="61">
        <f>'Filter-new'!K216</f>
        <v>0</v>
      </c>
      <c r="BE231" s="62">
        <f>'price-old'!K95</f>
        <v>58.35</v>
      </c>
      <c r="BF231" s="62">
        <f>'price-new'!K95</f>
        <v>48</v>
      </c>
      <c r="BG231" s="45">
        <f>'Filter-old'!M216</f>
        <v>0</v>
      </c>
      <c r="BH231" s="61"/>
      <c r="BI231" s="61"/>
      <c r="BJ231" s="61">
        <f>'Filter-new'!M216</f>
        <v>0</v>
      </c>
      <c r="BK231" s="62">
        <f>'price-old'!M95</f>
        <v>61</v>
      </c>
      <c r="BL231" s="62">
        <f>'price-new'!M95</f>
        <v>53.5</v>
      </c>
      <c r="BM231" s="62"/>
      <c r="BN231" s="406">
        <f>'Filter-new'!N216</f>
        <v>0</v>
      </c>
      <c r="BO231" s="62"/>
      <c r="BP231" s="62">
        <f>'price-new'!N95</f>
        <v>70.5</v>
      </c>
      <c r="BQ231" s="45">
        <f>'Filter-old'!O216</f>
        <v>0</v>
      </c>
      <c r="BR231" s="61">
        <f>'Filter-new'!O216</f>
        <v>0</v>
      </c>
      <c r="BS231" s="62">
        <f>'price-old'!N95</f>
        <v>61.597146606445314</v>
      </c>
      <c r="BT231" s="62">
        <f>'price-new'!O95</f>
        <v>48.55</v>
      </c>
      <c r="BU231" s="45">
        <f>'Filter-old'!Q216</f>
        <v>13.696666666666667</v>
      </c>
      <c r="BV231" s="61">
        <f>'Filter-new'!Q216</f>
        <v>14.90389880952381</v>
      </c>
      <c r="BW231" s="62">
        <f>'price-old'!P95</f>
        <v>58.872146606445313</v>
      </c>
      <c r="BX231" s="88">
        <f>'price-new'!Q95</f>
        <v>51.822000000000003</v>
      </c>
      <c r="BY231" s="88">
        <f>'Filter-new'!Q705</f>
        <v>0</v>
      </c>
      <c r="BZ231" s="88">
        <f>VLOOKUP(B231,[1]Offpeak_Forward!$A$1:$AG$231,22,FALSE)</f>
        <v>28.821958541870099</v>
      </c>
      <c r="CA231" s="45">
        <f>'Filter-old'!R216</f>
        <v>0</v>
      </c>
      <c r="CB231" s="61">
        <f>'Filter-new'!R216</f>
        <v>0</v>
      </c>
      <c r="CC231" s="61">
        <f>'price-old'!Q95</f>
        <v>61</v>
      </c>
      <c r="CD231" s="89">
        <f>'price-new'!R95</f>
        <v>51.25</v>
      </c>
      <c r="CE231" s="87">
        <f>'Filter-new'!R705</f>
        <v>0</v>
      </c>
      <c r="CF231" s="87">
        <f>VLOOKUP(B231,[1]Offpeak_Forward!$A$1:$AG$231,6,FALSE)</f>
        <v>25.1352939605713</v>
      </c>
      <c r="CG231" s="4"/>
    </row>
    <row r="232" spans="1:85" hidden="1" x14ac:dyDescent="0.2">
      <c r="A232">
        <v>0</v>
      </c>
      <c r="B232" s="59">
        <v>39692</v>
      </c>
      <c r="C232" s="59">
        <f>'Filter-new'!C95</f>
        <v>39692</v>
      </c>
      <c r="D232" s="63"/>
      <c r="E232" s="63"/>
      <c r="F232" s="63"/>
      <c r="G232" s="36">
        <f t="shared" ref="G232:G259" si="24">SUM(K232,AA232,AO232,Q232,AW232,W232,BC232,AI232,BG232,BQ232,AE232,BU232,CA232)</f>
        <v>4.201964285714288</v>
      </c>
      <c r="H232" s="36">
        <f t="shared" ref="H232:H259" si="25">SUM(L232,AB232,AP232,R232,AX232,X232,BD232,AJ232,BJ232,BR232,AF232,BV232,CB232)</f>
        <v>-22.596071428571435</v>
      </c>
      <c r="I232" s="36">
        <f t="shared" ref="I232:I259" si="26">O232+U232+AM232+BA232+BY232+CE232</f>
        <v>-124.68489583333331</v>
      </c>
      <c r="J232" s="41"/>
      <c r="K232" s="45">
        <f>'Filter-old'!E217</f>
        <v>14.927738095238096</v>
      </c>
      <c r="L232" s="61">
        <f>'Filter-new'!E217</f>
        <v>86.870892857142849</v>
      </c>
      <c r="M232" s="62">
        <f>'price-old'!E96</f>
        <v>35.652140045166014</v>
      </c>
      <c r="N232" s="62">
        <f>'price-new'!E96</f>
        <v>26.88</v>
      </c>
      <c r="O232" s="429">
        <f>'Filter-new'!E706</f>
        <v>-26.5078125</v>
      </c>
      <c r="P232" s="62">
        <f>VLOOKUP(B232,[1]Offpeak_Forward!$A$1:$AG$231,13,FALSE)</f>
        <v>18.8558349609375</v>
      </c>
      <c r="Q232" s="45">
        <f>'Filter-old'!H217</f>
        <v>0</v>
      </c>
      <c r="R232" s="61">
        <f>'Filter-new'!H217</f>
        <v>-100</v>
      </c>
      <c r="S232" s="62">
        <f>'price-old'!H96</f>
        <v>31.102143859863283</v>
      </c>
      <c r="T232" s="62">
        <f>'price-new'!H96</f>
        <v>25.63</v>
      </c>
      <c r="U232" s="445">
        <f>'Filter-new'!H706</f>
        <v>-49.088541666666664</v>
      </c>
      <c r="V232" s="62">
        <f>VLOOKUP(B232,[1]Offpeak_Forward!$A$1:$AG$231,14,FALSE)</f>
        <v>18.297082901001001</v>
      </c>
      <c r="W232" s="45">
        <f>'Filter-old'!J217</f>
        <v>0</v>
      </c>
      <c r="X232" s="61">
        <f>'Filter-new'!J217</f>
        <v>0</v>
      </c>
      <c r="Y232" s="62">
        <f>'price-old'!J96</f>
        <v>35.374413909912107</v>
      </c>
      <c r="Z232" s="62">
        <f>'price-new'!J96</f>
        <v>28.38</v>
      </c>
      <c r="AA232" s="45">
        <f>'Filter-old'!F217</f>
        <v>0</v>
      </c>
      <c r="AB232" s="61">
        <f>'Filter-new'!F217</f>
        <v>0</v>
      </c>
      <c r="AC232" s="62">
        <f>'price-old'!F96</f>
        <v>35.652140045166014</v>
      </c>
      <c r="AD232" s="62">
        <f>'price-new'!F96</f>
        <v>28.38</v>
      </c>
      <c r="AE232" s="45">
        <f>'Filter-old'!P217</f>
        <v>0</v>
      </c>
      <c r="AF232" s="61">
        <f>'Filter-new'!P217</f>
        <v>0</v>
      </c>
      <c r="AG232" s="62">
        <f>'price-old'!O96</f>
        <v>37.752142333984374</v>
      </c>
      <c r="AH232" s="62">
        <f>'price-new'!P96</f>
        <v>24.73</v>
      </c>
      <c r="AI232" s="45">
        <f>'Filter-old'!L217</f>
        <v>0</v>
      </c>
      <c r="AJ232" s="61">
        <f>'Filter-new'!L217</f>
        <v>0</v>
      </c>
      <c r="AK232" s="62">
        <f>'price-old'!L96</f>
        <v>57.04</v>
      </c>
      <c r="AL232" s="62">
        <f>'price-new'!L96</f>
        <v>29.6</v>
      </c>
      <c r="AM232" s="62">
        <f>'Filter-new'!L706</f>
        <v>0</v>
      </c>
      <c r="AN232" s="62">
        <f>VLOOKUP(B232,[1]Offpeak_Forward!$A$1:$AG$231,18,FALSE)</f>
        <v>22.812084197998001</v>
      </c>
      <c r="AO232" s="45">
        <f>'Filter-old'!G217</f>
        <v>0</v>
      </c>
      <c r="AP232" s="61">
        <f>'Filter-new'!G217</f>
        <v>0</v>
      </c>
      <c r="AQ232" s="62">
        <f>'price-old'!G96</f>
        <v>35.250003814697266</v>
      </c>
      <c r="AR232" s="62">
        <f>'price-new'!G96</f>
        <v>33.4</v>
      </c>
      <c r="AS232" s="45"/>
      <c r="AT232" s="61">
        <f t="shared" ref="AT232:AT259" si="27">AX232+BD232+BJ232+BR232+BV232+CB232+BN232</f>
        <v>-9.4669642857142851</v>
      </c>
      <c r="AU232" s="62"/>
      <c r="AV232" s="62">
        <f t="shared" ref="AV232:AV259" si="28">BA232+BY232+CE232</f>
        <v>-49.088541666666664</v>
      </c>
      <c r="AW232" s="45">
        <f>'Filter-old'!I217</f>
        <v>-25</v>
      </c>
      <c r="AX232" s="61">
        <f>'Filter-new'!I217</f>
        <v>-25</v>
      </c>
      <c r="AY232" s="62">
        <f>'price-old'!I96</f>
        <v>35.277145385742187</v>
      </c>
      <c r="AZ232" s="62">
        <f>'price-new'!I96</f>
        <v>26.38</v>
      </c>
      <c r="BA232" s="62">
        <f>'Filter-new'!I706</f>
        <v>-49.088541666666664</v>
      </c>
      <c r="BB232" s="62">
        <f>VLOOKUP(B232,[1]Offpeak_Forward!$A$1:$AG$231,15,FALSE)</f>
        <v>19.732500076293899</v>
      </c>
      <c r="BC232" s="45">
        <f>'Filter-old'!K217</f>
        <v>0</v>
      </c>
      <c r="BD232" s="61">
        <f>'Filter-new'!K217</f>
        <v>0</v>
      </c>
      <c r="BE232" s="62">
        <f>'price-old'!K96</f>
        <v>37.35</v>
      </c>
      <c r="BF232" s="62">
        <f>'price-new'!K96</f>
        <v>35</v>
      </c>
      <c r="BG232" s="45">
        <f>'Filter-old'!M217</f>
        <v>0</v>
      </c>
      <c r="BH232" s="61"/>
      <c r="BI232" s="61"/>
      <c r="BJ232" s="61">
        <f>'Filter-new'!M217</f>
        <v>0</v>
      </c>
      <c r="BK232" s="62">
        <f>'price-old'!M96</f>
        <v>33.25</v>
      </c>
      <c r="BL232" s="62">
        <f>'price-new'!M96</f>
        <v>31.25</v>
      </c>
      <c r="BM232" s="62"/>
      <c r="BN232" s="406">
        <f>'Filter-new'!N217</f>
        <v>0</v>
      </c>
      <c r="BO232" s="62"/>
      <c r="BP232" s="62">
        <f>'price-new'!N96</f>
        <v>39</v>
      </c>
      <c r="BQ232" s="45">
        <f>'Filter-old'!O217</f>
        <v>0</v>
      </c>
      <c r="BR232" s="61">
        <f>'Filter-new'!O217</f>
        <v>0</v>
      </c>
      <c r="BS232" s="62">
        <f>'price-old'!N96</f>
        <v>38.652140045166014</v>
      </c>
      <c r="BT232" s="62">
        <f>'price-new'!O96</f>
        <v>27.12</v>
      </c>
      <c r="BU232" s="45">
        <f>'Filter-old'!Q217</f>
        <v>14.274226190476192</v>
      </c>
      <c r="BV232" s="61">
        <f>'Filter-new'!Q217</f>
        <v>15.533035714285715</v>
      </c>
      <c r="BW232" s="62">
        <f>'price-old'!P96</f>
        <v>34.502143859863281</v>
      </c>
      <c r="BX232" s="88">
        <f>'price-new'!Q96</f>
        <v>25.861999999999998</v>
      </c>
      <c r="BY232" s="88">
        <f>'Filter-new'!Q706</f>
        <v>0</v>
      </c>
      <c r="BZ232" s="88">
        <f>VLOOKUP(B232,[1]Offpeak_Forward!$A$1:$AG$231,22,FALSE)</f>
        <v>22.460414886474599</v>
      </c>
      <c r="CA232" s="45">
        <f>'Filter-old'!R217</f>
        <v>0</v>
      </c>
      <c r="CB232" s="61">
        <f>'Filter-new'!R217</f>
        <v>0</v>
      </c>
      <c r="CC232" s="61">
        <f>'price-old'!Q96</f>
        <v>33.25</v>
      </c>
      <c r="CD232" s="89">
        <f>'price-new'!R96</f>
        <v>30.25</v>
      </c>
      <c r="CE232" s="87">
        <f>'Filter-new'!R706</f>
        <v>0</v>
      </c>
      <c r="CF232" s="87">
        <f>VLOOKUP(B232,[1]Offpeak_Forward!$A$1:$AG$231,6,FALSE)</f>
        <v>19.657375335693398</v>
      </c>
      <c r="CG232" s="4"/>
    </row>
    <row r="233" spans="1:85" hidden="1" x14ac:dyDescent="0.2">
      <c r="A233">
        <v>0</v>
      </c>
      <c r="B233" s="59">
        <v>39722</v>
      </c>
      <c r="C233" s="59">
        <f>'Filter-new'!C96</f>
        <v>39722</v>
      </c>
      <c r="D233" s="63"/>
      <c r="E233" s="63"/>
      <c r="F233" s="63"/>
      <c r="G233" s="36">
        <f t="shared" si="24"/>
        <v>4.0419021739130425</v>
      </c>
      <c r="H233" s="36">
        <f t="shared" si="25"/>
        <v>-23.154130434782616</v>
      </c>
      <c r="I233" s="36">
        <f t="shared" si="26"/>
        <v>-140.51063829787233</v>
      </c>
      <c r="J233" s="41"/>
      <c r="K233" s="45">
        <f>'Filter-old'!E218</f>
        <v>14.845923913043478</v>
      </c>
      <c r="L233" s="61">
        <f>'Filter-new'!E218</f>
        <v>86.397499999999994</v>
      </c>
      <c r="M233" s="62">
        <f>'price-old'!E97</f>
        <v>34.652062177658081</v>
      </c>
      <c r="N233" s="62">
        <f>'price-new'!E97</f>
        <v>28.88</v>
      </c>
      <c r="O233" s="429">
        <f>'Filter-new'!E707</f>
        <v>-29.872340425531913</v>
      </c>
      <c r="P233" s="62">
        <f>VLOOKUP(B233,[1]Offpeak_Forward!$A$1:$AG$231,13,FALSE)</f>
        <v>16.7629795074463</v>
      </c>
      <c r="Q233" s="45">
        <f>'Filter-old'!H218</f>
        <v>0</v>
      </c>
      <c r="R233" s="61">
        <f>'Filter-new'!H218</f>
        <v>-100</v>
      </c>
      <c r="S233" s="62">
        <f>'price-old'!H97</f>
        <v>35.093929290771484</v>
      </c>
      <c r="T233" s="62">
        <f>'price-new'!H97</f>
        <v>27.63</v>
      </c>
      <c r="U233" s="445">
        <f>'Filter-new'!H707</f>
        <v>-55.319148936170215</v>
      </c>
      <c r="V233" s="62">
        <f>VLOOKUP(B233,[1]Offpeak_Forward!$A$1:$AG$231,14,FALSE)</f>
        <v>16.965745925903299</v>
      </c>
      <c r="W233" s="45">
        <f>'Filter-old'!J218</f>
        <v>0</v>
      </c>
      <c r="X233" s="61">
        <f>'Filter-new'!J218</f>
        <v>0</v>
      </c>
      <c r="Y233" s="62">
        <f>'price-old'!J97</f>
        <v>40.154998779296875</v>
      </c>
      <c r="Z233" s="62">
        <f>'price-new'!J97</f>
        <v>28.88</v>
      </c>
      <c r="AA233" s="45">
        <f>'Filter-old'!F218</f>
        <v>0</v>
      </c>
      <c r="AB233" s="61">
        <f>'Filter-new'!F218</f>
        <v>0</v>
      </c>
      <c r="AC233" s="62">
        <f>'price-old'!F97</f>
        <v>34.652062177658081</v>
      </c>
      <c r="AD233" s="62">
        <f>'price-new'!F97</f>
        <v>28.88</v>
      </c>
      <c r="AE233" s="45">
        <f>'Filter-old'!P218</f>
        <v>0</v>
      </c>
      <c r="AF233" s="61">
        <f>'Filter-new'!P218</f>
        <v>0</v>
      </c>
      <c r="AG233" s="62">
        <f>'price-old'!O97</f>
        <v>34.403934478759766</v>
      </c>
      <c r="AH233" s="62">
        <f>'price-new'!P97</f>
        <v>32.07</v>
      </c>
      <c r="AI233" s="45">
        <f>'Filter-old'!L218</f>
        <v>0</v>
      </c>
      <c r="AJ233" s="61">
        <f>'Filter-new'!L218</f>
        <v>0</v>
      </c>
      <c r="AK233" s="62">
        <f>'price-old'!L97</f>
        <v>56.04</v>
      </c>
      <c r="AL233" s="62">
        <f>'price-new'!L97</f>
        <v>30.54</v>
      </c>
      <c r="AM233" s="62">
        <f>'Filter-new'!L707</f>
        <v>0</v>
      </c>
      <c r="AN233" s="62">
        <f>VLOOKUP(B233,[1]Offpeak_Forward!$A$1:$AG$231,18,FALSE)</f>
        <v>20.910425186157202</v>
      </c>
      <c r="AO233" s="45">
        <f>'Filter-old'!G218</f>
        <v>0</v>
      </c>
      <c r="AP233" s="61">
        <f>'Filter-new'!G218</f>
        <v>0</v>
      </c>
      <c r="AQ233" s="62">
        <f>'price-old'!G97</f>
        <v>32.300003051757812</v>
      </c>
      <c r="AR233" s="62">
        <f>'price-new'!G97</f>
        <v>31.62</v>
      </c>
      <c r="AS233" s="45"/>
      <c r="AT233" s="61">
        <f t="shared" si="27"/>
        <v>-9.5516304347826093</v>
      </c>
      <c r="AU233" s="62"/>
      <c r="AV233" s="62">
        <f t="shared" si="28"/>
        <v>-55.319148936170215</v>
      </c>
      <c r="AW233" s="45">
        <f>'Filter-old'!I218</f>
        <v>-25</v>
      </c>
      <c r="AX233" s="61">
        <f>'Filter-new'!I218</f>
        <v>-25</v>
      </c>
      <c r="AY233" s="62">
        <f>'price-old'!I97</f>
        <v>34.091434478759766</v>
      </c>
      <c r="AZ233" s="62">
        <f>'price-new'!I97</f>
        <v>28.38</v>
      </c>
      <c r="BA233" s="62">
        <f>'Filter-new'!I707</f>
        <v>-55.319148936170215</v>
      </c>
      <c r="BB233" s="62">
        <f>VLOOKUP(B233,[1]Offpeak_Forward!$A$1:$AG$231,15,FALSE)</f>
        <v>17.749574661254901</v>
      </c>
      <c r="BC233" s="45">
        <f>'Filter-old'!K218</f>
        <v>0</v>
      </c>
      <c r="BD233" s="61">
        <f>'Filter-new'!K218</f>
        <v>0</v>
      </c>
      <c r="BE233" s="62">
        <f>'price-old'!K97</f>
        <v>38.6</v>
      </c>
      <c r="BF233" s="62">
        <f>'price-new'!K97</f>
        <v>34.75</v>
      </c>
      <c r="BG233" s="45">
        <f>'Filter-old'!M218</f>
        <v>0</v>
      </c>
      <c r="BH233" s="61"/>
      <c r="BI233" s="61"/>
      <c r="BJ233" s="61">
        <f>'Filter-new'!M218</f>
        <v>0</v>
      </c>
      <c r="BK233" s="62">
        <f>'price-old'!M97</f>
        <v>32.5</v>
      </c>
      <c r="BL233" s="62">
        <f>'price-new'!M97</f>
        <v>31.25</v>
      </c>
      <c r="BM233" s="62"/>
      <c r="BN233" s="406">
        <f>'Filter-new'!N218</f>
        <v>0</v>
      </c>
      <c r="BO233" s="62"/>
      <c r="BP233" s="62">
        <f>'price-new'!N97</f>
        <v>39</v>
      </c>
      <c r="BQ233" s="45">
        <f>'Filter-old'!O218</f>
        <v>0</v>
      </c>
      <c r="BR233" s="61">
        <f>'Filter-new'!O218</f>
        <v>0</v>
      </c>
      <c r="BS233" s="62">
        <f>'price-old'!N97</f>
        <v>36.498935699462891</v>
      </c>
      <c r="BT233" s="62">
        <f>'price-new'!O97</f>
        <v>29.38</v>
      </c>
      <c r="BU233" s="45">
        <f>'Filter-old'!Q218</f>
        <v>14.195978260869564</v>
      </c>
      <c r="BV233" s="61">
        <f>'Filter-new'!Q218</f>
        <v>15.448369565217391</v>
      </c>
      <c r="BW233" s="62">
        <f>'price-old'!P97</f>
        <v>32.253932952880859</v>
      </c>
      <c r="BX233" s="88">
        <f>'price-new'!Q97</f>
        <v>28.032</v>
      </c>
      <c r="BY233" s="88">
        <f>'Filter-new'!Q707</f>
        <v>0</v>
      </c>
      <c r="BZ233" s="88">
        <f>VLOOKUP(B233,[1]Offpeak_Forward!$A$1:$AG$231,22,FALSE)</f>
        <v>20.6791477203369</v>
      </c>
      <c r="CA233" s="45">
        <f>'Filter-old'!R218</f>
        <v>0</v>
      </c>
      <c r="CB233" s="61">
        <f>'Filter-new'!R218</f>
        <v>0</v>
      </c>
      <c r="CC233" s="61">
        <f>'price-old'!Q97</f>
        <v>32.5</v>
      </c>
      <c r="CD233" s="89">
        <f>'price-new'!R97</f>
        <v>30.25</v>
      </c>
      <c r="CE233" s="87">
        <f>'Filter-new'!R707</f>
        <v>0</v>
      </c>
      <c r="CF233" s="87">
        <f>VLOOKUP(B233,[1]Offpeak_Forward!$A$1:$AG$231,6,FALSE)</f>
        <v>21.0404243469238</v>
      </c>
      <c r="CG233" s="4"/>
    </row>
    <row r="234" spans="1:85" hidden="1" x14ac:dyDescent="0.2">
      <c r="A234">
        <v>0</v>
      </c>
      <c r="B234" s="59">
        <v>39753</v>
      </c>
      <c r="C234" s="59">
        <f>'Filter-new'!C97</f>
        <v>39753</v>
      </c>
      <c r="D234" s="63"/>
      <c r="E234" s="63"/>
      <c r="F234" s="63"/>
      <c r="G234" s="36">
        <f t="shared" si="24"/>
        <v>3.8868092105263159</v>
      </c>
      <c r="H234" s="36">
        <f t="shared" si="25"/>
        <v>-23.671677631578945</v>
      </c>
      <c r="I234" s="36">
        <f t="shared" si="26"/>
        <v>-119.67307692307692</v>
      </c>
      <c r="J234" s="41"/>
      <c r="K234" s="45">
        <f>'Filter-old'!E219</f>
        <v>14.767006578947369</v>
      </c>
      <c r="L234" s="61">
        <f>'Filter-new'!E219</f>
        <v>85.958782894736842</v>
      </c>
      <c r="M234" s="62">
        <f>'price-old'!E98</f>
        <v>34.752060651779175</v>
      </c>
      <c r="N234" s="62">
        <f>'price-new'!E98</f>
        <v>29.4</v>
      </c>
      <c r="O234" s="429">
        <f>'Filter-new'!E708</f>
        <v>-25.442307692307693</v>
      </c>
      <c r="P234" s="62">
        <f>VLOOKUP(B234,[1]Offpeak_Forward!$A$1:$AG$231,13,FALSE)</f>
        <v>17.6226921081543</v>
      </c>
      <c r="Q234" s="45">
        <f>'Filter-old'!H219</f>
        <v>0</v>
      </c>
      <c r="R234" s="61">
        <f>'Filter-new'!H219</f>
        <v>-100</v>
      </c>
      <c r="S234" s="62">
        <f>'price-old'!H98</f>
        <v>38.593929290771484</v>
      </c>
      <c r="T234" s="62">
        <f>'price-new'!H98</f>
        <v>28.15</v>
      </c>
      <c r="U234" s="445">
        <f>'Filter-new'!H708</f>
        <v>-47.115384615384613</v>
      </c>
      <c r="V234" s="62">
        <f>VLOOKUP(B234,[1]Offpeak_Forward!$A$1:$AG$231,14,FALSE)</f>
        <v>17.5646152496338</v>
      </c>
      <c r="W234" s="45">
        <f>'Filter-old'!J219</f>
        <v>0</v>
      </c>
      <c r="X234" s="61">
        <f>'Filter-new'!J219</f>
        <v>0</v>
      </c>
      <c r="Y234" s="62">
        <f>'price-old'!J98</f>
        <v>40.951915740966797</v>
      </c>
      <c r="Z234" s="62">
        <f>'price-new'!J98</f>
        <v>29.4</v>
      </c>
      <c r="AA234" s="45">
        <f>'Filter-old'!F219</f>
        <v>0</v>
      </c>
      <c r="AB234" s="61">
        <f>'Filter-new'!F219</f>
        <v>0</v>
      </c>
      <c r="AC234" s="62">
        <f>'price-old'!F98</f>
        <v>34.752060651779175</v>
      </c>
      <c r="AD234" s="62">
        <f>'price-new'!F98</f>
        <v>29.4</v>
      </c>
      <c r="AE234" s="45">
        <f>'Filter-old'!P219</f>
        <v>0</v>
      </c>
      <c r="AF234" s="61">
        <f>'Filter-new'!P219</f>
        <v>0</v>
      </c>
      <c r="AG234" s="62">
        <f>'price-old'!O98</f>
        <v>34.503932952880859</v>
      </c>
      <c r="AH234" s="62">
        <f>'price-new'!P98</f>
        <v>35.99</v>
      </c>
      <c r="AI234" s="45">
        <f>'Filter-old'!L219</f>
        <v>0</v>
      </c>
      <c r="AJ234" s="61">
        <f>'Filter-new'!L219</f>
        <v>0</v>
      </c>
      <c r="AK234" s="62">
        <f>'price-old'!L98</f>
        <v>56.04</v>
      </c>
      <c r="AL234" s="62">
        <f>'price-new'!L98</f>
        <v>31.06</v>
      </c>
      <c r="AM234" s="62">
        <f>'Filter-new'!L708</f>
        <v>0</v>
      </c>
      <c r="AN234" s="62">
        <f>VLOOKUP(B234,[1]Offpeak_Forward!$A$1:$AG$231,18,FALSE)</f>
        <v>21.313076019287099</v>
      </c>
      <c r="AO234" s="45">
        <f>'Filter-old'!G219</f>
        <v>0</v>
      </c>
      <c r="AP234" s="61">
        <f>'Filter-new'!G219</f>
        <v>0</v>
      </c>
      <c r="AQ234" s="62">
        <f>'price-old'!G98</f>
        <v>31.999996185302734</v>
      </c>
      <c r="AR234" s="62">
        <f>'price-new'!G98</f>
        <v>30.62</v>
      </c>
      <c r="AS234" s="45"/>
      <c r="AT234" s="61">
        <f t="shared" si="27"/>
        <v>-9.6304605263157885</v>
      </c>
      <c r="AU234" s="62"/>
      <c r="AV234" s="62">
        <f t="shared" si="28"/>
        <v>-47.115384615384613</v>
      </c>
      <c r="AW234" s="45">
        <f>'Filter-old'!I219</f>
        <v>-25</v>
      </c>
      <c r="AX234" s="61">
        <f>'Filter-new'!I219</f>
        <v>-25</v>
      </c>
      <c r="AY234" s="62">
        <f>'price-old'!I98</f>
        <v>34.128932952880859</v>
      </c>
      <c r="AZ234" s="62">
        <f>'price-new'!I98</f>
        <v>28.9</v>
      </c>
      <c r="BA234" s="62">
        <f>'Filter-new'!I708</f>
        <v>-47.115384615384613</v>
      </c>
      <c r="BB234" s="62">
        <f>VLOOKUP(B234,[1]Offpeak_Forward!$A$1:$AG$231,15,FALSE)</f>
        <v>18.448076248168899</v>
      </c>
      <c r="BC234" s="45">
        <f>'Filter-old'!K219</f>
        <v>0</v>
      </c>
      <c r="BD234" s="61">
        <f>'Filter-new'!K219</f>
        <v>0</v>
      </c>
      <c r="BE234" s="62">
        <f>'price-old'!K98</f>
        <v>38.6</v>
      </c>
      <c r="BF234" s="62">
        <f>'price-new'!K98</f>
        <v>34.75</v>
      </c>
      <c r="BG234" s="45">
        <f>'Filter-old'!M219</f>
        <v>0</v>
      </c>
      <c r="BH234" s="61"/>
      <c r="BI234" s="61"/>
      <c r="BJ234" s="61">
        <f>'Filter-new'!M219</f>
        <v>0</v>
      </c>
      <c r="BK234" s="62">
        <f>'price-old'!M98</f>
        <v>32.5</v>
      </c>
      <c r="BL234" s="62">
        <f>'price-new'!M98</f>
        <v>31.25</v>
      </c>
      <c r="BM234" s="62"/>
      <c r="BN234" s="406">
        <f>'Filter-new'!N219</f>
        <v>0</v>
      </c>
      <c r="BO234" s="62"/>
      <c r="BP234" s="62">
        <f>'price-new'!N98</f>
        <v>39</v>
      </c>
      <c r="BQ234" s="45">
        <f>'Filter-old'!O219</f>
        <v>0</v>
      </c>
      <c r="BR234" s="61">
        <f>'Filter-new'!O219</f>
        <v>0</v>
      </c>
      <c r="BS234" s="62">
        <f>'price-old'!N98</f>
        <v>36.498935699462891</v>
      </c>
      <c r="BT234" s="62">
        <f>'price-new'!O98</f>
        <v>29.38</v>
      </c>
      <c r="BU234" s="45">
        <f>'Filter-old'!Q219</f>
        <v>14.119802631578947</v>
      </c>
      <c r="BV234" s="61">
        <f>'Filter-new'!Q219</f>
        <v>15.369539473684211</v>
      </c>
      <c r="BW234" s="62">
        <f>'price-old'!P98</f>
        <v>32.353931427001953</v>
      </c>
      <c r="BX234" s="88">
        <f>'price-new'!Q98</f>
        <v>28.132000000000001</v>
      </c>
      <c r="BY234" s="88">
        <f>'Filter-new'!Q708</f>
        <v>0</v>
      </c>
      <c r="BZ234" s="88">
        <f>VLOOKUP(B234,[1]Offpeak_Forward!$A$1:$AG$231,22,FALSE)</f>
        <v>21.809614181518601</v>
      </c>
      <c r="CA234" s="45">
        <f>'Filter-old'!R219</f>
        <v>0</v>
      </c>
      <c r="CB234" s="61">
        <f>'Filter-new'!R219</f>
        <v>0</v>
      </c>
      <c r="CC234" s="61">
        <f>'price-old'!Q98</f>
        <v>32.5</v>
      </c>
      <c r="CD234" s="89">
        <f>'price-new'!R98</f>
        <v>30.25</v>
      </c>
      <c r="CE234" s="87">
        <f>'Filter-new'!R708</f>
        <v>0</v>
      </c>
      <c r="CF234" s="87">
        <f>VLOOKUP(B234,[1]Offpeak_Forward!$A$1:$AG$231,6,FALSE)</f>
        <v>21.4615383148193</v>
      </c>
      <c r="CG234" s="4"/>
    </row>
    <row r="235" spans="1:85" hidden="1" x14ac:dyDescent="0.2">
      <c r="A235">
        <v>0</v>
      </c>
      <c r="B235" s="59">
        <v>39783</v>
      </c>
      <c r="C235" s="59">
        <f>'Filter-new'!C98</f>
        <v>39783</v>
      </c>
      <c r="D235" s="63"/>
      <c r="E235" s="63"/>
      <c r="F235" s="63"/>
      <c r="G235" s="36">
        <f t="shared" si="24"/>
        <v>3.7288068181818179</v>
      </c>
      <c r="H235" s="36">
        <f t="shared" si="25"/>
        <v>-24.18426136363637</v>
      </c>
      <c r="I235" s="36">
        <f t="shared" si="26"/>
        <v>-52.04081632653061</v>
      </c>
      <c r="J235" s="41"/>
      <c r="K235" s="45">
        <f>'Filter-old'!E220</f>
        <v>14.685710227272727</v>
      </c>
      <c r="L235" s="61">
        <f>'Filter-new'!E220</f>
        <v>85.523124999999993</v>
      </c>
      <c r="M235" s="62">
        <f>'price-old'!E99</f>
        <v>34.852059125900269</v>
      </c>
      <c r="N235" s="62">
        <f>'price-new'!E99</f>
        <v>29.74</v>
      </c>
      <c r="O235" s="429">
        <f>'Filter-new'!E709</f>
        <v>0</v>
      </c>
      <c r="P235" s="62">
        <f>VLOOKUP(B235,[1]Offpeak_Forward!$A$1:$AG$231,13,FALSE)</f>
        <v>21.299797058105501</v>
      </c>
      <c r="Q235" s="45">
        <f>'Filter-old'!H220</f>
        <v>0</v>
      </c>
      <c r="R235" s="61">
        <f>'Filter-new'!H220</f>
        <v>-100</v>
      </c>
      <c r="S235" s="62">
        <f>'price-old'!H99</f>
        <v>39.093929290771484</v>
      </c>
      <c r="T235" s="62">
        <f>'price-new'!H99</f>
        <v>28.49</v>
      </c>
      <c r="U235" s="445">
        <f>'Filter-new'!H709</f>
        <v>-52.04081632653061</v>
      </c>
      <c r="V235" s="62">
        <f>VLOOKUP(B235,[1]Offpeak_Forward!$A$1:$AG$231,14,FALSE)</f>
        <v>21.210205078125</v>
      </c>
      <c r="W235" s="45">
        <f>'Filter-old'!J220</f>
        <v>0</v>
      </c>
      <c r="X235" s="61">
        <f>'Filter-new'!J220</f>
        <v>0</v>
      </c>
      <c r="Y235" s="62">
        <f>'price-old'!J99</f>
        <v>41.707302093505859</v>
      </c>
      <c r="Z235" s="62">
        <f>'price-new'!J99</f>
        <v>29.74</v>
      </c>
      <c r="AA235" s="45">
        <f>'Filter-old'!F220</f>
        <v>0</v>
      </c>
      <c r="AB235" s="61">
        <f>'Filter-new'!F220</f>
        <v>0</v>
      </c>
      <c r="AC235" s="62">
        <f>'price-old'!F99</f>
        <v>34.852059125900269</v>
      </c>
      <c r="AD235" s="62">
        <f>'price-new'!F99</f>
        <v>29.74</v>
      </c>
      <c r="AE235" s="45">
        <f>'Filter-old'!P220</f>
        <v>0</v>
      </c>
      <c r="AF235" s="61">
        <f>'Filter-new'!P220</f>
        <v>0</v>
      </c>
      <c r="AG235" s="62">
        <f>'price-old'!O99</f>
        <v>34.603931427001953</v>
      </c>
      <c r="AH235" s="62">
        <f>'price-new'!P99</f>
        <v>36.729999999999997</v>
      </c>
      <c r="AI235" s="45">
        <f>'Filter-old'!L220</f>
        <v>0</v>
      </c>
      <c r="AJ235" s="61">
        <f>'Filter-new'!L220</f>
        <v>0</v>
      </c>
      <c r="AK235" s="62">
        <f>'price-old'!L99</f>
        <v>56.04</v>
      </c>
      <c r="AL235" s="62">
        <f>'price-new'!L99</f>
        <v>31.4</v>
      </c>
      <c r="AM235" s="62">
        <f>'Filter-new'!L709</f>
        <v>0</v>
      </c>
      <c r="AN235" s="62">
        <f>VLOOKUP(B235,[1]Offpeak_Forward!$A$1:$AG$231,18,FALSE)</f>
        <v>25.298366546630898</v>
      </c>
      <c r="AO235" s="45">
        <f>'Filter-old'!G220</f>
        <v>0</v>
      </c>
      <c r="AP235" s="61">
        <f>'Filter-new'!G220</f>
        <v>0</v>
      </c>
      <c r="AQ235" s="62">
        <f>'price-old'!G99</f>
        <v>32.999996185302734</v>
      </c>
      <c r="AR235" s="62">
        <f>'price-new'!G99</f>
        <v>31.52</v>
      </c>
      <c r="AS235" s="45"/>
      <c r="AT235" s="61">
        <f t="shared" si="27"/>
        <v>-9.7073863636363633</v>
      </c>
      <c r="AU235" s="62"/>
      <c r="AV235" s="62">
        <f t="shared" si="28"/>
        <v>0</v>
      </c>
      <c r="AW235" s="45">
        <f>'Filter-old'!I220</f>
        <v>-25</v>
      </c>
      <c r="AX235" s="61">
        <f>'Filter-new'!I220</f>
        <v>-25</v>
      </c>
      <c r="AY235" s="62">
        <f>'price-old'!I99</f>
        <v>34.166431427001953</v>
      </c>
      <c r="AZ235" s="62">
        <f>'price-new'!I99</f>
        <v>29.24</v>
      </c>
      <c r="BA235" s="62">
        <f>'Filter-new'!I709</f>
        <v>0</v>
      </c>
      <c r="BB235" s="62">
        <f>VLOOKUP(B235,[1]Offpeak_Forward!$A$1:$AG$231,15,FALSE)</f>
        <v>17.412857055664102</v>
      </c>
      <c r="BC235" s="45">
        <f>'Filter-old'!K220</f>
        <v>0</v>
      </c>
      <c r="BD235" s="61">
        <f>'Filter-new'!K220</f>
        <v>0</v>
      </c>
      <c r="BE235" s="62">
        <f>'price-old'!K99</f>
        <v>38.6</v>
      </c>
      <c r="BF235" s="62">
        <f>'price-new'!K99</f>
        <v>34.75</v>
      </c>
      <c r="BG235" s="45">
        <f>'Filter-old'!M220</f>
        <v>0</v>
      </c>
      <c r="BH235" s="61"/>
      <c r="BI235" s="61"/>
      <c r="BJ235" s="61">
        <f>'Filter-new'!M220</f>
        <v>0</v>
      </c>
      <c r="BK235" s="62">
        <f>'price-old'!M99</f>
        <v>32.5</v>
      </c>
      <c r="BL235" s="62">
        <f>'price-new'!M99</f>
        <v>31.25</v>
      </c>
      <c r="BM235" s="62"/>
      <c r="BN235" s="406">
        <f>'Filter-new'!N220</f>
        <v>0</v>
      </c>
      <c r="BO235" s="62"/>
      <c r="BP235" s="62">
        <f>'price-new'!N99</f>
        <v>39</v>
      </c>
      <c r="BQ235" s="45">
        <f>'Filter-old'!O220</f>
        <v>0</v>
      </c>
      <c r="BR235" s="61">
        <f>'Filter-new'!O220</f>
        <v>0</v>
      </c>
      <c r="BS235" s="62">
        <f>'price-old'!N99</f>
        <v>36.498935699462891</v>
      </c>
      <c r="BT235" s="62">
        <f>'price-new'!O99</f>
        <v>29.38</v>
      </c>
      <c r="BU235" s="45">
        <f>'Filter-old'!Q220</f>
        <v>14.043096590909091</v>
      </c>
      <c r="BV235" s="61">
        <f>'Filter-new'!Q220</f>
        <v>15.292613636363637</v>
      </c>
      <c r="BW235" s="62">
        <f>'price-old'!P99</f>
        <v>32.453929901123047</v>
      </c>
      <c r="BX235" s="88">
        <f>'price-new'!Q99</f>
        <v>28.231999999999999</v>
      </c>
      <c r="BY235" s="88">
        <f>'Filter-new'!Q709</f>
        <v>0</v>
      </c>
      <c r="BZ235" s="88">
        <f>VLOOKUP(B235,[1]Offpeak_Forward!$A$1:$AG$231,22,FALSE)</f>
        <v>21.110610961914102</v>
      </c>
      <c r="CA235" s="45">
        <f>'Filter-old'!R220</f>
        <v>0</v>
      </c>
      <c r="CB235" s="61">
        <f>'Filter-new'!R220</f>
        <v>0</v>
      </c>
      <c r="CC235" s="61">
        <f>'price-old'!Q99</f>
        <v>32.5</v>
      </c>
      <c r="CD235" s="89">
        <f>'price-new'!R99</f>
        <v>30.25</v>
      </c>
      <c r="CE235" s="87">
        <f>'Filter-new'!R709</f>
        <v>0</v>
      </c>
      <c r="CF235" s="87">
        <f>VLOOKUP(B235,[1]Offpeak_Forward!$A$1:$AG$231,6,FALSE)</f>
        <v>21.763917922973601</v>
      </c>
      <c r="CG235" s="4"/>
    </row>
    <row r="236" spans="1:85" hidden="1" x14ac:dyDescent="0.2">
      <c r="A236">
        <v>0</v>
      </c>
      <c r="B236" s="59">
        <v>39814</v>
      </c>
      <c r="C236" s="59">
        <f>'Filter-new'!C99</f>
        <v>39814</v>
      </c>
      <c r="D236" s="63"/>
      <c r="E236" s="63"/>
      <c r="F236" s="63"/>
      <c r="G236" s="36">
        <f t="shared" si="24"/>
        <v>-51.273154761904763</v>
      </c>
      <c r="H236" s="36">
        <f t="shared" si="25"/>
        <v>-185.97705357142857</v>
      </c>
      <c r="I236" s="36">
        <f t="shared" si="26"/>
        <v>-43.137254901960787</v>
      </c>
      <c r="J236" s="41"/>
      <c r="K236" s="45">
        <f>'Filter-old'!E221</f>
        <v>0</v>
      </c>
      <c r="L236" s="61">
        <f>'Filter-new'!E221</f>
        <v>-34.590148809523811</v>
      </c>
      <c r="M236" s="62">
        <f>'price-old'!E100</f>
        <v>40.031435285295757</v>
      </c>
      <c r="N236" s="62">
        <f>'price-new'!E100</f>
        <v>31.55</v>
      </c>
      <c r="O236" s="429">
        <f>'Filter-new'!E710</f>
        <v>0</v>
      </c>
      <c r="P236" s="62">
        <f>VLOOKUP(B236,[1]Offpeak_Forward!$A$1:$AG$231,13,FALSE)</f>
        <v>25.149412155151399</v>
      </c>
      <c r="Q236" s="45">
        <f>'Filter-old'!H221</f>
        <v>-50</v>
      </c>
      <c r="R236" s="61">
        <f>'Filter-new'!H221</f>
        <v>-150</v>
      </c>
      <c r="S236" s="62">
        <f>'price-old'!H100</f>
        <v>42.730865478515625</v>
      </c>
      <c r="T236" s="62">
        <f>'price-new'!H100</f>
        <v>30</v>
      </c>
      <c r="U236" s="445">
        <f>'Filter-new'!H710</f>
        <v>-43.137254901960787</v>
      </c>
      <c r="V236" s="62">
        <f>VLOOKUP(B236,[1]Offpeak_Forward!$A$1:$AG$231,14,FALSE)</f>
        <v>24.871961593627901</v>
      </c>
      <c r="W236" s="45">
        <f>'Filter-old'!J221</f>
        <v>0</v>
      </c>
      <c r="X236" s="61">
        <f>'Filter-new'!J221</f>
        <v>0</v>
      </c>
      <c r="Y236" s="62">
        <f>'price-old'!J100</f>
        <v>50.798839569091797</v>
      </c>
      <c r="Z236" s="62">
        <f>'price-new'!J100</f>
        <v>32.049999999999997</v>
      </c>
      <c r="AA236" s="45">
        <f>'Filter-old'!F221</f>
        <v>0</v>
      </c>
      <c r="AB236" s="61">
        <f>'Filter-new'!F221</f>
        <v>0</v>
      </c>
      <c r="AC236" s="62">
        <f>'price-old'!F100</f>
        <v>40.031435285295757</v>
      </c>
      <c r="AD236" s="62">
        <f>'price-new'!F100</f>
        <v>32.049999999999997</v>
      </c>
      <c r="AE236" s="45">
        <f>'Filter-old'!P221</f>
        <v>0</v>
      </c>
      <c r="AF236" s="61">
        <f>'Filter-new'!P221</f>
        <v>0</v>
      </c>
      <c r="AG236" s="62">
        <f>'price-old'!O100</f>
        <v>39.532863616943359</v>
      </c>
      <c r="AH236" s="62">
        <f>'price-new'!P100</f>
        <v>37</v>
      </c>
      <c r="AI236" s="45">
        <f>'Filter-old'!L221</f>
        <v>0</v>
      </c>
      <c r="AJ236" s="61">
        <f>'Filter-new'!L221</f>
        <v>0</v>
      </c>
      <c r="AK236" s="62">
        <f>'price-old'!L100</f>
        <v>68.150000000000006</v>
      </c>
      <c r="AL236" s="62">
        <f>'price-new'!L100</f>
        <v>34.729999999999997</v>
      </c>
      <c r="AM236" s="62">
        <f>'Filter-new'!L710</f>
        <v>0</v>
      </c>
      <c r="AN236" s="62">
        <f>VLOOKUP(B236,[1]Offpeak_Forward!$A$1:$AG$231,18,FALSE)</f>
        <v>29.010784149169901</v>
      </c>
      <c r="AO236" s="45">
        <f>'Filter-old'!G221</f>
        <v>0</v>
      </c>
      <c r="AP236" s="61">
        <f>'Filter-new'!G221</f>
        <v>0</v>
      </c>
      <c r="AQ236" s="62">
        <f>'price-old'!G100</f>
        <v>40.469999694824217</v>
      </c>
      <c r="AR236" s="62">
        <f>'price-new'!G100</f>
        <v>32.92</v>
      </c>
      <c r="AS236" s="45"/>
      <c r="AT236" s="61">
        <f t="shared" si="27"/>
        <v>-1.3869047619047619</v>
      </c>
      <c r="AU236" s="62"/>
      <c r="AV236" s="62">
        <f t="shared" si="28"/>
        <v>0</v>
      </c>
      <c r="AW236" s="45">
        <f>'Filter-old'!I221</f>
        <v>0</v>
      </c>
      <c r="AX236" s="61">
        <f>'Filter-new'!I221</f>
        <v>0</v>
      </c>
      <c r="AY236" s="62">
        <f>'price-old'!I100</f>
        <v>39.157863616943359</v>
      </c>
      <c r="AZ236" s="62">
        <f>'price-new'!I100</f>
        <v>31.05</v>
      </c>
      <c r="BA236" s="62">
        <f>'Filter-new'!I710</f>
        <v>0</v>
      </c>
      <c r="BB236" s="62">
        <f>VLOOKUP(B236,[1]Offpeak_Forward!$A$1:$AG$231,15,FALSE)</f>
        <v>21.036666870117202</v>
      </c>
      <c r="BC236" s="45">
        <f>'Filter-old'!K221</f>
        <v>0</v>
      </c>
      <c r="BD236" s="61">
        <f>'Filter-new'!K221</f>
        <v>0</v>
      </c>
      <c r="BE236" s="62">
        <f>'price-old'!K100</f>
        <v>51.1</v>
      </c>
      <c r="BF236" s="62">
        <f>'price-new'!K100</f>
        <v>44.25</v>
      </c>
      <c r="BG236" s="45">
        <f>'Filter-old'!M221</f>
        <v>0</v>
      </c>
      <c r="BH236" s="61"/>
      <c r="BI236" s="61"/>
      <c r="BJ236" s="61">
        <f>'Filter-new'!M221</f>
        <v>0</v>
      </c>
      <c r="BK236" s="62">
        <f>'price-old'!M100</f>
        <v>38</v>
      </c>
      <c r="BL236" s="62">
        <f>'price-new'!M100</f>
        <v>34.25</v>
      </c>
      <c r="BM236" s="62"/>
      <c r="BN236" s="406">
        <f>'Filter-new'!N221</f>
        <v>0</v>
      </c>
      <c r="BO236" s="62"/>
      <c r="BP236" s="62">
        <f>'price-new'!N100</f>
        <v>44.5</v>
      </c>
      <c r="BQ236" s="45">
        <f>'Filter-old'!O221</f>
        <v>0</v>
      </c>
      <c r="BR236" s="61">
        <f>'Filter-new'!O221</f>
        <v>0</v>
      </c>
      <c r="BS236" s="62">
        <f>'price-old'!N100</f>
        <v>42.250717163085938</v>
      </c>
      <c r="BT236" s="62">
        <f>'price-new'!O100</f>
        <v>32.61</v>
      </c>
      <c r="BU236" s="45">
        <f>'Filter-old'!Q221</f>
        <v>-1.2731547619047618</v>
      </c>
      <c r="BV236" s="61">
        <f>'Filter-new'!Q221</f>
        <v>-1.3869047619047619</v>
      </c>
      <c r="BW236" s="62">
        <f>'price-old'!P100</f>
        <v>40.132862091064453</v>
      </c>
      <c r="BX236" s="88">
        <f>'price-new'!Q100</f>
        <v>30.832000000000001</v>
      </c>
      <c r="BY236" s="88">
        <f>'Filter-new'!Q710</f>
        <v>0</v>
      </c>
      <c r="BZ236" s="88">
        <f>VLOOKUP(B236,[1]Offpeak_Forward!$A$1:$AG$231,22,FALSE)</f>
        <v>21.292547225952099</v>
      </c>
      <c r="CA236" s="45">
        <f>'Filter-old'!R221</f>
        <v>0</v>
      </c>
      <c r="CB236" s="61">
        <f>'Filter-new'!R221</f>
        <v>0</v>
      </c>
      <c r="CC236" s="61">
        <f>'price-old'!Q100</f>
        <v>38</v>
      </c>
      <c r="CD236" s="89">
        <f>'price-new'!R100</f>
        <v>33.25</v>
      </c>
      <c r="CE236" s="87">
        <f>'Filter-new'!R710</f>
        <v>0</v>
      </c>
      <c r="CF236" s="87">
        <f>VLOOKUP(B236,[1]Offpeak_Forward!$A$1:$AG$231,6,FALSE)</f>
        <v>22.758823394775401</v>
      </c>
      <c r="CG236" s="4"/>
    </row>
    <row r="237" spans="1:85" hidden="1" x14ac:dyDescent="0.2">
      <c r="A237">
        <v>0</v>
      </c>
      <c r="B237" s="59">
        <v>39845</v>
      </c>
      <c r="C237" s="59">
        <f>'Filter-new'!C100</f>
        <v>39845</v>
      </c>
      <c r="D237" s="63"/>
      <c r="E237" s="63"/>
      <c r="F237" s="63"/>
      <c r="G237" s="36">
        <f t="shared" si="24"/>
        <v>-51.2668125</v>
      </c>
      <c r="H237" s="36">
        <f t="shared" si="25"/>
        <v>-185.81243750000002</v>
      </c>
      <c r="I237" s="36">
        <f t="shared" si="26"/>
        <v>-55.68181818181818</v>
      </c>
      <c r="J237" s="41"/>
      <c r="K237" s="45">
        <f>'Filter-old'!E222</f>
        <v>0</v>
      </c>
      <c r="L237" s="61">
        <f>'Filter-new'!E222</f>
        <v>-34.432000000000002</v>
      </c>
      <c r="M237" s="62">
        <f>'price-old'!E101</f>
        <v>39.681432996477398</v>
      </c>
      <c r="N237" s="62">
        <f>'price-new'!E101</f>
        <v>29.84</v>
      </c>
      <c r="O237" s="429">
        <f>'Filter-new'!E711</f>
        <v>0</v>
      </c>
      <c r="P237" s="62">
        <f>VLOOKUP(B237,[1]Offpeak_Forward!$A$1:$AG$231,13,FALSE)</f>
        <v>22.716363906860401</v>
      </c>
      <c r="Q237" s="45">
        <f>'Filter-old'!H222</f>
        <v>-50</v>
      </c>
      <c r="R237" s="61">
        <f>'Filter-new'!H222</f>
        <v>-150</v>
      </c>
      <c r="S237" s="62">
        <f>'price-old'!H101</f>
        <v>43.382862091064453</v>
      </c>
      <c r="T237" s="62">
        <f>'price-new'!H101</f>
        <v>28.29</v>
      </c>
      <c r="U237" s="445">
        <f>'Filter-new'!H711</f>
        <v>-55.68181818181818</v>
      </c>
      <c r="V237" s="62">
        <f>VLOOKUP(B237,[1]Offpeak_Forward!$A$1:$AG$231,14,FALSE)</f>
        <v>22.4409084320068</v>
      </c>
      <c r="W237" s="45">
        <f>'Filter-old'!J222</f>
        <v>0</v>
      </c>
      <c r="X237" s="61">
        <f>'Filter-new'!J222</f>
        <v>0</v>
      </c>
      <c r="Y237" s="62">
        <f>'price-old'!J101</f>
        <v>48.798839569091797</v>
      </c>
      <c r="Z237" s="62">
        <f>'price-new'!J101</f>
        <v>30.34</v>
      </c>
      <c r="AA237" s="45">
        <f>'Filter-old'!F222</f>
        <v>0</v>
      </c>
      <c r="AB237" s="61">
        <f>'Filter-new'!F222</f>
        <v>0</v>
      </c>
      <c r="AC237" s="62">
        <f>'price-old'!F101</f>
        <v>39.681432996477398</v>
      </c>
      <c r="AD237" s="62">
        <f>'price-new'!F101</f>
        <v>30.34</v>
      </c>
      <c r="AE237" s="45">
        <f>'Filter-old'!P222</f>
        <v>0</v>
      </c>
      <c r="AF237" s="61">
        <f>'Filter-new'!P222</f>
        <v>0</v>
      </c>
      <c r="AG237" s="62">
        <f>'price-old'!O101</f>
        <v>39.182861328125</v>
      </c>
      <c r="AH237" s="62">
        <f>'price-new'!P101</f>
        <v>36.29</v>
      </c>
      <c r="AI237" s="45">
        <f>'Filter-old'!L222</f>
        <v>0</v>
      </c>
      <c r="AJ237" s="61">
        <f>'Filter-new'!L222</f>
        <v>0</v>
      </c>
      <c r="AK237" s="62">
        <f>'price-old'!L101</f>
        <v>68.150000000000006</v>
      </c>
      <c r="AL237" s="62">
        <f>'price-new'!L101</f>
        <v>33.880000000000003</v>
      </c>
      <c r="AM237" s="62">
        <f>'Filter-new'!L711</f>
        <v>0</v>
      </c>
      <c r="AN237" s="62">
        <f>VLOOKUP(B237,[1]Offpeak_Forward!$A$1:$AG$231,18,FALSE)</f>
        <v>26.7354545593262</v>
      </c>
      <c r="AO237" s="45">
        <f>'Filter-old'!G222</f>
        <v>0</v>
      </c>
      <c r="AP237" s="61">
        <f>'Filter-new'!G222</f>
        <v>0</v>
      </c>
      <c r="AQ237" s="62">
        <f>'price-old'!G101</f>
        <v>39.319994354248045</v>
      </c>
      <c r="AR237" s="62">
        <f>'price-new'!G101</f>
        <v>32.17</v>
      </c>
      <c r="AS237" s="45"/>
      <c r="AT237" s="61">
        <f t="shared" si="27"/>
        <v>-1.3804375</v>
      </c>
      <c r="AU237" s="62"/>
      <c r="AV237" s="62">
        <f t="shared" si="28"/>
        <v>0</v>
      </c>
      <c r="AW237" s="45">
        <f>'Filter-old'!I222</f>
        <v>0</v>
      </c>
      <c r="AX237" s="61">
        <f>'Filter-new'!I222</f>
        <v>0</v>
      </c>
      <c r="AY237" s="62">
        <f>'price-old'!I101</f>
        <v>38.682861328125</v>
      </c>
      <c r="AZ237" s="62">
        <f>'price-new'!I101</f>
        <v>29.34</v>
      </c>
      <c r="BA237" s="62">
        <f>'Filter-new'!I711</f>
        <v>0</v>
      </c>
      <c r="BB237" s="62">
        <f>VLOOKUP(B237,[1]Offpeak_Forward!$A$1:$AG$231,15,FALSE)</f>
        <v>21.329999923706101</v>
      </c>
      <c r="BC237" s="45">
        <f>'Filter-old'!K222</f>
        <v>0</v>
      </c>
      <c r="BD237" s="61">
        <f>'Filter-new'!K222</f>
        <v>0</v>
      </c>
      <c r="BE237" s="62">
        <f>'price-old'!K101</f>
        <v>51.1</v>
      </c>
      <c r="BF237" s="62">
        <f>'price-new'!K101</f>
        <v>44.25</v>
      </c>
      <c r="BG237" s="45">
        <f>'Filter-old'!M222</f>
        <v>0</v>
      </c>
      <c r="BH237" s="61"/>
      <c r="BI237" s="61"/>
      <c r="BJ237" s="61">
        <f>'Filter-new'!M222</f>
        <v>0</v>
      </c>
      <c r="BK237" s="62">
        <f>'price-old'!M101</f>
        <v>38</v>
      </c>
      <c r="BL237" s="62">
        <f>'price-new'!M101</f>
        <v>34.25</v>
      </c>
      <c r="BM237" s="62"/>
      <c r="BN237" s="406">
        <f>'Filter-new'!N222</f>
        <v>0</v>
      </c>
      <c r="BO237" s="62"/>
      <c r="BP237" s="62">
        <f>'price-new'!N101</f>
        <v>44.5</v>
      </c>
      <c r="BQ237" s="45">
        <f>'Filter-old'!O222</f>
        <v>0</v>
      </c>
      <c r="BR237" s="61">
        <f>'Filter-new'!O222</f>
        <v>0</v>
      </c>
      <c r="BS237" s="62">
        <f>'price-old'!N101</f>
        <v>42.495723724365234</v>
      </c>
      <c r="BT237" s="62">
        <f>'price-new'!O101</f>
        <v>31.04</v>
      </c>
      <c r="BU237" s="45">
        <f>'Filter-old'!Q222</f>
        <v>-1.2668124999999999</v>
      </c>
      <c r="BV237" s="61">
        <f>'Filter-new'!Q222</f>
        <v>-1.3804375</v>
      </c>
      <c r="BW237" s="62">
        <f>'price-old'!P101</f>
        <v>39.782859802246094</v>
      </c>
      <c r="BX237" s="88">
        <f>'price-new'!Q101</f>
        <v>30.015000000000001</v>
      </c>
      <c r="BY237" s="88">
        <f>'Filter-new'!Q711</f>
        <v>0</v>
      </c>
      <c r="BZ237" s="88">
        <f>VLOOKUP(B237,[1]Offpeak_Forward!$A$1:$AG$231,22,FALSE)</f>
        <v>21.112726211547901</v>
      </c>
      <c r="CA237" s="45">
        <f>'Filter-old'!R222</f>
        <v>0</v>
      </c>
      <c r="CB237" s="61">
        <f>'Filter-new'!R222</f>
        <v>0</v>
      </c>
      <c r="CC237" s="61">
        <f>'price-old'!Q101</f>
        <v>38</v>
      </c>
      <c r="CD237" s="89">
        <f>'price-new'!R101</f>
        <v>33.25</v>
      </c>
      <c r="CE237" s="87">
        <f>'Filter-new'!R711</f>
        <v>0</v>
      </c>
      <c r="CF237" s="87">
        <f>VLOOKUP(B237,[1]Offpeak_Forward!$A$1:$AG$231,6,FALSE)</f>
        <v>23.005271911621101</v>
      </c>
      <c r="CG237" s="4"/>
    </row>
    <row r="238" spans="1:85" hidden="1" x14ac:dyDescent="0.2">
      <c r="A238">
        <v>0</v>
      </c>
      <c r="B238" s="59">
        <v>39873</v>
      </c>
      <c r="C238" s="59">
        <f>'Filter-new'!C101</f>
        <v>39873</v>
      </c>
      <c r="D238" s="63"/>
      <c r="E238" s="63"/>
      <c r="F238" s="63"/>
      <c r="G238" s="36">
        <f t="shared" si="24"/>
        <v>-51.259573863636362</v>
      </c>
      <c r="H238" s="36">
        <f t="shared" si="25"/>
        <v>-185.63042613636364</v>
      </c>
      <c r="I238" s="36">
        <f t="shared" si="26"/>
        <v>-46.811224489795919</v>
      </c>
      <c r="J238" s="41"/>
      <c r="K238" s="45">
        <f>'Filter-old'!E223</f>
        <v>0</v>
      </c>
      <c r="L238" s="61">
        <f>'Filter-new'!E223</f>
        <v>-34.25721590909091</v>
      </c>
      <c r="M238" s="62">
        <f>'price-old'!E102</f>
        <v>34.645177264546241</v>
      </c>
      <c r="N238" s="62">
        <f>'price-new'!E102</f>
        <v>28.37</v>
      </c>
      <c r="O238" s="429">
        <f>'Filter-new'!E712</f>
        <v>0</v>
      </c>
      <c r="P238" s="62">
        <f>VLOOKUP(B238,[1]Offpeak_Forward!$A$1:$AG$231,13,FALSE)</f>
        <v>21.7240810394287</v>
      </c>
      <c r="Q238" s="45">
        <f>'Filter-old'!H223</f>
        <v>-50</v>
      </c>
      <c r="R238" s="61">
        <f>'Filter-new'!H223</f>
        <v>-150</v>
      </c>
      <c r="S238" s="62">
        <f>'price-old'!H102</f>
        <v>36.348545074462891</v>
      </c>
      <c r="T238" s="62">
        <f>'price-new'!H102</f>
        <v>26.82</v>
      </c>
      <c r="U238" s="445">
        <f>'Filter-new'!H712</f>
        <v>-46.811224489795919</v>
      </c>
      <c r="V238" s="62">
        <f>VLOOKUP(B238,[1]Offpeak_Forward!$A$1:$AG$231,14,FALSE)</f>
        <v>21.4140815734863</v>
      </c>
      <c r="W238" s="45">
        <f>'Filter-old'!J223</f>
        <v>0</v>
      </c>
      <c r="X238" s="61">
        <f>'Filter-new'!J223</f>
        <v>0</v>
      </c>
      <c r="Y238" s="62">
        <f>'price-old'!J102</f>
        <v>41.296916961669922</v>
      </c>
      <c r="Z238" s="62">
        <f>'price-new'!J102</f>
        <v>29.12</v>
      </c>
      <c r="AA238" s="45">
        <f>'Filter-old'!F223</f>
        <v>0</v>
      </c>
      <c r="AB238" s="61">
        <f>'Filter-new'!F223</f>
        <v>0</v>
      </c>
      <c r="AC238" s="62">
        <f>'price-old'!F102</f>
        <v>34.645177264546241</v>
      </c>
      <c r="AD238" s="62">
        <f>'price-new'!F102</f>
        <v>29.12</v>
      </c>
      <c r="AE238" s="45">
        <f>'Filter-old'!P223</f>
        <v>0</v>
      </c>
      <c r="AF238" s="61">
        <f>'Filter-new'!P223</f>
        <v>0</v>
      </c>
      <c r="AG238" s="62">
        <f>'price-old'!O102</f>
        <v>33.898544311523438</v>
      </c>
      <c r="AH238" s="62">
        <f>'price-new'!P102</f>
        <v>33.07</v>
      </c>
      <c r="AI238" s="45">
        <f>'Filter-old'!L223</f>
        <v>0</v>
      </c>
      <c r="AJ238" s="61">
        <f>'Filter-new'!L223</f>
        <v>0</v>
      </c>
      <c r="AK238" s="62">
        <f>'price-old'!L102</f>
        <v>55.15</v>
      </c>
      <c r="AL238" s="62">
        <f>'price-new'!L102</f>
        <v>32.14</v>
      </c>
      <c r="AM238" s="62">
        <f>'Filter-new'!L712</f>
        <v>0</v>
      </c>
      <c r="AN238" s="62">
        <f>VLOOKUP(B238,[1]Offpeak_Forward!$A$1:$AG$231,18,FALSE)</f>
        <v>25.722652435302699</v>
      </c>
      <c r="AO238" s="45">
        <f>'Filter-old'!G223</f>
        <v>0</v>
      </c>
      <c r="AP238" s="61">
        <f>'Filter-new'!G223</f>
        <v>0</v>
      </c>
      <c r="AQ238" s="62">
        <f>'price-old'!G102</f>
        <v>35.84999313354492</v>
      </c>
      <c r="AR238" s="62">
        <f>'price-new'!G102</f>
        <v>30.606000000000002</v>
      </c>
      <c r="AS238" s="45"/>
      <c r="AT238" s="61">
        <f t="shared" si="27"/>
        <v>-1.3732102272727273</v>
      </c>
      <c r="AU238" s="62"/>
      <c r="AV238" s="62">
        <f t="shared" si="28"/>
        <v>0</v>
      </c>
      <c r="AW238" s="45">
        <f>'Filter-old'!I223</f>
        <v>0</v>
      </c>
      <c r="AX238" s="61">
        <f>'Filter-new'!I223</f>
        <v>0</v>
      </c>
      <c r="AY238" s="62">
        <f>'price-old'!I102</f>
        <v>34.773544311523437</v>
      </c>
      <c r="AZ238" s="62">
        <f>'price-new'!I102</f>
        <v>27.87</v>
      </c>
      <c r="BA238" s="62">
        <f>'Filter-new'!I712</f>
        <v>0</v>
      </c>
      <c r="BB238" s="62">
        <f>VLOOKUP(B238,[1]Offpeak_Forward!$A$1:$AG$231,15,FALSE)</f>
        <v>21.076122283935501</v>
      </c>
      <c r="BC238" s="45">
        <f>'Filter-old'!K223</f>
        <v>0</v>
      </c>
      <c r="BD238" s="61">
        <f>'Filter-new'!K223</f>
        <v>0</v>
      </c>
      <c r="BE238" s="62">
        <f>'price-old'!K102</f>
        <v>40.200000000000003</v>
      </c>
      <c r="BF238" s="62">
        <f>'price-new'!K102</f>
        <v>36.25</v>
      </c>
      <c r="BG238" s="45">
        <f>'Filter-old'!M223</f>
        <v>0</v>
      </c>
      <c r="BH238" s="61"/>
      <c r="BI238" s="61"/>
      <c r="BJ238" s="61">
        <f>'Filter-new'!M223</f>
        <v>0</v>
      </c>
      <c r="BK238" s="62">
        <f>'price-old'!M102</f>
        <v>33.5</v>
      </c>
      <c r="BL238" s="62">
        <f>'price-new'!M102</f>
        <v>32</v>
      </c>
      <c r="BM238" s="62"/>
      <c r="BN238" s="406">
        <f>'Filter-new'!N223</f>
        <v>0</v>
      </c>
      <c r="BO238" s="62"/>
      <c r="BP238" s="62">
        <f>'price-new'!N102</f>
        <v>39.5</v>
      </c>
      <c r="BQ238" s="45">
        <f>'Filter-old'!O223</f>
        <v>0</v>
      </c>
      <c r="BR238" s="61">
        <f>'Filter-new'!O223</f>
        <v>0</v>
      </c>
      <c r="BS238" s="62">
        <f>'price-old'!N102</f>
        <v>38.247505187988281</v>
      </c>
      <c r="BT238" s="62">
        <f>'price-new'!O102</f>
        <v>28.79</v>
      </c>
      <c r="BU238" s="45">
        <f>'Filter-old'!Q223</f>
        <v>-1.2595738636363636</v>
      </c>
      <c r="BV238" s="61">
        <f>'Filter-new'!Q223</f>
        <v>-1.3732102272727273</v>
      </c>
      <c r="BW238" s="62">
        <f>'price-old'!P102</f>
        <v>34.498542785644531</v>
      </c>
      <c r="BX238" s="88">
        <f>'price-new'!Q102</f>
        <v>29.765999999999998</v>
      </c>
      <c r="BY238" s="88">
        <f>'Filter-new'!Q712</f>
        <v>0</v>
      </c>
      <c r="BZ238" s="88">
        <f>VLOOKUP(B238,[1]Offpeak_Forward!$A$1:$AG$231,22,FALSE)</f>
        <v>20.733058929443398</v>
      </c>
      <c r="CA238" s="45">
        <f>'Filter-old'!R223</f>
        <v>0</v>
      </c>
      <c r="CB238" s="61">
        <f>'Filter-new'!R223</f>
        <v>0</v>
      </c>
      <c r="CC238" s="61">
        <f>'price-old'!Q102</f>
        <v>33.5</v>
      </c>
      <c r="CD238" s="89">
        <f>'price-new'!R102</f>
        <v>30.75</v>
      </c>
      <c r="CE238" s="87">
        <f>'Filter-new'!R712</f>
        <v>0</v>
      </c>
      <c r="CF238" s="87">
        <f>VLOOKUP(B238,[1]Offpeak_Forward!$A$1:$AG$231,6,FALSE)</f>
        <v>20.289958953857401</v>
      </c>
      <c r="CG238" s="4"/>
    </row>
    <row r="239" spans="1:85" hidden="1" x14ac:dyDescent="0.2">
      <c r="A239">
        <v>0</v>
      </c>
      <c r="B239" s="59">
        <v>39904</v>
      </c>
      <c r="C239" s="59">
        <f>'Filter-new'!C102</f>
        <v>39904</v>
      </c>
      <c r="D239" s="63"/>
      <c r="E239" s="63"/>
      <c r="F239" s="63"/>
      <c r="G239" s="36">
        <f t="shared" si="24"/>
        <v>-51.879204545454549</v>
      </c>
      <c r="H239" s="36">
        <f t="shared" si="25"/>
        <v>-186.13803977272727</v>
      </c>
      <c r="I239" s="36">
        <f t="shared" si="26"/>
        <v>-57.608695652173914</v>
      </c>
      <c r="J239" s="41"/>
      <c r="K239" s="45">
        <f>'Filter-old'!E224</f>
        <v>0</v>
      </c>
      <c r="L239" s="61">
        <f>'Filter-new'!E224</f>
        <v>-34.088352272727271</v>
      </c>
      <c r="M239" s="62">
        <f>'price-old'!E103</f>
        <v>35.095178027485694</v>
      </c>
      <c r="N239" s="62">
        <f>'price-new'!E103</f>
        <v>27.79</v>
      </c>
      <c r="O239" s="429">
        <f>'Filter-new'!E713</f>
        <v>0</v>
      </c>
      <c r="P239" s="62">
        <f>VLOOKUP(B239,[1]Offpeak_Forward!$A$1:$AG$231,13,FALSE)</f>
        <v>18.633913040161101</v>
      </c>
      <c r="Q239" s="45">
        <f>'Filter-old'!H224</f>
        <v>-50</v>
      </c>
      <c r="R239" s="61">
        <f>'Filter-new'!H224</f>
        <v>-150</v>
      </c>
      <c r="S239" s="62">
        <f>'price-old'!H103</f>
        <v>36.348545074462891</v>
      </c>
      <c r="T239" s="62">
        <f>'price-new'!H103</f>
        <v>26.24</v>
      </c>
      <c r="U239" s="445">
        <f>'Filter-new'!H713</f>
        <v>-57.608695652173914</v>
      </c>
      <c r="V239" s="62">
        <f>VLOOKUP(B239,[1]Offpeak_Forward!$A$1:$AG$231,14,FALSE)</f>
        <v>18.359565734863299</v>
      </c>
      <c r="W239" s="45">
        <f>'Filter-old'!J224</f>
        <v>0</v>
      </c>
      <c r="X239" s="61">
        <f>'Filter-new'!J224</f>
        <v>0</v>
      </c>
      <c r="Y239" s="62">
        <f>'price-old'!J103</f>
        <v>39.196914672851563</v>
      </c>
      <c r="Z239" s="62">
        <f>'price-new'!J103</f>
        <v>28.54</v>
      </c>
      <c r="AA239" s="45">
        <f>'Filter-old'!F224</f>
        <v>0</v>
      </c>
      <c r="AB239" s="61">
        <f>'Filter-new'!F224</f>
        <v>0</v>
      </c>
      <c r="AC239" s="62">
        <f>'price-old'!F103</f>
        <v>35.095178027485694</v>
      </c>
      <c r="AD239" s="62">
        <f>'price-new'!F103</f>
        <v>28.54</v>
      </c>
      <c r="AE239" s="45">
        <f>'Filter-old'!P224</f>
        <v>0</v>
      </c>
      <c r="AF239" s="61">
        <f>'Filter-new'!P224</f>
        <v>0</v>
      </c>
      <c r="AG239" s="62">
        <f>'price-old'!O103</f>
        <v>34.348545074462891</v>
      </c>
      <c r="AH239" s="62">
        <f>'price-new'!P103</f>
        <v>32.04</v>
      </c>
      <c r="AI239" s="45">
        <f>'Filter-old'!L224</f>
        <v>0</v>
      </c>
      <c r="AJ239" s="61">
        <f>'Filter-new'!L224</f>
        <v>0</v>
      </c>
      <c r="AK239" s="62">
        <f>'price-old'!L103</f>
        <v>55.15</v>
      </c>
      <c r="AL239" s="62">
        <f>'price-new'!L103</f>
        <v>31.56</v>
      </c>
      <c r="AM239" s="62">
        <f>'Filter-new'!L713</f>
        <v>0</v>
      </c>
      <c r="AN239" s="62">
        <f>VLOOKUP(B239,[1]Offpeak_Forward!$A$1:$AG$231,18,FALSE)</f>
        <v>22.740434646606399</v>
      </c>
      <c r="AO239" s="45">
        <f>'Filter-old'!G224</f>
        <v>0</v>
      </c>
      <c r="AP239" s="61">
        <f>'Filter-new'!G224</f>
        <v>0</v>
      </c>
      <c r="AQ239" s="62">
        <f>'price-old'!G103</f>
        <v>34.449991607666014</v>
      </c>
      <c r="AR239" s="62">
        <f>'price-new'!G103</f>
        <v>31.39</v>
      </c>
      <c r="AS239" s="45"/>
      <c r="AT239" s="61">
        <f t="shared" si="27"/>
        <v>-2.0496875000000001</v>
      </c>
      <c r="AU239" s="62"/>
      <c r="AV239" s="62">
        <f t="shared" si="28"/>
        <v>0</v>
      </c>
      <c r="AW239" s="45">
        <f>'Filter-old'!I224</f>
        <v>0</v>
      </c>
      <c r="AX239" s="61">
        <f>'Filter-new'!I224</f>
        <v>0</v>
      </c>
      <c r="AY239" s="62">
        <f>'price-old'!I103</f>
        <v>34.848545074462891</v>
      </c>
      <c r="AZ239" s="62">
        <f>'price-new'!I103</f>
        <v>27.29</v>
      </c>
      <c r="BA239" s="62">
        <f>'Filter-new'!I713</f>
        <v>0</v>
      </c>
      <c r="BB239" s="62">
        <f>VLOOKUP(B239,[1]Offpeak_Forward!$A$1:$AG$231,15,FALSE)</f>
        <v>20.644783020019499</v>
      </c>
      <c r="BC239" s="45">
        <f>'Filter-old'!K224</f>
        <v>0</v>
      </c>
      <c r="BD239" s="61">
        <f>'Filter-new'!K224</f>
        <v>0</v>
      </c>
      <c r="BE239" s="62">
        <f>'price-old'!K103</f>
        <v>40.200000000000003</v>
      </c>
      <c r="BF239" s="62">
        <f>'price-new'!K103</f>
        <v>36.5</v>
      </c>
      <c r="BG239" s="45">
        <f>'Filter-old'!M224</f>
        <v>0</v>
      </c>
      <c r="BH239" s="61"/>
      <c r="BI239" s="61"/>
      <c r="BJ239" s="61">
        <f>'Filter-new'!M224</f>
        <v>0</v>
      </c>
      <c r="BK239" s="62">
        <f>'price-old'!M103</f>
        <v>33</v>
      </c>
      <c r="BL239" s="62">
        <f>'price-new'!M103</f>
        <v>32</v>
      </c>
      <c r="BM239" s="62"/>
      <c r="BN239" s="406">
        <f>'Filter-new'!N224</f>
        <v>0</v>
      </c>
      <c r="BO239" s="62"/>
      <c r="BP239" s="62">
        <f>'price-new'!N103</f>
        <v>39.5</v>
      </c>
      <c r="BQ239" s="45">
        <f>'Filter-old'!O224</f>
        <v>0</v>
      </c>
      <c r="BR239" s="61">
        <f>'Filter-new'!O224</f>
        <v>0</v>
      </c>
      <c r="BS239" s="62">
        <f>'price-old'!N103</f>
        <v>38.497501373291016</v>
      </c>
      <c r="BT239" s="62">
        <f>'price-new'!O103</f>
        <v>28.79</v>
      </c>
      <c r="BU239" s="45">
        <f>'Filter-old'!Q224</f>
        <v>-1.8792045454545454</v>
      </c>
      <c r="BV239" s="61">
        <f>'Filter-new'!Q224</f>
        <v>-2.0496875000000001</v>
      </c>
      <c r="BW239" s="62">
        <f>'price-old'!P103</f>
        <v>34.948543548583984</v>
      </c>
      <c r="BX239" s="88">
        <f>'price-new'!Q103</f>
        <v>29.765999999999998</v>
      </c>
      <c r="BY239" s="88">
        <f>'Filter-new'!Q713</f>
        <v>0</v>
      </c>
      <c r="BZ239" s="88">
        <f>VLOOKUP(B239,[1]Offpeak_Forward!$A$1:$AG$231,22,FALSE)</f>
        <v>20.665216445922901</v>
      </c>
      <c r="CA239" s="45">
        <f>'Filter-old'!R224</f>
        <v>0</v>
      </c>
      <c r="CB239" s="61">
        <f>'Filter-new'!R224</f>
        <v>0</v>
      </c>
      <c r="CC239" s="61">
        <f>'price-old'!Q103</f>
        <v>33</v>
      </c>
      <c r="CD239" s="89">
        <f>'price-new'!R103</f>
        <v>30.75</v>
      </c>
      <c r="CE239" s="87">
        <f>'Filter-new'!R713</f>
        <v>0</v>
      </c>
      <c r="CF239" s="87">
        <f>VLOOKUP(B239,[1]Offpeak_Forward!$A$1:$AG$231,6,FALSE)</f>
        <v>20.227216720581101</v>
      </c>
      <c r="CG239" s="4"/>
    </row>
    <row r="240" spans="1:85" hidden="1" x14ac:dyDescent="0.2">
      <c r="A240">
        <v>0</v>
      </c>
      <c r="B240" s="59">
        <v>39934</v>
      </c>
      <c r="C240" s="59">
        <f>'Filter-new'!C103</f>
        <v>39934</v>
      </c>
      <c r="D240" s="63"/>
      <c r="E240" s="63"/>
      <c r="F240" s="63"/>
      <c r="G240" s="36">
        <f t="shared" si="24"/>
        <v>-51.869437500000004</v>
      </c>
      <c r="H240" s="36">
        <f t="shared" si="25"/>
        <v>-185.95406250000002</v>
      </c>
      <c r="I240" s="36">
        <f t="shared" si="26"/>
        <v>-43.39622641509434</v>
      </c>
      <c r="J240" s="41"/>
      <c r="K240" s="45">
        <f>'Filter-old'!E225</f>
        <v>0</v>
      </c>
      <c r="L240" s="61">
        <f>'Filter-new'!E225</f>
        <v>-33.914156250000005</v>
      </c>
      <c r="M240" s="62">
        <f>'price-old'!E104</f>
        <v>41.253570556640625</v>
      </c>
      <c r="N240" s="62">
        <f>'price-new'!E104</f>
        <v>31.82</v>
      </c>
      <c r="O240" s="429">
        <f>'Filter-new'!E714</f>
        <v>0</v>
      </c>
      <c r="P240" s="62">
        <f>VLOOKUP(B240,[1]Offpeak_Forward!$A$1:$AG$231,13,FALSE)</f>
        <v>18.733207702636701</v>
      </c>
      <c r="Q240" s="45">
        <f>'Filter-old'!H225</f>
        <v>-50</v>
      </c>
      <c r="R240" s="61">
        <f>'Filter-new'!H225</f>
        <v>-150</v>
      </c>
      <c r="S240" s="62">
        <f>'price-old'!H104</f>
        <v>37.053565979003906</v>
      </c>
      <c r="T240" s="62">
        <f>'price-new'!H104</f>
        <v>30.32</v>
      </c>
      <c r="U240" s="445">
        <f>'Filter-new'!H714</f>
        <v>-43.39622641509434</v>
      </c>
      <c r="V240" s="62">
        <f>VLOOKUP(B240,[1]Offpeak_Forward!$A$1:$AG$231,14,FALSE)</f>
        <v>18.480566024780298</v>
      </c>
      <c r="W240" s="45">
        <f>'Filter-old'!J225</f>
        <v>0</v>
      </c>
      <c r="X240" s="61">
        <f>'Filter-new'!J225</f>
        <v>0</v>
      </c>
      <c r="Y240" s="62">
        <f>'price-old'!J104</f>
        <v>41.869416809082026</v>
      </c>
      <c r="Z240" s="62">
        <f>'price-new'!J104</f>
        <v>32.82</v>
      </c>
      <c r="AA240" s="45">
        <f>'Filter-old'!F225</f>
        <v>0</v>
      </c>
      <c r="AB240" s="61">
        <f>'Filter-new'!F225</f>
        <v>0</v>
      </c>
      <c r="AC240" s="62">
        <f>'price-old'!F104</f>
        <v>41.253570556640625</v>
      </c>
      <c r="AD240" s="62">
        <f>'price-new'!F104</f>
        <v>32.82</v>
      </c>
      <c r="AE240" s="45">
        <f>'Filter-old'!P225</f>
        <v>0</v>
      </c>
      <c r="AF240" s="61">
        <f>'Filter-new'!P225</f>
        <v>0</v>
      </c>
      <c r="AG240" s="62">
        <f>'price-old'!O104</f>
        <v>42.678565979003906</v>
      </c>
      <c r="AH240" s="62">
        <f>'price-new'!P104</f>
        <v>30.87</v>
      </c>
      <c r="AI240" s="45">
        <f>'Filter-old'!L225</f>
        <v>0</v>
      </c>
      <c r="AJ240" s="61">
        <f>'Filter-new'!L225</f>
        <v>0</v>
      </c>
      <c r="AK240" s="62">
        <f>'price-old'!L104</f>
        <v>56.15</v>
      </c>
      <c r="AL240" s="62">
        <f>'price-new'!L104</f>
        <v>37.39</v>
      </c>
      <c r="AM240" s="62">
        <f>'Filter-new'!L714</f>
        <v>0</v>
      </c>
      <c r="AN240" s="62">
        <f>VLOOKUP(B240,[1]Offpeak_Forward!$A$1:$AG$231,18,FALSE)</f>
        <v>22.467735290527301</v>
      </c>
      <c r="AO240" s="45">
        <f>'Filter-old'!G225</f>
        <v>0</v>
      </c>
      <c r="AP240" s="61">
        <f>'Filter-new'!G225</f>
        <v>0</v>
      </c>
      <c r="AQ240" s="62">
        <f>'price-old'!G104</f>
        <v>37.900009155273438</v>
      </c>
      <c r="AR240" s="62">
        <f>'price-new'!G104</f>
        <v>33.35</v>
      </c>
      <c r="AS240" s="45"/>
      <c r="AT240" s="61">
        <f t="shared" si="27"/>
        <v>-2.03990625</v>
      </c>
      <c r="AU240" s="62"/>
      <c r="AV240" s="62">
        <f t="shared" si="28"/>
        <v>0</v>
      </c>
      <c r="AW240" s="45">
        <f>'Filter-old'!I225</f>
        <v>0</v>
      </c>
      <c r="AX240" s="61">
        <f>'Filter-new'!I225</f>
        <v>0</v>
      </c>
      <c r="AY240" s="62">
        <f>'price-old'!I104</f>
        <v>36.253566741943359</v>
      </c>
      <c r="AZ240" s="62">
        <f>'price-new'!I104</f>
        <v>31.32</v>
      </c>
      <c r="BA240" s="62">
        <f>'Filter-new'!I714</f>
        <v>0</v>
      </c>
      <c r="BB240" s="62">
        <f>VLOOKUP(B240,[1]Offpeak_Forward!$A$1:$AG$231,15,FALSE)</f>
        <v>22.233396530151399</v>
      </c>
      <c r="BC240" s="45">
        <f>'Filter-old'!K225</f>
        <v>0</v>
      </c>
      <c r="BD240" s="61">
        <f>'Filter-new'!K225</f>
        <v>0</v>
      </c>
      <c r="BE240" s="62">
        <f>'price-old'!K104</f>
        <v>40.200000000000003</v>
      </c>
      <c r="BF240" s="62">
        <f>'price-new'!K104</f>
        <v>36.5</v>
      </c>
      <c r="BG240" s="45">
        <f>'Filter-old'!M225</f>
        <v>0</v>
      </c>
      <c r="BH240" s="61"/>
      <c r="BI240" s="61"/>
      <c r="BJ240" s="61">
        <f>'Filter-new'!M225</f>
        <v>0</v>
      </c>
      <c r="BK240" s="62">
        <f>'price-old'!M104</f>
        <v>37</v>
      </c>
      <c r="BL240" s="62">
        <f>'price-new'!M104</f>
        <v>33.25</v>
      </c>
      <c r="BM240" s="62"/>
      <c r="BN240" s="406">
        <f>'Filter-new'!N225</f>
        <v>0</v>
      </c>
      <c r="BO240" s="62"/>
      <c r="BP240" s="62">
        <f>'price-new'!N104</f>
        <v>40</v>
      </c>
      <c r="BQ240" s="45">
        <f>'Filter-old'!O225</f>
        <v>0</v>
      </c>
      <c r="BR240" s="61">
        <f>'Filter-new'!O225</f>
        <v>0</v>
      </c>
      <c r="BS240" s="62">
        <f>'price-old'!N104</f>
        <v>43.503570556640625</v>
      </c>
      <c r="BT240" s="62">
        <f>'price-new'!O104</f>
        <v>32.49</v>
      </c>
      <c r="BU240" s="45">
        <f>'Filter-old'!Q225</f>
        <v>-1.8694375000000001</v>
      </c>
      <c r="BV240" s="61">
        <f>'Filter-new'!Q225</f>
        <v>-2.03990625</v>
      </c>
      <c r="BW240" s="62">
        <f>'price-old'!P104</f>
        <v>35.853565216064453</v>
      </c>
      <c r="BX240" s="88">
        <f>'price-new'!Q104</f>
        <v>33.121000000000002</v>
      </c>
      <c r="BY240" s="88">
        <f>'Filter-new'!Q714</f>
        <v>0</v>
      </c>
      <c r="BZ240" s="88">
        <f>VLOOKUP(B240,[1]Offpeak_Forward!$A$1:$AG$231,22,FALSE)</f>
        <v>22.2060356140137</v>
      </c>
      <c r="CA240" s="45">
        <f>'Filter-old'!R225</f>
        <v>0</v>
      </c>
      <c r="CB240" s="61">
        <f>'Filter-new'!R225</f>
        <v>0</v>
      </c>
      <c r="CC240" s="61">
        <f>'price-old'!Q104</f>
        <v>37</v>
      </c>
      <c r="CD240" s="89">
        <f>'price-new'!R104</f>
        <v>32.75</v>
      </c>
      <c r="CE240" s="87">
        <f>'Filter-new'!R714</f>
        <v>0</v>
      </c>
      <c r="CF240" s="87">
        <f>VLOOKUP(B240,[1]Offpeak_Forward!$A$1:$AG$231,6,FALSE)</f>
        <v>20.853357315063501</v>
      </c>
      <c r="CG240" s="4"/>
    </row>
    <row r="241" spans="1:85" hidden="1" x14ac:dyDescent="0.2">
      <c r="A241">
        <v>0</v>
      </c>
      <c r="B241" s="59">
        <v>39965</v>
      </c>
      <c r="C241" s="59">
        <f>'Filter-new'!C104</f>
        <v>39965</v>
      </c>
      <c r="D241" s="63"/>
      <c r="E241" s="63"/>
      <c r="F241" s="63"/>
      <c r="G241" s="36">
        <f t="shared" si="24"/>
        <v>-52.478267045454544</v>
      </c>
      <c r="H241" s="36">
        <f t="shared" si="25"/>
        <v>-186.45139204545453</v>
      </c>
      <c r="I241" s="36">
        <f t="shared" si="26"/>
        <v>-51.086956521739133</v>
      </c>
      <c r="J241" s="41"/>
      <c r="K241" s="45">
        <f>'Filter-old'!E226</f>
        <v>0</v>
      </c>
      <c r="L241" s="61">
        <f>'Filter-new'!E226</f>
        <v>-33.745880681818178</v>
      </c>
      <c r="M241" s="62">
        <f>'price-old'!E105</f>
        <v>39.502857208251953</v>
      </c>
      <c r="N241" s="62">
        <f>'price-new'!E105</f>
        <v>38</v>
      </c>
      <c r="O241" s="429">
        <f>'Filter-new'!E715</f>
        <v>0</v>
      </c>
      <c r="P241" s="62">
        <f>VLOOKUP(B241,[1]Offpeak_Forward!$A$1:$AG$231,13,FALSE)</f>
        <v>22.782609939575199</v>
      </c>
      <c r="Q241" s="45">
        <f>'Filter-old'!H226</f>
        <v>-50</v>
      </c>
      <c r="R241" s="61">
        <f>'Filter-new'!H226</f>
        <v>-150</v>
      </c>
      <c r="S241" s="62">
        <f>'price-old'!H105</f>
        <v>34.502857208251953</v>
      </c>
      <c r="T241" s="62">
        <f>'price-new'!H105</f>
        <v>36.35</v>
      </c>
      <c r="U241" s="445">
        <f>'Filter-new'!H715</f>
        <v>-51.086956521739133</v>
      </c>
      <c r="V241" s="62">
        <f>VLOOKUP(B241,[1]Offpeak_Forward!$A$1:$AG$231,14,FALSE)</f>
        <v>22.8943481445313</v>
      </c>
      <c r="W241" s="45">
        <f>'Filter-old'!J226</f>
        <v>0</v>
      </c>
      <c r="X241" s="61">
        <f>'Filter-new'!J226</f>
        <v>0</v>
      </c>
      <c r="Y241" s="62">
        <f>'price-old'!J105</f>
        <v>32.294802093505865</v>
      </c>
      <c r="Z241" s="62">
        <f>'price-new'!J105</f>
        <v>39.5</v>
      </c>
      <c r="AA241" s="45">
        <f>'Filter-old'!F226</f>
        <v>0</v>
      </c>
      <c r="AB241" s="61">
        <f>'Filter-new'!F226</f>
        <v>0</v>
      </c>
      <c r="AC241" s="62">
        <f>'price-old'!F105</f>
        <v>39.502857208251953</v>
      </c>
      <c r="AD241" s="62">
        <f>'price-new'!F105</f>
        <v>39.5</v>
      </c>
      <c r="AE241" s="45">
        <f>'Filter-old'!P226</f>
        <v>0</v>
      </c>
      <c r="AF241" s="61">
        <f>'Filter-new'!P226</f>
        <v>0</v>
      </c>
      <c r="AG241" s="62">
        <f>'price-old'!O105</f>
        <v>44.565357208251953</v>
      </c>
      <c r="AH241" s="62">
        <f>'price-new'!P105</f>
        <v>35.25</v>
      </c>
      <c r="AI241" s="45">
        <f>'Filter-old'!L226</f>
        <v>0</v>
      </c>
      <c r="AJ241" s="61">
        <f>'Filter-new'!L226</f>
        <v>0</v>
      </c>
      <c r="AK241" s="62">
        <f>'price-old'!L105</f>
        <v>74.150000000000006</v>
      </c>
      <c r="AL241" s="62">
        <f>'price-new'!L105</f>
        <v>42.65</v>
      </c>
      <c r="AM241" s="62">
        <f>'Filter-new'!L715</f>
        <v>0</v>
      </c>
      <c r="AN241" s="62">
        <f>VLOOKUP(B241,[1]Offpeak_Forward!$A$1:$AG$231,18,FALSE)</f>
        <v>26.8891296386719</v>
      </c>
      <c r="AO241" s="45">
        <f>'Filter-old'!G226</f>
        <v>0</v>
      </c>
      <c r="AP241" s="61">
        <f>'Filter-new'!G226</f>
        <v>0</v>
      </c>
      <c r="AQ241" s="62">
        <f>'price-old'!G105</f>
        <v>37.999996185302734</v>
      </c>
      <c r="AR241" s="62">
        <f>'price-new'!G105</f>
        <v>37.4</v>
      </c>
      <c r="AS241" s="45"/>
      <c r="AT241" s="61">
        <f t="shared" si="27"/>
        <v>-2.7055113636363637</v>
      </c>
      <c r="AU241" s="62"/>
      <c r="AV241" s="62">
        <f t="shared" si="28"/>
        <v>0</v>
      </c>
      <c r="AW241" s="45">
        <f>'Filter-old'!I226</f>
        <v>0</v>
      </c>
      <c r="AX241" s="61">
        <f>'Filter-new'!I226</f>
        <v>0</v>
      </c>
      <c r="AY241" s="62">
        <f>'price-old'!I105</f>
        <v>39.752857208251953</v>
      </c>
      <c r="AZ241" s="62">
        <f>'price-new'!I105</f>
        <v>37.5</v>
      </c>
      <c r="BA241" s="62">
        <f>'Filter-new'!I715</f>
        <v>0</v>
      </c>
      <c r="BB241" s="62">
        <f>VLOOKUP(B241,[1]Offpeak_Forward!$A$1:$AG$231,15,FALSE)</f>
        <v>26.209999084472699</v>
      </c>
      <c r="BC241" s="45">
        <f>'Filter-old'!K226</f>
        <v>0</v>
      </c>
      <c r="BD241" s="61">
        <f>'Filter-new'!K226</f>
        <v>0</v>
      </c>
      <c r="BE241" s="62">
        <f>'price-old'!K105</f>
        <v>47.1</v>
      </c>
      <c r="BF241" s="62">
        <f>'price-new'!K105</f>
        <v>41.25</v>
      </c>
      <c r="BG241" s="45">
        <f>'Filter-old'!M226</f>
        <v>0</v>
      </c>
      <c r="BH241" s="61"/>
      <c r="BI241" s="61"/>
      <c r="BJ241" s="61">
        <f>'Filter-new'!M226</f>
        <v>0</v>
      </c>
      <c r="BK241" s="62">
        <f>'price-old'!M105</f>
        <v>49</v>
      </c>
      <c r="BL241" s="62">
        <f>'price-new'!M105</f>
        <v>43</v>
      </c>
      <c r="BM241" s="62"/>
      <c r="BN241" s="406">
        <f>'Filter-new'!N226</f>
        <v>0</v>
      </c>
      <c r="BO241" s="62"/>
      <c r="BP241" s="62">
        <f>'price-new'!N105</f>
        <v>50</v>
      </c>
      <c r="BQ241" s="45">
        <f>'Filter-old'!O226</f>
        <v>0</v>
      </c>
      <c r="BR241" s="61">
        <f>'Filter-new'!O226</f>
        <v>0</v>
      </c>
      <c r="BS241" s="62">
        <f>'price-old'!N105</f>
        <v>45.502857208251953</v>
      </c>
      <c r="BT241" s="62">
        <f>'price-new'!O105</f>
        <v>39.630000000000003</v>
      </c>
      <c r="BU241" s="45">
        <f>'Filter-old'!Q226</f>
        <v>-2.4782670454545457</v>
      </c>
      <c r="BV241" s="61">
        <f>'Filter-new'!Q226</f>
        <v>-2.7055113636363637</v>
      </c>
      <c r="BW241" s="62">
        <f>'price-old'!P105</f>
        <v>41.102855682373047</v>
      </c>
      <c r="BX241" s="88">
        <f>'price-new'!Q105</f>
        <v>40.734999999999999</v>
      </c>
      <c r="BY241" s="88">
        <f>'Filter-new'!Q715</f>
        <v>0</v>
      </c>
      <c r="BZ241" s="88">
        <f>VLOOKUP(B241,[1]Offpeak_Forward!$A$1:$AG$231,22,FALSE)</f>
        <v>24.273912429809599</v>
      </c>
      <c r="CA241" s="45">
        <f>'Filter-old'!R226</f>
        <v>0</v>
      </c>
      <c r="CB241" s="61">
        <f>'Filter-new'!R226</f>
        <v>0</v>
      </c>
      <c r="CC241" s="61">
        <f>'price-old'!Q105</f>
        <v>49</v>
      </c>
      <c r="CD241" s="89">
        <f>'price-new'!R105</f>
        <v>42.75</v>
      </c>
      <c r="CE241" s="87">
        <f>'Filter-new'!R715</f>
        <v>0</v>
      </c>
      <c r="CF241" s="87">
        <f>VLOOKUP(B241,[1]Offpeak_Forward!$A$1:$AG$231,6,FALSE)</f>
        <v>20.749130249023398</v>
      </c>
      <c r="CG241" s="4"/>
    </row>
    <row r="242" spans="1:85" hidden="1" x14ac:dyDescent="0.2">
      <c r="A242">
        <v>0</v>
      </c>
      <c r="B242" s="59">
        <v>39995</v>
      </c>
      <c r="C242" s="59">
        <f>'Filter-new'!C105</f>
        <v>39995</v>
      </c>
      <c r="D242" s="63"/>
      <c r="E242" s="63"/>
      <c r="F242" s="63"/>
      <c r="G242" s="36">
        <f t="shared" si="24"/>
        <v>-50</v>
      </c>
      <c r="H242" s="36">
        <f t="shared" si="25"/>
        <v>-183.5723097826087</v>
      </c>
      <c r="I242" s="36">
        <f t="shared" si="26"/>
        <v>-54.255319148936174</v>
      </c>
      <c r="J242" s="41"/>
      <c r="K242" s="45">
        <f>'Filter-old'!E227</f>
        <v>0</v>
      </c>
      <c r="L242" s="61">
        <f>'Filter-new'!E227</f>
        <v>-33.572309782608698</v>
      </c>
      <c r="M242" s="62">
        <f>'price-old'!E106</f>
        <v>53.097146606445314</v>
      </c>
      <c r="N242" s="62">
        <f>'price-new'!E106</f>
        <v>51.984999999999999</v>
      </c>
      <c r="O242" s="429">
        <f>'Filter-new'!E716</f>
        <v>0</v>
      </c>
      <c r="P242" s="62">
        <f>VLOOKUP(B242,[1]Offpeak_Forward!$A$1:$AG$231,13,FALSE)</f>
        <v>24.802553176879901</v>
      </c>
      <c r="Q242" s="45">
        <f>'Filter-old'!H227</f>
        <v>-50</v>
      </c>
      <c r="R242" s="61">
        <f>'Filter-new'!H227</f>
        <v>-150</v>
      </c>
      <c r="S242" s="62">
        <f>'price-old'!H106</f>
        <v>40.497146606445313</v>
      </c>
      <c r="T242" s="62">
        <f>'price-new'!H106</f>
        <v>49.935000000000002</v>
      </c>
      <c r="U242" s="445">
        <f>'Filter-new'!H716</f>
        <v>-54.255319148936174</v>
      </c>
      <c r="V242" s="62">
        <f>VLOOKUP(B242,[1]Offpeak_Forward!$A$1:$AG$231,14,FALSE)</f>
        <v>24.433404922485401</v>
      </c>
      <c r="W242" s="45">
        <f>'Filter-old'!J227</f>
        <v>0</v>
      </c>
      <c r="X242" s="61">
        <f>'Filter-new'!J227</f>
        <v>0</v>
      </c>
      <c r="Y242" s="62">
        <f>'price-old'!J106</f>
        <v>40.85</v>
      </c>
      <c r="Z242" s="62">
        <f>'price-new'!J106</f>
        <v>54.484999999999999</v>
      </c>
      <c r="AA242" s="45">
        <f>'Filter-old'!F227</f>
        <v>0</v>
      </c>
      <c r="AB242" s="61">
        <f>'Filter-new'!F227</f>
        <v>0</v>
      </c>
      <c r="AC242" s="62">
        <f>'price-old'!F106</f>
        <v>53.097146606445314</v>
      </c>
      <c r="AD242" s="62">
        <f>'price-new'!F106</f>
        <v>54.484999999999999</v>
      </c>
      <c r="AE242" s="45">
        <f>'Filter-old'!P227</f>
        <v>0</v>
      </c>
      <c r="AF242" s="61">
        <f>'Filter-new'!P227</f>
        <v>0</v>
      </c>
      <c r="AG242" s="62">
        <f>'price-old'!O106</f>
        <v>55.422143554687501</v>
      </c>
      <c r="AH242" s="62">
        <f>'price-new'!P106</f>
        <v>39.634999999999998</v>
      </c>
      <c r="AI242" s="45">
        <f>'Filter-old'!L227</f>
        <v>0</v>
      </c>
      <c r="AJ242" s="61">
        <f>'Filter-new'!L227</f>
        <v>0</v>
      </c>
      <c r="AK242" s="62">
        <f>'price-old'!L106</f>
        <v>100.15</v>
      </c>
      <c r="AL242" s="62">
        <f>'price-new'!L106</f>
        <v>52.484999999999999</v>
      </c>
      <c r="AM242" s="62">
        <f>'Filter-new'!L716</f>
        <v>0</v>
      </c>
      <c r="AN242" s="62">
        <f>VLOOKUP(B242,[1]Offpeak_Forward!$A$1:$AG$231,18,FALSE)</f>
        <v>28.950000762939499</v>
      </c>
      <c r="AO242" s="45">
        <f>'Filter-old'!G227</f>
        <v>0</v>
      </c>
      <c r="AP242" s="61">
        <f>'Filter-new'!G227</f>
        <v>0</v>
      </c>
      <c r="AQ242" s="62">
        <f>'price-old'!G106</f>
        <v>45.749992370605469</v>
      </c>
      <c r="AR242" s="62">
        <f>'price-new'!G106</f>
        <v>46.95</v>
      </c>
      <c r="AS242" s="45"/>
      <c r="AT242" s="61">
        <f t="shared" si="27"/>
        <v>0</v>
      </c>
      <c r="AU242" s="62"/>
      <c r="AV242" s="62">
        <f t="shared" si="28"/>
        <v>0</v>
      </c>
      <c r="AW242" s="45">
        <f>'Filter-old'!I227</f>
        <v>0</v>
      </c>
      <c r="AX242" s="61">
        <f>'Filter-new'!I227</f>
        <v>0</v>
      </c>
      <c r="AY242" s="62">
        <f>'price-old'!I106</f>
        <v>57.834648132324219</v>
      </c>
      <c r="AZ242" s="62">
        <f>'price-new'!I106</f>
        <v>51.484999999999999</v>
      </c>
      <c r="BA242" s="62">
        <f>'Filter-new'!I716</f>
        <v>0</v>
      </c>
      <c r="BB242" s="62">
        <f>VLOOKUP(B242,[1]Offpeak_Forward!$A$1:$AG$231,15,FALSE)</f>
        <v>29.033828735351602</v>
      </c>
      <c r="BC242" s="45">
        <f>'Filter-old'!K227</f>
        <v>0</v>
      </c>
      <c r="BD242" s="61">
        <f>'Filter-new'!K227</f>
        <v>0</v>
      </c>
      <c r="BE242" s="62">
        <f>'price-old'!K106</f>
        <v>58.85</v>
      </c>
      <c r="BF242" s="62">
        <f>'price-new'!K106</f>
        <v>48.5</v>
      </c>
      <c r="BG242" s="45">
        <f>'Filter-old'!M227</f>
        <v>0</v>
      </c>
      <c r="BH242" s="61"/>
      <c r="BI242" s="61"/>
      <c r="BJ242" s="61">
        <f>'Filter-new'!M227</f>
        <v>0</v>
      </c>
      <c r="BK242" s="62">
        <f>'price-old'!M106</f>
        <v>63</v>
      </c>
      <c r="BL242" s="62">
        <f>'price-new'!M106</f>
        <v>54</v>
      </c>
      <c r="BM242" s="62"/>
      <c r="BN242" s="406">
        <f>'Filter-new'!N227</f>
        <v>0</v>
      </c>
      <c r="BO242" s="62"/>
      <c r="BP242" s="62">
        <f>'price-new'!N106</f>
        <v>71</v>
      </c>
      <c r="BQ242" s="45">
        <f>'Filter-old'!O227</f>
        <v>0</v>
      </c>
      <c r="BR242" s="61">
        <f>'Filter-new'!O227</f>
        <v>0</v>
      </c>
      <c r="BS242" s="62">
        <f>'price-old'!N106</f>
        <v>63.097146606445314</v>
      </c>
      <c r="BT242" s="62">
        <f>'price-new'!O106</f>
        <v>50.8</v>
      </c>
      <c r="BU242" s="45">
        <f>'Filter-old'!Q227</f>
        <v>0</v>
      </c>
      <c r="BV242" s="61">
        <f>'Filter-new'!Q227</f>
        <v>0</v>
      </c>
      <c r="BW242" s="62">
        <f>'price-old'!P106</f>
        <v>60.872146606445313</v>
      </c>
      <c r="BX242" s="88">
        <f>'price-new'!Q106</f>
        <v>53.271999999999998</v>
      </c>
      <c r="BY242" s="88">
        <f>'Filter-new'!Q716</f>
        <v>0</v>
      </c>
      <c r="BZ242" s="88">
        <f>VLOOKUP(B242,[1]Offpeak_Forward!$A$1:$AG$231,22,FALSE)</f>
        <v>28.391914367675799</v>
      </c>
      <c r="CA242" s="45">
        <f>'Filter-old'!R227</f>
        <v>0</v>
      </c>
      <c r="CB242" s="61">
        <f>'Filter-new'!R227</f>
        <v>0</v>
      </c>
      <c r="CC242" s="61">
        <f>'price-old'!Q106</f>
        <v>63</v>
      </c>
      <c r="CD242" s="89">
        <f>'price-new'!R106</f>
        <v>51.75</v>
      </c>
      <c r="CE242" s="87">
        <f>'Filter-new'!R716</f>
        <v>0</v>
      </c>
      <c r="CF242" s="87">
        <f>VLOOKUP(B242,[1]Offpeak_Forward!$A$1:$AG$231,6,FALSE)</f>
        <v>20.077659606933601</v>
      </c>
      <c r="CG242" s="4"/>
    </row>
    <row r="243" spans="1:85" hidden="1" x14ac:dyDescent="0.2">
      <c r="A243">
        <v>0</v>
      </c>
      <c r="B243" s="59">
        <v>40026</v>
      </c>
      <c r="C243" s="59">
        <f>'Filter-new'!C106</f>
        <v>40026</v>
      </c>
      <c r="D243" s="63"/>
      <c r="E243" s="63"/>
      <c r="F243" s="63"/>
      <c r="G243" s="36">
        <f t="shared" si="24"/>
        <v>-50</v>
      </c>
      <c r="H243" s="36">
        <f t="shared" si="25"/>
        <v>-183.39904761904762</v>
      </c>
      <c r="I243" s="36">
        <f t="shared" si="26"/>
        <v>-47.058823529411768</v>
      </c>
      <c r="J243" s="41"/>
      <c r="K243" s="45">
        <f>'Filter-old'!E228</f>
        <v>0</v>
      </c>
      <c r="L243" s="61">
        <f>'Filter-new'!E228</f>
        <v>-33.399047619047622</v>
      </c>
      <c r="M243" s="62">
        <f>'price-old'!E107</f>
        <v>53.097146606445314</v>
      </c>
      <c r="N243" s="62">
        <f>'price-new'!E107</f>
        <v>51.174999999999997</v>
      </c>
      <c r="O243" s="429">
        <f>'Filter-new'!E717</f>
        <v>0</v>
      </c>
      <c r="P243" s="62">
        <f>VLOOKUP(B243,[1]Offpeak_Forward!$A$1:$AG$231,13,FALSE)</f>
        <v>25.709020614623999</v>
      </c>
      <c r="Q243" s="45">
        <f>'Filter-old'!H228</f>
        <v>-50</v>
      </c>
      <c r="R243" s="61">
        <f>'Filter-new'!H228</f>
        <v>-150</v>
      </c>
      <c r="S243" s="62">
        <f>'price-old'!H107</f>
        <v>40.497146606445313</v>
      </c>
      <c r="T243" s="62">
        <f>'price-new'!H107</f>
        <v>49.125</v>
      </c>
      <c r="U243" s="445">
        <f>'Filter-new'!H717</f>
        <v>-47.058823529411768</v>
      </c>
      <c r="V243" s="62">
        <f>VLOOKUP(B243,[1]Offpeak_Forward!$A$1:$AG$231,14,FALSE)</f>
        <v>24.117843627929702</v>
      </c>
      <c r="W243" s="45">
        <f>'Filter-old'!J228</f>
        <v>0</v>
      </c>
      <c r="X243" s="61">
        <f>'Filter-new'!J228</f>
        <v>0</v>
      </c>
      <c r="Y243" s="62">
        <f>'price-old'!J107</f>
        <v>40.85</v>
      </c>
      <c r="Z243" s="62">
        <f>'price-new'!J107</f>
        <v>53.674999999999997</v>
      </c>
      <c r="AA243" s="45">
        <f>'Filter-old'!F228</f>
        <v>0</v>
      </c>
      <c r="AB243" s="61">
        <f>'Filter-new'!F228</f>
        <v>0</v>
      </c>
      <c r="AC243" s="62">
        <f>'price-old'!F107</f>
        <v>53.097146606445314</v>
      </c>
      <c r="AD243" s="62">
        <f>'price-new'!F107</f>
        <v>53.674999999999997</v>
      </c>
      <c r="AE243" s="45">
        <f>'Filter-old'!P228</f>
        <v>0</v>
      </c>
      <c r="AF243" s="61">
        <f>'Filter-new'!P228</f>
        <v>0</v>
      </c>
      <c r="AG243" s="62">
        <f>'price-old'!O107</f>
        <v>55.422143554687501</v>
      </c>
      <c r="AH243" s="62">
        <f>'price-new'!P107</f>
        <v>38.825000000000003</v>
      </c>
      <c r="AI243" s="45">
        <f>'Filter-old'!L228</f>
        <v>0</v>
      </c>
      <c r="AJ243" s="61">
        <f>'Filter-new'!L228</f>
        <v>0</v>
      </c>
      <c r="AK243" s="62">
        <f>'price-old'!L107</f>
        <v>100.64</v>
      </c>
      <c r="AL243" s="62">
        <f>'price-new'!L107</f>
        <v>52.674999999999997</v>
      </c>
      <c r="AM243" s="62">
        <f>'Filter-new'!L717</f>
        <v>0</v>
      </c>
      <c r="AN243" s="62">
        <f>VLOOKUP(B243,[1]Offpeak_Forward!$A$1:$AG$231,18,FALSE)</f>
        <v>29.570392608642599</v>
      </c>
      <c r="AO243" s="45">
        <f>'Filter-old'!G228</f>
        <v>0</v>
      </c>
      <c r="AP243" s="61">
        <f>'Filter-new'!G228</f>
        <v>0</v>
      </c>
      <c r="AQ243" s="62">
        <f>'price-old'!G107</f>
        <v>45.75</v>
      </c>
      <c r="AR243" s="62">
        <f>'price-new'!G107</f>
        <v>46.55</v>
      </c>
      <c r="AS243" s="45"/>
      <c r="AT243" s="61">
        <f t="shared" si="27"/>
        <v>0</v>
      </c>
      <c r="AU243" s="62"/>
      <c r="AV243" s="62">
        <f t="shared" si="28"/>
        <v>0</v>
      </c>
      <c r="AW243" s="45">
        <f>'Filter-old'!I228</f>
        <v>0</v>
      </c>
      <c r="AX243" s="61">
        <f>'Filter-new'!I228</f>
        <v>0</v>
      </c>
      <c r="AY243" s="62">
        <f>'price-old'!I107</f>
        <v>57.772148132324219</v>
      </c>
      <c r="AZ243" s="62">
        <f>'price-new'!I107</f>
        <v>50.674999999999997</v>
      </c>
      <c r="BA243" s="62">
        <f>'Filter-new'!I717</f>
        <v>0</v>
      </c>
      <c r="BB243" s="62">
        <f>VLOOKUP(B243,[1]Offpeak_Forward!$A$1:$AG$231,15,FALSE)</f>
        <v>29.232744216918899</v>
      </c>
      <c r="BC243" s="45">
        <f>'Filter-old'!K228</f>
        <v>0</v>
      </c>
      <c r="BD243" s="61">
        <f>'Filter-new'!K228</f>
        <v>0</v>
      </c>
      <c r="BE243" s="62">
        <f>'price-old'!K107</f>
        <v>58.85</v>
      </c>
      <c r="BF243" s="62">
        <f>'price-new'!K107</f>
        <v>48.5</v>
      </c>
      <c r="BG243" s="45">
        <f>'Filter-old'!M228</f>
        <v>0</v>
      </c>
      <c r="BH243" s="61"/>
      <c r="BI243" s="61"/>
      <c r="BJ243" s="61">
        <f>'Filter-new'!M228</f>
        <v>0</v>
      </c>
      <c r="BK243" s="62">
        <f>'price-old'!M107</f>
        <v>63</v>
      </c>
      <c r="BL243" s="62">
        <f>'price-new'!M107</f>
        <v>54</v>
      </c>
      <c r="BM243" s="62"/>
      <c r="BN243" s="406">
        <f>'Filter-new'!N228</f>
        <v>0</v>
      </c>
      <c r="BO243" s="62"/>
      <c r="BP243" s="62">
        <f>'price-new'!N107</f>
        <v>71</v>
      </c>
      <c r="BQ243" s="45">
        <f>'Filter-old'!O228</f>
        <v>0</v>
      </c>
      <c r="BR243" s="61">
        <f>'Filter-new'!O228</f>
        <v>0</v>
      </c>
      <c r="BS243" s="62">
        <f>'price-old'!N107</f>
        <v>63.097146606445314</v>
      </c>
      <c r="BT243" s="62">
        <f>'price-new'!O107</f>
        <v>49.8</v>
      </c>
      <c r="BU243" s="45">
        <f>'Filter-old'!Q228</f>
        <v>0</v>
      </c>
      <c r="BV243" s="61">
        <f>'Filter-new'!Q228</f>
        <v>0</v>
      </c>
      <c r="BW243" s="62">
        <f>'price-old'!P107</f>
        <v>60.872146606445313</v>
      </c>
      <c r="BX243" s="88">
        <f>'price-new'!Q107</f>
        <v>53.521999999999998</v>
      </c>
      <c r="BY243" s="88">
        <f>'Filter-new'!Q717</f>
        <v>0</v>
      </c>
      <c r="BZ243" s="88">
        <f>VLOOKUP(B243,[1]Offpeak_Forward!$A$1:$AG$231,22,FALSE)</f>
        <v>29.223920822143601</v>
      </c>
      <c r="CA243" s="45">
        <f>'Filter-old'!R228</f>
        <v>0</v>
      </c>
      <c r="CB243" s="61">
        <f>'Filter-new'!R228</f>
        <v>0</v>
      </c>
      <c r="CC243" s="61">
        <f>'price-old'!Q107</f>
        <v>63</v>
      </c>
      <c r="CD243" s="89">
        <f>'price-new'!R107</f>
        <v>51.75</v>
      </c>
      <c r="CE243" s="87">
        <f>'Filter-new'!R717</f>
        <v>0</v>
      </c>
      <c r="CF243" s="87">
        <f>VLOOKUP(B243,[1]Offpeak_Forward!$A$1:$AG$231,6,FALSE)</f>
        <v>19.9735298156738</v>
      </c>
      <c r="CG243" s="4"/>
    </row>
    <row r="244" spans="1:85" hidden="1" x14ac:dyDescent="0.2">
      <c r="A244">
        <v>0</v>
      </c>
      <c r="B244" s="59">
        <v>40057</v>
      </c>
      <c r="C244" s="59">
        <f>'Filter-new'!C107</f>
        <v>40057</v>
      </c>
      <c r="D244" s="63"/>
      <c r="E244" s="63"/>
      <c r="F244" s="63"/>
      <c r="G244" s="36">
        <f t="shared" si="24"/>
        <v>-50</v>
      </c>
      <c r="H244" s="36">
        <f t="shared" si="25"/>
        <v>-183.23169642857144</v>
      </c>
      <c r="I244" s="36">
        <f t="shared" si="26"/>
        <v>-51.171875</v>
      </c>
      <c r="J244" s="41"/>
      <c r="K244" s="45">
        <f>'Filter-old'!E229</f>
        <v>0</v>
      </c>
      <c r="L244" s="61">
        <f>'Filter-new'!E229</f>
        <v>-33.231696428571432</v>
      </c>
      <c r="M244" s="62">
        <f>'price-old'!E108</f>
        <v>35.652140045166014</v>
      </c>
      <c r="N244" s="62">
        <f>'price-new'!E108</f>
        <v>27.77</v>
      </c>
      <c r="O244" s="429">
        <f>'Filter-new'!E718</f>
        <v>0</v>
      </c>
      <c r="P244" s="62">
        <f>VLOOKUP(B244,[1]Offpeak_Forward!$A$1:$AG$231,13,FALSE)</f>
        <v>19.1683349609375</v>
      </c>
      <c r="Q244" s="45">
        <f>'Filter-old'!H229</f>
        <v>-50</v>
      </c>
      <c r="R244" s="61">
        <f>'Filter-new'!H229</f>
        <v>-150</v>
      </c>
      <c r="S244" s="62">
        <f>'price-old'!H108</f>
        <v>31.602143859863283</v>
      </c>
      <c r="T244" s="62">
        <f>'price-new'!H108</f>
        <v>26.52</v>
      </c>
      <c r="U244" s="445">
        <f>'Filter-new'!H718</f>
        <v>-51.171875</v>
      </c>
      <c r="V244" s="62">
        <f>VLOOKUP(B244,[1]Offpeak_Forward!$A$1:$AG$231,14,FALSE)</f>
        <v>18.609582901001001</v>
      </c>
      <c r="W244" s="45">
        <f>'Filter-old'!J229</f>
        <v>0</v>
      </c>
      <c r="X244" s="61">
        <f>'Filter-new'!J229</f>
        <v>0</v>
      </c>
      <c r="Y244" s="62">
        <f>'price-old'!J108</f>
        <v>35.374413909912107</v>
      </c>
      <c r="Z244" s="62">
        <f>'price-new'!J108</f>
        <v>29.27</v>
      </c>
      <c r="AA244" s="45">
        <f>'Filter-old'!F229</f>
        <v>0</v>
      </c>
      <c r="AB244" s="61">
        <f>'Filter-new'!F229</f>
        <v>0</v>
      </c>
      <c r="AC244" s="62">
        <f>'price-old'!F108</f>
        <v>35.652140045166014</v>
      </c>
      <c r="AD244" s="62">
        <f>'price-new'!F108</f>
        <v>29.27</v>
      </c>
      <c r="AE244" s="45">
        <f>'Filter-old'!P229</f>
        <v>0</v>
      </c>
      <c r="AF244" s="61">
        <f>'Filter-new'!P229</f>
        <v>0</v>
      </c>
      <c r="AG244" s="62">
        <f>'price-old'!O108</f>
        <v>37.677145385742186</v>
      </c>
      <c r="AH244" s="62">
        <f>'price-new'!P108</f>
        <v>26.12</v>
      </c>
      <c r="AI244" s="45">
        <f>'Filter-old'!L229</f>
        <v>0</v>
      </c>
      <c r="AJ244" s="61">
        <f>'Filter-new'!L229</f>
        <v>0</v>
      </c>
      <c r="AK244" s="62">
        <f>'price-old'!L108</f>
        <v>57.64</v>
      </c>
      <c r="AL244" s="62">
        <f>'price-new'!L108</f>
        <v>30.62</v>
      </c>
      <c r="AM244" s="62">
        <f>'Filter-new'!L718</f>
        <v>0</v>
      </c>
      <c r="AN244" s="62">
        <f>VLOOKUP(B244,[1]Offpeak_Forward!$A$1:$AG$231,18,FALSE)</f>
        <v>23.124584197998001</v>
      </c>
      <c r="AO244" s="45">
        <f>'Filter-old'!G229</f>
        <v>0</v>
      </c>
      <c r="AP244" s="61">
        <f>'Filter-new'!G229</f>
        <v>0</v>
      </c>
      <c r="AQ244" s="62">
        <f>'price-old'!G108</f>
        <v>35.750003814697266</v>
      </c>
      <c r="AR244" s="62">
        <f>'price-new'!G108</f>
        <v>34.299999999999997</v>
      </c>
      <c r="AS244" s="45"/>
      <c r="AT244" s="61">
        <f t="shared" si="27"/>
        <v>0</v>
      </c>
      <c r="AU244" s="62"/>
      <c r="AV244" s="62">
        <f t="shared" si="28"/>
        <v>0</v>
      </c>
      <c r="AW244" s="45">
        <f>'Filter-old'!I229</f>
        <v>0</v>
      </c>
      <c r="AX244" s="61">
        <f>'Filter-new'!I229</f>
        <v>0</v>
      </c>
      <c r="AY244" s="62">
        <f>'price-old'!I108</f>
        <v>35.277145385742187</v>
      </c>
      <c r="AZ244" s="62">
        <f>'price-new'!I108</f>
        <v>27.27</v>
      </c>
      <c r="BA244" s="62">
        <f>'Filter-new'!I718</f>
        <v>0</v>
      </c>
      <c r="BB244" s="62">
        <f>VLOOKUP(B244,[1]Offpeak_Forward!$A$1:$AG$231,15,FALSE)</f>
        <v>19.972084045410199</v>
      </c>
      <c r="BC244" s="45">
        <f>'Filter-old'!K229</f>
        <v>0</v>
      </c>
      <c r="BD244" s="61">
        <f>'Filter-new'!K229</f>
        <v>0</v>
      </c>
      <c r="BE244" s="62">
        <f>'price-old'!K108</f>
        <v>37.85</v>
      </c>
      <c r="BF244" s="62">
        <f>'price-new'!K108</f>
        <v>35.5</v>
      </c>
      <c r="BG244" s="45">
        <f>'Filter-old'!M229</f>
        <v>0</v>
      </c>
      <c r="BH244" s="61"/>
      <c r="BI244" s="61"/>
      <c r="BJ244" s="61">
        <f>'Filter-new'!M229</f>
        <v>0</v>
      </c>
      <c r="BK244" s="62">
        <f>'price-old'!M108</f>
        <v>33.5</v>
      </c>
      <c r="BL244" s="62">
        <f>'price-new'!M108</f>
        <v>31.75</v>
      </c>
      <c r="BM244" s="62"/>
      <c r="BN244" s="406">
        <f>'Filter-new'!N229</f>
        <v>0</v>
      </c>
      <c r="BO244" s="62"/>
      <c r="BP244" s="62">
        <f>'price-new'!N108</f>
        <v>39.5</v>
      </c>
      <c r="BQ244" s="45">
        <f>'Filter-old'!O229</f>
        <v>0</v>
      </c>
      <c r="BR244" s="61">
        <f>'Filter-new'!O229</f>
        <v>0</v>
      </c>
      <c r="BS244" s="62">
        <f>'price-old'!N108</f>
        <v>38.652140045166014</v>
      </c>
      <c r="BT244" s="62">
        <f>'price-new'!O108</f>
        <v>26.98</v>
      </c>
      <c r="BU244" s="45">
        <f>'Filter-old'!Q229</f>
        <v>0</v>
      </c>
      <c r="BV244" s="61">
        <f>'Filter-new'!Q229</f>
        <v>0</v>
      </c>
      <c r="BW244" s="62">
        <f>'price-old'!P108</f>
        <v>35.002143859863281</v>
      </c>
      <c r="BX244" s="88">
        <f>'price-new'!Q108</f>
        <v>26.172000000000001</v>
      </c>
      <c r="BY244" s="88">
        <f>'Filter-new'!Q718</f>
        <v>0</v>
      </c>
      <c r="BZ244" s="88">
        <f>VLOOKUP(B244,[1]Offpeak_Forward!$A$1:$AG$231,22,FALSE)</f>
        <v>22.866664886474599</v>
      </c>
      <c r="CA244" s="45">
        <f>'Filter-old'!R229</f>
        <v>0</v>
      </c>
      <c r="CB244" s="61">
        <f>'Filter-new'!R229</f>
        <v>0</v>
      </c>
      <c r="CC244" s="61">
        <f>'price-old'!Q108</f>
        <v>33.5</v>
      </c>
      <c r="CD244" s="89">
        <f>'price-new'!R108</f>
        <v>30.75</v>
      </c>
      <c r="CE244" s="87">
        <f>'Filter-new'!R718</f>
        <v>0</v>
      </c>
      <c r="CF244" s="87">
        <f>VLOOKUP(B244,[1]Offpeak_Forward!$A$1:$AG$231,6,FALSE)</f>
        <v>20.6866245269775</v>
      </c>
      <c r="CG244" s="4"/>
    </row>
    <row r="245" spans="1:85" hidden="1" x14ac:dyDescent="0.2">
      <c r="A245">
        <v>0</v>
      </c>
      <c r="B245" s="59">
        <v>40087</v>
      </c>
      <c r="C245" s="59">
        <f>'Filter-new'!C108</f>
        <v>40087</v>
      </c>
      <c r="D245" s="63"/>
      <c r="E245" s="63"/>
      <c r="F245" s="63"/>
      <c r="G245" s="36">
        <f t="shared" si="24"/>
        <v>-50</v>
      </c>
      <c r="H245" s="36">
        <f t="shared" si="25"/>
        <v>-183.05909090909091</v>
      </c>
      <c r="I245" s="36">
        <f t="shared" si="26"/>
        <v>-51.020408163265309</v>
      </c>
      <c r="J245" s="41"/>
      <c r="K245" s="45">
        <f>'Filter-old'!E230</f>
        <v>0</v>
      </c>
      <c r="L245" s="61">
        <f>'Filter-new'!E230</f>
        <v>-33.059090909090905</v>
      </c>
      <c r="M245" s="62">
        <f>'price-old'!E109</f>
        <v>34.652062177658081</v>
      </c>
      <c r="N245" s="62">
        <f>'price-new'!E109</f>
        <v>29.06</v>
      </c>
      <c r="O245" s="429">
        <f>'Filter-new'!E719</f>
        <v>0</v>
      </c>
      <c r="P245" s="62">
        <f>VLOOKUP(B245,[1]Offpeak_Forward!$A$1:$AG$231,13,FALSE)</f>
        <v>17.1546936035156</v>
      </c>
      <c r="Q245" s="45">
        <f>'Filter-old'!H230</f>
        <v>-50</v>
      </c>
      <c r="R245" s="61">
        <f>'Filter-new'!H230</f>
        <v>-150</v>
      </c>
      <c r="S245" s="62">
        <f>'price-old'!H109</f>
        <v>35.593929290771484</v>
      </c>
      <c r="T245" s="62">
        <f>'price-new'!H109</f>
        <v>27.81</v>
      </c>
      <c r="U245" s="445">
        <f>'Filter-new'!H719</f>
        <v>-51.020408163265309</v>
      </c>
      <c r="V245" s="62">
        <f>VLOOKUP(B245,[1]Offpeak_Forward!$A$1:$AG$231,14,FALSE)</f>
        <v>17.4275512695313</v>
      </c>
      <c r="W245" s="45">
        <f>'Filter-old'!J230</f>
        <v>0</v>
      </c>
      <c r="X245" s="61">
        <f>'Filter-new'!J230</f>
        <v>0</v>
      </c>
      <c r="Y245" s="62">
        <f>'price-old'!J109</f>
        <v>40.404998779296875</v>
      </c>
      <c r="Z245" s="62">
        <f>'price-new'!J109</f>
        <v>29.06</v>
      </c>
      <c r="AA245" s="45">
        <f>'Filter-old'!F230</f>
        <v>0</v>
      </c>
      <c r="AB245" s="61">
        <f>'Filter-new'!F230</f>
        <v>0</v>
      </c>
      <c r="AC245" s="62">
        <f>'price-old'!F109</f>
        <v>34.652062177658081</v>
      </c>
      <c r="AD245" s="62">
        <f>'price-new'!F109</f>
        <v>29.06</v>
      </c>
      <c r="AE245" s="45">
        <f>'Filter-old'!P230</f>
        <v>0</v>
      </c>
      <c r="AF245" s="61">
        <f>'Filter-new'!P230</f>
        <v>0</v>
      </c>
      <c r="AG245" s="62">
        <f>'price-old'!O109</f>
        <v>34.403934478759766</v>
      </c>
      <c r="AH245" s="62">
        <f>'price-new'!P109</f>
        <v>32.75</v>
      </c>
      <c r="AI245" s="45">
        <f>'Filter-old'!L230</f>
        <v>0</v>
      </c>
      <c r="AJ245" s="61">
        <f>'Filter-new'!L230</f>
        <v>0</v>
      </c>
      <c r="AK245" s="62">
        <f>'price-old'!L109</f>
        <v>56.64</v>
      </c>
      <c r="AL245" s="62">
        <f>'price-new'!L109</f>
        <v>30.96</v>
      </c>
      <c r="AM245" s="62">
        <f>'Filter-new'!L719</f>
        <v>0</v>
      </c>
      <c r="AN245" s="62">
        <f>VLOOKUP(B245,[1]Offpeak_Forward!$A$1:$AG$231,18,FALSE)</f>
        <v>21.153264999389599</v>
      </c>
      <c r="AO245" s="45">
        <f>'Filter-old'!G230</f>
        <v>0</v>
      </c>
      <c r="AP245" s="61">
        <f>'Filter-new'!G230</f>
        <v>0</v>
      </c>
      <c r="AQ245" s="62">
        <f>'price-old'!G109</f>
        <v>32.800003051757813</v>
      </c>
      <c r="AR245" s="62">
        <f>'price-new'!G109</f>
        <v>32.520000000000003</v>
      </c>
      <c r="AS245" s="45"/>
      <c r="AT245" s="61">
        <f t="shared" si="27"/>
        <v>0</v>
      </c>
      <c r="AU245" s="62"/>
      <c r="AV245" s="62">
        <f t="shared" si="28"/>
        <v>0</v>
      </c>
      <c r="AW245" s="45">
        <f>'Filter-old'!I230</f>
        <v>0</v>
      </c>
      <c r="AX245" s="61">
        <f>'Filter-new'!I230</f>
        <v>0</v>
      </c>
      <c r="AY245" s="62">
        <f>'price-old'!I109</f>
        <v>34.091434478759766</v>
      </c>
      <c r="AZ245" s="62">
        <f>'price-new'!I109</f>
        <v>28.56</v>
      </c>
      <c r="BA245" s="62">
        <f>'Filter-new'!I719</f>
        <v>0</v>
      </c>
      <c r="BB245" s="62">
        <f>VLOOKUP(B245,[1]Offpeak_Forward!$A$1:$AG$231,15,FALSE)</f>
        <v>17.834081649780298</v>
      </c>
      <c r="BC245" s="45">
        <f>'Filter-old'!K230</f>
        <v>0</v>
      </c>
      <c r="BD245" s="61">
        <f>'Filter-new'!K230</f>
        <v>0</v>
      </c>
      <c r="BE245" s="62">
        <f>'price-old'!K109</f>
        <v>39.1</v>
      </c>
      <c r="BF245" s="62">
        <f>'price-new'!K109</f>
        <v>35.25</v>
      </c>
      <c r="BG245" s="45">
        <f>'Filter-old'!M230</f>
        <v>0</v>
      </c>
      <c r="BH245" s="61"/>
      <c r="BI245" s="61"/>
      <c r="BJ245" s="61">
        <f>'Filter-new'!M230</f>
        <v>0</v>
      </c>
      <c r="BK245" s="62">
        <f>'price-old'!M109</f>
        <v>32</v>
      </c>
      <c r="BL245" s="62">
        <f>'price-new'!M109</f>
        <v>31.75</v>
      </c>
      <c r="BM245" s="62"/>
      <c r="BN245" s="406">
        <f>'Filter-new'!N230</f>
        <v>0</v>
      </c>
      <c r="BO245" s="62"/>
      <c r="BP245" s="62">
        <f>'price-new'!N109</f>
        <v>39.5</v>
      </c>
      <c r="BQ245" s="45">
        <f>'Filter-old'!O230</f>
        <v>0</v>
      </c>
      <c r="BR245" s="61">
        <f>'Filter-new'!O230</f>
        <v>0</v>
      </c>
      <c r="BS245" s="62">
        <f>'price-old'!N109</f>
        <v>36.498935699462891</v>
      </c>
      <c r="BT245" s="62">
        <f>'price-new'!O109</f>
        <v>29.39</v>
      </c>
      <c r="BU245" s="45">
        <f>'Filter-old'!Q230</f>
        <v>0</v>
      </c>
      <c r="BV245" s="61">
        <f>'Filter-new'!Q230</f>
        <v>0</v>
      </c>
      <c r="BW245" s="62">
        <f>'price-old'!P109</f>
        <v>32.753932952880859</v>
      </c>
      <c r="BX245" s="88">
        <f>'price-new'!Q109</f>
        <v>28.492000000000001</v>
      </c>
      <c r="BY245" s="88">
        <f>'Filter-new'!Q719</f>
        <v>0</v>
      </c>
      <c r="BZ245" s="88">
        <f>VLOOKUP(B245,[1]Offpeak_Forward!$A$1:$AG$231,22,FALSE)</f>
        <v>21.294284820556602</v>
      </c>
      <c r="CA245" s="45">
        <f>'Filter-old'!R230</f>
        <v>0</v>
      </c>
      <c r="CB245" s="61">
        <f>'Filter-new'!R230</f>
        <v>0</v>
      </c>
      <c r="CC245" s="61">
        <f>'price-old'!Q109</f>
        <v>32</v>
      </c>
      <c r="CD245" s="89">
        <f>'price-new'!R109</f>
        <v>30.75</v>
      </c>
      <c r="CE245" s="87">
        <f>'Filter-new'!R719</f>
        <v>0</v>
      </c>
      <c r="CF245" s="87">
        <f>VLOOKUP(B245,[1]Offpeak_Forward!$A$1:$AG$231,6,FALSE)</f>
        <v>25.521835327148398</v>
      </c>
      <c r="CG245" s="4"/>
    </row>
    <row r="246" spans="1:85" hidden="1" x14ac:dyDescent="0.2">
      <c r="A246">
        <v>0</v>
      </c>
      <c r="B246" s="59">
        <v>40118</v>
      </c>
      <c r="C246" s="59">
        <f>'Filter-new'!C109</f>
        <v>40118</v>
      </c>
      <c r="D246" s="63"/>
      <c r="E246" s="63"/>
      <c r="F246" s="63"/>
      <c r="G246" s="36">
        <f t="shared" si="24"/>
        <v>-50</v>
      </c>
      <c r="H246" s="36">
        <f t="shared" si="25"/>
        <v>-182.89237500000002</v>
      </c>
      <c r="I246" s="36">
        <f t="shared" si="26"/>
        <v>-49</v>
      </c>
      <c r="J246" s="41"/>
      <c r="K246" s="45">
        <f>'Filter-old'!E231</f>
        <v>0</v>
      </c>
      <c r="L246" s="61">
        <f>'Filter-new'!E231</f>
        <v>-32.892375000000001</v>
      </c>
      <c r="M246" s="62">
        <f>'price-old'!E110</f>
        <v>34.752060651779175</v>
      </c>
      <c r="N246" s="62">
        <f>'price-new'!E110</f>
        <v>28.38</v>
      </c>
      <c r="O246" s="429">
        <f>'Filter-new'!E720</f>
        <v>0</v>
      </c>
      <c r="P246" s="62">
        <f>VLOOKUP(B246,[1]Offpeak_Forward!$A$1:$AG$231,13,FALSE)</f>
        <v>17.803199768066399</v>
      </c>
      <c r="Q246" s="45">
        <f>'Filter-old'!H231</f>
        <v>-50</v>
      </c>
      <c r="R246" s="61">
        <f>'Filter-new'!H231</f>
        <v>-150</v>
      </c>
      <c r="S246" s="62">
        <f>'price-old'!H110</f>
        <v>39.093929290771484</v>
      </c>
      <c r="T246" s="62">
        <f>'price-new'!H110</f>
        <v>27.13</v>
      </c>
      <c r="U246" s="445">
        <f>'Filter-new'!H720</f>
        <v>-49</v>
      </c>
      <c r="V246" s="62">
        <f>VLOOKUP(B246,[1]Offpeak_Forward!$A$1:$AG$231,14,FALSE)</f>
        <v>17.697999954223601</v>
      </c>
      <c r="W246" s="45">
        <f>'Filter-old'!J231</f>
        <v>0</v>
      </c>
      <c r="X246" s="61">
        <f>'Filter-new'!J231</f>
        <v>0</v>
      </c>
      <c r="Y246" s="62">
        <f>'price-old'!J110</f>
        <v>41.201915740966797</v>
      </c>
      <c r="Z246" s="62">
        <f>'price-new'!J110</f>
        <v>28.38</v>
      </c>
      <c r="AA246" s="45">
        <f>'Filter-old'!F231</f>
        <v>0</v>
      </c>
      <c r="AB246" s="61">
        <f>'Filter-new'!F231</f>
        <v>0</v>
      </c>
      <c r="AC246" s="62">
        <f>'price-old'!F110</f>
        <v>34.752060651779175</v>
      </c>
      <c r="AD246" s="62">
        <f>'price-new'!F110</f>
        <v>28.38</v>
      </c>
      <c r="AE246" s="45">
        <f>'Filter-old'!P231</f>
        <v>0</v>
      </c>
      <c r="AF246" s="61">
        <f>'Filter-new'!P231</f>
        <v>0</v>
      </c>
      <c r="AG246" s="62">
        <f>'price-old'!O110</f>
        <v>34.503932952880859</v>
      </c>
      <c r="AH246" s="62">
        <f>'price-new'!P110</f>
        <v>35.47</v>
      </c>
      <c r="AI246" s="45">
        <f>'Filter-old'!L231</f>
        <v>0</v>
      </c>
      <c r="AJ246" s="61">
        <f>'Filter-new'!L231</f>
        <v>0</v>
      </c>
      <c r="AK246" s="62">
        <f>'price-old'!L110</f>
        <v>56.64</v>
      </c>
      <c r="AL246" s="62">
        <f>'price-new'!L110</f>
        <v>30.28</v>
      </c>
      <c r="AM246" s="62">
        <f>'Filter-new'!L720</f>
        <v>0</v>
      </c>
      <c r="AN246" s="62">
        <f>VLOOKUP(B246,[1]Offpeak_Forward!$A$1:$AG$231,18,FALSE)</f>
        <v>21.621200561523398</v>
      </c>
      <c r="AO246" s="45">
        <f>'Filter-old'!G231</f>
        <v>0</v>
      </c>
      <c r="AP246" s="61">
        <f>'Filter-new'!G231</f>
        <v>0</v>
      </c>
      <c r="AQ246" s="62">
        <f>'price-old'!G110</f>
        <v>32.499996185302734</v>
      </c>
      <c r="AR246" s="62">
        <f>'price-new'!G110</f>
        <v>31.52</v>
      </c>
      <c r="AS246" s="45"/>
      <c r="AT246" s="61">
        <f t="shared" si="27"/>
        <v>0</v>
      </c>
      <c r="AU246" s="62"/>
      <c r="AV246" s="62">
        <f t="shared" si="28"/>
        <v>0</v>
      </c>
      <c r="AW246" s="45">
        <f>'Filter-old'!I231</f>
        <v>0</v>
      </c>
      <c r="AX246" s="61">
        <f>'Filter-new'!I231</f>
        <v>0</v>
      </c>
      <c r="AY246" s="62">
        <f>'price-old'!I110</f>
        <v>34.128932952880859</v>
      </c>
      <c r="AZ246" s="62">
        <f>'price-new'!I110</f>
        <v>27.88</v>
      </c>
      <c r="BA246" s="62">
        <f>'Filter-new'!I720</f>
        <v>0</v>
      </c>
      <c r="BB246" s="62">
        <f>VLOOKUP(B246,[1]Offpeak_Forward!$A$1:$AG$231,15,FALSE)</f>
        <v>18.8332004547119</v>
      </c>
      <c r="BC246" s="45">
        <f>'Filter-old'!K231</f>
        <v>0</v>
      </c>
      <c r="BD246" s="61">
        <f>'Filter-new'!K231</f>
        <v>0</v>
      </c>
      <c r="BE246" s="62">
        <f>'price-old'!K110</f>
        <v>39.1</v>
      </c>
      <c r="BF246" s="62">
        <f>'price-new'!K110</f>
        <v>35.25</v>
      </c>
      <c r="BG246" s="45">
        <f>'Filter-old'!M231</f>
        <v>0</v>
      </c>
      <c r="BH246" s="61"/>
      <c r="BI246" s="61"/>
      <c r="BJ246" s="61">
        <f>'Filter-new'!M231</f>
        <v>0</v>
      </c>
      <c r="BK246" s="62">
        <f>'price-old'!M110</f>
        <v>32</v>
      </c>
      <c r="BL246" s="62">
        <f>'price-new'!M110</f>
        <v>31.75</v>
      </c>
      <c r="BM246" s="62"/>
      <c r="BN246" s="406">
        <f>'Filter-new'!N231</f>
        <v>0</v>
      </c>
      <c r="BO246" s="62"/>
      <c r="BP246" s="62">
        <f>'price-new'!N110</f>
        <v>39.5</v>
      </c>
      <c r="BQ246" s="45">
        <f>'Filter-old'!O231</f>
        <v>0</v>
      </c>
      <c r="BR246" s="61">
        <f>'Filter-new'!O231</f>
        <v>0</v>
      </c>
      <c r="BS246" s="62">
        <f>'price-old'!N110</f>
        <v>36.498935699462891</v>
      </c>
      <c r="BT246" s="62">
        <f>'price-new'!O110</f>
        <v>29.39</v>
      </c>
      <c r="BU246" s="45">
        <f>'Filter-old'!Q231</f>
        <v>0</v>
      </c>
      <c r="BV246" s="61">
        <f>'Filter-new'!Q231</f>
        <v>0</v>
      </c>
      <c r="BW246" s="62">
        <f>'price-old'!P110</f>
        <v>32.853931427001953</v>
      </c>
      <c r="BX246" s="88">
        <f>'price-new'!Q110</f>
        <v>28.591999999999999</v>
      </c>
      <c r="BY246" s="88">
        <f>'Filter-new'!Q720</f>
        <v>0</v>
      </c>
      <c r="BZ246" s="88">
        <f>VLOOKUP(B246,[1]Offpeak_Forward!$A$1:$AG$231,22,FALSE)</f>
        <v>22.051998138427699</v>
      </c>
      <c r="CA246" s="45">
        <f>'Filter-old'!R231</f>
        <v>0</v>
      </c>
      <c r="CB246" s="61">
        <f>'Filter-new'!R231</f>
        <v>0</v>
      </c>
      <c r="CC246" s="61">
        <f>'price-old'!Q110</f>
        <v>32</v>
      </c>
      <c r="CD246" s="89">
        <f>'price-new'!R110</f>
        <v>30.75</v>
      </c>
      <c r="CE246" s="87">
        <f>'Filter-new'!R720</f>
        <v>0</v>
      </c>
      <c r="CF246" s="87">
        <f>VLOOKUP(B246,[1]Offpeak_Forward!$A$1:$AG$231,6,FALSE)</f>
        <v>27.042079925537099</v>
      </c>
      <c r="CG246" s="4"/>
    </row>
    <row r="247" spans="1:85" hidden="1" x14ac:dyDescent="0.2">
      <c r="A247">
        <v>0</v>
      </c>
      <c r="B247" s="59">
        <v>40148</v>
      </c>
      <c r="C247" s="59">
        <f>'Filter-new'!C110</f>
        <v>40148</v>
      </c>
      <c r="D247" s="63"/>
      <c r="E247" s="63"/>
      <c r="F247" s="63"/>
      <c r="G247" s="36">
        <f t="shared" si="24"/>
        <v>-50</v>
      </c>
      <c r="H247" s="36">
        <f t="shared" si="25"/>
        <v>-182.72039772727271</v>
      </c>
      <c r="I247" s="36">
        <f t="shared" si="26"/>
        <v>-54.081632653061227</v>
      </c>
      <c r="J247" s="41"/>
      <c r="K247" s="45">
        <f>'Filter-old'!E232</f>
        <v>0</v>
      </c>
      <c r="L247" s="61">
        <f>'Filter-new'!E232</f>
        <v>-32.720397727272726</v>
      </c>
      <c r="M247" s="62">
        <f>'price-old'!E111</f>
        <v>34.852059125900269</v>
      </c>
      <c r="N247" s="62">
        <f>'price-new'!E111</f>
        <v>29.49</v>
      </c>
      <c r="O247" s="429">
        <f>'Filter-new'!E721</f>
        <v>0</v>
      </c>
      <c r="P247" s="62">
        <f>VLOOKUP(B247,[1]Offpeak_Forward!$A$1:$AG$231,13,FALSE)</f>
        <v>21.616123199462901</v>
      </c>
      <c r="Q247" s="45">
        <f>'Filter-old'!H232</f>
        <v>-50</v>
      </c>
      <c r="R247" s="61">
        <f>'Filter-new'!H232</f>
        <v>-150</v>
      </c>
      <c r="S247" s="62">
        <f>'price-old'!H111</f>
        <v>39.593929290771484</v>
      </c>
      <c r="T247" s="62">
        <f>'price-new'!H111</f>
        <v>28.24</v>
      </c>
      <c r="U247" s="445">
        <f>'Filter-new'!H721</f>
        <v>-54.081632653061227</v>
      </c>
      <c r="V247" s="62">
        <f>VLOOKUP(B247,[1]Offpeak_Forward!$A$1:$AG$231,14,FALSE)</f>
        <v>21.526531219482401</v>
      </c>
      <c r="W247" s="45">
        <f>'Filter-old'!J232</f>
        <v>0</v>
      </c>
      <c r="X247" s="61">
        <f>'Filter-new'!J232</f>
        <v>0</v>
      </c>
      <c r="Y247" s="62">
        <f>'price-old'!J111</f>
        <v>41.957302093505859</v>
      </c>
      <c r="Z247" s="62">
        <f>'price-new'!J111</f>
        <v>29.49</v>
      </c>
      <c r="AA247" s="45">
        <f>'Filter-old'!F232</f>
        <v>0</v>
      </c>
      <c r="AB247" s="61">
        <f>'Filter-new'!F232</f>
        <v>0</v>
      </c>
      <c r="AC247" s="62">
        <f>'price-old'!F111</f>
        <v>34.852059125900269</v>
      </c>
      <c r="AD247" s="62">
        <f>'price-new'!F111</f>
        <v>29.49</v>
      </c>
      <c r="AE247" s="45">
        <f>'Filter-old'!P232</f>
        <v>0</v>
      </c>
      <c r="AF247" s="61">
        <f>'Filter-new'!P232</f>
        <v>0</v>
      </c>
      <c r="AG247" s="62">
        <f>'price-old'!O111</f>
        <v>34.603931427001953</v>
      </c>
      <c r="AH247" s="62">
        <f>'price-new'!P111</f>
        <v>36.979999999999997</v>
      </c>
      <c r="AI247" s="45">
        <f>'Filter-old'!L232</f>
        <v>0</v>
      </c>
      <c r="AJ247" s="61">
        <f>'Filter-new'!L232</f>
        <v>0</v>
      </c>
      <c r="AK247" s="62">
        <f>'price-old'!L111</f>
        <v>56.64</v>
      </c>
      <c r="AL247" s="62">
        <f>'price-new'!L111</f>
        <v>31.39</v>
      </c>
      <c r="AM247" s="62">
        <f>'Filter-new'!L721</f>
        <v>0</v>
      </c>
      <c r="AN247" s="62">
        <f>VLOOKUP(B247,[1]Offpeak_Forward!$A$1:$AG$231,18,FALSE)</f>
        <v>25.6146945953369</v>
      </c>
      <c r="AO247" s="45">
        <f>'Filter-old'!G232</f>
        <v>0</v>
      </c>
      <c r="AP247" s="61">
        <f>'Filter-new'!G232</f>
        <v>0</v>
      </c>
      <c r="AQ247" s="62">
        <f>'price-old'!G111</f>
        <v>33.499996185302734</v>
      </c>
      <c r="AR247" s="62">
        <f>'price-new'!G111</f>
        <v>32.42</v>
      </c>
      <c r="AS247" s="45"/>
      <c r="AT247" s="61">
        <f t="shared" si="27"/>
        <v>0</v>
      </c>
      <c r="AU247" s="62"/>
      <c r="AV247" s="62">
        <f t="shared" si="28"/>
        <v>0</v>
      </c>
      <c r="AW247" s="45">
        <f>'Filter-old'!I232</f>
        <v>0</v>
      </c>
      <c r="AX247" s="61">
        <f>'Filter-new'!I232</f>
        <v>0</v>
      </c>
      <c r="AY247" s="62">
        <f>'price-old'!I111</f>
        <v>34.166431427001953</v>
      </c>
      <c r="AZ247" s="62">
        <f>'price-new'!I111</f>
        <v>28.99</v>
      </c>
      <c r="BA247" s="62">
        <f>'Filter-new'!I721</f>
        <v>0</v>
      </c>
      <c r="BB247" s="62">
        <f>VLOOKUP(B247,[1]Offpeak_Forward!$A$1:$AG$231,15,FALSE)</f>
        <v>17.6475505828857</v>
      </c>
      <c r="BC247" s="45">
        <f>'Filter-old'!K232</f>
        <v>0</v>
      </c>
      <c r="BD247" s="61">
        <f>'Filter-new'!K232</f>
        <v>0</v>
      </c>
      <c r="BE247" s="62">
        <f>'price-old'!K111</f>
        <v>39.1</v>
      </c>
      <c r="BF247" s="62">
        <f>'price-new'!K111</f>
        <v>35.25</v>
      </c>
      <c r="BG247" s="45">
        <f>'Filter-old'!M232</f>
        <v>0</v>
      </c>
      <c r="BH247" s="61"/>
      <c r="BI247" s="61"/>
      <c r="BJ247" s="61">
        <f>'Filter-new'!M232</f>
        <v>0</v>
      </c>
      <c r="BK247" s="62">
        <f>'price-old'!M111</f>
        <v>32</v>
      </c>
      <c r="BL247" s="62">
        <f>'price-new'!M111</f>
        <v>31.75</v>
      </c>
      <c r="BM247" s="62"/>
      <c r="BN247" s="406">
        <f>'Filter-new'!N232</f>
        <v>0</v>
      </c>
      <c r="BO247" s="62"/>
      <c r="BP247" s="62">
        <f>'price-new'!N111</f>
        <v>39.5</v>
      </c>
      <c r="BQ247" s="45">
        <f>'Filter-old'!O232</f>
        <v>0</v>
      </c>
      <c r="BR247" s="61">
        <f>'Filter-new'!O232</f>
        <v>0</v>
      </c>
      <c r="BS247" s="62">
        <f>'price-old'!N111</f>
        <v>36.498935699462891</v>
      </c>
      <c r="BT247" s="62">
        <f>'price-new'!O111</f>
        <v>29.39</v>
      </c>
      <c r="BU247" s="45">
        <f>'Filter-old'!Q232</f>
        <v>0</v>
      </c>
      <c r="BV247" s="61">
        <f>'Filter-new'!Q232</f>
        <v>0</v>
      </c>
      <c r="BW247" s="62">
        <f>'price-old'!P111</f>
        <v>32.953929901123047</v>
      </c>
      <c r="BX247" s="88">
        <f>'price-new'!Q111</f>
        <v>28.692</v>
      </c>
      <c r="BY247" s="88">
        <f>'Filter-new'!Q721</f>
        <v>0</v>
      </c>
      <c r="BZ247" s="88">
        <f>VLOOKUP(B247,[1]Offpeak_Forward!$A$1:$AG$231,22,FALSE)</f>
        <v>21.518774032592798</v>
      </c>
      <c r="CA247" s="45">
        <f>'Filter-old'!R232</f>
        <v>0</v>
      </c>
      <c r="CB247" s="61">
        <f>'Filter-new'!R232</f>
        <v>0</v>
      </c>
      <c r="CC247" s="61">
        <f>'price-old'!Q111</f>
        <v>32</v>
      </c>
      <c r="CD247" s="89">
        <f>'price-new'!R111</f>
        <v>30.75</v>
      </c>
      <c r="CE247" s="87">
        <f>'Filter-new'!R721</f>
        <v>0</v>
      </c>
      <c r="CF247" s="87">
        <f>VLOOKUP(B247,[1]Offpeak_Forward!$A$1:$AG$231,6,FALSE)</f>
        <v>27.783632278442401</v>
      </c>
      <c r="CG247" s="4"/>
    </row>
    <row r="248" spans="1:85" hidden="1" x14ac:dyDescent="0.2">
      <c r="A248">
        <v>0</v>
      </c>
      <c r="B248" s="59">
        <v>40179</v>
      </c>
      <c r="C248" s="59">
        <f>'Filter-new'!C111</f>
        <v>40179</v>
      </c>
      <c r="D248" s="63"/>
      <c r="E248" s="63"/>
      <c r="F248" s="63"/>
      <c r="G248" s="36">
        <f t="shared" si="24"/>
        <v>-100</v>
      </c>
      <c r="H248" s="36">
        <f t="shared" si="25"/>
        <v>-67.451218749999995</v>
      </c>
      <c r="I248" s="36">
        <f t="shared" si="26"/>
        <v>-41.509433962264154</v>
      </c>
      <c r="J248" s="41"/>
      <c r="K248" s="45">
        <f>'Filter-old'!E233</f>
        <v>0</v>
      </c>
      <c r="L248" s="61">
        <f>'Filter-new'!E233</f>
        <v>32.548781250000005</v>
      </c>
      <c r="M248" s="62">
        <f>'price-old'!E112</f>
        <v>40.281435285295757</v>
      </c>
      <c r="N248" s="62">
        <f>'price-new'!E112</f>
        <v>31.38</v>
      </c>
      <c r="O248" s="429">
        <f>'Filter-new'!E722</f>
        <v>0</v>
      </c>
      <c r="P248" s="62">
        <f>VLOOKUP(B248,[1]Offpeak_Forward!$A$1:$AG$231,13,FALSE)</f>
        <v>25.436225891113299</v>
      </c>
      <c r="Q248" s="45">
        <f>'Filter-old'!H233</f>
        <v>-100</v>
      </c>
      <c r="R248" s="61">
        <f>'Filter-new'!H233</f>
        <v>-100</v>
      </c>
      <c r="S248" s="62">
        <f>'price-old'!H112</f>
        <v>43.230865478515625</v>
      </c>
      <c r="T248" s="62">
        <f>'price-new'!H112</f>
        <v>29.83</v>
      </c>
      <c r="U248" s="445">
        <f>'Filter-new'!H722</f>
        <v>-41.509433962264154</v>
      </c>
      <c r="V248" s="62">
        <f>VLOOKUP(B248,[1]Offpeak_Forward!$A$1:$AG$231,14,FALSE)</f>
        <v>25.125471115112301</v>
      </c>
      <c r="W248" s="45">
        <f>'Filter-old'!J233</f>
        <v>0</v>
      </c>
      <c r="X248" s="61">
        <f>'Filter-new'!J233</f>
        <v>0</v>
      </c>
      <c r="Y248" s="62">
        <f>'price-old'!J112</f>
        <v>51.298839569091797</v>
      </c>
      <c r="Z248" s="62">
        <f>'price-new'!J112</f>
        <v>31.88</v>
      </c>
      <c r="AA248" s="45">
        <f>'Filter-old'!F233</f>
        <v>0</v>
      </c>
      <c r="AB248" s="61">
        <f>'Filter-new'!F233</f>
        <v>0</v>
      </c>
      <c r="AC248" s="62">
        <f>'price-old'!F112</f>
        <v>40.281435285295757</v>
      </c>
      <c r="AD248" s="62">
        <f>'price-new'!F112</f>
        <v>31.88</v>
      </c>
      <c r="AE248" s="45">
        <f>'Filter-old'!P233</f>
        <v>0</v>
      </c>
      <c r="AF248" s="61">
        <f>'Filter-new'!P233</f>
        <v>0</v>
      </c>
      <c r="AG248" s="62">
        <f>'price-old'!O112</f>
        <v>39.782863616943359</v>
      </c>
      <c r="AH248" s="62">
        <f>'price-new'!P112</f>
        <v>37.08</v>
      </c>
      <c r="AI248" s="45">
        <f>'Filter-old'!L233</f>
        <v>0</v>
      </c>
      <c r="AJ248" s="61">
        <f>'Filter-new'!L233</f>
        <v>0</v>
      </c>
      <c r="AK248" s="62">
        <f>'price-old'!L112</f>
        <v>68.849999999999994</v>
      </c>
      <c r="AL248" s="62">
        <f>'price-new'!L112</f>
        <v>34.99</v>
      </c>
      <c r="AM248" s="62">
        <f>'Filter-new'!L722</f>
        <v>0</v>
      </c>
      <c r="AN248" s="62">
        <f>VLOOKUP(B248,[1]Offpeak_Forward!$A$1:$AG$231,18,FALSE)</f>
        <v>29.1707553863525</v>
      </c>
      <c r="AO248" s="45">
        <f>'Filter-old'!G233</f>
        <v>0</v>
      </c>
      <c r="AP248" s="61">
        <f>'Filter-new'!G233</f>
        <v>0</v>
      </c>
      <c r="AQ248" s="62">
        <f>'price-old'!G112</f>
        <v>40.969999694824217</v>
      </c>
      <c r="AR248" s="62">
        <f>'price-new'!G112</f>
        <v>33.82</v>
      </c>
      <c r="AS248" s="45"/>
      <c r="AT248" s="61">
        <f t="shared" si="27"/>
        <v>0</v>
      </c>
      <c r="AU248" s="62"/>
      <c r="AV248" s="62">
        <f t="shared" si="28"/>
        <v>0</v>
      </c>
      <c r="AW248" s="45">
        <f>'Filter-old'!I233</f>
        <v>0</v>
      </c>
      <c r="AX248" s="61">
        <f>'Filter-new'!I233</f>
        <v>0</v>
      </c>
      <c r="AY248" s="62">
        <f>'price-old'!I112</f>
        <v>39.407863616943359</v>
      </c>
      <c r="AZ248" s="62">
        <f>'price-new'!I112</f>
        <v>30.88</v>
      </c>
      <c r="BA248" s="62">
        <f>'Filter-new'!I722</f>
        <v>0</v>
      </c>
      <c r="BB248" s="62">
        <f>VLOOKUP(B248,[1]Offpeak_Forward!$A$1:$AG$231,15,FALSE)</f>
        <v>21.4975471496582</v>
      </c>
      <c r="BC248" s="45">
        <f>'Filter-old'!K233</f>
        <v>0</v>
      </c>
      <c r="BD248" s="61">
        <f>'Filter-new'!K233</f>
        <v>0</v>
      </c>
      <c r="BE248" s="62">
        <f>'price-old'!K112</f>
        <v>51.6</v>
      </c>
      <c r="BF248" s="62">
        <f>'price-new'!K112</f>
        <v>44.75</v>
      </c>
      <c r="BG248" s="45">
        <f>'Filter-old'!M233</f>
        <v>0</v>
      </c>
      <c r="BH248" s="61"/>
      <c r="BI248" s="61"/>
      <c r="BJ248" s="61">
        <f>'Filter-new'!M233</f>
        <v>0</v>
      </c>
      <c r="BK248" s="62">
        <f>'price-old'!M112</f>
        <v>38.25</v>
      </c>
      <c r="BL248" s="62">
        <f>'price-new'!M112</f>
        <v>35</v>
      </c>
      <c r="BM248" s="62"/>
      <c r="BN248" s="406">
        <f>'Filter-new'!N233</f>
        <v>0</v>
      </c>
      <c r="BO248" s="62"/>
      <c r="BP248" s="62">
        <f>'price-new'!N112</f>
        <v>45</v>
      </c>
      <c r="BQ248" s="45">
        <f>'Filter-old'!O233</f>
        <v>0</v>
      </c>
      <c r="BR248" s="61">
        <f>'Filter-new'!O233</f>
        <v>0</v>
      </c>
      <c r="BS248" s="62">
        <f>'price-old'!N112</f>
        <v>42.500717163085938</v>
      </c>
      <c r="BT248" s="62">
        <f>'price-new'!O112</f>
        <v>32.58</v>
      </c>
      <c r="BU248" s="45">
        <f>'Filter-old'!Q233</f>
        <v>0</v>
      </c>
      <c r="BV248" s="61">
        <f>'Filter-new'!Q233</f>
        <v>0</v>
      </c>
      <c r="BW248" s="62">
        <f>'price-old'!P112</f>
        <v>39.882862091064453</v>
      </c>
      <c r="BX248" s="88">
        <f>'price-new'!Q112</f>
        <v>30.852</v>
      </c>
      <c r="BY248" s="88">
        <f>'Filter-new'!Q722</f>
        <v>0</v>
      </c>
      <c r="BZ248" s="88">
        <f>VLOOKUP(B248,[1]Offpeak_Forward!$A$1:$AG$231,22,FALSE)</f>
        <v>21.800376892089801</v>
      </c>
      <c r="CA248" s="45">
        <f>'Filter-old'!R233</f>
        <v>0</v>
      </c>
      <c r="CB248" s="61">
        <f>'Filter-new'!R233</f>
        <v>0</v>
      </c>
      <c r="CC248" s="61">
        <f>'price-old'!Q112</f>
        <v>38.25</v>
      </c>
      <c r="CD248" s="89">
        <f>'price-new'!R112</f>
        <v>33.25</v>
      </c>
      <c r="CE248" s="87">
        <f>'Filter-new'!R722</f>
        <v>0</v>
      </c>
      <c r="CF248" s="87">
        <f>VLOOKUP(B248,[1]Offpeak_Forward!$A$1:$AG$231,6,FALSE)</f>
        <v>21.730718612670898</v>
      </c>
      <c r="CG248" s="4"/>
    </row>
    <row r="249" spans="1:85" hidden="1" x14ac:dyDescent="0.2">
      <c r="A249">
        <v>0</v>
      </c>
      <c r="B249" s="59">
        <v>40210</v>
      </c>
      <c r="C249" s="59">
        <f>'Filter-new'!C112</f>
        <v>40210</v>
      </c>
      <c r="D249" s="63"/>
      <c r="E249" s="63"/>
      <c r="F249" s="63"/>
      <c r="G249" s="36">
        <f t="shared" si="24"/>
        <v>-100</v>
      </c>
      <c r="H249" s="36">
        <f t="shared" si="25"/>
        <v>-67.605906250000004</v>
      </c>
      <c r="I249" s="36">
        <f t="shared" si="26"/>
        <v>-53.409090909090907</v>
      </c>
      <c r="J249" s="41"/>
      <c r="K249" s="45">
        <f>'Filter-old'!E234</f>
        <v>0</v>
      </c>
      <c r="L249" s="61">
        <f>'Filter-new'!E234</f>
        <v>32.394093750000003</v>
      </c>
      <c r="M249" s="62">
        <f>'price-old'!E113</f>
        <v>39.931432996477398</v>
      </c>
      <c r="N249" s="62">
        <f>'price-new'!E113</f>
        <v>30.83</v>
      </c>
      <c r="O249" s="429">
        <f>'Filter-new'!E723</f>
        <v>0</v>
      </c>
      <c r="P249" s="62">
        <f>VLOOKUP(B249,[1]Offpeak_Forward!$A$1:$AG$231,13,FALSE)</f>
        <v>23.0345458984375</v>
      </c>
      <c r="Q249" s="45">
        <f>'Filter-old'!H234</f>
        <v>-100</v>
      </c>
      <c r="R249" s="61">
        <f>'Filter-new'!H234</f>
        <v>-100</v>
      </c>
      <c r="S249" s="62">
        <f>'price-old'!H113</f>
        <v>43.882862091064453</v>
      </c>
      <c r="T249" s="62">
        <f>'price-new'!H113</f>
        <v>29.28</v>
      </c>
      <c r="U249" s="445">
        <f>'Filter-new'!H723</f>
        <v>-53.409090909090907</v>
      </c>
      <c r="V249" s="62">
        <f>VLOOKUP(B249,[1]Offpeak_Forward!$A$1:$AG$231,14,FALSE)</f>
        <v>22.759090423583999</v>
      </c>
      <c r="W249" s="45">
        <f>'Filter-old'!J234</f>
        <v>0</v>
      </c>
      <c r="X249" s="61">
        <f>'Filter-new'!J234</f>
        <v>0</v>
      </c>
      <c r="Y249" s="62">
        <f>'price-old'!J113</f>
        <v>49.298839569091797</v>
      </c>
      <c r="Z249" s="62">
        <f>'price-new'!J113</f>
        <v>31.33</v>
      </c>
      <c r="AA249" s="45">
        <f>'Filter-old'!F234</f>
        <v>0</v>
      </c>
      <c r="AB249" s="61">
        <f>'Filter-new'!F234</f>
        <v>0</v>
      </c>
      <c r="AC249" s="62">
        <f>'price-old'!F113</f>
        <v>39.931432996477398</v>
      </c>
      <c r="AD249" s="62">
        <f>'price-new'!F113</f>
        <v>31.33</v>
      </c>
      <c r="AE249" s="45">
        <f>'Filter-old'!P234</f>
        <v>0</v>
      </c>
      <c r="AF249" s="61">
        <f>'Filter-new'!P234</f>
        <v>0</v>
      </c>
      <c r="AG249" s="62">
        <f>'price-old'!O113</f>
        <v>39.432861328125</v>
      </c>
      <c r="AH249" s="62">
        <f>'price-new'!P113</f>
        <v>37.53</v>
      </c>
      <c r="AI249" s="45">
        <f>'Filter-old'!L234</f>
        <v>0</v>
      </c>
      <c r="AJ249" s="61">
        <f>'Filter-new'!L234</f>
        <v>0</v>
      </c>
      <c r="AK249" s="62">
        <f>'price-old'!L113</f>
        <v>68.849999999999994</v>
      </c>
      <c r="AL249" s="62">
        <f>'price-new'!L113</f>
        <v>34.619999999999997</v>
      </c>
      <c r="AM249" s="62">
        <f>'Filter-new'!L723</f>
        <v>0</v>
      </c>
      <c r="AN249" s="62">
        <f>VLOOKUP(B249,[1]Offpeak_Forward!$A$1:$AG$231,18,FALSE)</f>
        <v>27.053636550903299</v>
      </c>
      <c r="AO249" s="45">
        <f>'Filter-old'!G234</f>
        <v>0</v>
      </c>
      <c r="AP249" s="61">
        <f>'Filter-new'!G234</f>
        <v>0</v>
      </c>
      <c r="AQ249" s="62">
        <f>'price-old'!G113</f>
        <v>39.819994354248045</v>
      </c>
      <c r="AR249" s="62">
        <f>'price-new'!G113</f>
        <v>33.07</v>
      </c>
      <c r="AS249" s="45"/>
      <c r="AT249" s="61">
        <f t="shared" si="27"/>
        <v>0</v>
      </c>
      <c r="AU249" s="62"/>
      <c r="AV249" s="62">
        <f t="shared" si="28"/>
        <v>0</v>
      </c>
      <c r="AW249" s="45">
        <f>'Filter-old'!I234</f>
        <v>0</v>
      </c>
      <c r="AX249" s="61">
        <f>'Filter-new'!I234</f>
        <v>0</v>
      </c>
      <c r="AY249" s="62">
        <f>'price-old'!I113</f>
        <v>38.932861328125</v>
      </c>
      <c r="AZ249" s="62">
        <f>'price-new'!I113</f>
        <v>30.33</v>
      </c>
      <c r="BA249" s="62">
        <f>'Filter-new'!I723</f>
        <v>0</v>
      </c>
      <c r="BB249" s="62">
        <f>VLOOKUP(B249,[1]Offpeak_Forward!$A$1:$AG$231,15,FALSE)</f>
        <v>21.5572719573975</v>
      </c>
      <c r="BC249" s="45">
        <f>'Filter-old'!K234</f>
        <v>0</v>
      </c>
      <c r="BD249" s="61">
        <f>'Filter-new'!K234</f>
        <v>0</v>
      </c>
      <c r="BE249" s="62">
        <f>'price-old'!K113</f>
        <v>51.6</v>
      </c>
      <c r="BF249" s="62">
        <f>'price-new'!K113</f>
        <v>44.75</v>
      </c>
      <c r="BG249" s="45">
        <f>'Filter-old'!M234</f>
        <v>0</v>
      </c>
      <c r="BH249" s="61"/>
      <c r="BI249" s="61"/>
      <c r="BJ249" s="61">
        <f>'Filter-new'!M234</f>
        <v>0</v>
      </c>
      <c r="BK249" s="62">
        <f>'price-old'!M113</f>
        <v>38.25</v>
      </c>
      <c r="BL249" s="62">
        <f>'price-new'!M113</f>
        <v>35</v>
      </c>
      <c r="BM249" s="62"/>
      <c r="BN249" s="406">
        <f>'Filter-new'!N234</f>
        <v>0</v>
      </c>
      <c r="BO249" s="62"/>
      <c r="BP249" s="62">
        <f>'price-new'!N113</f>
        <v>45</v>
      </c>
      <c r="BQ249" s="45">
        <f>'Filter-old'!O234</f>
        <v>0</v>
      </c>
      <c r="BR249" s="61">
        <f>'Filter-new'!O234</f>
        <v>0</v>
      </c>
      <c r="BS249" s="62">
        <f>'price-old'!N113</f>
        <v>42.745723724365234</v>
      </c>
      <c r="BT249" s="62">
        <f>'price-new'!O113</f>
        <v>31.69</v>
      </c>
      <c r="BU249" s="45">
        <f>'Filter-old'!Q234</f>
        <v>0</v>
      </c>
      <c r="BV249" s="61">
        <f>'Filter-new'!Q234</f>
        <v>0</v>
      </c>
      <c r="BW249" s="62">
        <f>'price-old'!P113</f>
        <v>39.532859802246094</v>
      </c>
      <c r="BX249" s="88">
        <f>'price-new'!Q113</f>
        <v>30.715</v>
      </c>
      <c r="BY249" s="88">
        <f>'Filter-new'!Q723</f>
        <v>0</v>
      </c>
      <c r="BZ249" s="88">
        <f>VLOOKUP(B249,[1]Offpeak_Forward!$A$1:$AG$231,22,FALSE)</f>
        <v>21.521816253662099</v>
      </c>
      <c r="CA249" s="45">
        <f>'Filter-old'!R234</f>
        <v>0</v>
      </c>
      <c r="CB249" s="61">
        <f>'Filter-new'!R234</f>
        <v>0</v>
      </c>
      <c r="CC249" s="61">
        <f>'price-old'!Q113</f>
        <v>38.25</v>
      </c>
      <c r="CD249" s="89">
        <f>'price-new'!R113</f>
        <v>33.25</v>
      </c>
      <c r="CE249" s="87">
        <f>'Filter-new'!R723</f>
        <v>0</v>
      </c>
      <c r="CF249" s="87">
        <f>VLOOKUP(B249,[1]Offpeak_Forward!$A$1:$AG$231,6,FALSE)</f>
        <v>22.034364700317401</v>
      </c>
      <c r="CG249" s="4"/>
    </row>
    <row r="250" spans="1:85" hidden="1" x14ac:dyDescent="0.2">
      <c r="A250">
        <v>0</v>
      </c>
      <c r="B250" s="59">
        <v>40238</v>
      </c>
      <c r="C250" s="59">
        <f>'Filter-new'!C113</f>
        <v>40238</v>
      </c>
      <c r="D250" s="63"/>
      <c r="E250" s="63"/>
      <c r="F250" s="63"/>
      <c r="G250" s="36">
        <f t="shared" si="24"/>
        <v>-100</v>
      </c>
      <c r="H250" s="36">
        <f t="shared" si="25"/>
        <v>-67.77687499999999</v>
      </c>
      <c r="I250" s="36">
        <f t="shared" si="26"/>
        <v>-48.803191489361701</v>
      </c>
      <c r="J250" s="41"/>
      <c r="K250" s="45">
        <f>'Filter-old'!E235</f>
        <v>0</v>
      </c>
      <c r="L250" s="61">
        <f>'Filter-new'!E235</f>
        <v>32.223125000000003</v>
      </c>
      <c r="M250" s="62">
        <f>'price-old'!E114</f>
        <v>34.895177264546241</v>
      </c>
      <c r="N250" s="62">
        <f>'price-new'!E114</f>
        <v>29.46</v>
      </c>
      <c r="O250" s="429">
        <f>'Filter-new'!E724</f>
        <v>0</v>
      </c>
      <c r="P250" s="62">
        <f>VLOOKUP(B250,[1]Offpeak_Forward!$A$1:$AG$231,13,FALSE)</f>
        <v>22.137872695922901</v>
      </c>
      <c r="Q250" s="45">
        <f>'Filter-old'!H235</f>
        <v>-100</v>
      </c>
      <c r="R250" s="61">
        <f>'Filter-new'!H235</f>
        <v>-100</v>
      </c>
      <c r="S250" s="62">
        <f>'price-old'!H114</f>
        <v>36.848545074462891</v>
      </c>
      <c r="T250" s="62">
        <f>'price-new'!H114</f>
        <v>27.91</v>
      </c>
      <c r="U250" s="445">
        <f>'Filter-new'!H724</f>
        <v>-48.803191489361701</v>
      </c>
      <c r="V250" s="62">
        <f>VLOOKUP(B250,[1]Offpeak_Forward!$A$1:$AG$231,14,FALSE)</f>
        <v>21.864042282104499</v>
      </c>
      <c r="W250" s="45">
        <f>'Filter-old'!J235</f>
        <v>0</v>
      </c>
      <c r="X250" s="61">
        <f>'Filter-new'!J235</f>
        <v>0</v>
      </c>
      <c r="Y250" s="62">
        <f>'price-old'!J114</f>
        <v>41.546916961669922</v>
      </c>
      <c r="Z250" s="62">
        <f>'price-new'!J114</f>
        <v>30.21</v>
      </c>
      <c r="AA250" s="45">
        <f>'Filter-old'!F235</f>
        <v>0</v>
      </c>
      <c r="AB250" s="61">
        <f>'Filter-new'!F235</f>
        <v>0</v>
      </c>
      <c r="AC250" s="62">
        <f>'price-old'!F114</f>
        <v>34.895177264546241</v>
      </c>
      <c r="AD250" s="62">
        <f>'price-new'!F114</f>
        <v>30.21</v>
      </c>
      <c r="AE250" s="45">
        <f>'Filter-old'!P235</f>
        <v>0</v>
      </c>
      <c r="AF250" s="61">
        <f>'Filter-new'!P235</f>
        <v>0</v>
      </c>
      <c r="AG250" s="62">
        <f>'price-old'!O114</f>
        <v>34.148544311523438</v>
      </c>
      <c r="AH250" s="62">
        <f>'price-new'!P114</f>
        <v>34.409999999999997</v>
      </c>
      <c r="AI250" s="45">
        <f>'Filter-old'!L235</f>
        <v>0</v>
      </c>
      <c r="AJ250" s="61">
        <f>'Filter-new'!L235</f>
        <v>0</v>
      </c>
      <c r="AK250" s="62">
        <f>'price-old'!L114</f>
        <v>55.85</v>
      </c>
      <c r="AL250" s="62">
        <f>'price-new'!L114</f>
        <v>32.979999999999997</v>
      </c>
      <c r="AM250" s="62">
        <f>'Filter-new'!L724</f>
        <v>0</v>
      </c>
      <c r="AN250" s="62">
        <f>VLOOKUP(B250,[1]Offpeak_Forward!$A$1:$AG$231,18,FALSE)</f>
        <v>26.285320281982401</v>
      </c>
      <c r="AO250" s="45">
        <f>'Filter-old'!G235</f>
        <v>0</v>
      </c>
      <c r="AP250" s="61">
        <f>'Filter-new'!G235</f>
        <v>0</v>
      </c>
      <c r="AQ250" s="62">
        <f>'price-old'!G114</f>
        <v>36.34999313354492</v>
      </c>
      <c r="AR250" s="62">
        <f>'price-new'!G114</f>
        <v>31.506</v>
      </c>
      <c r="AS250" s="45"/>
      <c r="AT250" s="61">
        <f t="shared" si="27"/>
        <v>0</v>
      </c>
      <c r="AU250" s="62"/>
      <c r="AV250" s="62">
        <f t="shared" si="28"/>
        <v>0</v>
      </c>
      <c r="AW250" s="45">
        <f>'Filter-old'!I235</f>
        <v>0</v>
      </c>
      <c r="AX250" s="61">
        <f>'Filter-new'!I235</f>
        <v>0</v>
      </c>
      <c r="AY250" s="62">
        <f>'price-old'!I114</f>
        <v>35.023544311523438</v>
      </c>
      <c r="AZ250" s="62">
        <f>'price-new'!I114</f>
        <v>28.96</v>
      </c>
      <c r="BA250" s="62">
        <f>'Filter-new'!I724</f>
        <v>0</v>
      </c>
      <c r="BB250" s="62">
        <f>VLOOKUP(B250,[1]Offpeak_Forward!$A$1:$AG$231,15,FALSE)</f>
        <v>21.1112766265869</v>
      </c>
      <c r="BC250" s="45">
        <f>'Filter-old'!K235</f>
        <v>0</v>
      </c>
      <c r="BD250" s="61">
        <f>'Filter-new'!K235</f>
        <v>0</v>
      </c>
      <c r="BE250" s="62">
        <f>'price-old'!K114</f>
        <v>40.700000000000003</v>
      </c>
      <c r="BF250" s="62">
        <f>'price-new'!K114</f>
        <v>36.75</v>
      </c>
      <c r="BG250" s="45">
        <f>'Filter-old'!M235</f>
        <v>0</v>
      </c>
      <c r="BH250" s="61"/>
      <c r="BI250" s="61"/>
      <c r="BJ250" s="61">
        <f>'Filter-new'!M235</f>
        <v>0</v>
      </c>
      <c r="BK250" s="62">
        <f>'price-old'!M114</f>
        <v>34</v>
      </c>
      <c r="BL250" s="62">
        <f>'price-new'!M114</f>
        <v>32.5</v>
      </c>
      <c r="BM250" s="62"/>
      <c r="BN250" s="406">
        <f>'Filter-new'!N235</f>
        <v>0</v>
      </c>
      <c r="BO250" s="62"/>
      <c r="BP250" s="62">
        <f>'price-new'!N114</f>
        <v>40</v>
      </c>
      <c r="BQ250" s="45">
        <f>'Filter-old'!O235</f>
        <v>0</v>
      </c>
      <c r="BR250" s="61">
        <f>'Filter-new'!O235</f>
        <v>0</v>
      </c>
      <c r="BS250" s="62">
        <f>'price-old'!N114</f>
        <v>38.497505187988281</v>
      </c>
      <c r="BT250" s="62">
        <f>'price-new'!O114</f>
        <v>29.44</v>
      </c>
      <c r="BU250" s="45">
        <f>'Filter-old'!Q235</f>
        <v>0</v>
      </c>
      <c r="BV250" s="61">
        <f>'Filter-new'!Q235</f>
        <v>0</v>
      </c>
      <c r="BW250" s="62">
        <f>'price-old'!P114</f>
        <v>34.248542785644531</v>
      </c>
      <c r="BX250" s="88">
        <f>'price-new'!Q114</f>
        <v>30.466000000000001</v>
      </c>
      <c r="BY250" s="88">
        <f>'Filter-new'!Q724</f>
        <v>0</v>
      </c>
      <c r="BZ250" s="88">
        <f>VLOOKUP(B250,[1]Offpeak_Forward!$A$1:$AG$231,22,FALSE)</f>
        <v>21.040849685668899</v>
      </c>
      <c r="CA250" s="45">
        <f>'Filter-old'!R235</f>
        <v>0</v>
      </c>
      <c r="CB250" s="61">
        <f>'Filter-new'!R235</f>
        <v>0</v>
      </c>
      <c r="CC250" s="61">
        <f>'price-old'!Q114</f>
        <v>34</v>
      </c>
      <c r="CD250" s="89">
        <f>'price-new'!R114</f>
        <v>31</v>
      </c>
      <c r="CE250" s="87">
        <f>'Filter-new'!R724</f>
        <v>0</v>
      </c>
      <c r="CF250" s="87">
        <f>VLOOKUP(B250,[1]Offpeak_Forward!$A$1:$AG$231,6,FALSE)</f>
        <v>19.1108093261719</v>
      </c>
      <c r="CG250" s="4"/>
    </row>
    <row r="251" spans="1:85" hidden="1" x14ac:dyDescent="0.2">
      <c r="A251">
        <v>0</v>
      </c>
      <c r="B251" s="59">
        <v>40269</v>
      </c>
      <c r="C251" s="59">
        <f>'Filter-new'!C114</f>
        <v>40269</v>
      </c>
      <c r="D251" s="63"/>
      <c r="E251" s="63"/>
      <c r="F251" s="63"/>
      <c r="G251" s="36">
        <f t="shared" si="24"/>
        <v>-100</v>
      </c>
      <c r="H251" s="36">
        <f t="shared" si="25"/>
        <v>-67.941960227272716</v>
      </c>
      <c r="I251" s="36">
        <f t="shared" si="26"/>
        <v>-57.608695652173914</v>
      </c>
      <c r="J251" s="41"/>
      <c r="K251" s="45">
        <f>'Filter-old'!E236</f>
        <v>0</v>
      </c>
      <c r="L251" s="61">
        <f>'Filter-new'!E236</f>
        <v>32.058039772727277</v>
      </c>
      <c r="M251" s="62">
        <f>'price-old'!E115</f>
        <v>35.345178027485694</v>
      </c>
      <c r="N251" s="62">
        <f>'price-new'!E115</f>
        <v>29.42</v>
      </c>
      <c r="O251" s="429">
        <f>'Filter-new'!E725</f>
        <v>0</v>
      </c>
      <c r="P251" s="62">
        <f>VLOOKUP(B251,[1]Offpeak_Forward!$A$1:$AG$231,13,FALSE)</f>
        <v>18.959999084472699</v>
      </c>
      <c r="Q251" s="45">
        <f>'Filter-old'!H236</f>
        <v>-100</v>
      </c>
      <c r="R251" s="61">
        <f>'Filter-new'!H236</f>
        <v>-100</v>
      </c>
      <c r="S251" s="62">
        <f>'price-old'!H115</f>
        <v>36.848545074462891</v>
      </c>
      <c r="T251" s="62">
        <f>'price-new'!H115</f>
        <v>27.87</v>
      </c>
      <c r="U251" s="445">
        <f>'Filter-new'!H725</f>
        <v>-57.608695652173914</v>
      </c>
      <c r="V251" s="62">
        <f>VLOOKUP(B251,[1]Offpeak_Forward!$A$1:$AG$231,14,FALSE)</f>
        <v>18.685651779174801</v>
      </c>
      <c r="W251" s="45">
        <f>'Filter-old'!J236</f>
        <v>0</v>
      </c>
      <c r="X251" s="61">
        <f>'Filter-new'!J236</f>
        <v>0</v>
      </c>
      <c r="Y251" s="62">
        <f>'price-old'!J115</f>
        <v>39.446914672851563</v>
      </c>
      <c r="Z251" s="62">
        <f>'price-new'!J115</f>
        <v>30.17</v>
      </c>
      <c r="AA251" s="45">
        <f>'Filter-old'!F236</f>
        <v>0</v>
      </c>
      <c r="AB251" s="61">
        <f>'Filter-new'!F236</f>
        <v>0</v>
      </c>
      <c r="AC251" s="62">
        <f>'price-old'!F115</f>
        <v>35.345178027485694</v>
      </c>
      <c r="AD251" s="62">
        <f>'price-new'!F115</f>
        <v>30.17</v>
      </c>
      <c r="AE251" s="45">
        <f>'Filter-old'!P236</f>
        <v>0</v>
      </c>
      <c r="AF251" s="61">
        <f>'Filter-new'!P236</f>
        <v>0</v>
      </c>
      <c r="AG251" s="62">
        <f>'price-old'!O115</f>
        <v>34.598545074462891</v>
      </c>
      <c r="AH251" s="62">
        <f>'price-new'!P115</f>
        <v>33.92</v>
      </c>
      <c r="AI251" s="45">
        <f>'Filter-old'!L236</f>
        <v>0</v>
      </c>
      <c r="AJ251" s="61">
        <f>'Filter-new'!L236</f>
        <v>0</v>
      </c>
      <c r="AK251" s="62">
        <f>'price-old'!L115</f>
        <v>55.85</v>
      </c>
      <c r="AL251" s="62">
        <f>'price-new'!L115</f>
        <v>32.94</v>
      </c>
      <c r="AM251" s="62">
        <f>'Filter-new'!L725</f>
        <v>0</v>
      </c>
      <c r="AN251" s="62">
        <f>VLOOKUP(B251,[1]Offpeak_Forward!$A$1:$AG$231,18,FALSE)</f>
        <v>23.066522598266602</v>
      </c>
      <c r="AO251" s="45">
        <f>'Filter-old'!G236</f>
        <v>0</v>
      </c>
      <c r="AP251" s="61">
        <f>'Filter-new'!G236</f>
        <v>0</v>
      </c>
      <c r="AQ251" s="62">
        <f>'price-old'!G115</f>
        <v>34.949991607666014</v>
      </c>
      <c r="AR251" s="62">
        <f>'price-new'!G115</f>
        <v>32.29</v>
      </c>
      <c r="AS251" s="45"/>
      <c r="AT251" s="61">
        <f t="shared" si="27"/>
        <v>0</v>
      </c>
      <c r="AU251" s="62"/>
      <c r="AV251" s="62">
        <f t="shared" si="28"/>
        <v>0</v>
      </c>
      <c r="AW251" s="45">
        <f>'Filter-old'!I236</f>
        <v>0</v>
      </c>
      <c r="AX251" s="61">
        <f>'Filter-new'!I236</f>
        <v>0</v>
      </c>
      <c r="AY251" s="62">
        <f>'price-old'!I115</f>
        <v>35.098545074462891</v>
      </c>
      <c r="AZ251" s="62">
        <f>'price-new'!I115</f>
        <v>28.92</v>
      </c>
      <c r="BA251" s="62">
        <f>'Filter-new'!I725</f>
        <v>0</v>
      </c>
      <c r="BB251" s="62">
        <f>VLOOKUP(B251,[1]Offpeak_Forward!$A$1:$AG$231,15,FALSE)</f>
        <v>20.8621730804443</v>
      </c>
      <c r="BC251" s="45">
        <f>'Filter-old'!K236</f>
        <v>0</v>
      </c>
      <c r="BD251" s="61">
        <f>'Filter-new'!K236</f>
        <v>0</v>
      </c>
      <c r="BE251" s="62">
        <f>'price-old'!K115</f>
        <v>40.700000000000003</v>
      </c>
      <c r="BF251" s="62">
        <f>'price-new'!K115</f>
        <v>37</v>
      </c>
      <c r="BG251" s="45">
        <f>'Filter-old'!M236</f>
        <v>0</v>
      </c>
      <c r="BH251" s="61"/>
      <c r="BI251" s="61"/>
      <c r="BJ251" s="61">
        <f>'Filter-new'!M236</f>
        <v>0</v>
      </c>
      <c r="BK251" s="62">
        <f>'price-old'!M115</f>
        <v>33</v>
      </c>
      <c r="BL251" s="62">
        <f>'price-new'!M115</f>
        <v>32.5</v>
      </c>
      <c r="BM251" s="62"/>
      <c r="BN251" s="406">
        <f>'Filter-new'!N236</f>
        <v>0</v>
      </c>
      <c r="BO251" s="62"/>
      <c r="BP251" s="62">
        <f>'price-new'!N115</f>
        <v>40</v>
      </c>
      <c r="BQ251" s="45">
        <f>'Filter-old'!O236</f>
        <v>0</v>
      </c>
      <c r="BR251" s="61">
        <f>'Filter-new'!O236</f>
        <v>0</v>
      </c>
      <c r="BS251" s="62">
        <f>'price-old'!N115</f>
        <v>38.747501373291016</v>
      </c>
      <c r="BT251" s="62">
        <f>'price-new'!O115</f>
        <v>29.44</v>
      </c>
      <c r="BU251" s="45">
        <f>'Filter-old'!Q236</f>
        <v>0</v>
      </c>
      <c r="BV251" s="61">
        <f>'Filter-new'!Q236</f>
        <v>0</v>
      </c>
      <c r="BW251" s="62">
        <f>'price-old'!P115</f>
        <v>34.698543548583984</v>
      </c>
      <c r="BX251" s="88">
        <f>'price-new'!Q115</f>
        <v>30.466000000000001</v>
      </c>
      <c r="BY251" s="88">
        <f>'Filter-new'!Q725</f>
        <v>0</v>
      </c>
      <c r="BZ251" s="88">
        <f>VLOOKUP(B251,[1]Offpeak_Forward!$A$1:$AG$231,22,FALSE)</f>
        <v>21.0782585144043</v>
      </c>
      <c r="CA251" s="45">
        <f>'Filter-old'!R236</f>
        <v>0</v>
      </c>
      <c r="CB251" s="61">
        <f>'Filter-new'!R236</f>
        <v>0</v>
      </c>
      <c r="CC251" s="61">
        <f>'price-old'!Q115</f>
        <v>33</v>
      </c>
      <c r="CD251" s="89">
        <f>'price-new'!R115</f>
        <v>31</v>
      </c>
      <c r="CE251" s="87">
        <f>'Filter-new'!R725</f>
        <v>0</v>
      </c>
      <c r="CF251" s="87">
        <f>VLOOKUP(B251,[1]Offpeak_Forward!$A$1:$AG$231,6,FALSE)</f>
        <v>19.8824348449707</v>
      </c>
      <c r="CG251" s="4"/>
    </row>
    <row r="252" spans="1:85" hidden="1" x14ac:dyDescent="0.2">
      <c r="A252">
        <v>0</v>
      </c>
      <c r="B252" s="59">
        <v>40299</v>
      </c>
      <c r="C252" s="59">
        <f>'Filter-new'!C115</f>
        <v>40299</v>
      </c>
      <c r="D252" s="63"/>
      <c r="E252" s="63"/>
      <c r="F252" s="63"/>
      <c r="G252" s="36">
        <f t="shared" si="24"/>
        <v>-100</v>
      </c>
      <c r="H252" s="36">
        <f t="shared" si="25"/>
        <v>-68.112218749999997</v>
      </c>
      <c r="I252" s="36">
        <f t="shared" si="26"/>
        <v>-43.39622641509434</v>
      </c>
      <c r="J252" s="41"/>
      <c r="K252" s="45">
        <f>'Filter-old'!E237</f>
        <v>0</v>
      </c>
      <c r="L252" s="61">
        <f>'Filter-new'!E237</f>
        <v>31.88778125</v>
      </c>
      <c r="M252" s="62">
        <f>'price-old'!E116</f>
        <v>41.503570556640625</v>
      </c>
      <c r="N252" s="62">
        <f>'price-new'!E116</f>
        <v>32.590000000000003</v>
      </c>
      <c r="O252" s="429">
        <f>'Filter-new'!E726</f>
        <v>0</v>
      </c>
      <c r="P252" s="62">
        <f>VLOOKUP(B252,[1]Offpeak_Forward!$A$1:$AG$231,13,FALSE)</f>
        <v>19.1718864440918</v>
      </c>
      <c r="Q252" s="45">
        <f>'Filter-old'!H237</f>
        <v>-100</v>
      </c>
      <c r="R252" s="61">
        <f>'Filter-new'!H237</f>
        <v>-100</v>
      </c>
      <c r="S252" s="62">
        <f>'price-old'!H116</f>
        <v>37.553565979003906</v>
      </c>
      <c r="T252" s="62">
        <f>'price-new'!H116</f>
        <v>31.09</v>
      </c>
      <c r="U252" s="445">
        <f>'Filter-new'!H726</f>
        <v>-43.39622641509434</v>
      </c>
      <c r="V252" s="62">
        <f>VLOOKUP(B252,[1]Offpeak_Forward!$A$1:$AG$231,14,FALSE)</f>
        <v>18.919244766235401</v>
      </c>
      <c r="W252" s="45">
        <f>'Filter-old'!J237</f>
        <v>0</v>
      </c>
      <c r="X252" s="61">
        <f>'Filter-new'!J237</f>
        <v>0</v>
      </c>
      <c r="Y252" s="62">
        <f>'price-old'!J116</f>
        <v>42.081916809082024</v>
      </c>
      <c r="Z252" s="62">
        <f>'price-new'!J116</f>
        <v>33.590000000000003</v>
      </c>
      <c r="AA252" s="45">
        <f>'Filter-old'!F237</f>
        <v>0</v>
      </c>
      <c r="AB252" s="61">
        <f>'Filter-new'!F237</f>
        <v>0</v>
      </c>
      <c r="AC252" s="62">
        <f>'price-old'!F116</f>
        <v>41.503570556640625</v>
      </c>
      <c r="AD252" s="62">
        <f>'price-new'!F116</f>
        <v>33.590000000000003</v>
      </c>
      <c r="AE252" s="45">
        <f>'Filter-old'!P237</f>
        <v>0</v>
      </c>
      <c r="AF252" s="61">
        <f>'Filter-new'!P237</f>
        <v>0</v>
      </c>
      <c r="AG252" s="62">
        <f>'price-old'!O116</f>
        <v>42.853565216064453</v>
      </c>
      <c r="AH252" s="62">
        <f>'price-new'!P116</f>
        <v>31.89</v>
      </c>
      <c r="AI252" s="45">
        <f>'Filter-old'!L237</f>
        <v>0</v>
      </c>
      <c r="AJ252" s="61">
        <f>'Filter-new'!L237</f>
        <v>0</v>
      </c>
      <c r="AK252" s="62">
        <f>'price-old'!L116</f>
        <v>56.85</v>
      </c>
      <c r="AL252" s="62">
        <f>'price-new'!L116</f>
        <v>37.909999999999997</v>
      </c>
      <c r="AM252" s="62">
        <f>'Filter-new'!L726</f>
        <v>0</v>
      </c>
      <c r="AN252" s="62">
        <f>VLOOKUP(B252,[1]Offpeak_Forward!$A$1:$AG$231,18,FALSE)</f>
        <v>22.906414031982401</v>
      </c>
      <c r="AO252" s="45">
        <f>'Filter-old'!G237</f>
        <v>0</v>
      </c>
      <c r="AP252" s="61">
        <f>'Filter-new'!G237</f>
        <v>0</v>
      </c>
      <c r="AQ252" s="62">
        <f>'price-old'!G116</f>
        <v>38.400009155273438</v>
      </c>
      <c r="AR252" s="62">
        <f>'price-new'!G116</f>
        <v>34.25</v>
      </c>
      <c r="AS252" s="45"/>
      <c r="AT252" s="61">
        <f t="shared" si="27"/>
        <v>0</v>
      </c>
      <c r="AU252" s="62"/>
      <c r="AV252" s="62">
        <f t="shared" si="28"/>
        <v>0</v>
      </c>
      <c r="AW252" s="45">
        <f>'Filter-old'!I237</f>
        <v>0</v>
      </c>
      <c r="AX252" s="61">
        <f>'Filter-new'!I237</f>
        <v>0</v>
      </c>
      <c r="AY252" s="62">
        <f>'price-old'!I116</f>
        <v>36.503566741943359</v>
      </c>
      <c r="AZ252" s="62">
        <f>'price-new'!I116</f>
        <v>32.090000000000003</v>
      </c>
      <c r="BA252" s="62">
        <f>'Filter-new'!I726</f>
        <v>0</v>
      </c>
      <c r="BB252" s="62">
        <f>VLOOKUP(B252,[1]Offpeak_Forward!$A$1:$AG$231,15,FALSE)</f>
        <v>22.643774032592798</v>
      </c>
      <c r="BC252" s="45">
        <f>'Filter-old'!K237</f>
        <v>0</v>
      </c>
      <c r="BD252" s="61">
        <f>'Filter-new'!K237</f>
        <v>0</v>
      </c>
      <c r="BE252" s="62">
        <f>'price-old'!K116</f>
        <v>40.700000000000003</v>
      </c>
      <c r="BF252" s="62">
        <f>'price-new'!K116</f>
        <v>37</v>
      </c>
      <c r="BG252" s="45">
        <f>'Filter-old'!M237</f>
        <v>0</v>
      </c>
      <c r="BH252" s="61"/>
      <c r="BI252" s="61"/>
      <c r="BJ252" s="61">
        <f>'Filter-new'!M237</f>
        <v>0</v>
      </c>
      <c r="BK252" s="62">
        <f>'price-old'!M116</f>
        <v>37</v>
      </c>
      <c r="BL252" s="62">
        <f>'price-new'!M116</f>
        <v>33.75</v>
      </c>
      <c r="BM252" s="62"/>
      <c r="BN252" s="406">
        <f>'Filter-new'!N237</f>
        <v>0</v>
      </c>
      <c r="BO252" s="62"/>
      <c r="BP252" s="62">
        <f>'price-new'!N116</f>
        <v>42</v>
      </c>
      <c r="BQ252" s="45">
        <f>'Filter-old'!O237</f>
        <v>0</v>
      </c>
      <c r="BR252" s="61">
        <f>'Filter-new'!O237</f>
        <v>0</v>
      </c>
      <c r="BS252" s="62">
        <f>'price-old'!N116</f>
        <v>43.753570556640625</v>
      </c>
      <c r="BT252" s="62">
        <f>'price-new'!O116</f>
        <v>33.64</v>
      </c>
      <c r="BU252" s="45">
        <f>'Filter-old'!Q237</f>
        <v>0</v>
      </c>
      <c r="BV252" s="61">
        <f>'Filter-new'!Q237</f>
        <v>0</v>
      </c>
      <c r="BW252" s="62">
        <f>'price-old'!P116</f>
        <v>35.603565216064453</v>
      </c>
      <c r="BX252" s="88">
        <f>'price-new'!Q116</f>
        <v>34.320999999999998</v>
      </c>
      <c r="BY252" s="88">
        <f>'Filter-new'!Q726</f>
        <v>0</v>
      </c>
      <c r="BZ252" s="88">
        <f>VLOOKUP(B252,[1]Offpeak_Forward!$A$1:$AG$231,22,FALSE)</f>
        <v>22.6022624969482</v>
      </c>
      <c r="CA252" s="45">
        <f>'Filter-old'!R237</f>
        <v>0</v>
      </c>
      <c r="CB252" s="61">
        <f>'Filter-new'!R237</f>
        <v>0</v>
      </c>
      <c r="CC252" s="61">
        <f>'price-old'!Q116</f>
        <v>37</v>
      </c>
      <c r="CD252" s="89">
        <f>'price-new'!R116</f>
        <v>33</v>
      </c>
      <c r="CE252" s="87">
        <f>'Filter-new'!R726</f>
        <v>0</v>
      </c>
      <c r="CF252" s="87">
        <f>VLOOKUP(B252,[1]Offpeak_Forward!$A$1:$AG$231,6,FALSE)</f>
        <v>20.934303283691399</v>
      </c>
      <c r="CG252" s="4"/>
    </row>
    <row r="253" spans="1:85" hidden="1" x14ac:dyDescent="0.2">
      <c r="A253">
        <v>0</v>
      </c>
      <c r="B253" s="59">
        <v>40330</v>
      </c>
      <c r="C253" s="59">
        <f>'Filter-new'!C116</f>
        <v>40330</v>
      </c>
      <c r="D253" s="63"/>
      <c r="E253" s="63"/>
      <c r="F253" s="63"/>
      <c r="G253" s="36">
        <f t="shared" si="24"/>
        <v>-100</v>
      </c>
      <c r="H253" s="36">
        <f t="shared" si="25"/>
        <v>-68.276647727272717</v>
      </c>
      <c r="I253" s="36">
        <f t="shared" si="26"/>
        <v>-55.434782608695649</v>
      </c>
      <c r="J253" s="41"/>
      <c r="K253" s="45">
        <f>'Filter-old'!E238</f>
        <v>0</v>
      </c>
      <c r="L253" s="61">
        <f>'Filter-new'!E238</f>
        <v>31.723352272727276</v>
      </c>
      <c r="M253" s="62">
        <f>'price-old'!E117</f>
        <v>40.252857208251953</v>
      </c>
      <c r="N253" s="62">
        <f>'price-new'!E117</f>
        <v>38.75</v>
      </c>
      <c r="O253" s="429">
        <f>'Filter-new'!E727</f>
        <v>0</v>
      </c>
      <c r="P253" s="62">
        <f>VLOOKUP(B253,[1]Offpeak_Forward!$A$1:$AG$231,13,FALSE)</f>
        <v>23.2717399597168</v>
      </c>
      <c r="Q253" s="45">
        <f>'Filter-old'!H238</f>
        <v>-100</v>
      </c>
      <c r="R253" s="61">
        <f>'Filter-new'!H238</f>
        <v>-100</v>
      </c>
      <c r="S253" s="62">
        <f>'price-old'!H117</f>
        <v>35.502857208251953</v>
      </c>
      <c r="T253" s="62">
        <f>'price-new'!H117</f>
        <v>37.1</v>
      </c>
      <c r="U253" s="445">
        <f>'Filter-new'!H727</f>
        <v>-55.434782608695649</v>
      </c>
      <c r="V253" s="62">
        <f>VLOOKUP(B253,[1]Offpeak_Forward!$A$1:$AG$231,14,FALSE)</f>
        <v>23.383478164672901</v>
      </c>
      <c r="W253" s="45">
        <f>'Filter-old'!J238</f>
        <v>0</v>
      </c>
      <c r="X253" s="61">
        <f>'Filter-new'!J238</f>
        <v>0</v>
      </c>
      <c r="Y253" s="62">
        <f>'price-old'!J117</f>
        <v>32.782302093505862</v>
      </c>
      <c r="Z253" s="62">
        <f>'price-new'!J117</f>
        <v>40.25</v>
      </c>
      <c r="AA253" s="45">
        <f>'Filter-old'!F238</f>
        <v>0</v>
      </c>
      <c r="AB253" s="61">
        <f>'Filter-new'!F238</f>
        <v>0</v>
      </c>
      <c r="AC253" s="62">
        <f>'price-old'!F117</f>
        <v>40.252857208251953</v>
      </c>
      <c r="AD253" s="62">
        <f>'price-new'!F117</f>
        <v>40.25</v>
      </c>
      <c r="AE253" s="45">
        <f>'Filter-old'!P238</f>
        <v>0</v>
      </c>
      <c r="AF253" s="61">
        <f>'Filter-new'!P238</f>
        <v>0</v>
      </c>
      <c r="AG253" s="62">
        <f>'price-old'!O117</f>
        <v>44.965358734130859</v>
      </c>
      <c r="AH253" s="62">
        <f>'price-new'!P117</f>
        <v>36.25</v>
      </c>
      <c r="AI253" s="45">
        <f>'Filter-old'!L238</f>
        <v>0</v>
      </c>
      <c r="AJ253" s="61">
        <f>'Filter-new'!L238</f>
        <v>0</v>
      </c>
      <c r="AK253" s="62">
        <f>'price-old'!L117</f>
        <v>74.849999999999994</v>
      </c>
      <c r="AL253" s="62">
        <f>'price-new'!L117</f>
        <v>43.07</v>
      </c>
      <c r="AM253" s="62">
        <f>'Filter-new'!L727</f>
        <v>0</v>
      </c>
      <c r="AN253" s="62">
        <f>VLOOKUP(B253,[1]Offpeak_Forward!$A$1:$AG$231,18,FALSE)</f>
        <v>27.378261566162099</v>
      </c>
      <c r="AO253" s="45">
        <f>'Filter-old'!G238</f>
        <v>0</v>
      </c>
      <c r="AP253" s="61">
        <f>'Filter-new'!G238</f>
        <v>0</v>
      </c>
      <c r="AQ253" s="62">
        <f>'price-old'!G117</f>
        <v>39.249996185302734</v>
      </c>
      <c r="AR253" s="62">
        <f>'price-new'!G117</f>
        <v>38.299999999999997</v>
      </c>
      <c r="AS253" s="45"/>
      <c r="AT253" s="61">
        <f t="shared" si="27"/>
        <v>0</v>
      </c>
      <c r="AU253" s="62"/>
      <c r="AV253" s="62">
        <f t="shared" si="28"/>
        <v>0</v>
      </c>
      <c r="AW253" s="45">
        <f>'Filter-old'!I238</f>
        <v>0</v>
      </c>
      <c r="AX253" s="61">
        <f>'Filter-new'!I238</f>
        <v>0</v>
      </c>
      <c r="AY253" s="62">
        <f>'price-old'!I117</f>
        <v>40.502857208251953</v>
      </c>
      <c r="AZ253" s="62">
        <f>'price-new'!I117</f>
        <v>38.25</v>
      </c>
      <c r="BA253" s="62">
        <f>'Filter-new'!I727</f>
        <v>0</v>
      </c>
      <c r="BB253" s="62">
        <f>VLOOKUP(B253,[1]Offpeak_Forward!$A$1:$AG$231,15,FALSE)</f>
        <v>26.5904350280762</v>
      </c>
      <c r="BC253" s="45">
        <f>'Filter-old'!K238</f>
        <v>0</v>
      </c>
      <c r="BD253" s="61">
        <f>'Filter-new'!K238</f>
        <v>0</v>
      </c>
      <c r="BE253" s="62">
        <f>'price-old'!K117</f>
        <v>47.6</v>
      </c>
      <c r="BF253" s="62">
        <f>'price-new'!K117</f>
        <v>41.75</v>
      </c>
      <c r="BG253" s="45">
        <f>'Filter-old'!M238</f>
        <v>0</v>
      </c>
      <c r="BH253" s="61"/>
      <c r="BI253" s="61"/>
      <c r="BJ253" s="61">
        <f>'Filter-new'!M238</f>
        <v>0</v>
      </c>
      <c r="BK253" s="62">
        <f>'price-old'!M117</f>
        <v>49</v>
      </c>
      <c r="BL253" s="62">
        <f>'price-new'!M117</f>
        <v>43.5</v>
      </c>
      <c r="BM253" s="62"/>
      <c r="BN253" s="406">
        <f>'Filter-new'!N238</f>
        <v>0</v>
      </c>
      <c r="BO253" s="62"/>
      <c r="BP253" s="62">
        <f>'price-new'!N117</f>
        <v>52</v>
      </c>
      <c r="BQ253" s="45">
        <f>'Filter-old'!O238</f>
        <v>0</v>
      </c>
      <c r="BR253" s="61">
        <f>'Filter-new'!O238</f>
        <v>0</v>
      </c>
      <c r="BS253" s="62">
        <f>'price-old'!N117</f>
        <v>46.252857208251953</v>
      </c>
      <c r="BT253" s="62">
        <f>'price-new'!O117</f>
        <v>41.96</v>
      </c>
      <c r="BU253" s="45">
        <f>'Filter-old'!Q238</f>
        <v>0</v>
      </c>
      <c r="BV253" s="61">
        <f>'Filter-new'!Q238</f>
        <v>0</v>
      </c>
      <c r="BW253" s="62">
        <f>'price-old'!P117</f>
        <v>41.352855682373047</v>
      </c>
      <c r="BX253" s="88">
        <f>'price-new'!Q117</f>
        <v>43.115000000000002</v>
      </c>
      <c r="BY253" s="88">
        <f>'Filter-new'!Q727</f>
        <v>0</v>
      </c>
      <c r="BZ253" s="88">
        <f>VLOOKUP(B253,[1]Offpeak_Forward!$A$1:$AG$231,22,FALSE)</f>
        <v>24.686954498291001</v>
      </c>
      <c r="CA253" s="45">
        <f>'Filter-old'!R238</f>
        <v>0</v>
      </c>
      <c r="CB253" s="61">
        <f>'Filter-new'!R238</f>
        <v>0</v>
      </c>
      <c r="CC253" s="61">
        <f>'price-old'!Q117</f>
        <v>49</v>
      </c>
      <c r="CD253" s="89">
        <f>'price-new'!R117</f>
        <v>43.5</v>
      </c>
      <c r="CE253" s="87">
        <f>'Filter-new'!R727</f>
        <v>0</v>
      </c>
      <c r="CF253" s="87">
        <f>VLOOKUP(B253,[1]Offpeak_Forward!$A$1:$AG$231,6,FALSE)</f>
        <v>24.491304397583001</v>
      </c>
      <c r="CG253" s="4"/>
    </row>
    <row r="254" spans="1:85" hidden="1" x14ac:dyDescent="0.2">
      <c r="A254">
        <v>0</v>
      </c>
      <c r="B254" s="59">
        <v>40360</v>
      </c>
      <c r="C254" s="59">
        <f>'Filter-new'!C117</f>
        <v>40360</v>
      </c>
      <c r="D254" s="63"/>
      <c r="E254" s="63"/>
      <c r="F254" s="63"/>
      <c r="G254" s="36">
        <f t="shared" si="24"/>
        <v>-100</v>
      </c>
      <c r="H254" s="36">
        <f t="shared" si="25"/>
        <v>-68.44616071428571</v>
      </c>
      <c r="I254" s="36">
        <f t="shared" si="26"/>
        <v>-48.03921568627451</v>
      </c>
      <c r="J254" s="41"/>
      <c r="K254" s="45">
        <f>'Filter-old'!E239</f>
        <v>0</v>
      </c>
      <c r="L254" s="61">
        <f>'Filter-new'!E239</f>
        <v>31.553839285714286</v>
      </c>
      <c r="M254" s="62">
        <f>'price-old'!E118</f>
        <v>54.847146606445314</v>
      </c>
      <c r="N254" s="62">
        <f>'price-new'!E118</f>
        <v>53.95</v>
      </c>
      <c r="O254" s="429">
        <f>'Filter-new'!E728</f>
        <v>0</v>
      </c>
      <c r="P254" s="62">
        <f>VLOOKUP(B254,[1]Offpeak_Forward!$A$1:$AG$231,13,FALSE)</f>
        <v>25.949216842651399</v>
      </c>
      <c r="Q254" s="45">
        <f>'Filter-old'!H239</f>
        <v>-100</v>
      </c>
      <c r="R254" s="61">
        <f>'Filter-new'!H239</f>
        <v>-100</v>
      </c>
      <c r="S254" s="62">
        <f>'price-old'!H118</f>
        <v>42.497146606445313</v>
      </c>
      <c r="T254" s="62">
        <f>'price-new'!H118</f>
        <v>51.9</v>
      </c>
      <c r="U254" s="445">
        <f>'Filter-new'!H728</f>
        <v>-48.03921568627451</v>
      </c>
      <c r="V254" s="62">
        <f>VLOOKUP(B254,[1]Offpeak_Forward!$A$1:$AG$231,14,FALSE)</f>
        <v>25.644313812255898</v>
      </c>
      <c r="W254" s="45">
        <f>'Filter-old'!J239</f>
        <v>0</v>
      </c>
      <c r="X254" s="61">
        <f>'Filter-new'!J239</f>
        <v>0</v>
      </c>
      <c r="Y254" s="62">
        <f>'price-old'!J118</f>
        <v>42.075000000000003</v>
      </c>
      <c r="Z254" s="62">
        <f>'price-new'!J118</f>
        <v>56.45</v>
      </c>
      <c r="AA254" s="45">
        <f>'Filter-old'!F239</f>
        <v>0</v>
      </c>
      <c r="AB254" s="61">
        <f>'Filter-new'!F239</f>
        <v>0</v>
      </c>
      <c r="AC254" s="62">
        <f>'price-old'!F118</f>
        <v>54.847146606445314</v>
      </c>
      <c r="AD254" s="62">
        <f>'price-new'!F118</f>
        <v>56.45</v>
      </c>
      <c r="AE254" s="45">
        <f>'Filter-old'!P239</f>
        <v>0</v>
      </c>
      <c r="AF254" s="61">
        <f>'Filter-new'!P239</f>
        <v>0</v>
      </c>
      <c r="AG254" s="62">
        <f>'price-old'!O118</f>
        <v>56.572145080566408</v>
      </c>
      <c r="AH254" s="62">
        <f>'price-new'!P118</f>
        <v>41.85</v>
      </c>
      <c r="AI254" s="45">
        <f>'Filter-old'!L239</f>
        <v>0</v>
      </c>
      <c r="AJ254" s="61">
        <f>'Filter-new'!L239</f>
        <v>0</v>
      </c>
      <c r="AK254" s="62">
        <f>'price-old'!L118</f>
        <v>100.85</v>
      </c>
      <c r="AL254" s="62">
        <f>'price-new'!L118</f>
        <v>54.2</v>
      </c>
      <c r="AM254" s="62">
        <f>'Filter-new'!L728</f>
        <v>0</v>
      </c>
      <c r="AN254" s="62">
        <f>VLOOKUP(B254,[1]Offpeak_Forward!$A$1:$AG$231,18,FALSE)</f>
        <v>29.810588836669901</v>
      </c>
      <c r="AO254" s="45">
        <f>'Filter-old'!G239</f>
        <v>0</v>
      </c>
      <c r="AP254" s="61">
        <f>'Filter-new'!G239</f>
        <v>0</v>
      </c>
      <c r="AQ254" s="62">
        <f>'price-old'!G118</f>
        <v>47.749992370605469</v>
      </c>
      <c r="AR254" s="62">
        <f>'price-new'!G118</f>
        <v>47.85</v>
      </c>
      <c r="AS254" s="45"/>
      <c r="AT254" s="61">
        <f t="shared" si="27"/>
        <v>0</v>
      </c>
      <c r="AU254" s="62"/>
      <c r="AV254" s="62">
        <f t="shared" si="28"/>
        <v>0</v>
      </c>
      <c r="AW254" s="45">
        <f>'Filter-old'!I239</f>
        <v>0</v>
      </c>
      <c r="AX254" s="61">
        <f>'Filter-new'!I239</f>
        <v>0</v>
      </c>
      <c r="AY254" s="62">
        <f>'price-old'!I118</f>
        <v>59.584648132324219</v>
      </c>
      <c r="AZ254" s="62">
        <f>'price-new'!I118</f>
        <v>53.45</v>
      </c>
      <c r="BA254" s="62">
        <f>'Filter-new'!I728</f>
        <v>0</v>
      </c>
      <c r="BB254" s="62">
        <f>VLOOKUP(B254,[1]Offpeak_Forward!$A$1:$AG$231,15,FALSE)</f>
        <v>29.629804611206101</v>
      </c>
      <c r="BC254" s="45">
        <f>'Filter-old'!K239</f>
        <v>0</v>
      </c>
      <c r="BD254" s="61">
        <f>'Filter-new'!K239</f>
        <v>0</v>
      </c>
      <c r="BE254" s="62">
        <f>'price-old'!K118</f>
        <v>59.35</v>
      </c>
      <c r="BF254" s="62">
        <f>'price-new'!K118</f>
        <v>49</v>
      </c>
      <c r="BG254" s="45">
        <f>'Filter-old'!M239</f>
        <v>0</v>
      </c>
      <c r="BH254" s="61"/>
      <c r="BI254" s="61"/>
      <c r="BJ254" s="61">
        <f>'Filter-new'!M239</f>
        <v>0</v>
      </c>
      <c r="BK254" s="62">
        <f>'price-old'!M118</f>
        <v>63</v>
      </c>
      <c r="BL254" s="62">
        <f>'price-new'!M118</f>
        <v>54.5</v>
      </c>
      <c r="BM254" s="62"/>
      <c r="BN254" s="406">
        <f>'Filter-new'!N239</f>
        <v>0</v>
      </c>
      <c r="BO254" s="62"/>
      <c r="BP254" s="62">
        <f>'price-new'!N118</f>
        <v>72</v>
      </c>
      <c r="BQ254" s="45">
        <f>'Filter-old'!O239</f>
        <v>0</v>
      </c>
      <c r="BR254" s="61">
        <f>'Filter-new'!O239</f>
        <v>0</v>
      </c>
      <c r="BS254" s="62">
        <f>'price-old'!N118</f>
        <v>64.847146606445307</v>
      </c>
      <c r="BT254" s="62">
        <f>'price-new'!O118</f>
        <v>53.05</v>
      </c>
      <c r="BU254" s="45">
        <f>'Filter-old'!Q239</f>
        <v>0</v>
      </c>
      <c r="BV254" s="61">
        <f>'Filter-new'!Q239</f>
        <v>0</v>
      </c>
      <c r="BW254" s="62">
        <f>'price-old'!P118</f>
        <v>62.122146606445313</v>
      </c>
      <c r="BX254" s="88">
        <f>'price-new'!Q118</f>
        <v>55.572000000000003</v>
      </c>
      <c r="BY254" s="88">
        <f>'Filter-new'!Q728</f>
        <v>0</v>
      </c>
      <c r="BZ254" s="88">
        <f>VLOOKUP(B254,[1]Offpeak_Forward!$A$1:$AG$231,22,FALSE)</f>
        <v>29.625881195068398</v>
      </c>
      <c r="CA254" s="45">
        <f>'Filter-old'!R239</f>
        <v>0</v>
      </c>
      <c r="CB254" s="61">
        <f>'Filter-new'!R239</f>
        <v>0</v>
      </c>
      <c r="CC254" s="61">
        <f>'price-old'!Q118</f>
        <v>63</v>
      </c>
      <c r="CD254" s="89">
        <f>'price-new'!R118</f>
        <v>52</v>
      </c>
      <c r="CE254" s="87">
        <f>'Filter-new'!R728</f>
        <v>0</v>
      </c>
      <c r="CF254" s="87">
        <f>VLOOKUP(B254,[1]Offpeak_Forward!$A$1:$AG$231,6,FALSE)</f>
        <v>31.5490207672119</v>
      </c>
      <c r="CG254" s="4"/>
    </row>
    <row r="255" spans="1:85" hidden="1" x14ac:dyDescent="0.2">
      <c r="A255">
        <v>0</v>
      </c>
      <c r="B255" s="59">
        <v>40391</v>
      </c>
      <c r="C255" s="59">
        <f>'Filter-new'!C118</f>
        <v>40391</v>
      </c>
      <c r="D255" s="63"/>
      <c r="E255" s="63"/>
      <c r="F255" s="63"/>
      <c r="G255" s="36">
        <f t="shared" si="24"/>
        <v>-100</v>
      </c>
      <c r="H255" s="36">
        <f t="shared" si="25"/>
        <v>-68.615340909090918</v>
      </c>
      <c r="I255" s="36">
        <f t="shared" si="26"/>
        <v>-48.979591836734691</v>
      </c>
      <c r="J255" s="41"/>
      <c r="K255" s="45">
        <f>'Filter-old'!E240</f>
        <v>0</v>
      </c>
      <c r="L255" s="61">
        <f>'Filter-new'!E240</f>
        <v>31.384659090909089</v>
      </c>
      <c r="M255" s="62">
        <f>'price-old'!E119</f>
        <v>54.847146606445314</v>
      </c>
      <c r="N255" s="62">
        <f>'price-new'!E119</f>
        <v>53.96</v>
      </c>
      <c r="O255" s="429">
        <f>'Filter-new'!E729</f>
        <v>0</v>
      </c>
      <c r="P255" s="62">
        <f>VLOOKUP(B255,[1]Offpeak_Forward!$A$1:$AG$231,13,FALSE)</f>
        <v>25.942653656005898</v>
      </c>
      <c r="Q255" s="45">
        <f>'Filter-old'!H240</f>
        <v>-100</v>
      </c>
      <c r="R255" s="61">
        <f>'Filter-new'!H240</f>
        <v>-100</v>
      </c>
      <c r="S255" s="62">
        <f>'price-old'!H119</f>
        <v>42.497146606445313</v>
      </c>
      <c r="T255" s="62">
        <f>'price-new'!H119</f>
        <v>51.91</v>
      </c>
      <c r="U255" s="445">
        <f>'Filter-new'!H729</f>
        <v>-48.979591836734691</v>
      </c>
      <c r="V255" s="62">
        <f>VLOOKUP(B255,[1]Offpeak_Forward!$A$1:$AG$231,14,FALSE)</f>
        <v>24.402042388916001</v>
      </c>
      <c r="W255" s="45">
        <f>'Filter-old'!J240</f>
        <v>0</v>
      </c>
      <c r="X255" s="61">
        <f>'Filter-new'!J240</f>
        <v>0</v>
      </c>
      <c r="Y255" s="62">
        <f>'price-old'!J119</f>
        <v>42.075000000000003</v>
      </c>
      <c r="Z255" s="62">
        <f>'price-new'!J119</f>
        <v>56.46</v>
      </c>
      <c r="AA255" s="45">
        <f>'Filter-old'!F240</f>
        <v>0</v>
      </c>
      <c r="AB255" s="61">
        <f>'Filter-new'!F240</f>
        <v>0</v>
      </c>
      <c r="AC255" s="62">
        <f>'price-old'!F119</f>
        <v>54.847146606445314</v>
      </c>
      <c r="AD255" s="62">
        <f>'price-new'!F119</f>
        <v>56.46</v>
      </c>
      <c r="AE255" s="45">
        <f>'Filter-old'!P240</f>
        <v>0</v>
      </c>
      <c r="AF255" s="61">
        <f>'Filter-new'!P240</f>
        <v>0</v>
      </c>
      <c r="AG255" s="62">
        <f>'price-old'!O119</f>
        <v>56.572145080566408</v>
      </c>
      <c r="AH255" s="62">
        <f>'price-new'!P119</f>
        <v>41.86</v>
      </c>
      <c r="AI255" s="45">
        <f>'Filter-old'!L240</f>
        <v>0</v>
      </c>
      <c r="AJ255" s="61">
        <f>'Filter-new'!L240</f>
        <v>0</v>
      </c>
      <c r="AK255" s="62">
        <f>'price-old'!L119</f>
        <v>101.34</v>
      </c>
      <c r="AL255" s="62">
        <f>'price-new'!L119</f>
        <v>55.21</v>
      </c>
      <c r="AM255" s="62">
        <f>'Filter-new'!L729</f>
        <v>0</v>
      </c>
      <c r="AN255" s="62">
        <f>VLOOKUP(B255,[1]Offpeak_Forward!$A$1:$AG$231,18,FALSE)</f>
        <v>29.941225051879901</v>
      </c>
      <c r="AO255" s="45">
        <f>'Filter-old'!G240</f>
        <v>0</v>
      </c>
      <c r="AP255" s="61">
        <f>'Filter-new'!G240</f>
        <v>0</v>
      </c>
      <c r="AQ255" s="62">
        <f>'price-old'!G119</f>
        <v>47.75</v>
      </c>
      <c r="AR255" s="62">
        <f>'price-new'!G119</f>
        <v>47.45</v>
      </c>
      <c r="AS255" s="45"/>
      <c r="AT255" s="61">
        <f t="shared" si="27"/>
        <v>0</v>
      </c>
      <c r="AU255" s="62"/>
      <c r="AV255" s="62">
        <f t="shared" si="28"/>
        <v>0</v>
      </c>
      <c r="AW255" s="45">
        <f>'Filter-old'!I240</f>
        <v>0</v>
      </c>
      <c r="AX255" s="61">
        <f>'Filter-new'!I240</f>
        <v>0</v>
      </c>
      <c r="AY255" s="62">
        <f>'price-old'!I119</f>
        <v>59.522148132324219</v>
      </c>
      <c r="AZ255" s="62">
        <f>'price-new'!I119</f>
        <v>53.46</v>
      </c>
      <c r="BA255" s="62">
        <f>'Filter-new'!I729</f>
        <v>0</v>
      </c>
      <c r="BB255" s="62">
        <f>VLOOKUP(B255,[1]Offpeak_Forward!$A$1:$AG$231,15,FALSE)</f>
        <v>29.530204772949201</v>
      </c>
      <c r="BC255" s="45">
        <f>'Filter-old'!K240</f>
        <v>0</v>
      </c>
      <c r="BD255" s="61">
        <f>'Filter-new'!K240</f>
        <v>0</v>
      </c>
      <c r="BE255" s="62">
        <f>'price-old'!K119</f>
        <v>59.35</v>
      </c>
      <c r="BF255" s="62">
        <f>'price-new'!K119</f>
        <v>49</v>
      </c>
      <c r="BG255" s="45">
        <f>'Filter-old'!M240</f>
        <v>0</v>
      </c>
      <c r="BH255" s="61"/>
      <c r="BI255" s="61"/>
      <c r="BJ255" s="61">
        <f>'Filter-new'!M240</f>
        <v>0</v>
      </c>
      <c r="BK255" s="62">
        <f>'price-old'!M119</f>
        <v>63</v>
      </c>
      <c r="BL255" s="62">
        <f>'price-new'!M119</f>
        <v>54.5</v>
      </c>
      <c r="BM255" s="62"/>
      <c r="BN255" s="406">
        <f>'Filter-new'!N240</f>
        <v>0</v>
      </c>
      <c r="BO255" s="62"/>
      <c r="BP255" s="62">
        <f>'price-new'!N119</f>
        <v>72</v>
      </c>
      <c r="BQ255" s="45">
        <f>'Filter-old'!O240</f>
        <v>0</v>
      </c>
      <c r="BR255" s="61">
        <f>'Filter-new'!O240</f>
        <v>0</v>
      </c>
      <c r="BS255" s="62">
        <f>'price-old'!N119</f>
        <v>64.847146606445307</v>
      </c>
      <c r="BT255" s="62">
        <f>'price-new'!O119</f>
        <v>52.05</v>
      </c>
      <c r="BU255" s="45">
        <f>'Filter-old'!Q240</f>
        <v>0</v>
      </c>
      <c r="BV255" s="61">
        <f>'Filter-new'!Q240</f>
        <v>0</v>
      </c>
      <c r="BW255" s="62">
        <f>'price-old'!P119</f>
        <v>62.122146606445313</v>
      </c>
      <c r="BX255" s="88">
        <f>'price-new'!Q119</f>
        <v>55.822000000000003</v>
      </c>
      <c r="BY255" s="88">
        <f>'Filter-new'!Q729</f>
        <v>0</v>
      </c>
      <c r="BZ255" s="88">
        <f>VLOOKUP(B255,[1]Offpeak_Forward!$A$1:$AG$231,22,FALSE)</f>
        <v>29.233058929443398</v>
      </c>
      <c r="CA255" s="45">
        <f>'Filter-old'!R240</f>
        <v>0</v>
      </c>
      <c r="CB255" s="61">
        <f>'Filter-new'!R240</f>
        <v>0</v>
      </c>
      <c r="CC255" s="61">
        <f>'price-old'!Q119</f>
        <v>63</v>
      </c>
      <c r="CD255" s="89">
        <f>'price-new'!R119</f>
        <v>52</v>
      </c>
      <c r="CE255" s="87">
        <f>'Filter-new'!R729</f>
        <v>0</v>
      </c>
      <c r="CF255" s="87">
        <f>VLOOKUP(B255,[1]Offpeak_Forward!$A$1:$AG$231,6,FALSE)</f>
        <v>32.008571624755902</v>
      </c>
      <c r="CG255" s="4"/>
    </row>
    <row r="256" spans="1:85" hidden="1" x14ac:dyDescent="0.2">
      <c r="A256">
        <v>0</v>
      </c>
      <c r="B256" s="59">
        <v>40422</v>
      </c>
      <c r="C256" s="59">
        <f>'Filter-new'!C119</f>
        <v>40422</v>
      </c>
      <c r="D256" s="63"/>
      <c r="E256" s="63"/>
      <c r="F256" s="63"/>
      <c r="G256" s="36">
        <f t="shared" si="24"/>
        <v>-100</v>
      </c>
      <c r="H256" s="36">
        <f t="shared" si="25"/>
        <v>-68.778720238095232</v>
      </c>
      <c r="I256" s="36">
        <f t="shared" si="26"/>
        <v>-53.255208333333336</v>
      </c>
      <c r="J256" s="41"/>
      <c r="K256" s="45">
        <f>'Filter-old'!E241</f>
        <v>0</v>
      </c>
      <c r="L256" s="61">
        <f>'Filter-new'!E241</f>
        <v>31.221279761904764</v>
      </c>
      <c r="M256" s="62">
        <f>'price-old'!E120</f>
        <v>35.902140045166014</v>
      </c>
      <c r="N256" s="62">
        <f>'price-new'!E120</f>
        <v>28.73</v>
      </c>
      <c r="O256" s="429">
        <f>'Filter-new'!E730</f>
        <v>0</v>
      </c>
      <c r="P256" s="62">
        <f>VLOOKUP(B256,[1]Offpeak_Forward!$A$1:$AG$231,13,FALSE)</f>
        <v>19.6370849609375</v>
      </c>
      <c r="Q256" s="45">
        <f>'Filter-old'!H241</f>
        <v>-100</v>
      </c>
      <c r="R256" s="61">
        <f>'Filter-new'!H241</f>
        <v>-100</v>
      </c>
      <c r="S256" s="62">
        <f>'price-old'!H120</f>
        <v>32.102143859863283</v>
      </c>
      <c r="T256" s="62">
        <f>'price-new'!H120</f>
        <v>27.48</v>
      </c>
      <c r="U256" s="445">
        <f>'Filter-new'!H730</f>
        <v>-53.255208333333336</v>
      </c>
      <c r="V256" s="62">
        <f>VLOOKUP(B256,[1]Offpeak_Forward!$A$1:$AG$231,14,FALSE)</f>
        <v>19.078332901001001</v>
      </c>
      <c r="W256" s="45">
        <f>'Filter-old'!J241</f>
        <v>0</v>
      </c>
      <c r="X256" s="61">
        <f>'Filter-new'!J241</f>
        <v>0</v>
      </c>
      <c r="Y256" s="62">
        <f>'price-old'!J120</f>
        <v>35.586913909912106</v>
      </c>
      <c r="Z256" s="62">
        <f>'price-new'!J120</f>
        <v>30.23</v>
      </c>
      <c r="AA256" s="45">
        <f>'Filter-old'!F241</f>
        <v>0</v>
      </c>
      <c r="AB256" s="61">
        <f>'Filter-new'!F241</f>
        <v>0</v>
      </c>
      <c r="AC256" s="62">
        <f>'price-old'!F120</f>
        <v>35.902140045166014</v>
      </c>
      <c r="AD256" s="62">
        <f>'price-new'!F120</f>
        <v>30.23</v>
      </c>
      <c r="AE256" s="45">
        <f>'Filter-old'!P241</f>
        <v>0</v>
      </c>
      <c r="AF256" s="61">
        <f>'Filter-new'!P241</f>
        <v>0</v>
      </c>
      <c r="AG256" s="62">
        <f>'price-old'!O120</f>
        <v>37.852144622802733</v>
      </c>
      <c r="AH256" s="62">
        <f>'price-new'!P120</f>
        <v>27.33</v>
      </c>
      <c r="AI256" s="45">
        <f>'Filter-old'!L241</f>
        <v>0</v>
      </c>
      <c r="AJ256" s="61">
        <f>'Filter-new'!L241</f>
        <v>0</v>
      </c>
      <c r="AK256" s="62">
        <f>'price-old'!L120</f>
        <v>58.34</v>
      </c>
      <c r="AL256" s="62">
        <f>'price-new'!L120</f>
        <v>31.41</v>
      </c>
      <c r="AM256" s="62">
        <f>'Filter-new'!L730</f>
        <v>0</v>
      </c>
      <c r="AN256" s="62">
        <f>VLOOKUP(B256,[1]Offpeak_Forward!$A$1:$AG$231,18,FALSE)</f>
        <v>23.593334197998001</v>
      </c>
      <c r="AO256" s="45">
        <f>'Filter-old'!G241</f>
        <v>0</v>
      </c>
      <c r="AP256" s="61">
        <f>'Filter-new'!G241</f>
        <v>0</v>
      </c>
      <c r="AQ256" s="62">
        <f>'price-old'!G120</f>
        <v>36.250003814697266</v>
      </c>
      <c r="AR256" s="62">
        <f>'price-new'!G120</f>
        <v>35.200000000000003</v>
      </c>
      <c r="AS256" s="45"/>
      <c r="AT256" s="61">
        <f t="shared" si="27"/>
        <v>0</v>
      </c>
      <c r="AU256" s="62"/>
      <c r="AV256" s="62">
        <f t="shared" si="28"/>
        <v>0</v>
      </c>
      <c r="AW256" s="45">
        <f>'Filter-old'!I241</f>
        <v>0</v>
      </c>
      <c r="AX256" s="61">
        <f>'Filter-new'!I241</f>
        <v>0</v>
      </c>
      <c r="AY256" s="62">
        <f>'price-old'!I120</f>
        <v>35.527145385742187</v>
      </c>
      <c r="AZ256" s="62">
        <f>'price-new'!I120</f>
        <v>28.23</v>
      </c>
      <c r="BA256" s="62">
        <f>'Filter-new'!I730</f>
        <v>0</v>
      </c>
      <c r="BB256" s="62">
        <f>VLOOKUP(B256,[1]Offpeak_Forward!$A$1:$AG$231,15,FALSE)</f>
        <v>20.367916107177699</v>
      </c>
      <c r="BC256" s="45">
        <f>'Filter-old'!K241</f>
        <v>0</v>
      </c>
      <c r="BD256" s="61">
        <f>'Filter-new'!K241</f>
        <v>0</v>
      </c>
      <c r="BE256" s="62">
        <f>'price-old'!K120</f>
        <v>38.35</v>
      </c>
      <c r="BF256" s="62">
        <f>'price-new'!K120</f>
        <v>36</v>
      </c>
      <c r="BG256" s="45">
        <f>'Filter-old'!M241</f>
        <v>0</v>
      </c>
      <c r="BH256" s="61"/>
      <c r="BI256" s="61"/>
      <c r="BJ256" s="61">
        <f>'Filter-new'!M241</f>
        <v>0</v>
      </c>
      <c r="BK256" s="62">
        <f>'price-old'!M120</f>
        <v>33.5</v>
      </c>
      <c r="BL256" s="62">
        <f>'price-new'!M120</f>
        <v>32</v>
      </c>
      <c r="BM256" s="62"/>
      <c r="BN256" s="406">
        <f>'Filter-new'!N241</f>
        <v>0</v>
      </c>
      <c r="BO256" s="62"/>
      <c r="BP256" s="62">
        <f>'price-new'!N120</f>
        <v>40</v>
      </c>
      <c r="BQ256" s="45">
        <f>'Filter-old'!O241</f>
        <v>0</v>
      </c>
      <c r="BR256" s="61">
        <f>'Filter-new'!O241</f>
        <v>0</v>
      </c>
      <c r="BS256" s="62">
        <f>'price-old'!N120</f>
        <v>38.902140045166014</v>
      </c>
      <c r="BT256" s="62">
        <f>'price-new'!O120</f>
        <v>27.3</v>
      </c>
      <c r="BU256" s="45">
        <f>'Filter-old'!Q241</f>
        <v>0</v>
      </c>
      <c r="BV256" s="61">
        <f>'Filter-new'!Q241</f>
        <v>0</v>
      </c>
      <c r="BW256" s="62">
        <f>'price-old'!P120</f>
        <v>34.752143859863281</v>
      </c>
      <c r="BX256" s="88">
        <f>'price-new'!Q120</f>
        <v>26.542000000000002</v>
      </c>
      <c r="BY256" s="88">
        <f>'Filter-new'!Q730</f>
        <v>0</v>
      </c>
      <c r="BZ256" s="88">
        <f>VLOOKUP(B256,[1]Offpeak_Forward!$A$1:$AG$231,22,FALSE)</f>
        <v>23.272914886474599</v>
      </c>
      <c r="CA256" s="45">
        <f>'Filter-old'!R241</f>
        <v>0</v>
      </c>
      <c r="CB256" s="61">
        <f>'Filter-new'!R241</f>
        <v>0</v>
      </c>
      <c r="CC256" s="61">
        <f>'price-old'!Q120</f>
        <v>33.5</v>
      </c>
      <c r="CD256" s="89">
        <f>'price-new'!R120</f>
        <v>30.75</v>
      </c>
      <c r="CE256" s="87">
        <f>'Filter-new'!R730</f>
        <v>0</v>
      </c>
      <c r="CF256" s="87">
        <f>VLOOKUP(B256,[1]Offpeak_Forward!$A$1:$AG$231,6,FALSE)</f>
        <v>19.75612449646</v>
      </c>
      <c r="CG256" s="4"/>
    </row>
    <row r="257" spans="1:85" hidden="1" x14ac:dyDescent="0.2">
      <c r="A257">
        <v>0</v>
      </c>
      <c r="B257" s="59">
        <v>40452</v>
      </c>
      <c r="C257" s="59">
        <f>'Filter-new'!C120</f>
        <v>40452</v>
      </c>
      <c r="D257" s="63"/>
      <c r="E257" s="63"/>
      <c r="F257" s="63"/>
      <c r="G257" s="36">
        <f t="shared" si="24"/>
        <v>-100</v>
      </c>
      <c r="H257" s="36">
        <f t="shared" si="25"/>
        <v>-68.947142857142865</v>
      </c>
      <c r="I257" s="36">
        <f t="shared" si="26"/>
        <v>-47.058823529411768</v>
      </c>
      <c r="J257" s="41"/>
      <c r="K257" s="45">
        <f>'Filter-old'!E242</f>
        <v>0</v>
      </c>
      <c r="L257" s="61">
        <f>'Filter-new'!E242</f>
        <v>31.052857142857142</v>
      </c>
      <c r="M257" s="62">
        <f>'price-old'!E121</f>
        <v>34.902062177658081</v>
      </c>
      <c r="N257" s="62">
        <f>'price-new'!E121</f>
        <v>29.8</v>
      </c>
      <c r="O257" s="429">
        <f>'Filter-new'!E731</f>
        <v>0</v>
      </c>
      <c r="P257" s="62">
        <f>VLOOKUP(B257,[1]Offpeak_Forward!$A$1:$AG$231,13,FALSE)</f>
        <v>17.508039474487301</v>
      </c>
      <c r="Q257" s="45">
        <f>'Filter-old'!H242</f>
        <v>-100</v>
      </c>
      <c r="R257" s="61">
        <f>'Filter-new'!H242</f>
        <v>-100</v>
      </c>
      <c r="S257" s="62">
        <f>'price-old'!H121</f>
        <v>36.093929290771484</v>
      </c>
      <c r="T257" s="62">
        <f>'price-new'!H121</f>
        <v>28.55</v>
      </c>
      <c r="U257" s="445">
        <f>'Filter-new'!H731</f>
        <v>-47.058823529411768</v>
      </c>
      <c r="V257" s="62">
        <f>VLOOKUP(B257,[1]Offpeak_Forward!$A$1:$AG$231,14,FALSE)</f>
        <v>17.779607772827099</v>
      </c>
      <c r="W257" s="45">
        <f>'Filter-old'!J242</f>
        <v>0</v>
      </c>
      <c r="X257" s="61">
        <f>'Filter-new'!J242</f>
        <v>0</v>
      </c>
      <c r="Y257" s="62">
        <f>'price-old'!J121</f>
        <v>40.654998779296875</v>
      </c>
      <c r="Z257" s="62">
        <f>'price-new'!J121</f>
        <v>29.8</v>
      </c>
      <c r="AA257" s="45">
        <f>'Filter-old'!F242</f>
        <v>0</v>
      </c>
      <c r="AB257" s="61">
        <f>'Filter-new'!F242</f>
        <v>0</v>
      </c>
      <c r="AC257" s="62">
        <f>'price-old'!F121</f>
        <v>34.902062177658081</v>
      </c>
      <c r="AD257" s="62">
        <f>'price-new'!F121</f>
        <v>29.8</v>
      </c>
      <c r="AE257" s="45">
        <f>'Filter-old'!P242</f>
        <v>0</v>
      </c>
      <c r="AF257" s="61">
        <f>'Filter-new'!P242</f>
        <v>0</v>
      </c>
      <c r="AG257" s="62">
        <f>'price-old'!O121</f>
        <v>34.653934478759766</v>
      </c>
      <c r="AH257" s="62">
        <f>'price-new'!P121</f>
        <v>33.74</v>
      </c>
      <c r="AI257" s="45">
        <f>'Filter-old'!L242</f>
        <v>0</v>
      </c>
      <c r="AJ257" s="61">
        <f>'Filter-new'!L242</f>
        <v>0</v>
      </c>
      <c r="AK257" s="62">
        <f>'price-old'!L121</f>
        <v>57.34</v>
      </c>
      <c r="AL257" s="62">
        <f>'price-new'!L121</f>
        <v>31.44</v>
      </c>
      <c r="AM257" s="62">
        <f>'Filter-new'!L731</f>
        <v>0</v>
      </c>
      <c r="AN257" s="62">
        <f>VLOOKUP(B257,[1]Offpeak_Forward!$A$1:$AG$231,18,FALSE)</f>
        <v>21.369411468505898</v>
      </c>
      <c r="AO257" s="45">
        <f>'Filter-old'!G242</f>
        <v>0</v>
      </c>
      <c r="AP257" s="61">
        <f>'Filter-new'!G242</f>
        <v>0</v>
      </c>
      <c r="AQ257" s="62">
        <f>'price-old'!G121</f>
        <v>33.150003051757814</v>
      </c>
      <c r="AR257" s="62">
        <f>'price-new'!G121</f>
        <v>33.42</v>
      </c>
      <c r="AS257" s="45"/>
      <c r="AT257" s="61">
        <f t="shared" si="27"/>
        <v>0</v>
      </c>
      <c r="AU257" s="62"/>
      <c r="AV257" s="62">
        <f t="shared" si="28"/>
        <v>0</v>
      </c>
      <c r="AW257" s="45">
        <f>'Filter-old'!I242</f>
        <v>0</v>
      </c>
      <c r="AX257" s="61">
        <f>'Filter-new'!I242</f>
        <v>0</v>
      </c>
      <c r="AY257" s="62">
        <f>'price-old'!I121</f>
        <v>34.341434478759766</v>
      </c>
      <c r="AZ257" s="62">
        <f>'price-new'!I121</f>
        <v>29.3</v>
      </c>
      <c r="BA257" s="62">
        <f>'Filter-new'!I731</f>
        <v>0</v>
      </c>
      <c r="BB257" s="62">
        <f>VLOOKUP(B257,[1]Offpeak_Forward!$A$1:$AG$231,15,FALSE)</f>
        <v>18.570980072021499</v>
      </c>
      <c r="BC257" s="45">
        <f>'Filter-old'!K242</f>
        <v>0</v>
      </c>
      <c r="BD257" s="61">
        <f>'Filter-new'!K242</f>
        <v>0</v>
      </c>
      <c r="BE257" s="62">
        <f>'price-old'!K121</f>
        <v>39.6</v>
      </c>
      <c r="BF257" s="62">
        <f>'price-new'!K121</f>
        <v>35.75</v>
      </c>
      <c r="BG257" s="45">
        <f>'Filter-old'!M242</f>
        <v>0</v>
      </c>
      <c r="BH257" s="61"/>
      <c r="BI257" s="61"/>
      <c r="BJ257" s="61">
        <f>'Filter-new'!M242</f>
        <v>0</v>
      </c>
      <c r="BK257" s="62">
        <f>'price-old'!M121</f>
        <v>32</v>
      </c>
      <c r="BL257" s="62">
        <f>'price-new'!M121</f>
        <v>32</v>
      </c>
      <c r="BM257" s="62"/>
      <c r="BN257" s="406">
        <f>'Filter-new'!N242</f>
        <v>0</v>
      </c>
      <c r="BO257" s="62"/>
      <c r="BP257" s="62">
        <f>'price-new'!N121</f>
        <v>40</v>
      </c>
      <c r="BQ257" s="45">
        <f>'Filter-old'!O242</f>
        <v>0</v>
      </c>
      <c r="BR257" s="61">
        <f>'Filter-new'!O242</f>
        <v>0</v>
      </c>
      <c r="BS257" s="62">
        <f>'price-old'!N121</f>
        <v>36.748935699462891</v>
      </c>
      <c r="BT257" s="62">
        <f>'price-new'!O121</f>
        <v>30.04</v>
      </c>
      <c r="BU257" s="45">
        <f>'Filter-old'!Q242</f>
        <v>0</v>
      </c>
      <c r="BV257" s="61">
        <f>'Filter-new'!Q242</f>
        <v>0</v>
      </c>
      <c r="BW257" s="62">
        <f>'price-old'!P121</f>
        <v>32.503932952880859</v>
      </c>
      <c r="BX257" s="88">
        <f>'price-new'!Q121</f>
        <v>29.192</v>
      </c>
      <c r="BY257" s="88">
        <f>'Filter-new'!Q731</f>
        <v>0</v>
      </c>
      <c r="BZ257" s="88">
        <f>VLOOKUP(B257,[1]Offpeak_Forward!$A$1:$AG$231,22,FALSE)</f>
        <v>21.841567993164102</v>
      </c>
      <c r="CA257" s="45">
        <f>'Filter-old'!R242</f>
        <v>0</v>
      </c>
      <c r="CB257" s="61">
        <f>'Filter-new'!R242</f>
        <v>0</v>
      </c>
      <c r="CC257" s="61">
        <f>'price-old'!Q121</f>
        <v>32</v>
      </c>
      <c r="CD257" s="89">
        <f>'price-new'!R121</f>
        <v>30.75</v>
      </c>
      <c r="CE257" s="87">
        <f>'Filter-new'!R731</f>
        <v>0</v>
      </c>
      <c r="CF257" s="87">
        <f>VLOOKUP(B257,[1]Offpeak_Forward!$A$1:$AG$231,6,FALSE)</f>
        <v>18.344118118286101</v>
      </c>
      <c r="CG257" s="4"/>
    </row>
    <row r="258" spans="1:85" hidden="1" x14ac:dyDescent="0.2">
      <c r="A258">
        <v>0</v>
      </c>
      <c r="B258" s="59">
        <v>40483</v>
      </c>
      <c r="C258" s="59">
        <f>'Filter-new'!C121</f>
        <v>40483</v>
      </c>
      <c r="D258" s="63"/>
      <c r="E258" s="63"/>
      <c r="F258" s="63"/>
      <c r="G258" s="36">
        <f t="shared" si="24"/>
        <v>-100</v>
      </c>
      <c r="H258" s="36">
        <f t="shared" si="25"/>
        <v>-69.109791666666666</v>
      </c>
      <c r="I258" s="36">
        <f t="shared" si="26"/>
        <v>-48.958333333333336</v>
      </c>
      <c r="J258" s="41"/>
      <c r="K258" s="45">
        <f>'Filter-old'!E243</f>
        <v>0</v>
      </c>
      <c r="L258" s="61">
        <f>'Filter-new'!E243</f>
        <v>30.890208333333334</v>
      </c>
      <c r="M258" s="62">
        <f>'price-old'!E122</f>
        <v>35.002060651779175</v>
      </c>
      <c r="N258" s="62">
        <f>'price-new'!E122</f>
        <v>29.66</v>
      </c>
      <c r="O258" s="429">
        <f>'Filter-new'!E732</f>
        <v>0</v>
      </c>
      <c r="P258" s="62">
        <f>VLOOKUP(B258,[1]Offpeak_Forward!$A$1:$AG$231,13,FALSE)</f>
        <v>18.407917022705099</v>
      </c>
      <c r="Q258" s="45">
        <f>'Filter-old'!H243</f>
        <v>-100</v>
      </c>
      <c r="R258" s="61">
        <f>'Filter-new'!H243</f>
        <v>-100</v>
      </c>
      <c r="S258" s="62">
        <f>'price-old'!H122</f>
        <v>39.593929290771484</v>
      </c>
      <c r="T258" s="62">
        <f>'price-new'!H122</f>
        <v>28.41</v>
      </c>
      <c r="U258" s="445">
        <f>'Filter-new'!H732</f>
        <v>-48.958333333333336</v>
      </c>
      <c r="V258" s="62">
        <f>VLOOKUP(B258,[1]Offpeak_Forward!$A$1:$AG$231,14,FALSE)</f>
        <v>18.3216667175293</v>
      </c>
      <c r="W258" s="45">
        <f>'Filter-old'!J243</f>
        <v>0</v>
      </c>
      <c r="X258" s="61">
        <f>'Filter-new'!J243</f>
        <v>0</v>
      </c>
      <c r="Y258" s="62">
        <f>'price-old'!J122</f>
        <v>41.451915740966797</v>
      </c>
      <c r="Z258" s="62">
        <f>'price-new'!J122</f>
        <v>29.66</v>
      </c>
      <c r="AA258" s="45">
        <f>'Filter-old'!F243</f>
        <v>0</v>
      </c>
      <c r="AB258" s="61">
        <f>'Filter-new'!F243</f>
        <v>0</v>
      </c>
      <c r="AC258" s="62">
        <f>'price-old'!F122</f>
        <v>35.002060651779175</v>
      </c>
      <c r="AD258" s="62">
        <f>'price-new'!F122</f>
        <v>29.66</v>
      </c>
      <c r="AE258" s="45">
        <f>'Filter-old'!P243</f>
        <v>0</v>
      </c>
      <c r="AF258" s="61">
        <f>'Filter-new'!P243</f>
        <v>0</v>
      </c>
      <c r="AG258" s="62">
        <f>'price-old'!O122</f>
        <v>34.753932952880859</v>
      </c>
      <c r="AH258" s="62">
        <f>'price-new'!P122</f>
        <v>37</v>
      </c>
      <c r="AI258" s="45">
        <f>'Filter-old'!L243</f>
        <v>0</v>
      </c>
      <c r="AJ258" s="61">
        <f>'Filter-new'!L243</f>
        <v>0</v>
      </c>
      <c r="AK258" s="62">
        <f>'price-old'!L122</f>
        <v>57.34</v>
      </c>
      <c r="AL258" s="62">
        <f>'price-new'!L122</f>
        <v>31.3</v>
      </c>
      <c r="AM258" s="62">
        <f>'Filter-new'!L732</f>
        <v>0</v>
      </c>
      <c r="AN258" s="62">
        <f>VLOOKUP(B258,[1]Offpeak_Forward!$A$1:$AG$231,18,FALSE)</f>
        <v>22.3641662597656</v>
      </c>
      <c r="AO258" s="45">
        <f>'Filter-old'!G243</f>
        <v>0</v>
      </c>
      <c r="AP258" s="61">
        <f>'Filter-new'!G243</f>
        <v>0</v>
      </c>
      <c r="AQ258" s="62">
        <f>'price-old'!G122</f>
        <v>32.849996185302736</v>
      </c>
      <c r="AR258" s="62">
        <f>'price-new'!G122</f>
        <v>32.42</v>
      </c>
      <c r="AS258" s="45"/>
      <c r="AT258" s="61">
        <f t="shared" si="27"/>
        <v>0</v>
      </c>
      <c r="AU258" s="62"/>
      <c r="AV258" s="62">
        <f t="shared" si="28"/>
        <v>0</v>
      </c>
      <c r="AW258" s="45">
        <f>'Filter-old'!I243</f>
        <v>0</v>
      </c>
      <c r="AX258" s="61">
        <f>'Filter-new'!I243</f>
        <v>0</v>
      </c>
      <c r="AY258" s="62">
        <f>'price-old'!I122</f>
        <v>34.378932952880859</v>
      </c>
      <c r="AZ258" s="62">
        <f>'price-new'!I122</f>
        <v>29.16</v>
      </c>
      <c r="BA258" s="62">
        <f>'Filter-new'!I732</f>
        <v>0</v>
      </c>
      <c r="BB258" s="62">
        <f>VLOOKUP(B258,[1]Offpeak_Forward!$A$1:$AG$231,15,FALSE)</f>
        <v>18.909584045410199</v>
      </c>
      <c r="BC258" s="45">
        <f>'Filter-old'!K243</f>
        <v>0</v>
      </c>
      <c r="BD258" s="61">
        <f>'Filter-new'!K243</f>
        <v>0</v>
      </c>
      <c r="BE258" s="62">
        <f>'price-old'!K122</f>
        <v>39.6</v>
      </c>
      <c r="BF258" s="62">
        <f>'price-new'!K122</f>
        <v>35.75</v>
      </c>
      <c r="BG258" s="45">
        <f>'Filter-old'!M243</f>
        <v>0</v>
      </c>
      <c r="BH258" s="61"/>
      <c r="BI258" s="61"/>
      <c r="BJ258" s="61">
        <f>'Filter-new'!M243</f>
        <v>0</v>
      </c>
      <c r="BK258" s="62">
        <f>'price-old'!M122</f>
        <v>32</v>
      </c>
      <c r="BL258" s="62">
        <f>'price-new'!M122</f>
        <v>32</v>
      </c>
      <c r="BM258" s="62"/>
      <c r="BN258" s="406">
        <f>'Filter-new'!N243</f>
        <v>0</v>
      </c>
      <c r="BO258" s="62"/>
      <c r="BP258" s="62">
        <f>'price-new'!N122</f>
        <v>40</v>
      </c>
      <c r="BQ258" s="45">
        <f>'Filter-old'!O243</f>
        <v>0</v>
      </c>
      <c r="BR258" s="61">
        <f>'Filter-new'!O243</f>
        <v>0</v>
      </c>
      <c r="BS258" s="62">
        <f>'price-old'!N122</f>
        <v>36.748935699462891</v>
      </c>
      <c r="BT258" s="62">
        <f>'price-new'!O122</f>
        <v>30.04</v>
      </c>
      <c r="BU258" s="45">
        <f>'Filter-old'!Q243</f>
        <v>0</v>
      </c>
      <c r="BV258" s="61">
        <f>'Filter-new'!Q243</f>
        <v>0</v>
      </c>
      <c r="BW258" s="62">
        <f>'price-old'!P122</f>
        <v>32.603931427001953</v>
      </c>
      <c r="BX258" s="88">
        <f>'price-new'!Q122</f>
        <v>29.292000000000002</v>
      </c>
      <c r="BY258" s="88">
        <f>'Filter-new'!Q732</f>
        <v>0</v>
      </c>
      <c r="BZ258" s="88">
        <f>VLOOKUP(B258,[1]Offpeak_Forward!$A$1:$AG$231,22,FALSE)</f>
        <v>22.335414886474599</v>
      </c>
      <c r="CA258" s="45">
        <f>'Filter-old'!R243</f>
        <v>0</v>
      </c>
      <c r="CB258" s="61">
        <f>'Filter-new'!R243</f>
        <v>0</v>
      </c>
      <c r="CC258" s="61">
        <f>'price-old'!Q122</f>
        <v>32</v>
      </c>
      <c r="CD258" s="89">
        <f>'price-new'!R122</f>
        <v>30.75</v>
      </c>
      <c r="CE258" s="87">
        <f>'Filter-new'!R732</f>
        <v>0</v>
      </c>
      <c r="CF258" s="87">
        <f>VLOOKUP(B258,[1]Offpeak_Forward!$A$1:$AG$231,6,FALSE)</f>
        <v>18.441667556762699</v>
      </c>
      <c r="CG258" s="4"/>
    </row>
    <row r="259" spans="1:85" hidden="1" x14ac:dyDescent="0.2">
      <c r="A259">
        <v>0</v>
      </c>
      <c r="B259" s="59">
        <v>40513</v>
      </c>
      <c r="C259" s="59">
        <f>'Filter-new'!C122</f>
        <v>40513</v>
      </c>
      <c r="D259" s="63"/>
      <c r="E259" s="63"/>
      <c r="F259" s="63"/>
      <c r="G259" s="36">
        <f t="shared" si="24"/>
        <v>-100</v>
      </c>
      <c r="H259" s="36">
        <f t="shared" si="25"/>
        <v>-69.277472826086949</v>
      </c>
      <c r="I259" s="36">
        <f t="shared" si="26"/>
        <v>-7270.4361702127653</v>
      </c>
      <c r="J259" s="41"/>
      <c r="K259" s="45">
        <f>'Filter-old'!E244</f>
        <v>0</v>
      </c>
      <c r="L259" s="61">
        <f>'Filter-new'!E244</f>
        <v>30.722527173913043</v>
      </c>
      <c r="M259" s="62">
        <f>'price-old'!E123</f>
        <v>35.102059125900269</v>
      </c>
      <c r="N259" s="62">
        <f>'price-new'!E123</f>
        <v>29.51</v>
      </c>
      <c r="O259" s="429">
        <f>'Filter-new'!E733</f>
        <v>-334.84574468085106</v>
      </c>
      <c r="P259" s="62">
        <f>VLOOKUP(B259,[1]Offpeak_Forward!$A$1:$AG$231,13,FALSE)</f>
        <v>21.940851211547901</v>
      </c>
      <c r="Q259" s="45">
        <f>'Filter-old'!H244</f>
        <v>-100</v>
      </c>
      <c r="R259" s="61">
        <f>'Filter-new'!H244</f>
        <v>-100</v>
      </c>
      <c r="S259" s="62">
        <f>'price-old'!H123</f>
        <v>40.093929290771484</v>
      </c>
      <c r="T259" s="62">
        <f>'price-new'!H123</f>
        <v>28.26</v>
      </c>
      <c r="U259" s="445">
        <f>'Filter-new'!H733</f>
        <v>-5223.2765957446809</v>
      </c>
      <c r="V259" s="62">
        <f>VLOOKUP(B259,[1]Offpeak_Forward!$A$1:$AG$231,14,FALSE)</f>
        <v>21.799787521362301</v>
      </c>
      <c r="W259" s="45">
        <f>'Filter-old'!J244</f>
        <v>0</v>
      </c>
      <c r="X259" s="61">
        <f>'Filter-new'!J244</f>
        <v>0</v>
      </c>
      <c r="Y259" s="62">
        <f>'price-old'!J123</f>
        <v>42.207302093505859</v>
      </c>
      <c r="Z259" s="62">
        <f>'price-new'!J123</f>
        <v>29.51</v>
      </c>
      <c r="AA259" s="45">
        <f>'Filter-old'!F244</f>
        <v>0</v>
      </c>
      <c r="AB259" s="61">
        <f>'Filter-new'!F244</f>
        <v>0</v>
      </c>
      <c r="AC259" s="62">
        <f>'price-old'!F123</f>
        <v>35.102059125900269</v>
      </c>
      <c r="AD259" s="62">
        <f>'price-new'!F123</f>
        <v>29.51</v>
      </c>
      <c r="AE259" s="45">
        <f>'Filter-old'!P244</f>
        <v>0</v>
      </c>
      <c r="AF259" s="61">
        <f>'Filter-new'!P244</f>
        <v>0</v>
      </c>
      <c r="AG259" s="62">
        <f>'price-old'!O123</f>
        <v>34.853931427001953</v>
      </c>
      <c r="AH259" s="62">
        <f>'price-new'!P123</f>
        <v>37.25</v>
      </c>
      <c r="AI259" s="45">
        <f>'Filter-old'!L244</f>
        <v>0</v>
      </c>
      <c r="AJ259" s="61">
        <f>'Filter-new'!L244</f>
        <v>0</v>
      </c>
      <c r="AK259" s="62">
        <f>'price-old'!L123</f>
        <v>57.34</v>
      </c>
      <c r="AL259" s="62">
        <f>'price-new'!L123</f>
        <v>31.15</v>
      </c>
      <c r="AM259" s="62">
        <f>'Filter-new'!L733</f>
        <v>672.12765957446811</v>
      </c>
      <c r="AN259" s="62">
        <f>VLOOKUP(B259,[1]Offpeak_Forward!$A$1:$AG$231,18,FALSE)</f>
        <v>26.0882968902588</v>
      </c>
      <c r="AO259" s="45">
        <f>'Filter-old'!G244</f>
        <v>0</v>
      </c>
      <c r="AP259" s="61">
        <f>'Filter-new'!G244</f>
        <v>0</v>
      </c>
      <c r="AQ259" s="62">
        <f>'price-old'!G123</f>
        <v>33.849996185302736</v>
      </c>
      <c r="AR259" s="62">
        <f>'price-new'!G123</f>
        <v>33.32</v>
      </c>
      <c r="AS259" s="45"/>
      <c r="AT259" s="61">
        <f t="shared" si="27"/>
        <v>0</v>
      </c>
      <c r="AU259" s="62"/>
      <c r="AV259" s="62">
        <f t="shared" si="28"/>
        <v>-2384.4414893617022</v>
      </c>
      <c r="AW259" s="45">
        <f>'Filter-old'!I244</f>
        <v>0</v>
      </c>
      <c r="AX259" s="61">
        <f>'Filter-new'!I244</f>
        <v>0</v>
      </c>
      <c r="AY259" s="62">
        <f>'price-old'!I123</f>
        <v>34.416431427001953</v>
      </c>
      <c r="AZ259" s="62">
        <f>'price-new'!I123</f>
        <v>29.01</v>
      </c>
      <c r="BA259" s="62">
        <f>'Filter-new'!I733</f>
        <v>-1245.7446808510638</v>
      </c>
      <c r="BB259" s="62">
        <f>VLOOKUP(B259,[1]Offpeak_Forward!$A$1:$AG$231,15,FALSE)</f>
        <v>18.2093620300293</v>
      </c>
      <c r="BC259" s="45">
        <f>'Filter-old'!K244</f>
        <v>0</v>
      </c>
      <c r="BD259" s="61">
        <f>'Filter-new'!K244</f>
        <v>0</v>
      </c>
      <c r="BE259" s="62">
        <f>'price-old'!K123</f>
        <v>39.6</v>
      </c>
      <c r="BF259" s="62">
        <f>'price-new'!K123</f>
        <v>35.75</v>
      </c>
      <c r="BG259" s="45">
        <f>'Filter-old'!M244</f>
        <v>0</v>
      </c>
      <c r="BH259" s="61"/>
      <c r="BI259" s="61"/>
      <c r="BJ259" s="61">
        <f>'Filter-new'!M244</f>
        <v>0</v>
      </c>
      <c r="BK259" s="62">
        <f>'price-old'!M123</f>
        <v>32</v>
      </c>
      <c r="BL259" s="62">
        <f>'price-new'!M123</f>
        <v>32</v>
      </c>
      <c r="BM259" s="62"/>
      <c r="BN259" s="406">
        <f>'Filter-new'!N244</f>
        <v>0</v>
      </c>
      <c r="BO259" s="62"/>
      <c r="BP259" s="62">
        <f>'price-new'!N123</f>
        <v>40</v>
      </c>
      <c r="BQ259" s="45">
        <f>'Filter-old'!O244</f>
        <v>0</v>
      </c>
      <c r="BR259" s="61">
        <f>'Filter-new'!O244</f>
        <v>0</v>
      </c>
      <c r="BS259" s="62">
        <f>'price-old'!N123</f>
        <v>36.748935699462891</v>
      </c>
      <c r="BT259" s="62">
        <f>'price-new'!O123</f>
        <v>30.04</v>
      </c>
      <c r="BU259" s="45">
        <f>'Filter-old'!Q244</f>
        <v>0</v>
      </c>
      <c r="BV259" s="61">
        <f>'Filter-new'!Q244</f>
        <v>0</v>
      </c>
      <c r="BW259" s="62">
        <f>'price-old'!P123</f>
        <v>32.703929901123047</v>
      </c>
      <c r="BX259" s="88">
        <f>'price-new'!Q123</f>
        <v>29.391999999999999</v>
      </c>
      <c r="BY259" s="88">
        <f>'Filter-new'!Q733</f>
        <v>-263.29787234042556</v>
      </c>
      <c r="BZ259" s="88">
        <f>VLOOKUP(B259,[1]Offpeak_Forward!$A$1:$AG$231,22,FALSE)</f>
        <v>21.785530090331999</v>
      </c>
      <c r="CA259" s="45">
        <f>'Filter-old'!R244</f>
        <v>0</v>
      </c>
      <c r="CB259" s="61">
        <f>'Filter-new'!R244</f>
        <v>0</v>
      </c>
      <c r="CC259" s="61">
        <f>'price-old'!Q123</f>
        <v>32</v>
      </c>
      <c r="CD259" s="89">
        <f>'price-new'!R123</f>
        <v>30.75</v>
      </c>
      <c r="CE259" s="87">
        <f>'Filter-new'!R733</f>
        <v>-875.39893617021278</v>
      </c>
      <c r="CF259" s="87">
        <f>VLOOKUP(B259,[1]Offpeak_Forward!$A$1:$AG$231,6,FALSE)</f>
        <v>18.5947666168213</v>
      </c>
      <c r="CG259" s="4"/>
    </row>
    <row r="260" spans="1:85" ht="12" customHeight="1" thickBot="1" x14ac:dyDescent="0.25">
      <c r="A260">
        <v>1</v>
      </c>
      <c r="B260" s="63"/>
      <c r="C260" s="63"/>
      <c r="D260" s="63"/>
      <c r="E260" s="63"/>
      <c r="F260" s="63"/>
      <c r="G260" s="36"/>
      <c r="H260" s="36"/>
      <c r="I260" s="36"/>
      <c r="J260" s="41"/>
      <c r="K260" s="45"/>
      <c r="L260" s="45"/>
      <c r="M260" s="61"/>
      <c r="N260" s="61"/>
      <c r="O260" s="271"/>
      <c r="P260" s="61"/>
      <c r="Q260" s="45"/>
      <c r="R260" s="45"/>
      <c r="S260" s="61"/>
      <c r="T260" s="61"/>
      <c r="U260" s="445"/>
      <c r="V260" s="61"/>
      <c r="W260" s="45"/>
      <c r="X260" s="45"/>
      <c r="Y260" s="61"/>
      <c r="Z260" s="61"/>
      <c r="AA260" s="45"/>
      <c r="AB260" s="45"/>
      <c r="AC260" s="61"/>
      <c r="AD260" s="61"/>
      <c r="AE260" s="45"/>
      <c r="AF260" s="45"/>
      <c r="AG260" s="61"/>
      <c r="AH260" s="61"/>
      <c r="AI260" s="45"/>
      <c r="AJ260" s="484"/>
      <c r="AK260" s="61"/>
      <c r="AL260" s="61"/>
      <c r="AM260" s="61"/>
      <c r="AN260" s="61"/>
      <c r="AO260" s="45"/>
      <c r="AP260" s="45"/>
      <c r="AQ260" s="61"/>
      <c r="AR260" s="61"/>
      <c r="AS260" s="45"/>
      <c r="AT260" s="45"/>
      <c r="AU260" s="61"/>
      <c r="AV260" s="61"/>
      <c r="AW260" s="45"/>
      <c r="AX260" s="383"/>
      <c r="AY260" s="61"/>
      <c r="AZ260" s="61"/>
      <c r="BA260" s="61"/>
      <c r="BB260" s="388"/>
      <c r="BC260" s="61"/>
      <c r="BD260" s="45"/>
      <c r="BE260" s="61"/>
      <c r="BF260" s="61"/>
      <c r="BG260" s="45"/>
      <c r="BH260" s="45"/>
      <c r="BI260" s="45"/>
      <c r="BJ260" s="45"/>
      <c r="BK260" s="61"/>
      <c r="BL260" s="61"/>
      <c r="BM260" s="61"/>
      <c r="BN260" s="406"/>
      <c r="BO260" s="61"/>
      <c r="BP260" s="61"/>
      <c r="BQ260" s="45"/>
      <c r="BR260" s="45"/>
      <c r="BS260" s="61"/>
      <c r="BT260" s="61"/>
      <c r="BU260" s="45"/>
      <c r="BV260" s="45"/>
      <c r="BW260" s="61"/>
      <c r="BX260" s="61"/>
      <c r="BY260" s="61"/>
      <c r="BZ260" s="61"/>
      <c r="CA260" s="45"/>
      <c r="CB260" s="45"/>
      <c r="CC260" s="61"/>
      <c r="CD260" s="57"/>
      <c r="CE260" s="486"/>
      <c r="CF260" s="57"/>
      <c r="CG260" s="4"/>
    </row>
    <row r="261" spans="1:85" s="5" customFormat="1" x14ac:dyDescent="0.2">
      <c r="A261" s="5">
        <v>1</v>
      </c>
      <c r="B261" s="334" t="s">
        <v>108</v>
      </c>
      <c r="C261" s="334" t="s">
        <v>69</v>
      </c>
      <c r="D261" s="335"/>
      <c r="E261" s="335"/>
      <c r="F261" s="335"/>
      <c r="G261" s="336"/>
      <c r="H261" s="336"/>
      <c r="I261" s="336"/>
      <c r="J261" s="337"/>
      <c r="K261" s="338"/>
      <c r="L261" s="338" t="s">
        <v>109</v>
      </c>
      <c r="M261" s="312"/>
      <c r="N261" s="312" t="s">
        <v>110</v>
      </c>
      <c r="O261" s="311"/>
      <c r="P261" s="312"/>
      <c r="Q261" s="338"/>
      <c r="R261" s="338" t="s">
        <v>109</v>
      </c>
      <c r="S261" s="312"/>
      <c r="T261" s="312" t="s">
        <v>110</v>
      </c>
      <c r="U261" s="450"/>
      <c r="V261" s="312"/>
      <c r="W261" s="338"/>
      <c r="X261" s="338" t="s">
        <v>109</v>
      </c>
      <c r="Y261" s="312"/>
      <c r="Z261" s="312" t="s">
        <v>110</v>
      </c>
      <c r="AA261" s="338"/>
      <c r="AB261" s="338" t="s">
        <v>109</v>
      </c>
      <c r="AC261" s="312"/>
      <c r="AD261" s="312" t="s">
        <v>110</v>
      </c>
      <c r="AE261" s="338"/>
      <c r="AF261" s="338" t="s">
        <v>109</v>
      </c>
      <c r="AG261" s="312"/>
      <c r="AH261" s="312" t="s">
        <v>110</v>
      </c>
      <c r="AI261" s="338"/>
      <c r="AJ261" s="338" t="s">
        <v>109</v>
      </c>
      <c r="AK261" s="312"/>
      <c r="AL261" s="312" t="s">
        <v>110</v>
      </c>
      <c r="AM261" s="312"/>
      <c r="AN261" s="312"/>
      <c r="AO261" s="338"/>
      <c r="AP261" s="338" t="s">
        <v>109</v>
      </c>
      <c r="AQ261" s="312"/>
      <c r="AR261" s="312" t="s">
        <v>110</v>
      </c>
      <c r="AS261" s="338"/>
      <c r="AT261" s="338" t="s">
        <v>109</v>
      </c>
      <c r="AU261" s="312"/>
      <c r="AV261" s="312" t="s">
        <v>110</v>
      </c>
      <c r="AW261" s="338"/>
      <c r="AX261" s="384" t="s">
        <v>109</v>
      </c>
      <c r="AY261" s="312"/>
      <c r="AZ261" s="312" t="s">
        <v>110</v>
      </c>
      <c r="BA261" s="312"/>
      <c r="BB261" s="389"/>
      <c r="BC261" s="313"/>
      <c r="BD261" s="338" t="s">
        <v>109</v>
      </c>
      <c r="BE261" s="312"/>
      <c r="BF261" s="312" t="s">
        <v>110</v>
      </c>
      <c r="BG261" s="313"/>
      <c r="BH261" s="313"/>
      <c r="BI261" s="520"/>
      <c r="BJ261" s="313" t="s">
        <v>109</v>
      </c>
      <c r="BK261" s="312"/>
      <c r="BL261" s="312" t="s">
        <v>110</v>
      </c>
      <c r="BM261" s="312"/>
      <c r="BN261" s="525" t="s">
        <v>1</v>
      </c>
      <c r="BO261" s="312"/>
      <c r="BP261" s="312" t="s">
        <v>126</v>
      </c>
      <c r="BQ261" s="338"/>
      <c r="BR261" s="338" t="s">
        <v>109</v>
      </c>
      <c r="BS261" s="312"/>
      <c r="BT261" s="312" t="s">
        <v>110</v>
      </c>
      <c r="BU261" s="338"/>
      <c r="BV261" s="338" t="s">
        <v>109</v>
      </c>
      <c r="BW261" s="313"/>
      <c r="BX261" s="313" t="s">
        <v>110</v>
      </c>
      <c r="BY261" s="313"/>
      <c r="BZ261" s="313"/>
      <c r="CA261" s="338"/>
      <c r="CB261" s="338" t="s">
        <v>109</v>
      </c>
      <c r="CC261" s="313"/>
      <c r="CD261" s="314" t="s">
        <v>110</v>
      </c>
      <c r="CE261" s="314"/>
      <c r="CF261" s="315"/>
      <c r="CG261" s="30"/>
    </row>
    <row r="262" spans="1:85" x14ac:dyDescent="0.2">
      <c r="A262">
        <v>1</v>
      </c>
      <c r="B262" s="92" t="s">
        <v>56</v>
      </c>
      <c r="C262" s="92" t="s">
        <v>56</v>
      </c>
      <c r="D262" s="63"/>
      <c r="E262" s="63"/>
      <c r="F262" s="63"/>
      <c r="G262" s="36">
        <f>SUMIF($D$6:$D$125,"2001",G$6:G$125)/SUMIF($D$6:$D$125,"2001",$E$6:$E$125)</f>
        <v>-295.84000000000032</v>
      </c>
      <c r="H262" s="36">
        <f>SUMIF($D$6:$D$125,"2001",H$6:H$125)/SUMIF($D$6:$D$125,"2001",$E$6:$E$125)</f>
        <v>2831</v>
      </c>
      <c r="I262" s="36">
        <f>H542</f>
        <v>-27.119718309859156</v>
      </c>
      <c r="J262" s="41"/>
      <c r="K262" s="36">
        <f>SUMIF($D$6:$D$125,"2001",K$6:K$125)/SUMIF($D$6:$D$125,"2001",$E$6:$E$125)</f>
        <v>2917.4956250000005</v>
      </c>
      <c r="L262" s="36">
        <f>SUMIF($D$6:$D$125,"2001",L$6:L$125)/SUMIF($D$6:$D$125,"2001",$E$6:$E$125)</f>
        <v>1348.5</v>
      </c>
      <c r="M262" s="61"/>
      <c r="N262" s="61">
        <f>L542</f>
        <v>-19.960093896713616</v>
      </c>
      <c r="O262" s="271"/>
      <c r="P262" s="61"/>
      <c r="Q262" s="36">
        <f>SUMIF($D$6:$D$125,"2001",Q$6:Q$125)/SUMIF($D$6:$D$125,"2001",$E$6:$E$125)</f>
        <v>-2428</v>
      </c>
      <c r="R262" s="36">
        <f>SUMIF($D$6:$D$125,"2001",R$6:R$125)/SUMIF($D$6:$D$125,"2001",$E$6:$E$125)</f>
        <v>177.5</v>
      </c>
      <c r="S262" s="61"/>
      <c r="T262" s="61">
        <f>R542</f>
        <v>-1.408450704225352</v>
      </c>
      <c r="U262" s="445"/>
      <c r="V262" s="61"/>
      <c r="W262" s="36">
        <f>SUMIF($D$6:$D$125,"2001",W$6:W$125)/SUMIF($D$6:$D$125,"2001",$E$6:$E$125)</f>
        <v>515</v>
      </c>
      <c r="X262" s="36">
        <f>SUMIF($D$6:$D$125,"2001",X$6:X$125)/SUMIF($D$6:$D$125,"2001",$E$6:$E$125)</f>
        <v>0</v>
      </c>
      <c r="Y262" s="61"/>
      <c r="Z262" s="61">
        <f>X542</f>
        <v>0</v>
      </c>
      <c r="AA262" s="36">
        <f>SUMIF($D$6:$D$125,"2001",AA$6:AA$125)/SUMIF($D$6:$D$125,"2001",$E$6:$E$125)</f>
        <v>0</v>
      </c>
      <c r="AB262" s="36">
        <f>SUMIF($D$6:$D$125,"2001",AB$6:AB$125)/SUMIF($D$6:$D$125,"2001",$E$6:$E$125)</f>
        <v>0</v>
      </c>
      <c r="AC262" s="61"/>
      <c r="AD262" s="61">
        <f>AB542</f>
        <v>0</v>
      </c>
      <c r="AE262" s="36">
        <f>SUMIF($D$6:$D$125,"2001",AE$6:AE$125)/SUMIF($D$6:$D$125,"2001",$E$6:$E$125)</f>
        <v>0</v>
      </c>
      <c r="AF262" s="36">
        <f>SUMIF($D$6:$D$125,"2001",AF$6:AF$125)/SUMIF($D$6:$D$125,"2001",$E$6:$E$125)</f>
        <v>0</v>
      </c>
      <c r="AG262" s="61"/>
      <c r="AH262" s="61">
        <f>AF542</f>
        <v>0</v>
      </c>
      <c r="AI262" s="36">
        <f>SUMIF($D$6:$D$125,"2001",AI$6:AI$125)/SUMIF($D$6:$D$125,"2001",$E$6:$E$125)</f>
        <v>0</v>
      </c>
      <c r="AJ262" s="36">
        <f>SUMIF($D$6:$D$125,"2001",AJ$6:AJ$125)/SUMIF($D$6:$D$125,"2001",$E$6:$E$125)</f>
        <v>0</v>
      </c>
      <c r="AK262" s="61"/>
      <c r="AL262" s="61">
        <f>AJ542</f>
        <v>0</v>
      </c>
      <c r="AM262" s="61"/>
      <c r="AN262" s="61"/>
      <c r="AO262" s="36">
        <f>SUMIF($D$6:$D$125,"2001",AO$6:AO$125)/SUMIF($D$6:$D$125,"2001",$E$6:$E$125)</f>
        <v>0</v>
      </c>
      <c r="AP262" s="36">
        <f>SUMIF($D$6:$D$125,"2001",AP$6:AP$125)/SUMIF($D$6:$D$125,"2001",$E$6:$E$125)</f>
        <v>0</v>
      </c>
      <c r="AQ262" s="61"/>
      <c r="AR262" s="61">
        <f>AP542</f>
        <v>0</v>
      </c>
      <c r="AS262" s="36"/>
      <c r="AT262" s="36">
        <f t="shared" ref="AT262:AT271" si="29">AX262+BD262+BJ262+BR262+BV262+CB262+BN262</f>
        <v>1305</v>
      </c>
      <c r="AU262" s="61"/>
      <c r="AV262" s="61">
        <f>AT542</f>
        <v>-5.751173708920188</v>
      </c>
      <c r="AW262" s="36">
        <f>SUMIF($D$6:$D$125,"2001",AW$6:AW$125)/SUMIF($D$6:$D$125,"2001",$E$6:$E$125)</f>
        <v>2.5</v>
      </c>
      <c r="AX262" s="385">
        <f>SUMIF($D$6:$D$125,"2001",AX$6:AX$125)/SUMIF($D$6:$D$125,"2001",$E$6:$E$125)</f>
        <v>45</v>
      </c>
      <c r="AY262" s="61"/>
      <c r="AZ262" s="61">
        <f>AX542</f>
        <v>5.751173708920188</v>
      </c>
      <c r="BA262" s="61"/>
      <c r="BB262" s="388"/>
      <c r="BC262" s="69">
        <f>SUMIF($D$6:$D$125,"2001",BC$6:BC$125)/SUMIF($D$6:$D$125,"2001",$E$6:$E$125)</f>
        <v>0</v>
      </c>
      <c r="BD262" s="36">
        <f>SUMIF($D$6:$D$125,"2001",BD$6:BD$125)/SUMIF($D$6:$D$125,"2001",$E$6:$E$125)</f>
        <v>225</v>
      </c>
      <c r="BE262" s="61"/>
      <c r="BF262" s="61">
        <f>SUMIF($D$6:$D$125,"2001",BH$6:BH$125)/SUMIF($D$6:$D$125,"2001",$E$6:$E$125)</f>
        <v>-122.5</v>
      </c>
      <c r="BG262" s="69">
        <f>SUMIF($D$6:$D$125,"2001",BG$6:BG$125)/SUMIF($D$6:$D$125,"2001",$E$6:$E$125)</f>
        <v>0</v>
      </c>
      <c r="BH262" s="69"/>
      <c r="BI262" s="517"/>
      <c r="BJ262" s="69">
        <f>SUMIF($D$6:$D$125,"2001",BJ$6:BJ$125)/SUMIF($D$6:$D$125,"2001",$E$6:$E$125)</f>
        <v>450</v>
      </c>
      <c r="BK262" s="61"/>
      <c r="BL262" s="61"/>
      <c r="BM262" s="61"/>
      <c r="BN262" s="404">
        <f>SUMIF($D$6:$D$125,"2001",BN$6:BN$125)/SUMIF($D$6:$D$125,"2001",$E$6:$E$125)</f>
        <v>450</v>
      </c>
      <c r="BO262" s="61"/>
      <c r="BP262" s="61"/>
      <c r="BQ262" s="36">
        <f>SUMIF($D$6:$D$125,"2001",BQ$6:BQ$125)/SUMIF($D$6:$D$125,"2001",$E$6:$E$125)</f>
        <v>0</v>
      </c>
      <c r="BR262" s="36">
        <f>SUMIF($D$6:$D$125,"2001",BR$6:BR$125)/SUMIF($D$6:$D$125,"2001",$E$6:$E$125)</f>
        <v>45</v>
      </c>
      <c r="BS262" s="61"/>
      <c r="BT262" s="61">
        <f>BR542</f>
        <v>0</v>
      </c>
      <c r="BU262" s="36">
        <f>SUMIF($D$6:$D$125,"2001",BU$6:BU$125)/SUMIF($D$6:$D$125,"2001",$E$6:$E$125)</f>
        <v>-845.33562500000005</v>
      </c>
      <c r="BV262" s="36">
        <f>SUMIF($D$6:$D$125,"2001",BV$6:BV$125)/SUMIF($D$6:$D$125,"2001",$E$6:$E$125)</f>
        <v>0</v>
      </c>
      <c r="BW262" s="61"/>
      <c r="BX262" s="61">
        <f>BV542</f>
        <v>5.28169014084507</v>
      </c>
      <c r="BY262" s="61"/>
      <c r="BZ262" s="61"/>
      <c r="CA262" s="36">
        <f>SUMIF($D$6:$D$125,"2001",CA$6:CA$125)/SUMIF($D$6:$D$125,"2001",$E$6:$E$125)</f>
        <v>-457.5</v>
      </c>
      <c r="CB262" s="36">
        <f>SUMIF($D$6:$D$125,"2001",CB$6:CB$125)/SUMIF($D$6:$D$125,"2001",$E$6:$E$125)</f>
        <v>90</v>
      </c>
      <c r="CC262" s="61"/>
      <c r="CD262" s="69">
        <f>CB542</f>
        <v>-5.28169014084507</v>
      </c>
      <c r="CE262" s="69"/>
      <c r="CF262" s="215"/>
      <c r="CG262" s="4"/>
    </row>
    <row r="263" spans="1:85" s="35" customFormat="1" x14ac:dyDescent="0.2">
      <c r="A263" s="35">
        <v>1</v>
      </c>
      <c r="B263" s="94" t="s">
        <v>57</v>
      </c>
      <c r="C263" s="94" t="s">
        <v>57</v>
      </c>
      <c r="D263" s="64"/>
      <c r="E263" s="64"/>
      <c r="F263" s="64"/>
      <c r="G263" s="37">
        <f>SUMIF($D$6:$D$125,"2002",G$6:G$125)/SUMIF($D$6:$D$125,"2001",$E$6:$E$125)</f>
        <v>-7852.3495312499999</v>
      </c>
      <c r="H263" s="37">
        <f>SUMIF($D$6:$D$125,"2002",H$6:H$125)/SUMIF($D$6:$D$125,"2002",$E$6:$E$125)</f>
        <v>154.46919117647059</v>
      </c>
      <c r="I263" s="37">
        <f t="shared" ref="I263:I271" si="30">H543</f>
        <v>-302.76960784313724</v>
      </c>
      <c r="J263" s="42"/>
      <c r="K263" s="37">
        <f>SUMIF($D$6:$D$125,"2002",K$6:K$125)/SUMIF($D$6:$D$125,"2002",$E$6:$E$125)</f>
        <v>-229.43355882352941</v>
      </c>
      <c r="L263" s="37">
        <f>SUMIF($D$6:$D$125,"2002",L$6:L$125)/SUMIF($D$6:$D$125,"2002",$E$6:$E$125)</f>
        <v>-1695.0509436274508</v>
      </c>
      <c r="M263" s="65"/>
      <c r="N263" s="65">
        <f t="shared" ref="N263:N271" si="31">L543</f>
        <v>-169.48774509803923</v>
      </c>
      <c r="O263" s="272"/>
      <c r="P263" s="65"/>
      <c r="Q263" s="37">
        <f>SUMIF($D$6:$D$125,"2002",Q$6:Q$125)/SUMIF($D$6:$D$125,"2002",$E$6:$E$125)</f>
        <v>-554.86274509803923</v>
      </c>
      <c r="R263" s="37">
        <f>SUMIF($D$6:$D$125,"2002",R$6:R$125)/SUMIF($D$6:$D$125,"2002",$E$6:$E$125)</f>
        <v>-115.64705882352941</v>
      </c>
      <c r="S263" s="65"/>
      <c r="T263" s="65">
        <f t="shared" ref="T263:T271" si="32">R543</f>
        <v>-85.392156862745097</v>
      </c>
      <c r="U263" s="451"/>
      <c r="V263" s="65"/>
      <c r="W263" s="37">
        <f>SUMIF($D$6:$D$125,"2002",W$6:W$125)/SUMIF($D$6:$D$125,"2002",$E$6:$E$125)</f>
        <v>0</v>
      </c>
      <c r="X263" s="37">
        <f>SUMIF($D$6:$D$125,"2002",X$6:X$125)/SUMIF($D$6:$D$125,"2002",$E$6:$E$125)</f>
        <v>0</v>
      </c>
      <c r="Y263" s="65"/>
      <c r="Z263" s="65">
        <f t="shared" ref="Z263:Z271" si="33">X543</f>
        <v>0</v>
      </c>
      <c r="AA263" s="37">
        <f>SUMIF($D$6:$D$125,"2002",AA$6:AA$125)/SUMIF($D$6:$D$125,"2001",$E$6:$E$125)</f>
        <v>0</v>
      </c>
      <c r="AB263" s="37">
        <f>SUMIF($D$6:$D$125,"2002",AB$6:AB$125)/SUMIF($D$6:$D$125,"2001",$E$6:$E$125)</f>
        <v>0</v>
      </c>
      <c r="AC263" s="65"/>
      <c r="AD263" s="65">
        <f t="shared" ref="AD263:AD271" si="34">AB543</f>
        <v>0</v>
      </c>
      <c r="AE263" s="37">
        <f>SUMIF($D$6:$D$125,"2002",AE$6:AE$125)/SUMIF($D$6:$D$125,"2001",$E$6:$E$125)</f>
        <v>0</v>
      </c>
      <c r="AF263" s="37">
        <f>SUMIF($D$6:$D$125,"2002",AF$6:AF$125)/SUMIF($D$6:$D$125,"2001",$E$6:$E$125)</f>
        <v>-220</v>
      </c>
      <c r="AG263" s="65"/>
      <c r="AH263" s="65">
        <f t="shared" ref="AH263:AH271" si="35">AF543</f>
        <v>0</v>
      </c>
      <c r="AI263" s="37">
        <f>SUMIF($D$6:$D$125,"2002",AI$6:AI$125)/SUMIF($D$6:$D$125,"2001",$E$6:$E$125)</f>
        <v>0</v>
      </c>
      <c r="AJ263" s="37">
        <f>SUMIF($D$6:$D$125,"2002",AJ$6:AJ$125)/SUMIF($D$6:$D$125,"2001",$E$6:$E$125)</f>
        <v>342.05</v>
      </c>
      <c r="AK263" s="65"/>
      <c r="AL263" s="65">
        <f t="shared" ref="AL263:AL271" si="36">AJ543</f>
        <v>37.077464788732392</v>
      </c>
      <c r="AM263" s="65"/>
      <c r="AN263" s="65"/>
      <c r="AO263" s="37">
        <f>SUMIF($D$6:$D$125,"2002",AO$6:AO$125)/SUMIF($D$6:$D$125,"2001",$E$6:$E$125)</f>
        <v>470</v>
      </c>
      <c r="AP263" s="37">
        <f>SUMIF($D$6:$D$125,"2002",AP$6:AP$125)/SUMIF($D$6:$D$125,"2001",$E$6:$E$125)</f>
        <v>0</v>
      </c>
      <c r="AQ263" s="65"/>
      <c r="AR263" s="65">
        <f t="shared" ref="AR263:AR271" si="37">AP543</f>
        <v>0</v>
      </c>
      <c r="AS263" s="37"/>
      <c r="AT263" s="37">
        <f t="shared" si="29"/>
        <v>18424.026017156859</v>
      </c>
      <c r="AU263" s="65"/>
      <c r="AV263" s="65">
        <f t="shared" ref="AV263:AV271" si="38">AT543</f>
        <v>-78.860294117647058</v>
      </c>
      <c r="AW263" s="37">
        <f>SUMIF($D$6:$D$125,"2002",AW$6:AW$125)/SUMIF($D$6:$D$125,"2002",$E$6:$E$125)</f>
        <v>34.901960784313722</v>
      </c>
      <c r="AX263" s="386">
        <f>SUMIF($D$6:$D$125,"2002",AX$6:AX$125)/SUMIF($D$6:$D$125,"2002",$E$6:$E$125)</f>
        <v>-184.11764705882354</v>
      </c>
      <c r="AY263" s="65"/>
      <c r="AZ263" s="65">
        <f t="shared" ref="AZ263:AZ271" si="39">AX543</f>
        <v>42.941176470588232</v>
      </c>
      <c r="BA263" s="65"/>
      <c r="BB263" s="390"/>
      <c r="BC263" s="70">
        <f>SUMIF($D$6:$D$125,"2002",BC$6:BC$125)/SUMIF($D$6:$D$125,"2002",$E$6:$E$125)</f>
        <v>-8.6274509803921564</v>
      </c>
      <c r="BD263" s="37">
        <f>SUMIF($D$6:$D$125,"2002",BD$6:BD$125)/SUMIF($D$6:$D$125,"2002",$E$6:$E$125)</f>
        <v>298.8235294117647</v>
      </c>
      <c r="BE263" s="65"/>
      <c r="BF263" s="65">
        <f>SUMIF($D$6:$D$125,"2002",BH$6:BH$125)/SUMIF($D$6:$D$125,"2002",$E$6:$E$125)</f>
        <v>-105.09803921568627</v>
      </c>
      <c r="BG263" s="70">
        <f>SUMIF($D$6:$D$125,"2002",BG$6:BG$125)/SUMIF($D$6:$D$125,"2001",$E$6:$E$125)</f>
        <v>0</v>
      </c>
      <c r="BH263" s="70"/>
      <c r="BI263" s="518"/>
      <c r="BJ263" s="70">
        <f>SUMIF($D$6:$D$125,"2002",BJ$6:BJ$125)/SUMIF($D$6:$D$125,"2001",$E$6:$E$125)</f>
        <v>11312.5</v>
      </c>
      <c r="BK263" s="65"/>
      <c r="BL263" s="65"/>
      <c r="BM263" s="65"/>
      <c r="BN263" s="526">
        <f>SUMIF($D$6:$D$125,"2002",BN$6:BN$125)/SUMIF($D$6:$D$125,"2001",$E$6:$E$125)</f>
        <v>6557.5</v>
      </c>
      <c r="BO263" s="65"/>
      <c r="BP263" s="65"/>
      <c r="BQ263" s="37">
        <f>SUMIF($D$6:$D$125,"2002",BQ$6:BQ$125)/SUMIF($D$6:$D$125,"2002",$E$6:$E$125)</f>
        <v>0</v>
      </c>
      <c r="BR263" s="37">
        <f>SUMIF($D$6:$D$125,"2002",BR$6:BR$125)/SUMIF($D$6:$D$125,"2002",$E$6:$E$125)</f>
        <v>352.74509803921569</v>
      </c>
      <c r="BS263" s="65"/>
      <c r="BT263" s="65">
        <f t="shared" ref="BT263:BT271" si="40">BR543</f>
        <v>0</v>
      </c>
      <c r="BU263" s="37">
        <f>SUMIF($D$6:$D$125,"2002",BU$6:BU$125)/SUMIF($D$6:$D$125,"2002",$E$6:$E$125)</f>
        <v>187.64143872549022</v>
      </c>
      <c r="BV263" s="37">
        <f>SUMIF($D$6:$D$125,"2002",BV$6:BV$125)/SUMIF($D$6:$D$125,"2002",$E$6:$E$125)</f>
        <v>-11.660257352941176</v>
      </c>
      <c r="BW263" s="65"/>
      <c r="BX263" s="65">
        <f t="shared" ref="BX263:BX271" si="41">BV543</f>
        <v>-2.4019607843137254</v>
      </c>
      <c r="BY263" s="65"/>
      <c r="BZ263" s="65"/>
      <c r="CA263" s="37">
        <f>SUMIF($D$6:$D$125,"2002",CA$6:CA$125)/SUMIF($D$6:$D$125,"2002",$E$6:$E$125)</f>
        <v>-82.352941176470594</v>
      </c>
      <c r="CB263" s="37">
        <f>SUMIF($D$6:$D$125,"2002",CB$6:CB$125)/SUMIF($D$6:$D$125,"2002",$E$6:$E$125)</f>
        <v>98.235294117647058</v>
      </c>
      <c r="CC263" s="65"/>
      <c r="CD263" s="70">
        <f t="shared" ref="CD263:CD271" si="42">CB543</f>
        <v>-14.301470588235293</v>
      </c>
      <c r="CE263" s="70"/>
      <c r="CF263" s="216"/>
      <c r="CG263" s="34"/>
    </row>
    <row r="264" spans="1:85" x14ac:dyDescent="0.2">
      <c r="A264">
        <v>1</v>
      </c>
      <c r="B264" s="92" t="s">
        <v>58</v>
      </c>
      <c r="C264" s="92" t="s">
        <v>58</v>
      </c>
      <c r="D264" s="63"/>
      <c r="E264" s="63"/>
      <c r="F264" s="63"/>
      <c r="G264" s="36">
        <f>SUMIF($D$6:$D$125,"2003",G$6:G$125)/SUMIF($D$6:$D$125,"2001",$E$6:$E$125)</f>
        <v>-8711.8220312499998</v>
      </c>
      <c r="H264" s="36">
        <f>SUMIF($D$6:$D$125,"2003",H$6:H$125)/SUMIF($D$6:$D$125,"2003",$E$6:$E$125)</f>
        <v>-621.99711029411765</v>
      </c>
      <c r="I264" s="36">
        <f t="shared" si="30"/>
        <v>-361.46862745098036</v>
      </c>
      <c r="J264" s="41"/>
      <c r="K264" s="36">
        <f>SUMIF($D$6:$D$125,"2003",K$6:K$125)/SUMIF($D$6:$D$125,"2003",$E$6:$E$125)</f>
        <v>-469.57451470588234</v>
      </c>
      <c r="L264" s="36">
        <f>SUMIF($D$6:$D$125,"2003",L$6:L$125)/SUMIF($D$6:$D$125,"2003",$E$6:$E$125)</f>
        <v>-477.65189950980391</v>
      </c>
      <c r="M264" s="61"/>
      <c r="N264" s="61">
        <f t="shared" si="31"/>
        <v>-251.06666666666666</v>
      </c>
      <c r="O264" s="271"/>
      <c r="P264" s="61"/>
      <c r="Q264" s="36">
        <f>SUMIF($D$6:$D$125,"2003",Q$6:Q$125)/SUMIF($D$6:$D$125,"2003",$E$6:$E$125)</f>
        <v>-487.84313725490193</v>
      </c>
      <c r="R264" s="36">
        <f>SUMIF($D$6:$D$125,"2003",R$6:R$125)/SUMIF($D$6:$D$125,"2003",$E$6:$E$125)</f>
        <v>-804.50980392156862</v>
      </c>
      <c r="S264" s="61"/>
      <c r="T264" s="61">
        <f t="shared" si="32"/>
        <v>-52.549019607843135</v>
      </c>
      <c r="U264" s="445"/>
      <c r="V264" s="61"/>
      <c r="W264" s="36">
        <f>SUMIF($D$6:$D$125,"2003",W$6:W$125)/SUMIF($D$6:$D$125,"2003",$E$6:$E$125)</f>
        <v>0</v>
      </c>
      <c r="X264" s="36">
        <f>SUMIF($D$6:$D$125,"2003",X$6:X$125)/SUMIF($D$6:$D$125,"2003",$E$6:$E$125)</f>
        <v>0</v>
      </c>
      <c r="Y264" s="61"/>
      <c r="Z264" s="61">
        <f t="shared" si="33"/>
        <v>0</v>
      </c>
      <c r="AA264" s="36">
        <f>SUMIF($D$6:$D$125,"2003",AA$6:AA$125)/SUMIF($D$6:$D$125,"2001",$E$6:$E$125)</f>
        <v>0</v>
      </c>
      <c r="AB264" s="36">
        <f>SUMIF($D$6:$D$125,"2003",AB$6:AB$125)/SUMIF($D$6:$D$125,"2001",$E$6:$E$125)</f>
        <v>0</v>
      </c>
      <c r="AC264" s="61"/>
      <c r="AD264" s="61">
        <f t="shared" si="34"/>
        <v>0</v>
      </c>
      <c r="AE264" s="36">
        <f>SUMIF($D$6:$D$125,"2003",AE$6:AE$125)/SUMIF($D$6:$D$125,"2001",$E$6:$E$125)</f>
        <v>0</v>
      </c>
      <c r="AF264" s="36">
        <f>SUMIF($D$6:$D$125,"2003",AF$6:AF$125)/SUMIF($D$6:$D$125,"2001",$E$6:$E$125)</f>
        <v>0</v>
      </c>
      <c r="AG264" s="61"/>
      <c r="AH264" s="61">
        <f t="shared" si="35"/>
        <v>0</v>
      </c>
      <c r="AI264" s="36">
        <f>SUMIF($D$6:$D$125,"2003",AI$6:AI$125)/SUMIF($D$6:$D$125,"2001",$E$6:$E$125)</f>
        <v>0</v>
      </c>
      <c r="AJ264" s="36">
        <f>SUMIF($D$6:$D$125,"2003",AJ$6:AJ$125)/SUMIF($D$6:$D$125,"2001",$E$6:$E$125)</f>
        <v>342.1</v>
      </c>
      <c r="AK264" s="61"/>
      <c r="AL264" s="61">
        <f t="shared" si="36"/>
        <v>37.077464788732392</v>
      </c>
      <c r="AM264" s="61"/>
      <c r="AN264" s="61"/>
      <c r="AO264" s="36">
        <f>SUMIF($D$6:$D$125,"2003",AO$6:AO$125)/SUMIF($D$6:$D$125,"2001",$E$6:$E$125)</f>
        <v>0</v>
      </c>
      <c r="AP264" s="36">
        <f>SUMIF($D$6:$D$125,"2003",AP$6:AP$125)/SUMIF($D$6:$D$125,"2001",$E$6:$E$125)</f>
        <v>0</v>
      </c>
      <c r="AQ264" s="61"/>
      <c r="AR264" s="61">
        <f t="shared" si="37"/>
        <v>0</v>
      </c>
      <c r="AS264" s="36"/>
      <c r="AT264" s="36">
        <f t="shared" si="29"/>
        <v>3372.6959656862746</v>
      </c>
      <c r="AU264" s="61"/>
      <c r="AV264" s="61">
        <f t="shared" si="38"/>
        <v>-88.82352941176471</v>
      </c>
      <c r="AW264" s="36">
        <f>SUMIF($D$6:$D$125,"2003",AW$6:AW$125)/SUMIF($D$6:$D$125,"2003",$E$6:$E$125)</f>
        <v>0</v>
      </c>
      <c r="AX264" s="385">
        <f>SUMIF($D$6:$D$125,"2003",AX$6:AX$125)/SUMIF($D$6:$D$125,"2003",$E$6:$E$125)</f>
        <v>8.6274509803921564</v>
      </c>
      <c r="AY264" s="61"/>
      <c r="AZ264" s="61">
        <f t="shared" si="39"/>
        <v>-105.09803921568627</v>
      </c>
      <c r="BA264" s="61"/>
      <c r="BB264" s="388"/>
      <c r="BC264" s="69">
        <f>SUMIF($D$6:$D$125,"2003",BC$6:BC$125)/SUMIF($D$6:$D$125,"2003",$E$6:$E$125)</f>
        <v>0</v>
      </c>
      <c r="BD264" s="36">
        <f>SUMIF($D$6:$D$125,"2003",BD$6:BD$125)/SUMIF($D$6:$D$125,"2003",$E$6:$E$125)</f>
        <v>-62.549019607843135</v>
      </c>
      <c r="BE264" s="61"/>
      <c r="BF264" s="61">
        <f>SUMIF($D$6:$D$125,"2003",BH$6:BH$125)/SUMIF($D$6:$D$125,"2003",$E$6:$E$125)</f>
        <v>0</v>
      </c>
      <c r="BG264" s="69">
        <f>SUMIF($D$6:$D$125,"2003",BG$6:BG$125)/SUMIF($D$6:$D$125,"2001",$E$6:$E$125)</f>
        <v>0</v>
      </c>
      <c r="BH264" s="69"/>
      <c r="BI264" s="517"/>
      <c r="BJ264" s="69">
        <f>SUMIF($D$6:$D$125,"2003",BJ$6:BJ$125)/SUMIF($D$6:$D$125,"2001",$E$6:$E$125)</f>
        <v>2972.5</v>
      </c>
      <c r="BK264" s="61"/>
      <c r="BL264" s="61"/>
      <c r="BM264" s="61"/>
      <c r="BN264" s="404">
        <f>SUMIF($D$6:$D$125,"2003",BN$6:BN$125)/SUMIF($D$6:$D$125,"2001",$E$6:$E$125)</f>
        <v>0</v>
      </c>
      <c r="BO264" s="61"/>
      <c r="BP264" s="61"/>
      <c r="BQ264" s="36">
        <f>SUMIF($D$6:$D$125,"2003",BQ$6:BQ$125)/SUMIF($D$6:$D$125,"2003",$E$6:$E$125)</f>
        <v>0</v>
      </c>
      <c r="BR264" s="36">
        <f>SUMIF($D$6:$D$125,"2003",BR$6:BR$125)/SUMIF($D$6:$D$125,"2003",$E$6:$E$125)</f>
        <v>79.215686274509807</v>
      </c>
      <c r="BS264" s="61"/>
      <c r="BT264" s="61">
        <f t="shared" si="40"/>
        <v>0</v>
      </c>
      <c r="BU264" s="36">
        <f>SUMIF($D$6:$D$125,"2003",BU$6:BU$125)/SUMIF($D$6:$D$125,"2003",$E$6:$E$125)</f>
        <v>324.13749264705882</v>
      </c>
      <c r="BV264" s="36">
        <f>SUMIF($D$6:$D$125,"2003",BV$6:BV$125)/SUMIF($D$6:$D$125,"2003",$E$6:$E$125)</f>
        <v>88.03910294117648</v>
      </c>
      <c r="BW264" s="61"/>
      <c r="BX264" s="61">
        <f t="shared" si="41"/>
        <v>-26.274509803921568</v>
      </c>
      <c r="BY264" s="61"/>
      <c r="BZ264" s="61"/>
      <c r="CA264" s="36">
        <f>SUMIF($D$6:$D$125,"2003",CA$6:CA$125)/SUMIF($D$6:$D$125,"2003",$E$6:$E$125)</f>
        <v>-50</v>
      </c>
      <c r="CB264" s="36">
        <f>SUMIF($D$6:$D$125,"2003",CB$6:CB$125)/SUMIF($D$6:$D$125,"2003",$E$6:$E$125)</f>
        <v>286.86274509803923</v>
      </c>
      <c r="CC264" s="61"/>
      <c r="CD264" s="69">
        <f t="shared" si="42"/>
        <v>42.549019607843135</v>
      </c>
      <c r="CE264" s="69"/>
      <c r="CF264" s="215"/>
      <c r="CG264" s="4"/>
    </row>
    <row r="265" spans="1:85" s="35" customFormat="1" x14ac:dyDescent="0.2">
      <c r="A265" s="35">
        <v>1</v>
      </c>
      <c r="B265" s="94" t="s">
        <v>59</v>
      </c>
      <c r="C265" s="94" t="s">
        <v>59</v>
      </c>
      <c r="D265" s="64"/>
      <c r="E265" s="64"/>
      <c r="F265" s="64"/>
      <c r="G265" s="37">
        <f>SUMIF($D$6:$D$125,"2004",G$6:G$125)/SUMIF($D$6:$D$125,"2001",$E$6:$E$125)</f>
        <v>1203.5440624999999</v>
      </c>
      <c r="H265" s="37">
        <f>SUMIF($D$6:$D$125,"2004",H$6:H$125)/SUMIF($D$6:$D$125,"2004",$E$6:$E$125)</f>
        <v>193.17998540856033</v>
      </c>
      <c r="I265" s="37">
        <f t="shared" si="30"/>
        <v>41.01556420233463</v>
      </c>
      <c r="J265" s="42"/>
      <c r="K265" s="37">
        <f>SUMIF($D$6:$D$125,"2004",K$6:K$125)/SUMIF($D$6:$D$125,"2004",$E$6:$E$125)</f>
        <v>-84.262594844357977</v>
      </c>
      <c r="L265" s="37">
        <f>SUMIF($D$6:$D$125,"2004",L$6:L$125)/SUMIF($D$6:$D$125,"2004",$E$6:$E$125)</f>
        <v>-44.488667315175086</v>
      </c>
      <c r="M265" s="65"/>
      <c r="N265" s="65">
        <f t="shared" si="31"/>
        <v>144.71206225680933</v>
      </c>
      <c r="O265" s="272"/>
      <c r="P265" s="65"/>
      <c r="Q265" s="37">
        <f>SUMIF($D$6:$D$125,"2004",Q$6:Q$125)/SUMIF($D$6:$D$125,"2004",$E$6:$E$125)</f>
        <v>0</v>
      </c>
      <c r="R265" s="37">
        <f>SUMIF($D$6:$D$125,"2004",R$6:R$125)/SUMIF($D$6:$D$125,"2004",$E$6:$E$125)</f>
        <v>0</v>
      </c>
      <c r="S265" s="65"/>
      <c r="T265" s="65">
        <f t="shared" si="32"/>
        <v>0</v>
      </c>
      <c r="U265" s="451"/>
      <c r="V265" s="65"/>
      <c r="W265" s="37">
        <f>SUMIF($D$6:$D$125,"2004",W$6:W$125)/SUMIF($D$6:$D$125,"2004",$E$6:$E$125)</f>
        <v>0</v>
      </c>
      <c r="X265" s="37">
        <f>SUMIF($D$6:$D$125,"2004",X$6:X$125)/SUMIF($D$6:$D$125,"2004",$E$6:$E$125)</f>
        <v>0</v>
      </c>
      <c r="Y265" s="65"/>
      <c r="Z265" s="65">
        <f t="shared" si="33"/>
        <v>0</v>
      </c>
      <c r="AA265" s="37">
        <f>SUMIF($D$6:$D$125,"2004",AA$6:AA$125)/SUMIF($D$6:$D$125,"2001",$E$6:$E$125)</f>
        <v>0</v>
      </c>
      <c r="AB265" s="37">
        <f>SUMIF($D$6:$D$125,"2004",AB$6:AB$125)/SUMIF($D$6:$D$125,"2001",$E$6:$E$125)</f>
        <v>0</v>
      </c>
      <c r="AC265" s="65"/>
      <c r="AD265" s="65">
        <f t="shared" si="34"/>
        <v>0</v>
      </c>
      <c r="AE265" s="37">
        <f>SUMIF($D$6:$D$125,"2004",AE$6:AE$125)/SUMIF($D$6:$D$125,"2001",$E$6:$E$125)</f>
        <v>0</v>
      </c>
      <c r="AF265" s="37">
        <f>SUMIF($D$6:$D$125,"2004",AF$6:AF$125)/SUMIF($D$6:$D$125,"2001",$E$6:$E$125)</f>
        <v>0</v>
      </c>
      <c r="AG265" s="65"/>
      <c r="AH265" s="65">
        <f t="shared" si="35"/>
        <v>0</v>
      </c>
      <c r="AI265" s="37">
        <f>SUMIF($D$6:$D$125,"2004",AI$6:AI$125)/SUMIF($D$6:$D$125,"2001",$E$6:$E$125)</f>
        <v>0</v>
      </c>
      <c r="AJ265" s="37">
        <f>SUMIF($D$6:$D$125,"2004",AJ$6:AJ$125)/SUMIF($D$6:$D$125,"2001",$E$6:$E$125)</f>
        <v>-2.15</v>
      </c>
      <c r="AK265" s="65"/>
      <c r="AL265" s="65">
        <f t="shared" si="36"/>
        <v>0</v>
      </c>
      <c r="AM265" s="65"/>
      <c r="AN265" s="65"/>
      <c r="AO265" s="37">
        <f>SUMIF($D$6:$D$125,"2004",AO$6:AO$125)/SUMIF($D$6:$D$125,"2001",$E$6:$E$125)</f>
        <v>0</v>
      </c>
      <c r="AP265" s="37">
        <f>SUMIF($D$6:$D$125,"2004",AP$6:AP$125)/SUMIF($D$6:$D$125,"2001",$E$6:$E$125)</f>
        <v>0</v>
      </c>
      <c r="AQ265" s="65"/>
      <c r="AR265" s="65">
        <f t="shared" si="37"/>
        <v>0</v>
      </c>
      <c r="AS265" s="37"/>
      <c r="AT265" s="37">
        <f t="shared" si="29"/>
        <v>-354.66403210116732</v>
      </c>
      <c r="AU265" s="65"/>
      <c r="AV265" s="65">
        <f t="shared" si="38"/>
        <v>-103.6964980544747</v>
      </c>
      <c r="AW265" s="37">
        <f>SUMIF($D$6:$D$125,"2004",AW$6:AW$125)/SUMIF($D$6:$D$125,"2004",$E$6:$E$125)</f>
        <v>50</v>
      </c>
      <c r="AX265" s="386">
        <f>SUMIF($D$6:$D$125,"2004",AX$6:AX$125)/SUMIF($D$6:$D$125,"2004",$E$6:$E$125)</f>
        <v>100</v>
      </c>
      <c r="AY265" s="65"/>
      <c r="AZ265" s="65">
        <f t="shared" si="39"/>
        <v>0</v>
      </c>
      <c r="BA265" s="65"/>
      <c r="BB265" s="390"/>
      <c r="BC265" s="70">
        <f>SUMIF($D$6:$D$125,"2004",BC$6:BC$125)/SUMIF($D$6:$D$125,"2004",$E$6:$E$125)</f>
        <v>0</v>
      </c>
      <c r="BD265" s="37">
        <f>SUMIF($D$6:$D$125,"2004",BD$6:BD$125)/SUMIF($D$6:$D$125,"2004",$E$6:$E$125)</f>
        <v>0</v>
      </c>
      <c r="BE265" s="65"/>
      <c r="BF265" s="65">
        <f>SUMIF($D$6:$D$125,"2004",BH$6:BH$125)/SUMIF($D$6:$D$125,"2004",$E$6:$E$125)</f>
        <v>0</v>
      </c>
      <c r="BG265" s="70">
        <f>SUMIF($D$6:$D$125,"2004",BG$6:BG$125)/SUMIF($D$6:$D$125,"2001",$E$6:$E$125)</f>
        <v>0</v>
      </c>
      <c r="BH265" s="70"/>
      <c r="BI265" s="518"/>
      <c r="BJ265" s="70">
        <f>SUMIF($D$6:$D$125,"2004",BJ$6:BJ$125)/SUMIF($D$6:$D$125,"2001",$E$6:$E$125)</f>
        <v>-642.5</v>
      </c>
      <c r="BK265" s="65"/>
      <c r="BL265" s="65"/>
      <c r="BM265" s="65"/>
      <c r="BN265" s="526">
        <f>SUMIF($D$6:$D$125,"2004",BN$6:BN$125)/SUMIF($D$6:$D$125,"2001",$E$6:$E$125)</f>
        <v>0</v>
      </c>
      <c r="BO265" s="65"/>
      <c r="BP265" s="65"/>
      <c r="BQ265" s="37">
        <f>SUMIF($D$6:$D$125,"2004",BQ$6:BQ$125)/SUMIF($D$6:$D$125,"2004",$E$6:$E$125)</f>
        <v>0</v>
      </c>
      <c r="BR265" s="37">
        <f>SUMIF($D$6:$D$125,"2004",BR$6:BR$125)/SUMIF($D$6:$D$125,"2004",$E$6:$E$125)</f>
        <v>0</v>
      </c>
      <c r="BS265" s="65"/>
      <c r="BT265" s="65">
        <f t="shared" si="40"/>
        <v>0</v>
      </c>
      <c r="BU265" s="37">
        <f>SUMIF($D$6:$D$125,"2004",BU$6:BU$125)/SUMIF($D$6:$D$125,"2004",$E$6:$E$125)</f>
        <v>127.92361138132296</v>
      </c>
      <c r="BV265" s="37">
        <f>SUMIF($D$6:$D$125,"2004",BV$6:BV$125)/SUMIF($D$6:$D$125,"2004",$E$6:$E$125)</f>
        <v>-37.261308365758751</v>
      </c>
      <c r="BW265" s="65"/>
      <c r="BX265" s="65">
        <f t="shared" si="41"/>
        <v>0</v>
      </c>
      <c r="BY265" s="65"/>
      <c r="BZ265" s="65"/>
      <c r="CA265" s="37">
        <f>SUMIF($D$6:$D$125,"2004",CA$6:CA$125)/SUMIF($D$6:$D$125,"2004",$E$6:$E$125)</f>
        <v>0</v>
      </c>
      <c r="CB265" s="37">
        <f>SUMIF($D$6:$D$125,"2004",CB$6:CB$125)/SUMIF($D$6:$D$125,"2004",$E$6:$E$125)</f>
        <v>225.09727626459144</v>
      </c>
      <c r="CC265" s="65"/>
      <c r="CD265" s="70">
        <f t="shared" si="42"/>
        <v>-103.6964980544747</v>
      </c>
      <c r="CE265" s="70"/>
      <c r="CF265" s="216"/>
      <c r="CG265" s="34"/>
    </row>
    <row r="266" spans="1:85" x14ac:dyDescent="0.2">
      <c r="A266">
        <v>1</v>
      </c>
      <c r="B266" s="92" t="s">
        <v>60</v>
      </c>
      <c r="C266" s="92" t="s">
        <v>60</v>
      </c>
      <c r="D266" s="63"/>
      <c r="E266" s="63"/>
      <c r="F266" s="63"/>
      <c r="G266" s="36">
        <f>SUMIF($D$6:$D$125,"2005",G$6:G$125)/SUMIF($D$6:$D$125,"2001",$E$6:$E$125)</f>
        <v>5017.8472812499995</v>
      </c>
      <c r="H266" s="36">
        <f>SUMIF($D$6:$D$125,"2005",H$6:H$125)/SUMIF($D$6:$D$125,"2005",$E$6:$E$125)</f>
        <v>59.539237745098028</v>
      </c>
      <c r="I266" s="36">
        <f t="shared" si="30"/>
        <v>180.94117647058823</v>
      </c>
      <c r="J266" s="41"/>
      <c r="K266" s="36">
        <f>SUMIF($D$6:$D$125,"2005",K$6:K$125)/SUMIF($D$6:$D$125,"2005",$E$6:$E$125)</f>
        <v>201.28277941176469</v>
      </c>
      <c r="L266" s="36">
        <f>SUMIF($D$6:$D$125,"2005",L$6:L$125)/SUMIF($D$6:$D$125,"2005",$E$6:$E$125)</f>
        <v>-69.53361274509804</v>
      </c>
      <c r="M266" s="61"/>
      <c r="N266" s="61">
        <f t="shared" si="31"/>
        <v>188.44117647058823</v>
      </c>
      <c r="O266" s="271"/>
      <c r="P266" s="61"/>
      <c r="Q266" s="36">
        <f>SUMIF($D$6:$D$125,"2005",Q$6:Q$125)/SUMIF($D$6:$D$125,"2005",$E$6:$E$125)</f>
        <v>50</v>
      </c>
      <c r="R266" s="36">
        <f>SUMIF($D$6:$D$125,"2005",R$6:R$125)/SUMIF($D$6:$D$125,"2005",$E$6:$E$125)</f>
        <v>-50</v>
      </c>
      <c r="S266" s="61"/>
      <c r="T266" s="61">
        <f t="shared" si="32"/>
        <v>-7.5</v>
      </c>
      <c r="U266" s="445"/>
      <c r="V266" s="61"/>
      <c r="W266" s="36">
        <f>SUMIF($D$6:$D$125,"2005",W$6:W$125)/SUMIF($D$6:$D$125,"2005",$E$6:$E$125)</f>
        <v>0</v>
      </c>
      <c r="X266" s="36">
        <f>SUMIF($D$6:$D$125,"2005",X$6:X$125)/SUMIF($D$6:$D$125,"2005",$E$6:$E$125)</f>
        <v>0</v>
      </c>
      <c r="Y266" s="61"/>
      <c r="Z266" s="61">
        <f t="shared" si="33"/>
        <v>0</v>
      </c>
      <c r="AA266" s="36">
        <f>SUMIF($D$6:$D$125,"2005",AA$6:AA$125)/SUMIF($D$6:$D$125,"2001",$E$6:$E$125)</f>
        <v>0</v>
      </c>
      <c r="AB266" s="36">
        <f>SUMIF($D$6:$D$125,"2005",AB$6:AB$125)/SUMIF($D$6:$D$125,"2001",$E$6:$E$125)</f>
        <v>0</v>
      </c>
      <c r="AC266" s="61"/>
      <c r="AD266" s="61">
        <f t="shared" si="34"/>
        <v>0</v>
      </c>
      <c r="AE266" s="36">
        <f>SUMIF($D$6:$D$125,"2005",AE$6:AE$125)/SUMIF($D$6:$D$125,"2001",$E$6:$E$125)</f>
        <v>0</v>
      </c>
      <c r="AF266" s="36">
        <f>SUMIF($D$6:$D$125,"2005",AF$6:AF$125)/SUMIF($D$6:$D$125,"2001",$E$6:$E$125)</f>
        <v>0</v>
      </c>
      <c r="AG266" s="61"/>
      <c r="AH266" s="61">
        <f t="shared" si="35"/>
        <v>0</v>
      </c>
      <c r="AI266" s="36">
        <f>SUMIF($D$6:$D$125,"2005",AI$6:AI$125)/SUMIF($D$6:$D$125,"2001",$E$6:$E$125)</f>
        <v>0</v>
      </c>
      <c r="AJ266" s="36">
        <f>SUMIF($D$6:$D$125,"2005",AJ$6:AJ$125)/SUMIF($D$6:$D$125,"2001",$E$6:$E$125)</f>
        <v>-2.15</v>
      </c>
      <c r="AK266" s="61"/>
      <c r="AL266" s="61">
        <f t="shared" si="36"/>
        <v>0</v>
      </c>
      <c r="AM266" s="61"/>
      <c r="AN266" s="61"/>
      <c r="AO266" s="36">
        <f>SUMIF($D$6:$D$125,"2005",AO$6:AO$125)/SUMIF($D$6:$D$125,"2001",$E$6:$E$125)</f>
        <v>0</v>
      </c>
      <c r="AP266" s="36">
        <f>SUMIF($D$6:$D$125,"2005",AP$6:AP$125)/SUMIF($D$6:$D$125,"2001",$E$6:$E$125)</f>
        <v>0</v>
      </c>
      <c r="AQ266" s="61"/>
      <c r="AR266" s="61">
        <f t="shared" si="37"/>
        <v>0</v>
      </c>
      <c r="AS266" s="36"/>
      <c r="AT266" s="36">
        <f t="shared" si="29"/>
        <v>179.24147794117647</v>
      </c>
      <c r="AU266" s="61"/>
      <c r="AV266" s="61">
        <f t="shared" si="38"/>
        <v>0</v>
      </c>
      <c r="AW266" s="36">
        <f>SUMIF($D$6:$D$125,"2005",AW$6:AW$125)/SUMIF($D$6:$D$125,"2005",$E$6:$E$125)</f>
        <v>-75</v>
      </c>
      <c r="AX266" s="385">
        <f>SUMIF($D$6:$D$125,"2005",AX$6:AX$125)/SUMIF($D$6:$D$125,"2005",$E$6:$E$125)</f>
        <v>25</v>
      </c>
      <c r="AY266" s="61"/>
      <c r="AZ266" s="61">
        <f t="shared" si="39"/>
        <v>0</v>
      </c>
      <c r="BA266" s="61"/>
      <c r="BB266" s="388"/>
      <c r="BC266" s="69">
        <f>SUMIF($D$6:$D$125,"2005",BC$6:BC$125)/SUMIF($D$6:$D$125,"2005",$E$6:$E$125)</f>
        <v>0</v>
      </c>
      <c r="BD266" s="36">
        <f>SUMIF($D$6:$D$125,"2005",BD$6:BD$125)/SUMIF($D$6:$D$125,"2005",$E$6:$E$125)</f>
        <v>0</v>
      </c>
      <c r="BE266" s="61"/>
      <c r="BF266" s="61">
        <f>SUMIF($D$6:$D$125,"2005",BH$6:BH$125)/SUMIF($D$6:$D$125,"2005",$E$6:$E$125)</f>
        <v>0</v>
      </c>
      <c r="BG266" s="69">
        <f>SUMIF($D$6:$D$125,"2005",BG$6:BG$125)/SUMIF($D$6:$D$125,"2001",$E$6:$E$125)</f>
        <v>0</v>
      </c>
      <c r="BH266" s="69"/>
      <c r="BI266" s="517"/>
      <c r="BJ266" s="69">
        <f>SUMIF($D$6:$D$125,"2005",BJ$6:BJ$125)/SUMIF($D$6:$D$125,"2001",$E$6:$E$125)</f>
        <v>0</v>
      </c>
      <c r="BK266" s="61"/>
      <c r="BL266" s="61"/>
      <c r="BM266" s="61"/>
      <c r="BN266" s="404">
        <f>SUMIF($D$6:$D$125,"2005",BN$6:BN$125)/SUMIF($D$6:$D$125,"2001",$E$6:$E$125)</f>
        <v>0</v>
      </c>
      <c r="BO266" s="61"/>
      <c r="BP266" s="61"/>
      <c r="BQ266" s="36">
        <f>SUMIF($D$6:$D$125,"2005",BQ$6:BQ$125)/SUMIF($D$6:$D$125,"2005",$E$6:$E$125)</f>
        <v>0</v>
      </c>
      <c r="BR266" s="36">
        <f>SUMIF($D$6:$D$125,"2005",BR$6:BR$125)/SUMIF($D$6:$D$125,"2005",$E$6:$E$125)</f>
        <v>0</v>
      </c>
      <c r="BS266" s="61"/>
      <c r="BT266" s="61">
        <f t="shared" si="40"/>
        <v>0</v>
      </c>
      <c r="BU266" s="36">
        <f>SUMIF($D$6:$D$125,"2005",BU$6:BU$125)/SUMIF($D$6:$D$125,"2005",$E$6:$E$125)</f>
        <v>217.27387009803923</v>
      </c>
      <c r="BV266" s="36">
        <f>SUMIF($D$6:$D$125,"2005",BV$6:BV$125)/SUMIF($D$6:$D$125,"2005",$E$6:$E$125)</f>
        <v>104.24147794117647</v>
      </c>
      <c r="BW266" s="61"/>
      <c r="BX266" s="61">
        <f t="shared" si="41"/>
        <v>0</v>
      </c>
      <c r="BY266" s="61"/>
      <c r="BZ266" s="61"/>
      <c r="CA266" s="36">
        <f>SUMIF($D$6:$D$125,"2005",CA$6:CA$125)/SUMIF($D$6:$D$125,"2005",$E$6:$E$125)</f>
        <v>0</v>
      </c>
      <c r="CB266" s="36">
        <f>SUMIF($D$6:$D$125,"2005",CB$6:CB$125)/SUMIF($D$6:$D$125,"2005",$E$6:$E$125)</f>
        <v>50</v>
      </c>
      <c r="CC266" s="61"/>
      <c r="CD266" s="69">
        <f t="shared" si="42"/>
        <v>0</v>
      </c>
      <c r="CE266" s="69"/>
      <c r="CF266" s="215"/>
      <c r="CG266" s="4"/>
    </row>
    <row r="267" spans="1:85" s="35" customFormat="1" x14ac:dyDescent="0.2">
      <c r="A267" s="35">
        <v>1</v>
      </c>
      <c r="B267" s="94" t="s">
        <v>61</v>
      </c>
      <c r="C267" s="94" t="s">
        <v>61</v>
      </c>
      <c r="D267" s="64"/>
      <c r="E267" s="64"/>
      <c r="F267" s="64"/>
      <c r="G267" s="37">
        <f>SUMIF($D$6:$D$125,"2006",G$6:G$125)/SUMIF($D$6:$D$125,"2001",$E$6:$E$125)</f>
        <v>-389.69884375000004</v>
      </c>
      <c r="H267" s="37">
        <f>SUMIF($D$6:$D$125,"2006",H$6:H$125)/SUMIF($D$6:$D$125,"2006",$E$6:$E$125)</f>
        <v>-185.04301427165353</v>
      </c>
      <c r="I267" s="37">
        <f t="shared" si="30"/>
        <v>0.59251968503937003</v>
      </c>
      <c r="J267" s="42"/>
      <c r="K267" s="37">
        <f>SUMIF($D$6:$D$125,"2006",K$6:K$125)/SUMIF($D$6:$D$125,"2006",$E$6:$E$125)</f>
        <v>-20.241309055118109</v>
      </c>
      <c r="L267" s="37">
        <f>SUMIF($D$6:$D$125,"2006",L$6:L$125)/SUMIF($D$6:$D$125,"2006",$E$6:$E$125)</f>
        <v>18.564239665354329</v>
      </c>
      <c r="M267" s="65"/>
      <c r="N267" s="65">
        <f t="shared" si="31"/>
        <v>79.24212598425197</v>
      </c>
      <c r="O267" s="272"/>
      <c r="P267" s="65"/>
      <c r="Q267" s="37">
        <f>SUMIF($D$6:$D$125,"2006",Q$6:Q$125)/SUMIF($D$6:$D$125,"2006",$E$6:$E$125)</f>
        <v>-76.842519685039363</v>
      </c>
      <c r="R267" s="37">
        <f>SUMIF($D$6:$D$125,"2006",R$6:R$125)/SUMIF($D$6:$D$125,"2006",$E$6:$E$125)</f>
        <v>-276.84251968503935</v>
      </c>
      <c r="S267" s="65"/>
      <c r="T267" s="65">
        <f t="shared" si="32"/>
        <v>-78.649606299212593</v>
      </c>
      <c r="U267" s="451"/>
      <c r="V267" s="65"/>
      <c r="W267" s="37">
        <f>SUMIF($D$6:$D$125,"2006",W$6:W$125)/SUMIF($D$6:$D$125,"2006",$E$6:$E$125)</f>
        <v>0</v>
      </c>
      <c r="X267" s="37">
        <f>SUMIF($D$6:$D$125,"2006",X$6:X$125)/SUMIF($D$6:$D$125,"2006",$E$6:$E$125)</f>
        <v>0</v>
      </c>
      <c r="Y267" s="65"/>
      <c r="Z267" s="65">
        <f t="shared" si="33"/>
        <v>0</v>
      </c>
      <c r="AA267" s="37">
        <f>SUMIF($D$6:$D$125,"2006",AA$6:AA$125)/SUMIF($D$6:$D$125,"2001",$E$6:$E$125)</f>
        <v>0</v>
      </c>
      <c r="AB267" s="37">
        <f>SUMIF($D$6:$D$125,"2006",AB$6:AB$125)/SUMIF($D$6:$D$125,"2001",$E$6:$E$125)</f>
        <v>0</v>
      </c>
      <c r="AC267" s="65"/>
      <c r="AD267" s="65">
        <f t="shared" si="34"/>
        <v>0</v>
      </c>
      <c r="AE267" s="37">
        <f>SUMIF($D$6:$D$125,"2006",AE$6:AE$125)/SUMIF($D$6:$D$125,"2001",$E$6:$E$125)</f>
        <v>0</v>
      </c>
      <c r="AF267" s="37">
        <f>SUMIF($D$6:$D$125,"2006",AF$6:AF$125)/SUMIF($D$6:$D$125,"2001",$E$6:$E$125)</f>
        <v>0</v>
      </c>
      <c r="AG267" s="65"/>
      <c r="AH267" s="65">
        <f t="shared" si="35"/>
        <v>0</v>
      </c>
      <c r="AI267" s="37">
        <f>SUMIF($D$6:$D$125,"2006",AI$6:AI$125)/SUMIF($D$6:$D$125,"2001",$E$6:$E$125)</f>
        <v>0</v>
      </c>
      <c r="AJ267" s="37">
        <f>SUMIF($D$6:$D$125,"2006",AJ$6:AJ$125)/SUMIF($D$6:$D$125,"2001",$E$6:$E$125)</f>
        <v>-2.15</v>
      </c>
      <c r="AK267" s="65"/>
      <c r="AL267" s="65">
        <f t="shared" si="36"/>
        <v>0</v>
      </c>
      <c r="AM267" s="65"/>
      <c r="AN267" s="65"/>
      <c r="AO267" s="37">
        <f>SUMIF($D$6:$D$125,"2006",AO$6:AO$125)/SUMIF($D$6:$D$125,"2001",$E$6:$E$125)</f>
        <v>0</v>
      </c>
      <c r="AP267" s="37">
        <f>SUMIF($D$6:$D$125,"2006",AP$6:AP$125)/SUMIF($D$6:$D$125,"2001",$E$6:$E$125)</f>
        <v>0</v>
      </c>
      <c r="AQ267" s="65"/>
      <c r="AR267" s="65">
        <f t="shared" si="37"/>
        <v>0</v>
      </c>
      <c r="AS267" s="37"/>
      <c r="AT267" s="37">
        <f t="shared" si="29"/>
        <v>73.404557086614176</v>
      </c>
      <c r="AU267" s="65"/>
      <c r="AV267" s="65">
        <f t="shared" si="38"/>
        <v>0</v>
      </c>
      <c r="AW267" s="37">
        <f>SUMIF($D$6:$D$125,"2006",AW$6:AW$125)/SUMIF($D$6:$D$125,"2006",$E$6:$E$125)</f>
        <v>-25</v>
      </c>
      <c r="AX267" s="386">
        <f>SUMIF($D$6:$D$125,"2006",AX$6:AX$125)/SUMIF($D$6:$D$125,"2006",$E$6:$E$125)</f>
        <v>-25</v>
      </c>
      <c r="AY267" s="65"/>
      <c r="AZ267" s="65">
        <f t="shared" si="39"/>
        <v>0</v>
      </c>
      <c r="BA267" s="65"/>
      <c r="BB267" s="390"/>
      <c r="BC267" s="70">
        <f>SUMIF($D$6:$D$125,"2006",BC$6:BC$125)/SUMIF($D$6:$D$125,"2006",$E$6:$E$125)</f>
        <v>0</v>
      </c>
      <c r="BD267" s="37">
        <f>SUMIF($D$6:$D$125,"2006",BD$6:BD$125)/SUMIF($D$6:$D$125,"2006",$E$6:$E$125)</f>
        <v>0</v>
      </c>
      <c r="BE267" s="65"/>
      <c r="BF267" s="65">
        <f>SUMIF($D$6:$D$125,"2006",BH$6:BH$125)/SUMIF($D$6:$D$125,"2006",$E$6:$E$125)</f>
        <v>0</v>
      </c>
      <c r="BG267" s="70">
        <f>SUMIF($D$6:$D$125,"2006",BG$6:BG$125)/SUMIF($D$6:$D$125,"2001",$E$6:$E$125)</f>
        <v>0</v>
      </c>
      <c r="BH267" s="70"/>
      <c r="BI267" s="518"/>
      <c r="BJ267" s="70">
        <f>SUMIF($D$6:$D$125,"2006",BJ$6:BJ$125)/SUMIF($D$6:$D$125,"2001",$E$6:$E$125)</f>
        <v>0</v>
      </c>
      <c r="BK267" s="65"/>
      <c r="BL267" s="65"/>
      <c r="BM267" s="65"/>
      <c r="BN267" s="526">
        <f>SUMIF($D$6:$D$125,"2006",BN$6:BN$125)/SUMIF($D$6:$D$125,"2001",$E$6:$E$125)</f>
        <v>0</v>
      </c>
      <c r="BO267" s="65"/>
      <c r="BP267" s="65"/>
      <c r="BQ267" s="37">
        <f>SUMIF($D$6:$D$125,"2006",BQ$6:BQ$125)/SUMIF($D$6:$D$125,"2006",$E$6:$E$125)</f>
        <v>0</v>
      </c>
      <c r="BR267" s="37">
        <f>SUMIF($D$6:$D$125,"2006",BR$6:BR$125)/SUMIF($D$6:$D$125,"2006",$E$6:$E$125)</f>
        <v>0</v>
      </c>
      <c r="BS267" s="65"/>
      <c r="BT267" s="65">
        <f t="shared" si="40"/>
        <v>0</v>
      </c>
      <c r="BU267" s="37">
        <f>SUMIF($D$6:$D$125,"2006",BU$6:BU$125)/SUMIF($D$6:$D$125,"2006",$E$6:$E$125)</f>
        <v>91.398880413385839</v>
      </c>
      <c r="BV267" s="37">
        <f>SUMIF($D$6:$D$125,"2006",BV$6:BV$125)/SUMIF($D$6:$D$125,"2006",$E$6:$E$125)</f>
        <v>98.404557086614176</v>
      </c>
      <c r="BW267" s="65"/>
      <c r="BX267" s="65">
        <f t="shared" si="41"/>
        <v>0</v>
      </c>
      <c r="BY267" s="65"/>
      <c r="BZ267" s="65"/>
      <c r="CA267" s="37">
        <f>SUMIF($D$6:$D$125,"2006",CA$6:CA$125)/SUMIF($D$6:$D$125,"2006",$E$6:$E$125)</f>
        <v>0</v>
      </c>
      <c r="CB267" s="37">
        <f>SUMIF($D$6:$D$125,"2006",CB$6:CB$125)/SUMIF($D$6:$D$125,"2006",$E$6:$E$125)</f>
        <v>0</v>
      </c>
      <c r="CC267" s="65"/>
      <c r="CD267" s="70">
        <f t="shared" si="42"/>
        <v>0</v>
      </c>
      <c r="CE267" s="70"/>
      <c r="CF267" s="216"/>
      <c r="CG267" s="34"/>
    </row>
    <row r="268" spans="1:85" x14ac:dyDescent="0.2">
      <c r="A268">
        <v>1</v>
      </c>
      <c r="B268" s="92" t="s">
        <v>62</v>
      </c>
      <c r="C268" s="92" t="s">
        <v>62</v>
      </c>
      <c r="D268" s="63"/>
      <c r="E268" s="63"/>
      <c r="F268" s="63"/>
      <c r="G268" s="36">
        <f>SUMIF($D$6:$D$125,"2007",G$6:G$125)/SUMIF($D$6:$D$125,"2001",$E$6:$E$125)</f>
        <v>-188.62237499999998</v>
      </c>
      <c r="H268" s="36">
        <f>SUMIF($D$6:$D$125,"2007",H$6:H$125)/SUMIF($D$6:$D$125,"2007",$E$6:$E$125)</f>
        <v>-103.63148774509803</v>
      </c>
      <c r="I268" s="36">
        <f t="shared" si="30"/>
        <v>-61.578431372549019</v>
      </c>
      <c r="J268" s="41"/>
      <c r="K268" s="36">
        <f>SUMIF($D$6:$D$125,"2007",K$6:K$125)/SUMIF($D$6:$D$125,"2007",$E$6:$E$125)</f>
        <v>121.63050735294119</v>
      </c>
      <c r="L268" s="36">
        <f>SUMIF($D$6:$D$125,"2007",L$6:L$125)/SUMIF($D$6:$D$125,"2007",$E$6:$E$125)</f>
        <v>131.69113480392159</v>
      </c>
      <c r="M268" s="61"/>
      <c r="N268" s="61">
        <f t="shared" si="31"/>
        <v>21.578431372549019</v>
      </c>
      <c r="O268" s="271"/>
      <c r="P268" s="61"/>
      <c r="Q268" s="36">
        <f>SUMIF($D$6:$D$125,"2007",Q$6:Q$125)/SUMIF($D$6:$D$125,"2007",$E$6:$E$125)</f>
        <v>-126.8313725490196</v>
      </c>
      <c r="R268" s="36">
        <f>SUMIF($D$6:$D$125,"2007",R$6:R$125)/SUMIF($D$6:$D$125,"2007",$E$6:$E$125)</f>
        <v>-226.83137254901962</v>
      </c>
      <c r="S268" s="61"/>
      <c r="T268" s="61">
        <f t="shared" si="32"/>
        <v>-78.352941176470594</v>
      </c>
      <c r="U268" s="445"/>
      <c r="V268" s="61"/>
      <c r="W268" s="36">
        <f>SUMIF($D$6:$D$125,"2007",W$6:W$125)/SUMIF($D$6:$D$125,"2007",$E$6:$E$125)</f>
        <v>0</v>
      </c>
      <c r="X268" s="36">
        <f>SUMIF($D$6:$D$125,"2007",X$6:X$125)/SUMIF($D$6:$D$125,"2007",$E$6:$E$125)</f>
        <v>0</v>
      </c>
      <c r="Y268" s="61"/>
      <c r="Z268" s="61">
        <f t="shared" si="33"/>
        <v>0</v>
      </c>
      <c r="AA268" s="36">
        <f>SUMIF($D$6:$D$125,"2007",AA$6:AA$125)/SUMIF($D$6:$D$125,"2001",$E$6:$E$125)</f>
        <v>0</v>
      </c>
      <c r="AB268" s="36">
        <f>SUMIF($D$6:$D$125,"2007",AB$6:AB$125)/SUMIF($D$6:$D$125,"2001",$E$6:$E$125)</f>
        <v>0</v>
      </c>
      <c r="AC268" s="61"/>
      <c r="AD268" s="61">
        <f t="shared" si="34"/>
        <v>0</v>
      </c>
      <c r="AE268" s="36">
        <f>SUMIF($D$6:$D$125,"2007",AE$6:AE$125)/SUMIF($D$6:$D$125,"2001",$E$6:$E$125)</f>
        <v>0</v>
      </c>
      <c r="AF268" s="36">
        <f>SUMIF($D$6:$D$125,"2007",AF$6:AF$125)/SUMIF($D$6:$D$125,"2001",$E$6:$E$125)</f>
        <v>0</v>
      </c>
      <c r="AG268" s="61"/>
      <c r="AH268" s="61">
        <f t="shared" si="35"/>
        <v>0</v>
      </c>
      <c r="AI268" s="36">
        <f>SUMIF($D$6:$D$125,"2007",AI$6:AI$125)/SUMIF($D$6:$D$125,"2001",$E$6:$E$125)</f>
        <v>0</v>
      </c>
      <c r="AJ268" s="36">
        <f>SUMIF($D$6:$D$125,"2007",AJ$6:AJ$125)/SUMIF($D$6:$D$125,"2001",$E$6:$E$125)</f>
        <v>-2.2000000000000002</v>
      </c>
      <c r="AK268" s="61"/>
      <c r="AL268" s="61">
        <f t="shared" si="36"/>
        <v>0</v>
      </c>
      <c r="AM268" s="61"/>
      <c r="AN268" s="61"/>
      <c r="AO268" s="36">
        <f>SUMIF($D$6:$D$125,"2007",AO$6:AO$125)/SUMIF($D$6:$D$125,"2001",$E$6:$E$125)</f>
        <v>0</v>
      </c>
      <c r="AP268" s="36">
        <f>SUMIF($D$6:$D$125,"2007",AP$6:AP$125)/SUMIF($D$6:$D$125,"2001",$E$6:$E$125)</f>
        <v>0</v>
      </c>
      <c r="AQ268" s="61"/>
      <c r="AR268" s="61">
        <f t="shared" si="37"/>
        <v>0</v>
      </c>
      <c r="AS268" s="36"/>
      <c r="AT268" s="36">
        <f t="shared" si="29"/>
        <v>-8.3187009803921583</v>
      </c>
      <c r="AU268" s="61"/>
      <c r="AV268" s="61">
        <f t="shared" si="38"/>
        <v>-4.8039215686274508</v>
      </c>
      <c r="AW268" s="36">
        <f>SUMIF($D$6:$D$125,"2007",AW$6:AW$125)/SUMIF($D$6:$D$125,"2007",$E$6:$E$125)</f>
        <v>-25</v>
      </c>
      <c r="AX268" s="385">
        <f>SUMIF($D$6:$D$125,"2007",AX$6:AX$125)/SUMIF($D$6:$D$125,"2007",$E$6:$E$125)</f>
        <v>-25</v>
      </c>
      <c r="AY268" s="61"/>
      <c r="AZ268" s="61">
        <f t="shared" si="39"/>
        <v>-4.8039215686274508</v>
      </c>
      <c r="BA268" s="61"/>
      <c r="BB268" s="388"/>
      <c r="BC268" s="69">
        <f>SUMIF($D$6:$D$125,"2007",BC$6:BC$125)/SUMIF($D$6:$D$125,"2007",$E$6:$E$125)</f>
        <v>0</v>
      </c>
      <c r="BD268" s="36">
        <f>SUMIF($D$6:$D$125,"2007",BD$6:BD$125)/SUMIF($D$6:$D$125,"2007",$E$6:$E$125)</f>
        <v>0</v>
      </c>
      <c r="BE268" s="61"/>
      <c r="BF268" s="61">
        <f>SUMIF($D$6:$D$125,"2007",BH$6:BH$125)/SUMIF($D$6:$D$125,"2007",$E$6:$E$125)</f>
        <v>0</v>
      </c>
      <c r="BG268" s="69">
        <f>SUMIF($D$6:$D$125,"2007",BG$6:BG$125)/SUMIF($D$6:$D$125,"2001",$E$6:$E$125)</f>
        <v>0</v>
      </c>
      <c r="BH268" s="69"/>
      <c r="BI268" s="517"/>
      <c r="BJ268" s="69">
        <f>SUMIF($D$6:$D$125,"2007",BJ$6:BJ$125)/SUMIF($D$6:$D$125,"2001",$E$6:$E$125)</f>
        <v>0</v>
      </c>
      <c r="BK268" s="61"/>
      <c r="BL268" s="61"/>
      <c r="BM268" s="61"/>
      <c r="BN268" s="404">
        <f>SUMIF($D$6:$D$125,"2007",BN$6:BN$125)/SUMIF($D$6:$D$125,"2001",$E$6:$E$125)</f>
        <v>0</v>
      </c>
      <c r="BO268" s="61"/>
      <c r="BP268" s="61"/>
      <c r="BQ268" s="36">
        <f>SUMIF($D$6:$D$125,"2007",BQ$6:BQ$125)/SUMIF($D$6:$D$125,"2007",$E$6:$E$125)</f>
        <v>0</v>
      </c>
      <c r="BR268" s="36">
        <f>SUMIF($D$6:$D$125,"2007",BR$6:BR$125)/SUMIF($D$6:$D$125,"2007",$E$6:$E$125)</f>
        <v>0</v>
      </c>
      <c r="BS268" s="61"/>
      <c r="BT268" s="61">
        <f t="shared" si="40"/>
        <v>0</v>
      </c>
      <c r="BU268" s="36">
        <f>SUMIF($D$6:$D$125,"2007",BU$6:BU$125)/SUMIF($D$6:$D$125,"2007",$E$6:$E$125)</f>
        <v>15.40695343137255</v>
      </c>
      <c r="BV268" s="36">
        <f>SUMIF($D$6:$D$125,"2007",BV$6:BV$125)/SUMIF($D$6:$D$125,"2007",$E$6:$E$125)</f>
        <v>16.681299019607842</v>
      </c>
      <c r="BW268" s="61"/>
      <c r="BX268" s="61">
        <f t="shared" si="41"/>
        <v>0</v>
      </c>
      <c r="BY268" s="61"/>
      <c r="BZ268" s="61"/>
      <c r="CA268" s="36">
        <f>SUMIF($D$6:$D$125,"2007",CA$6:CA$125)/SUMIF($D$6:$D$125,"2007",$E$6:$E$125)</f>
        <v>0</v>
      </c>
      <c r="CB268" s="36">
        <f>SUMIF($D$6:$D$125,"2007",CB$6:CB$125)/SUMIF($D$6:$D$125,"2007",$E$6:$E$125)</f>
        <v>0</v>
      </c>
      <c r="CC268" s="61"/>
      <c r="CD268" s="69">
        <f t="shared" si="42"/>
        <v>0</v>
      </c>
      <c r="CE268" s="69"/>
      <c r="CF268" s="215"/>
      <c r="CG268" s="4"/>
    </row>
    <row r="269" spans="1:85" s="35" customFormat="1" x14ac:dyDescent="0.2">
      <c r="A269" s="35">
        <v>1</v>
      </c>
      <c r="B269" s="94" t="s">
        <v>63</v>
      </c>
      <c r="C269" s="94" t="s">
        <v>63</v>
      </c>
      <c r="D269" s="64"/>
      <c r="E269" s="64"/>
      <c r="F269" s="64"/>
      <c r="G269" s="37">
        <f>SUMIF($D$6:$D$125,"2008",G$6:G$125)/SUMIF($D$6:$D$125,"2001",$E$6:$E$125)</f>
        <v>-163.01396874999998</v>
      </c>
      <c r="H269" s="37">
        <f>SUMIF($D$6:$D$125,"2008",H$6:H$125)/SUMIF($D$6:$D$125,"2008",$E$6:$E$125)</f>
        <v>-38.725898437499993</v>
      </c>
      <c r="I269" s="37">
        <f t="shared" si="30"/>
        <v>-149.2265625</v>
      </c>
      <c r="J269" s="42"/>
      <c r="K269" s="37">
        <f>SUMIF($D$6:$D$125,"2008",K$6:K$125)/SUMIF($D$6:$D$125,"2008",$E$6:$E$125)</f>
        <v>15.136042480468751</v>
      </c>
      <c r="L269" s="37">
        <f>SUMIF($D$6:$D$125,"2008",L$6:L$125)/SUMIF($D$6:$D$125,"2008",$E$6:$E$125)</f>
        <v>88.048107910156233</v>
      </c>
      <c r="M269" s="65"/>
      <c r="N269" s="65">
        <f t="shared" si="31"/>
        <v>-28.318359375</v>
      </c>
      <c r="O269" s="272"/>
      <c r="P269" s="65"/>
      <c r="Q269" s="37">
        <f>SUMIF($D$6:$D$125,"2008",Q$6:Q$125)/SUMIF($D$6:$D$125,"2008",$E$6:$E$125)</f>
        <v>-17.29296875</v>
      </c>
      <c r="R269" s="37">
        <f>SUMIF($D$6:$D$125,"2008",R$6:R$125)/SUMIF($D$6:$D$125,"2008",$E$6:$E$125)</f>
        <v>-117.29296875</v>
      </c>
      <c r="S269" s="65"/>
      <c r="T269" s="65">
        <f t="shared" si="32"/>
        <v>-68.466796875</v>
      </c>
      <c r="U269" s="451"/>
      <c r="V269" s="65"/>
      <c r="W269" s="37">
        <f>SUMIF($D$6:$D$125,"2008",W$6:W$125)/SUMIF($D$6:$D$125,"2008",$E$6:$E$125)</f>
        <v>0</v>
      </c>
      <c r="X269" s="37">
        <f>SUMIF($D$6:$D$125,"2008",X$6:X$125)/SUMIF($D$6:$D$125,"2008",$E$6:$E$125)</f>
        <v>0</v>
      </c>
      <c r="Y269" s="65"/>
      <c r="Z269" s="65">
        <f t="shared" si="33"/>
        <v>0</v>
      </c>
      <c r="AA269" s="37">
        <f>SUMIF($D$6:$D$125,"2008",AA$6:AA$125)/SUMIF($D$6:$D$125,"2001",$E$6:$E$125)</f>
        <v>0</v>
      </c>
      <c r="AB269" s="37">
        <f>SUMIF($D$6:$D$125,"2008",AB$6:AB$125)/SUMIF($D$6:$D$125,"2001",$E$6:$E$125)</f>
        <v>0</v>
      </c>
      <c r="AC269" s="65"/>
      <c r="AD269" s="65">
        <f t="shared" si="34"/>
        <v>0</v>
      </c>
      <c r="AE269" s="37">
        <f>SUMIF($D$6:$D$125,"2008",AE$6:AE$125)/SUMIF($D$6:$D$125,"2001",$E$6:$E$125)</f>
        <v>0</v>
      </c>
      <c r="AF269" s="37">
        <f>SUMIF($D$6:$D$125,"2008",AF$6:AF$125)/SUMIF($D$6:$D$125,"2001",$E$6:$E$125)</f>
        <v>0</v>
      </c>
      <c r="AG269" s="65"/>
      <c r="AH269" s="65">
        <f t="shared" si="35"/>
        <v>0</v>
      </c>
      <c r="AI269" s="37">
        <f>SUMIF($D$6:$D$125,"2008",AI$6:AI$125)/SUMIF($D$6:$D$125,"2001",$E$6:$E$125)</f>
        <v>0</v>
      </c>
      <c r="AJ269" s="37">
        <f>SUMIF($D$6:$D$125,"2008",AJ$6:AJ$125)/SUMIF($D$6:$D$125,"2001",$E$6:$E$125)</f>
        <v>-2.15</v>
      </c>
      <c r="AK269" s="65"/>
      <c r="AL269" s="65">
        <f t="shared" si="36"/>
        <v>0</v>
      </c>
      <c r="AM269" s="65"/>
      <c r="AN269" s="65"/>
      <c r="AO269" s="37">
        <f>SUMIF($D$6:$D$125,"2008",AO$6:AO$125)/SUMIF($D$6:$D$125,"2001",$E$6:$E$125)</f>
        <v>0</v>
      </c>
      <c r="AP269" s="37">
        <f>SUMIF($D$6:$D$125,"2008",AP$6:AP$125)/SUMIF($D$6:$D$125,"2001",$E$6:$E$125)</f>
        <v>0</v>
      </c>
      <c r="AQ269" s="65"/>
      <c r="AR269" s="65">
        <f t="shared" si="37"/>
        <v>0</v>
      </c>
      <c r="AS269" s="37"/>
      <c r="AT269" s="37">
        <f t="shared" si="29"/>
        <v>-9.3130688476562504</v>
      </c>
      <c r="AU269" s="65"/>
      <c r="AV269" s="65">
        <f t="shared" si="38"/>
        <v>-52.44140625</v>
      </c>
      <c r="AW269" s="37">
        <f>SUMIF($D$6:$D$125,"2008",AW$6:AW$125)/SUMIF($D$6:$D$125,"2008",$E$6:$E$125)</f>
        <v>-25</v>
      </c>
      <c r="AX269" s="386">
        <f>SUMIF($D$6:$D$125,"2008",AX$6:AX$125)/SUMIF($D$6:$D$125,"2008",$E$6:$E$125)</f>
        <v>-25</v>
      </c>
      <c r="AY269" s="65"/>
      <c r="AZ269" s="65">
        <f t="shared" si="39"/>
        <v>-52.44140625</v>
      </c>
      <c r="BA269" s="65"/>
      <c r="BB269" s="390"/>
      <c r="BC269" s="70">
        <f>SUMIF($D$6:$D$125,"2008",BC$6:BC$125)/SUMIF($D$6:$D$125,"2008",$E$6:$E$125)</f>
        <v>0</v>
      </c>
      <c r="BD269" s="37">
        <f>SUMIF($D$6:$D$125,"2008",BD$6:BD$125)/SUMIF($D$6:$D$125,"2008",$E$6:$E$125)</f>
        <v>0</v>
      </c>
      <c r="BE269" s="65"/>
      <c r="BF269" s="65">
        <f>SUMIF($D$6:$D$125,"2008",BH$6:BH$125)/SUMIF($D$6:$D$125,"2008",$E$6:$E$125)</f>
        <v>0</v>
      </c>
      <c r="BG269" s="70">
        <f>SUMIF($D$6:$D$125,"2008",BG$6:BG$125)/SUMIF($D$6:$D$125,"2001",$E$6:$E$125)</f>
        <v>0</v>
      </c>
      <c r="BH269" s="70"/>
      <c r="BI269" s="518"/>
      <c r="BJ269" s="70">
        <f>SUMIF($D$6:$D$125,"2008",BJ$6:BJ$125)/SUMIF($D$6:$D$125,"2001",$E$6:$E$125)</f>
        <v>0</v>
      </c>
      <c r="BK269" s="65"/>
      <c r="BL269" s="65"/>
      <c r="BM269" s="65"/>
      <c r="BN269" s="526">
        <f>SUMIF($D$6:$D$125,"2008",BN$6:BN$125)/SUMIF($D$6:$D$125,"2001",$E$6:$E$125)</f>
        <v>0</v>
      </c>
      <c r="BO269" s="65"/>
      <c r="BP269" s="65"/>
      <c r="BQ269" s="37">
        <f>SUMIF($D$6:$D$125,"2008",BQ$6:BQ$125)/SUMIF($D$6:$D$125,"2008",$E$6:$E$125)</f>
        <v>0</v>
      </c>
      <c r="BR269" s="37">
        <f>SUMIF($D$6:$D$125,"2008",BR$6:BR$125)/SUMIF($D$6:$D$125,"2008",$E$6:$E$125)</f>
        <v>0</v>
      </c>
      <c r="BS269" s="65"/>
      <c r="BT269" s="65">
        <f t="shared" si="40"/>
        <v>0</v>
      </c>
      <c r="BU269" s="37">
        <f>SUMIF($D$6:$D$125,"2008",BU$6:BU$125)/SUMIF($D$6:$D$125,"2008",$E$6:$E$125)</f>
        <v>14.421459960937499</v>
      </c>
      <c r="BV269" s="37">
        <f>SUMIF($D$6:$D$125,"2008",BV$6:BV$125)/SUMIF($D$6:$D$125,"2008",$E$6:$E$125)</f>
        <v>15.68693115234375</v>
      </c>
      <c r="BW269" s="65"/>
      <c r="BX269" s="65">
        <f t="shared" si="41"/>
        <v>0</v>
      </c>
      <c r="BY269" s="65"/>
      <c r="BZ269" s="65"/>
      <c r="CA269" s="37">
        <f>SUMIF($D$6:$D$125,"2008",CA$6:CA$125)/SUMIF($D$6:$D$125,"2008",$E$6:$E$125)</f>
        <v>0</v>
      </c>
      <c r="CB269" s="37">
        <f>SUMIF($D$6:$D$125,"2008",CB$6:CB$125)/SUMIF($D$6:$D$125,"2008",$E$6:$E$125)</f>
        <v>0</v>
      </c>
      <c r="CC269" s="65"/>
      <c r="CD269" s="70">
        <f t="shared" si="42"/>
        <v>0</v>
      </c>
      <c r="CE269" s="70"/>
      <c r="CF269" s="216"/>
      <c r="CG269" s="34"/>
    </row>
    <row r="270" spans="1:85" x14ac:dyDescent="0.2">
      <c r="A270">
        <v>1</v>
      </c>
      <c r="B270" s="92" t="s">
        <v>64</v>
      </c>
      <c r="C270" s="92" t="s">
        <v>64</v>
      </c>
      <c r="D270" s="63"/>
      <c r="E270" s="63"/>
      <c r="F270" s="63"/>
      <c r="G270" s="36">
        <f>SUMIF($D$6:$D$125,"2009",G$6:G$125)/SUMIF($D$6:$D$125,"2001",$E$6:$E$125)</f>
        <v>-650.65181250000001</v>
      </c>
      <c r="H270" s="36">
        <f>SUMIF($D$6:$D$125,"2009",H$6:H$125)/SUMIF($D$6:$D$125,"2009",$E$6:$E$125)</f>
        <v>-184.56285156250001</v>
      </c>
      <c r="I270" s="36">
        <f t="shared" si="30"/>
        <v>-57.12890625</v>
      </c>
      <c r="J270" s="41"/>
      <c r="K270" s="36">
        <f>SUMIF($D$6:$D$125,"2009",K$6:K$125)/SUMIF($D$6:$D$125,"2009",$E$6:$E$125)</f>
        <v>0</v>
      </c>
      <c r="L270" s="36">
        <f>SUMIF($D$6:$D$125,"2009",L$6:L$125)/SUMIF($D$6:$D$125,"2009",$E$6:$E$125)</f>
        <v>-33.655207519531253</v>
      </c>
      <c r="M270" s="61"/>
      <c r="N270" s="61">
        <f t="shared" si="31"/>
        <v>0</v>
      </c>
      <c r="O270" s="271"/>
      <c r="P270" s="61"/>
      <c r="Q270" s="36">
        <f>SUMIF($D$6:$D$125,"2009",Q$6:Q$125)/SUMIF($D$6:$D$125,"2009",$E$6:$E$125)</f>
        <v>-50</v>
      </c>
      <c r="R270" s="36">
        <f>SUMIF($D$6:$D$125,"2009",R$6:R$125)/SUMIF($D$6:$D$125,"2009",$E$6:$E$125)</f>
        <v>-150</v>
      </c>
      <c r="S270" s="61"/>
      <c r="T270" s="61">
        <f t="shared" si="32"/>
        <v>-57.12890625</v>
      </c>
      <c r="U270" s="445"/>
      <c r="V270" s="61"/>
      <c r="W270" s="36">
        <f>SUMIF($D$6:$D$125,"2009",W$6:W$125)/SUMIF($D$6:$D$125,"2009",$E$6:$E$125)</f>
        <v>0</v>
      </c>
      <c r="X270" s="36">
        <f>SUMIF($D$6:$D$125,"2009",X$6:X$125)/SUMIF($D$6:$D$125,"2009",$E$6:$E$125)</f>
        <v>0</v>
      </c>
      <c r="Y270" s="61"/>
      <c r="Z270" s="61">
        <f t="shared" si="33"/>
        <v>0</v>
      </c>
      <c r="AA270" s="36">
        <f>SUMIF($D$6:$D$125,"2009",AA$6:AA$125)/SUMIF($D$6:$D$125,"2001",$E$6:$E$125)</f>
        <v>0</v>
      </c>
      <c r="AB270" s="36">
        <f>SUMIF($D$6:$D$125,"2009",AB$6:AB$125)/SUMIF($D$6:$D$125,"2001",$E$6:$E$125)</f>
        <v>0</v>
      </c>
      <c r="AC270" s="61"/>
      <c r="AD270" s="61">
        <f t="shared" si="34"/>
        <v>0</v>
      </c>
      <c r="AE270" s="36">
        <f>SUMIF($D$6:$D$125,"2009",AE$6:AE$125)/SUMIF($D$6:$D$125,"2001",$E$6:$E$125)</f>
        <v>0</v>
      </c>
      <c r="AF270" s="36">
        <f>SUMIF($D$6:$D$125,"2009",AF$6:AF$125)/SUMIF($D$6:$D$125,"2001",$E$6:$E$125)</f>
        <v>0</v>
      </c>
      <c r="AG270" s="61"/>
      <c r="AH270" s="61">
        <f t="shared" si="35"/>
        <v>0</v>
      </c>
      <c r="AI270" s="36">
        <f>SUMIF($D$6:$D$125,"2009",AI$6:AI$125)/SUMIF($D$6:$D$125,"2001",$E$6:$E$125)</f>
        <v>0</v>
      </c>
      <c r="AJ270" s="36">
        <f>SUMIF($D$6:$D$125,"2009",AJ$6:AJ$125)/SUMIF($D$6:$D$125,"2001",$E$6:$E$125)</f>
        <v>0</v>
      </c>
      <c r="AK270" s="61"/>
      <c r="AL270" s="61">
        <f t="shared" si="36"/>
        <v>0</v>
      </c>
      <c r="AM270" s="61"/>
      <c r="AN270" s="61"/>
      <c r="AO270" s="36">
        <f>SUMIF($D$6:$D$125,"2009",AO$6:AO$125)/SUMIF($D$6:$D$125,"2001",$E$6:$E$125)</f>
        <v>0</v>
      </c>
      <c r="AP270" s="36">
        <f>SUMIF($D$6:$D$125,"2009",AP$6:AP$125)/SUMIF($D$6:$D$125,"2001",$E$6:$E$125)</f>
        <v>0</v>
      </c>
      <c r="AQ270" s="61"/>
      <c r="AR270" s="61">
        <f t="shared" si="37"/>
        <v>0</v>
      </c>
      <c r="AS270" s="36"/>
      <c r="AT270" s="36">
        <f t="shared" si="29"/>
        <v>-0.90764404296875012</v>
      </c>
      <c r="AU270" s="61"/>
      <c r="AV270" s="61">
        <f t="shared" si="38"/>
        <v>0</v>
      </c>
      <c r="AW270" s="36">
        <f>SUMIF($D$6:$D$125,"2009",AW$6:AW$125)/SUMIF($D$6:$D$125,"2009",$E$6:$E$125)</f>
        <v>0</v>
      </c>
      <c r="AX270" s="385">
        <f>SUMIF($D$6:$D$125,"2009",AX$6:AX$125)/SUMIF($D$6:$D$125,"2009",$E$6:$E$125)</f>
        <v>0</v>
      </c>
      <c r="AY270" s="61"/>
      <c r="AZ270" s="61">
        <f t="shared" si="39"/>
        <v>0</v>
      </c>
      <c r="BA270" s="61"/>
      <c r="BB270" s="388"/>
      <c r="BC270" s="69">
        <f>SUMIF($D$6:$D$125,"2009",BC$6:BC$125)/SUMIF($D$6:$D$125,"2009",$E$6:$E$125)</f>
        <v>0</v>
      </c>
      <c r="BD270" s="36">
        <f>SUMIF($D$6:$D$125,"2009",BD$6:BD$125)/SUMIF($D$6:$D$125,"2009",$E$6:$E$125)</f>
        <v>0</v>
      </c>
      <c r="BE270" s="61"/>
      <c r="BF270" s="61">
        <f>SUMIF($D$6:$D$125,"2009",BH$6:BH$125)/SUMIF($D$6:$D$125,"2009",$E$6:$E$125)</f>
        <v>0</v>
      </c>
      <c r="BG270" s="69">
        <f>SUMIF($D$6:$D$125,"2009",BG$6:BG$125)/SUMIF($D$6:$D$125,"2001",$E$6:$E$125)</f>
        <v>0</v>
      </c>
      <c r="BH270" s="69"/>
      <c r="BI270" s="517"/>
      <c r="BJ270" s="69">
        <f>SUMIF($D$6:$D$125,"2009",BJ$6:BJ$125)/SUMIF($D$6:$D$125,"2001",$E$6:$E$125)</f>
        <v>0</v>
      </c>
      <c r="BK270" s="61"/>
      <c r="BL270" s="61"/>
      <c r="BM270" s="61"/>
      <c r="BN270" s="404">
        <f>SUMIF($D$6:$D$125,"2009",BN$6:BN$125)/SUMIF($D$6:$D$125,"2001",$E$6:$E$125)</f>
        <v>0</v>
      </c>
      <c r="BO270" s="61"/>
      <c r="BP270" s="61"/>
      <c r="BQ270" s="36">
        <f>SUMIF($D$6:$D$125,"2009",BQ$6:BQ$125)/SUMIF($D$6:$D$125,"2009",$E$6:$E$125)</f>
        <v>0</v>
      </c>
      <c r="BR270" s="36">
        <f>SUMIF($D$6:$D$125,"2009",BR$6:BR$125)/SUMIF($D$6:$D$125,"2009",$E$6:$E$125)</f>
        <v>0</v>
      </c>
      <c r="BS270" s="61"/>
      <c r="BT270" s="61">
        <f t="shared" si="40"/>
        <v>0</v>
      </c>
      <c r="BU270" s="36">
        <f>SUMIF($D$6:$D$125,"2009",BU$6:BU$125)/SUMIF($D$6:$D$125,"2009",$E$6:$E$125)</f>
        <v>-0.83217285156249998</v>
      </c>
      <c r="BV270" s="36">
        <f>SUMIF($D$6:$D$125,"2009",BV$6:BV$125)/SUMIF($D$6:$D$125,"2009",$E$6:$E$125)</f>
        <v>-0.90764404296875012</v>
      </c>
      <c r="BW270" s="61"/>
      <c r="BX270" s="61">
        <f t="shared" si="41"/>
        <v>0</v>
      </c>
      <c r="BY270" s="61"/>
      <c r="BZ270" s="61"/>
      <c r="CA270" s="36">
        <f>SUMIF($D$6:$D$125,"2009",CA$6:CA$125)/SUMIF($D$6:$D$125,"2009",$E$6:$E$125)</f>
        <v>0</v>
      </c>
      <c r="CB270" s="36">
        <f>SUMIF($D$6:$D$125,"2009",CB$6:CB$125)/SUMIF($D$6:$D$125,"2009",$E$6:$E$125)</f>
        <v>0</v>
      </c>
      <c r="CC270" s="61"/>
      <c r="CD270" s="69">
        <f t="shared" si="42"/>
        <v>0</v>
      </c>
      <c r="CE270" s="69"/>
      <c r="CF270" s="215"/>
      <c r="CG270" s="4"/>
    </row>
    <row r="271" spans="1:85" s="105" customFormat="1" x14ac:dyDescent="0.2">
      <c r="A271" s="105">
        <v>1</v>
      </c>
      <c r="B271" s="339" t="s">
        <v>65</v>
      </c>
      <c r="C271" s="339" t="s">
        <v>65</v>
      </c>
      <c r="D271" s="340"/>
      <c r="E271" s="340"/>
      <c r="F271" s="340"/>
      <c r="G271" s="341">
        <f>SUMIF($D$6:$D$125,"2010",G$6:G$125)/SUMIF($D$6:$D$125,"2001",$E$6:$E$125)</f>
        <v>-1280</v>
      </c>
      <c r="H271" s="341">
        <f>SUMIF($D$6:$D$125,"2010",H$6:H$125)/SUMIF($D$6:$D$125,"2010",$E$6:$E$125)</f>
        <v>-68.370710449218748</v>
      </c>
      <c r="I271" s="341">
        <f t="shared" si="30"/>
        <v>-895.1181640625</v>
      </c>
      <c r="J271" s="342"/>
      <c r="K271" s="341">
        <f>SUMIF($D$6:$D$125,"2010",K$6:K$125)/SUMIF($D$6:$D$125,"2010",$E$6:$E$125)</f>
        <v>0</v>
      </c>
      <c r="L271" s="341">
        <f>SUMIF($D$6:$D$125,"2010",L$6:L$125)/SUMIF($D$6:$D$125,"2010",$E$6:$E$125)</f>
        <v>31.629289550781252</v>
      </c>
      <c r="M271" s="343"/>
      <c r="N271" s="343">
        <f t="shared" si="31"/>
        <v>-30.73779296875</v>
      </c>
      <c r="O271" s="344"/>
      <c r="P271" s="343"/>
      <c r="Q271" s="341">
        <f>SUMIF($D$6:$D$125,"2010",Q$6:Q$125)/SUMIF($D$6:$D$125,"2010",$E$6:$E$125)</f>
        <v>-100</v>
      </c>
      <c r="R271" s="341">
        <f>SUMIF($D$6:$D$125,"2010",R$6:R$125)/SUMIF($D$6:$D$125,"2010",$E$6:$E$125)</f>
        <v>-100</v>
      </c>
      <c r="S271" s="343"/>
      <c r="T271" s="343">
        <f t="shared" si="32"/>
        <v>-531.23828125</v>
      </c>
      <c r="U271" s="452"/>
      <c r="V271" s="343"/>
      <c r="W271" s="341">
        <f>SUMIF($D$6:$D$125,"2010",W$6:W$125)/SUMIF($D$6:$D$125,"2010",$E$6:$E$125)</f>
        <v>0</v>
      </c>
      <c r="X271" s="341">
        <f>SUMIF($D$6:$D$125,"2010",X$6:X$125)/SUMIF($D$6:$D$125,"2010",$E$6:$E$125)</f>
        <v>0</v>
      </c>
      <c r="Y271" s="343"/>
      <c r="Z271" s="343">
        <f t="shared" si="33"/>
        <v>0</v>
      </c>
      <c r="AA271" s="341">
        <f>SUMIF($D$6:$D$125,"2010",AA$6:AA$125)/SUMIF($D$6:$D$125,"2001",$E$6:$E$125)</f>
        <v>0</v>
      </c>
      <c r="AB271" s="341">
        <f>SUMIF($D$6:$D$125,"2010",AB$6:AB$125)/SUMIF($D$6:$D$125,"2001",$E$6:$E$125)</f>
        <v>0</v>
      </c>
      <c r="AC271" s="343"/>
      <c r="AD271" s="343">
        <f t="shared" si="34"/>
        <v>0</v>
      </c>
      <c r="AE271" s="341">
        <f>SUMIF($D$6:$D$125,"2010",AE$6:AE$125)/SUMIF($D$6:$D$125,"2001",$E$6:$E$125)</f>
        <v>0</v>
      </c>
      <c r="AF271" s="341">
        <f>SUMIF($D$6:$D$125,"2010",AF$6:AF$125)/SUMIF($D$6:$D$125,"2001",$E$6:$E$125)</f>
        <v>0</v>
      </c>
      <c r="AG271" s="343"/>
      <c r="AH271" s="343">
        <f t="shared" si="35"/>
        <v>0</v>
      </c>
      <c r="AI271" s="341">
        <f>SUMIF($D$6:$D$125,"2010",AI$6:AI$125)/SUMIF($D$6:$D$125,"2001",$E$6:$E$125)</f>
        <v>0</v>
      </c>
      <c r="AJ271" s="341">
        <f>SUMIF($D$6:$D$125,"2010",AJ$6:AJ$125)/SUMIF($D$6:$D$125,"2001",$E$6:$E$125)</f>
        <v>0</v>
      </c>
      <c r="AK271" s="343"/>
      <c r="AL271" s="343">
        <f t="shared" si="36"/>
        <v>0</v>
      </c>
      <c r="AM271" s="343"/>
      <c r="AN271" s="343"/>
      <c r="AO271" s="341">
        <f>SUMIF($D$6:$D$125,"2010",AO$6:AO$125)/SUMIF($D$6:$D$125,"2001",$E$6:$E$125)</f>
        <v>0</v>
      </c>
      <c r="AP271" s="341">
        <f>SUMIF($D$6:$D$125,"2010",AP$6:AP$125)/SUMIF($D$6:$D$125,"2001",$E$6:$E$125)</f>
        <v>0</v>
      </c>
      <c r="AQ271" s="343"/>
      <c r="AR271" s="343">
        <f t="shared" si="37"/>
        <v>0</v>
      </c>
      <c r="AS271" s="341"/>
      <c r="AT271" s="341">
        <f t="shared" si="29"/>
        <v>0</v>
      </c>
      <c r="AU271" s="343"/>
      <c r="AV271" s="343">
        <f t="shared" si="38"/>
        <v>-333.14208984375</v>
      </c>
      <c r="AW271" s="341">
        <f>SUMIF($D$6:$D$125,"2010",AW$6:AW$125)/SUMIF($D$6:$D$125,"2010",$E$6:$E$125)</f>
        <v>0</v>
      </c>
      <c r="AX271" s="387">
        <f>SUMIF($D$6:$D$125,"2010",AX$6:AX$125)/SUMIF($D$6:$D$125,"2010",$E$6:$E$125)</f>
        <v>0</v>
      </c>
      <c r="AY271" s="343"/>
      <c r="AZ271" s="343">
        <f t="shared" si="39"/>
        <v>-114.35546875</v>
      </c>
      <c r="BA271" s="343"/>
      <c r="BB271" s="391"/>
      <c r="BC271" s="345">
        <f>SUMIF($D$6:$D$125,"2010",BC$6:BC$125)/SUMIF($D$6:$D$125,"2010",$E$6:$E$125)</f>
        <v>0</v>
      </c>
      <c r="BD271" s="107">
        <f>SUMIF($D$6:$D$125,"2010",BD$6:BD$125)/SUMIF($D$6:$D$125,"2010",$E$6:$E$125)</f>
        <v>0</v>
      </c>
      <c r="BE271" s="343"/>
      <c r="BF271" s="109">
        <f>SUMIF($D$6:$D$125,"2010",BH$6:BH$125)/SUMIF($D$6:$D$125,"2010",$E$6:$E$125)</f>
        <v>-114.2578125</v>
      </c>
      <c r="BG271" s="345">
        <f>SUMIF($D$6:$D$125,"2010",BG$6:BG$125)/SUMIF($D$6:$D$125,"2001",$E$6:$E$125)</f>
        <v>0</v>
      </c>
      <c r="BH271" s="363"/>
      <c r="BI271" s="519"/>
      <c r="BJ271" s="345">
        <f>SUMIF($D$6:$D$125,"2010",BJ$6:BJ$125)/SUMIF($D$6:$D$125,"2001",$E$6:$E$125)</f>
        <v>0</v>
      </c>
      <c r="BK271" s="343"/>
      <c r="BL271" s="343"/>
      <c r="BM271" s="343"/>
      <c r="BN271" s="527">
        <f>SUMIF($D$6:$D$125,"2010",BN$6:BN$125)/SUMIF($D$6:$D$125,"2001",$E$6:$E$125)</f>
        <v>0</v>
      </c>
      <c r="BO271" s="343"/>
      <c r="BP271" s="343"/>
      <c r="BQ271" s="341">
        <f>SUMIF($D$6:$D$125,"2010",BQ$6:BQ$125)/SUMIF($D$6:$D$125,"2010",$E$6:$E$125)</f>
        <v>0</v>
      </c>
      <c r="BR271" s="341">
        <f>SUMIF($D$6:$D$125,"2010",BR$6:BR$125)/SUMIF($D$6:$D$125,"2010",$E$6:$E$125)</f>
        <v>0</v>
      </c>
      <c r="BS271" s="343"/>
      <c r="BT271" s="343">
        <f t="shared" si="40"/>
        <v>0</v>
      </c>
      <c r="BU271" s="341">
        <f>SUMIF($D$6:$D$125,"2010",BU$6:BU$125)/SUMIF($D$6:$D$125,"2010",$E$6:$E$125)</f>
        <v>0</v>
      </c>
      <c r="BV271" s="341">
        <f>SUMIF($D$6:$D$125,"2010",BV$6:BV$125)/SUMIF($D$6:$D$125,"2010",$E$6:$E$125)</f>
        <v>0</v>
      </c>
      <c r="BW271" s="343"/>
      <c r="BX271" s="343">
        <f t="shared" si="41"/>
        <v>-24.169921875</v>
      </c>
      <c r="BY271" s="343"/>
      <c r="BZ271" s="343"/>
      <c r="CA271" s="341">
        <f>SUMIF($D$6:$D$125,"2010",CA$6:CA$125)/SUMIF($D$6:$D$125,"2010",$E$6:$E$125)</f>
        <v>0</v>
      </c>
      <c r="CB271" s="341">
        <f>SUMIF($D$6:$D$125,"2010",CB$6:CB$125)/SUMIF($D$6:$D$125,"2010",$E$6:$E$125)</f>
        <v>0</v>
      </c>
      <c r="CC271" s="343"/>
      <c r="CD271" s="345">
        <f t="shared" si="42"/>
        <v>-80.35888671875</v>
      </c>
      <c r="CE271" s="345"/>
      <c r="CF271" s="346"/>
      <c r="CG271" s="111"/>
    </row>
    <row r="272" spans="1:85" s="52" customFormat="1" hidden="1" x14ac:dyDescent="0.2">
      <c r="A272" s="52">
        <v>0</v>
      </c>
      <c r="B272" s="93"/>
      <c r="C272" s="93"/>
      <c r="D272" s="74"/>
      <c r="E272" s="74"/>
      <c r="F272" s="74"/>
      <c r="G272" s="49"/>
      <c r="H272" s="49"/>
      <c r="I272" s="49"/>
      <c r="J272" s="50"/>
      <c r="K272" s="49"/>
      <c r="L272" s="75"/>
      <c r="M272" s="76"/>
      <c r="N272" s="76"/>
      <c r="O272" s="440"/>
      <c r="P272" s="76"/>
      <c r="Q272" s="49"/>
      <c r="R272" s="75"/>
      <c r="S272" s="76"/>
      <c r="T272" s="76"/>
      <c r="U272" s="449"/>
      <c r="V272" s="76"/>
      <c r="W272" s="49"/>
      <c r="X272" s="75"/>
      <c r="Y272" s="76"/>
      <c r="Z272" s="76"/>
      <c r="AA272" s="49"/>
      <c r="AB272" s="75"/>
      <c r="AC272" s="76"/>
      <c r="AD272" s="76"/>
      <c r="AE272" s="49"/>
      <c r="AF272" s="75"/>
      <c r="AG272" s="76"/>
      <c r="AH272" s="76"/>
      <c r="AI272" s="49"/>
      <c r="AJ272" s="75"/>
      <c r="AK272" s="76"/>
      <c r="AL272" s="76"/>
      <c r="AM272" s="76"/>
      <c r="AN272" s="76"/>
      <c r="AO272" s="49"/>
      <c r="AP272" s="75"/>
      <c r="AQ272" s="76"/>
      <c r="AR272" s="76"/>
      <c r="AS272" s="49"/>
      <c r="AT272" s="75"/>
      <c r="AU272" s="76"/>
      <c r="AV272" s="76"/>
      <c r="AW272" s="49"/>
      <c r="AX272" s="75"/>
      <c r="AY272" s="76"/>
      <c r="AZ272" s="76"/>
      <c r="BA272" s="76"/>
      <c r="BB272" s="76"/>
      <c r="BC272" s="49"/>
      <c r="BD272" s="75"/>
      <c r="BE272" s="76"/>
      <c r="BF272" s="76">
        <f>SUM(BF261:BF270)</f>
        <v>-227.59803921568627</v>
      </c>
      <c r="BG272" s="49"/>
      <c r="BH272" s="75"/>
      <c r="BI272" s="75"/>
      <c r="BJ272" s="75"/>
      <c r="BK272" s="76"/>
      <c r="BL272" s="76"/>
      <c r="BM272" s="76"/>
      <c r="BN272" s="412"/>
      <c r="BO272" s="76"/>
      <c r="BP272" s="76"/>
      <c r="BQ272" s="49"/>
      <c r="BR272" s="75"/>
      <c r="BS272" s="76"/>
      <c r="BT272" s="76"/>
      <c r="BU272" s="49"/>
      <c r="BV272" s="75"/>
      <c r="BW272" s="76"/>
      <c r="BX272" s="76"/>
      <c r="BY272" s="76"/>
      <c r="BZ272" s="76"/>
      <c r="CA272" s="49"/>
      <c r="CB272" s="75"/>
      <c r="CC272" s="76"/>
      <c r="CD272" s="77"/>
      <c r="CE272" s="132"/>
      <c r="CF272" s="132"/>
      <c r="CG272" s="51"/>
    </row>
    <row r="273" spans="1:85" s="99" customFormat="1" x14ac:dyDescent="0.2">
      <c r="A273" s="99">
        <v>1</v>
      </c>
      <c r="B273" s="100" t="s">
        <v>73</v>
      </c>
      <c r="C273" s="100" t="s">
        <v>73</v>
      </c>
      <c r="D273" s="78"/>
      <c r="E273" s="78"/>
      <c r="F273" s="78"/>
      <c r="G273" s="101"/>
      <c r="H273" s="101">
        <f>SUM(H262:H271)</f>
        <v>2035.8573415700412</v>
      </c>
      <c r="I273" s="101">
        <f>SUM(I262:I271)</f>
        <v>-1631.8607574310636</v>
      </c>
      <c r="J273" s="102"/>
      <c r="K273" s="101">
        <f>SUM(K262:K271)</f>
        <v>2452.0329768162874</v>
      </c>
      <c r="L273" s="101">
        <f>SUM(L262:L271)</f>
        <v>-701.94755878684578</v>
      </c>
      <c r="M273" s="79"/>
      <c r="N273" s="103">
        <f>SUM(N262:N271)</f>
        <v>-65.596861920970909</v>
      </c>
      <c r="O273" s="274"/>
      <c r="P273" s="103"/>
      <c r="Q273" s="101">
        <f>SUM(Q262:Q271)</f>
        <v>-3791.6727433370006</v>
      </c>
      <c r="R273" s="101">
        <f>SUM(R262:R271)</f>
        <v>-1663.6237237291568</v>
      </c>
      <c r="S273" s="79"/>
      <c r="T273" s="103">
        <f>SUM(T262:T271)</f>
        <v>-960.68615902549675</v>
      </c>
      <c r="U273" s="453"/>
      <c r="V273" s="103"/>
      <c r="W273" s="101">
        <f>SUM(W262:W271)</f>
        <v>515</v>
      </c>
      <c r="X273" s="101">
        <f>SUM(X262:X271)</f>
        <v>0</v>
      </c>
      <c r="Y273" s="79"/>
      <c r="Z273" s="103">
        <f>SUM(Z262:Z271)</f>
        <v>0</v>
      </c>
      <c r="AA273" s="101"/>
      <c r="AB273" s="101">
        <f>SUM(AB262:AB271)</f>
        <v>0</v>
      </c>
      <c r="AC273" s="79"/>
      <c r="AD273" s="103">
        <f>SUM(AD262:AD271)</f>
        <v>0</v>
      </c>
      <c r="AE273" s="101"/>
      <c r="AF273" s="101">
        <f>SUM(AF262:AF271)</f>
        <v>-220</v>
      </c>
      <c r="AG273" s="79"/>
      <c r="AH273" s="103">
        <f>SUM(AH262:AH271)</f>
        <v>0</v>
      </c>
      <c r="AI273" s="101"/>
      <c r="AJ273" s="101">
        <f>SUM(AJ262:AJ271)</f>
        <v>673.35000000000014</v>
      </c>
      <c r="AK273" s="79"/>
      <c r="AL273" s="103">
        <f>SUM(AL262:AL271)</f>
        <v>74.154929577464785</v>
      </c>
      <c r="AM273" s="103"/>
      <c r="AN273" s="103"/>
      <c r="AO273" s="101">
        <f>SUM(AO262:AO271)</f>
        <v>470</v>
      </c>
      <c r="AP273" s="101">
        <f>SUM(AP262:AP271)</f>
        <v>0</v>
      </c>
      <c r="AQ273" s="79"/>
      <c r="AR273" s="103">
        <f>SUM(AR262:AR271)</f>
        <v>0</v>
      </c>
      <c r="AS273" s="101"/>
      <c r="AT273" s="101">
        <f>SUM(AT262:AT271)</f>
        <v>22981.164571898746</v>
      </c>
      <c r="AU273" s="79"/>
      <c r="AV273" s="103">
        <f>SUM(AV262:AV271)</f>
        <v>-667.51891295518408</v>
      </c>
      <c r="AW273" s="101">
        <f>SUM(AW262:AW271)</f>
        <v>-62.598039215686271</v>
      </c>
      <c r="AX273" s="392">
        <f>SUM(AX262:AX271)</f>
        <v>-80.490196078431381</v>
      </c>
      <c r="AY273" s="79"/>
      <c r="AZ273" s="103">
        <f>SUM(AZ262:AZ271)</f>
        <v>-228.00648560480531</v>
      </c>
      <c r="BA273" s="103"/>
      <c r="BB273" s="393"/>
      <c r="BC273" s="266">
        <f>SUM(BC262:BC271)</f>
        <v>-8.6274509803921564</v>
      </c>
      <c r="BD273" s="521">
        <f>SUM(BD262:BD271)</f>
        <v>461.27450980392149</v>
      </c>
      <c r="BE273" s="79"/>
      <c r="BF273" s="524">
        <f>SUM(BF262:BF271)</f>
        <v>-341.8558517156863</v>
      </c>
      <c r="BG273" s="266"/>
      <c r="BH273" s="531"/>
      <c r="BI273" s="522"/>
      <c r="BJ273" s="266">
        <f>SUM(BJ262:BJ271)</f>
        <v>14092.5</v>
      </c>
      <c r="BK273" s="79"/>
      <c r="BL273" s="103"/>
      <c r="BM273" s="103"/>
      <c r="BN273" s="528">
        <f>SUM(BN262:BN271)</f>
        <v>7007.5</v>
      </c>
      <c r="BO273" s="103"/>
      <c r="BP273" s="103"/>
      <c r="BQ273" s="101">
        <f>SUM(BQ262:BQ271)</f>
        <v>0</v>
      </c>
      <c r="BR273" s="101">
        <f>SUM(BR262:BR271)</f>
        <v>476.96078431372553</v>
      </c>
      <c r="BS273" s="79"/>
      <c r="BT273" s="103">
        <f>SUM(BT262:BT271)</f>
        <v>0</v>
      </c>
      <c r="BU273" s="101">
        <f>SUM(BU262:BU271)</f>
        <v>132.03590880604463</v>
      </c>
      <c r="BV273" s="101">
        <f>SUM(BV262:BV271)</f>
        <v>273.22415837925001</v>
      </c>
      <c r="BW273" s="79"/>
      <c r="BX273" s="103">
        <f>SUM(BX262:BX271)</f>
        <v>-47.564702322390218</v>
      </c>
      <c r="BY273" s="103"/>
      <c r="BZ273" s="103"/>
      <c r="CA273" s="101">
        <f>SUM(CA262:CA271)</f>
        <v>-589.85294117647061</v>
      </c>
      <c r="CB273" s="101">
        <f>SUM(CB262:CB271)</f>
        <v>750.19531548027771</v>
      </c>
      <c r="CC273" s="79"/>
      <c r="CD273" s="266">
        <f>SUM(CD262:CD271)</f>
        <v>-161.08952589446193</v>
      </c>
      <c r="CE273" s="266"/>
      <c r="CF273" s="217"/>
      <c r="CG273" s="104"/>
    </row>
    <row r="274" spans="1:85" hidden="1" x14ac:dyDescent="0.2">
      <c r="A274">
        <v>0</v>
      </c>
      <c r="B274" s="59"/>
      <c r="C274" s="59"/>
      <c r="D274" s="63"/>
      <c r="E274" s="63"/>
      <c r="F274" s="63"/>
      <c r="G274" s="36"/>
      <c r="H274" s="36"/>
      <c r="I274" s="36"/>
      <c r="J274" s="41"/>
      <c r="K274" s="45"/>
      <c r="L274" s="61"/>
      <c r="M274" s="61"/>
      <c r="N274" s="61"/>
      <c r="O274" s="429"/>
      <c r="P274" s="61"/>
      <c r="Q274" s="45"/>
      <c r="R274" s="61"/>
      <c r="S274" s="61"/>
      <c r="T274" s="61"/>
      <c r="U274" s="445"/>
      <c r="V274" s="61"/>
      <c r="W274" s="45"/>
      <c r="X274" s="61"/>
      <c r="Y274" s="61"/>
      <c r="Z274" s="61"/>
      <c r="AA274" s="45"/>
      <c r="AB274" s="61"/>
      <c r="AC274" s="61"/>
      <c r="AD274" s="61"/>
      <c r="AE274" s="45"/>
      <c r="AF274" s="61"/>
      <c r="AG274" s="61"/>
      <c r="AH274" s="61"/>
      <c r="AI274" s="45"/>
      <c r="AJ274" s="61"/>
      <c r="AK274" s="61"/>
      <c r="AL274" s="61"/>
      <c r="AM274" s="61"/>
      <c r="AN274" s="61"/>
      <c r="AO274" s="45"/>
      <c r="AP274" s="61"/>
      <c r="AQ274" s="61"/>
      <c r="AR274" s="61"/>
      <c r="AS274" s="45"/>
      <c r="AT274" s="61"/>
      <c r="AU274" s="61"/>
      <c r="AV274" s="61"/>
      <c r="AW274" s="45"/>
      <c r="AX274" s="61"/>
      <c r="AY274" s="61"/>
      <c r="AZ274" s="61"/>
      <c r="BA274" s="61"/>
      <c r="BB274" s="61"/>
      <c r="BC274" s="45"/>
      <c r="BD274" s="61"/>
      <c r="BE274" s="61"/>
      <c r="BF274" s="61"/>
      <c r="BG274" s="45"/>
      <c r="BH274" s="61"/>
      <c r="BI274" s="61"/>
      <c r="BJ274" s="61"/>
      <c r="BK274" s="61"/>
      <c r="BL274" s="61"/>
      <c r="BM274" s="61"/>
      <c r="BN274" s="406"/>
      <c r="BO274" s="61"/>
      <c r="BP274" s="61"/>
      <c r="BQ274" s="45"/>
      <c r="BR274" s="61"/>
      <c r="BS274" s="61"/>
      <c r="BT274" s="61"/>
      <c r="BU274" s="45"/>
      <c r="BV274" s="61"/>
      <c r="BW274" s="61"/>
      <c r="BX274" s="61"/>
      <c r="BY274" s="61"/>
      <c r="BZ274" s="61"/>
      <c r="CA274" s="45"/>
      <c r="CB274" s="61"/>
      <c r="CC274" s="61"/>
      <c r="CD274" s="58"/>
      <c r="CE274" s="57"/>
      <c r="CF274" s="57"/>
      <c r="CG274" s="4"/>
    </row>
    <row r="275" spans="1:85" s="5" customFormat="1" hidden="1" x14ac:dyDescent="0.2">
      <c r="A275" s="5">
        <v>0</v>
      </c>
      <c r="B275" s="71" t="s">
        <v>50</v>
      </c>
      <c r="C275" s="71" t="s">
        <v>50</v>
      </c>
      <c r="D275" s="72"/>
      <c r="E275" s="72"/>
      <c r="F275" s="72"/>
      <c r="G275" s="39"/>
      <c r="H275" s="39"/>
      <c r="I275" s="39"/>
      <c r="J275" s="43"/>
      <c r="K275" s="43"/>
      <c r="L275" s="73"/>
      <c r="M275" s="73"/>
      <c r="N275" s="73"/>
      <c r="O275" s="441"/>
      <c r="P275" s="73"/>
      <c r="Q275" s="43"/>
      <c r="R275" s="73"/>
      <c r="S275" s="73"/>
      <c r="T275" s="73"/>
      <c r="U275" s="454"/>
      <c r="V275" s="73"/>
      <c r="W275" s="43"/>
      <c r="X275" s="73"/>
      <c r="Y275" s="73"/>
      <c r="Z275" s="73"/>
      <c r="AA275" s="43"/>
      <c r="AB275" s="73"/>
      <c r="AC275" s="73"/>
      <c r="AD275" s="73"/>
      <c r="AE275" s="43"/>
      <c r="AF275" s="73"/>
      <c r="AG275" s="73"/>
      <c r="AH275" s="73"/>
      <c r="AI275" s="43"/>
      <c r="AJ275" s="73"/>
      <c r="AK275" s="73"/>
      <c r="AL275" s="73"/>
      <c r="AM275" s="73"/>
      <c r="AN275" s="73"/>
      <c r="AO275" s="43"/>
      <c r="AP275" s="73"/>
      <c r="AQ275" s="73"/>
      <c r="AR275" s="73"/>
      <c r="AS275" s="43"/>
      <c r="AT275" s="73"/>
      <c r="AU275" s="73"/>
      <c r="AV275" s="73"/>
      <c r="AW275" s="43"/>
      <c r="AX275" s="73"/>
      <c r="AY275" s="73"/>
      <c r="AZ275" s="73"/>
      <c r="BA275" s="73"/>
      <c r="BB275" s="73"/>
      <c r="BC275" s="43"/>
      <c r="BD275" s="73"/>
      <c r="BE275" s="73"/>
      <c r="BF275" s="73"/>
      <c r="BG275" s="43"/>
      <c r="BH275" s="73"/>
      <c r="BI275" s="73"/>
      <c r="BJ275" s="73"/>
      <c r="BK275" s="73"/>
      <c r="BL275" s="73"/>
      <c r="BM275" s="73"/>
      <c r="BN275" s="419"/>
      <c r="BO275" s="73"/>
      <c r="BP275" s="73"/>
      <c r="BQ275" s="43"/>
      <c r="BR275" s="73"/>
      <c r="BS275" s="73"/>
      <c r="BT275" s="73"/>
      <c r="BU275" s="43"/>
      <c r="BV275" s="73"/>
      <c r="BW275" s="73"/>
      <c r="BX275" s="73"/>
      <c r="BY275" s="73"/>
      <c r="BZ275" s="73"/>
      <c r="CA275" s="43"/>
      <c r="CB275" s="73"/>
      <c r="CC275" s="73"/>
      <c r="CD275" s="68"/>
      <c r="CE275" s="73"/>
      <c r="CF275" s="73"/>
      <c r="CG275" s="30"/>
    </row>
    <row r="276" spans="1:85" hidden="1" x14ac:dyDescent="0.2">
      <c r="A276">
        <v>0</v>
      </c>
      <c r="B276" s="59">
        <v>37043</v>
      </c>
      <c r="C276" s="59">
        <f>'Filter-new'!C8</f>
        <v>37043</v>
      </c>
      <c r="D276" s="60">
        <f t="shared" ref="D276:D339" si="43">YEAR(C276)</f>
        <v>2001</v>
      </c>
      <c r="E276" s="60"/>
      <c r="F276" s="60"/>
      <c r="G276" s="36">
        <f t="shared" ref="G276:G307" si="44">SUM(K276,AA276,AO276,Q276,AW276,W276,BC276,AI276,BG276,BQ276,AE276,BU276,CA276)</f>
        <v>13.777114165468674</v>
      </c>
      <c r="H276" s="36">
        <f>SUM(L276,AB276,AP276,R276,AX276,X276,BD276,AJ276,BJ276,BR276,AF276,BV276,CB276)</f>
        <v>0</v>
      </c>
      <c r="I276" s="36"/>
      <c r="J276" s="41"/>
      <c r="K276" s="46">
        <f>'Filter-old'!E375</f>
        <v>-180.54836305040399</v>
      </c>
      <c r="L276" s="62">
        <f>'Filter-new'!E375</f>
        <v>0</v>
      </c>
      <c r="M276" s="62"/>
      <c r="N276" s="62"/>
      <c r="O276" s="429"/>
      <c r="P276" s="62"/>
      <c r="Q276" s="46">
        <f>'Filter-old'!H375</f>
        <v>-71.732448853825886</v>
      </c>
      <c r="R276" s="62">
        <f>'Filter-new'!H375</f>
        <v>0</v>
      </c>
      <c r="S276" s="62"/>
      <c r="T276" s="62"/>
      <c r="U276" s="445"/>
      <c r="V276" s="62"/>
      <c r="W276" s="46">
        <f>'Filter-old'!J375</f>
        <v>34.093100030682486</v>
      </c>
      <c r="X276" s="62">
        <f>'Filter-new'!J375</f>
        <v>0</v>
      </c>
      <c r="Y276" s="62"/>
      <c r="Z276" s="62"/>
      <c r="AA276" s="46">
        <f>'Filter-old'!F375</f>
        <v>0</v>
      </c>
      <c r="AB276" s="62">
        <f>'Filter-new'!F375</f>
        <v>0</v>
      </c>
      <c r="AC276" s="62"/>
      <c r="AD276" s="62"/>
      <c r="AE276" s="46">
        <f>'Filter-old'!P375</f>
        <v>0</v>
      </c>
      <c r="AF276" s="62">
        <f>'Filter-new'!P375</f>
        <v>0</v>
      </c>
      <c r="AG276" s="62"/>
      <c r="AH276" s="62"/>
      <c r="AI276" s="46">
        <f>'Filter-old'!L375</f>
        <v>0</v>
      </c>
      <c r="AJ276" s="62">
        <f>'Filter-new'!L375</f>
        <v>0</v>
      </c>
      <c r="AK276" s="62"/>
      <c r="AL276" s="62"/>
      <c r="AM276" s="62"/>
      <c r="AN276" s="62"/>
      <c r="AO276" s="46">
        <f>'Filter-old'!G375</f>
        <v>0</v>
      </c>
      <c r="AP276" s="62">
        <f>'Filter-new'!G375</f>
        <v>0</v>
      </c>
      <c r="AQ276" s="62"/>
      <c r="AR276" s="62"/>
      <c r="AS276" s="46"/>
      <c r="AT276" s="62"/>
      <c r="AU276" s="62"/>
      <c r="AV276" s="62"/>
      <c r="AW276" s="46">
        <f>'Filter-old'!I375</f>
        <v>58.495819701926564</v>
      </c>
      <c r="AX276" s="62">
        <f>'Filter-new'!I375</f>
        <v>0</v>
      </c>
      <c r="AY276" s="62"/>
      <c r="AZ276" s="62"/>
      <c r="BA276" s="62"/>
      <c r="BB276" s="62"/>
      <c r="BC276" s="46">
        <f>'Filter-old'!K375</f>
        <v>0</v>
      </c>
      <c r="BD276" s="62">
        <f>'Filter-new'!K375</f>
        <v>0</v>
      </c>
      <c r="BE276" s="62"/>
      <c r="BF276" s="62"/>
      <c r="BG276" s="46">
        <f>'Filter-old'!M375</f>
        <v>0</v>
      </c>
      <c r="BH276" s="62"/>
      <c r="BI276" s="62"/>
      <c r="BJ276" s="62">
        <f>'Filter-new'!M375</f>
        <v>0</v>
      </c>
      <c r="BK276" s="62"/>
      <c r="BL276" s="62"/>
      <c r="BM276" s="62"/>
      <c r="BN276" s="406" t="e">
        <f>'Filter-new'!N375</f>
        <v>#N/A</v>
      </c>
      <c r="BO276" s="62"/>
      <c r="BP276" s="62"/>
      <c r="BQ276" s="46">
        <f>'Filter-old'!O375</f>
        <v>0</v>
      </c>
      <c r="BR276" s="62">
        <f>'Filter-new'!O375</f>
        <v>0</v>
      </c>
      <c r="BS276" s="62"/>
      <c r="BT276" s="62"/>
      <c r="BU276" s="46">
        <f>'Filter-old'!Q375</f>
        <v>46.199310468920388</v>
      </c>
      <c r="BV276" s="62">
        <f>'Filter-new'!Q375</f>
        <v>0</v>
      </c>
      <c r="BW276" s="62"/>
      <c r="BX276" s="62"/>
      <c r="BY276" s="62"/>
      <c r="BZ276" s="62"/>
      <c r="CA276" s="46">
        <f>'Filter-old'!R375</f>
        <v>127.26969586816914</v>
      </c>
      <c r="CB276" s="62">
        <f>'Filter-new'!R375</f>
        <v>0</v>
      </c>
      <c r="CC276" s="57"/>
      <c r="CD276" s="58"/>
      <c r="CE276" s="57"/>
      <c r="CF276" s="57"/>
      <c r="CG276" s="169">
        <f t="shared" ref="CG276:CG307" si="45">G276-H276</f>
        <v>13.777114165468674</v>
      </c>
    </row>
    <row r="277" spans="1:85" hidden="1" x14ac:dyDescent="0.2">
      <c r="A277">
        <v>0</v>
      </c>
      <c r="B277" s="59">
        <v>37073</v>
      </c>
      <c r="C277" s="59">
        <f>'Filter-new'!C9</f>
        <v>37073</v>
      </c>
      <c r="D277" s="60">
        <f t="shared" si="43"/>
        <v>2001</v>
      </c>
      <c r="E277" s="60"/>
      <c r="F277" s="60"/>
      <c r="G277" s="36">
        <f t="shared" si="44"/>
        <v>65.352944501541614</v>
      </c>
      <c r="H277" s="36"/>
      <c r="I277" s="36"/>
      <c r="J277" s="41"/>
      <c r="K277" s="46"/>
      <c r="L277" s="62"/>
      <c r="M277" s="62"/>
      <c r="N277" s="62"/>
      <c r="O277" s="429"/>
      <c r="P277" s="62"/>
      <c r="Q277" s="46"/>
      <c r="R277" s="62"/>
      <c r="S277" s="62"/>
      <c r="T277" s="62"/>
      <c r="U277" s="445"/>
      <c r="V277" s="62"/>
      <c r="W277" s="46"/>
      <c r="X277" s="62"/>
      <c r="Y277" s="62"/>
      <c r="Z277" s="62"/>
      <c r="AA277" s="46"/>
      <c r="AB277" s="62"/>
      <c r="AC277" s="62"/>
      <c r="AD277" s="62"/>
      <c r="AE277" s="46">
        <f>'Filter-old'!P376</f>
        <v>0</v>
      </c>
      <c r="AF277" s="62">
        <f>'Filter-new'!P376</f>
        <v>0</v>
      </c>
      <c r="AG277" s="62"/>
      <c r="AH277" s="62"/>
      <c r="AI277" s="46">
        <f>'Filter-old'!L376</f>
        <v>0</v>
      </c>
      <c r="AJ277" s="62">
        <f>'Filter-new'!L376</f>
        <v>0</v>
      </c>
      <c r="AK277" s="62"/>
      <c r="AL277" s="62"/>
      <c r="AM277" s="62"/>
      <c r="AN277" s="62"/>
      <c r="AO277" s="46">
        <f>'Filter-old'!G376</f>
        <v>0</v>
      </c>
      <c r="AP277" s="62">
        <f>'Filter-new'!G376</f>
        <v>0</v>
      </c>
      <c r="AQ277" s="62"/>
      <c r="AR277" s="62"/>
      <c r="AS277" s="46"/>
      <c r="AT277" s="62"/>
      <c r="AU277" s="62"/>
      <c r="AV277" s="62"/>
      <c r="AW277" s="46">
        <f>'Filter-old'!I376</f>
        <v>0</v>
      </c>
      <c r="AX277" s="62">
        <f>'Filter-new'!I376</f>
        <v>0</v>
      </c>
      <c r="AY277" s="62"/>
      <c r="AZ277" s="62"/>
      <c r="BA277" s="62"/>
      <c r="BB277" s="62"/>
      <c r="BC277" s="46">
        <f>'Filter-old'!K376</f>
        <v>0</v>
      </c>
      <c r="BD277" s="62">
        <f>'Filter-new'!K376</f>
        <v>0</v>
      </c>
      <c r="BE277" s="62"/>
      <c r="BF277" s="62"/>
      <c r="BG277" s="46">
        <f>'Filter-old'!M376</f>
        <v>0</v>
      </c>
      <c r="BH277" s="62"/>
      <c r="BI277" s="62"/>
      <c r="BJ277" s="62">
        <f>'Filter-new'!M376</f>
        <v>0</v>
      </c>
      <c r="BK277" s="62"/>
      <c r="BL277" s="62"/>
      <c r="BM277" s="62"/>
      <c r="BN277" s="406">
        <f>'Filter-new'!N376</f>
        <v>0</v>
      </c>
      <c r="BO277" s="62"/>
      <c r="BP277" s="62"/>
      <c r="BQ277" s="46">
        <f>'Filter-old'!O376</f>
        <v>0</v>
      </c>
      <c r="BR277" s="62">
        <f>'Filter-new'!O376</f>
        <v>0</v>
      </c>
      <c r="BS277" s="62"/>
      <c r="BT277" s="62"/>
      <c r="BU277" s="46">
        <f>'Filter-old'!Q376</f>
        <v>-6.3017317574511811</v>
      </c>
      <c r="BV277" s="62">
        <f>'Filter-new'!Q376</f>
        <v>0</v>
      </c>
      <c r="BW277" s="62"/>
      <c r="BX277" s="62"/>
      <c r="BY277" s="62"/>
      <c r="BZ277" s="62"/>
      <c r="CA277" s="46">
        <f>'Filter-old'!R376</f>
        <v>71.654676258992794</v>
      </c>
      <c r="CB277" s="62">
        <f>'Filter-new'!R376</f>
        <v>0</v>
      </c>
      <c r="CC277" s="57"/>
      <c r="CD277" s="58"/>
      <c r="CE277" s="57"/>
      <c r="CF277" s="57"/>
      <c r="CG277" s="169">
        <f t="shared" si="45"/>
        <v>65.352944501541614</v>
      </c>
    </row>
    <row r="278" spans="1:85" hidden="1" x14ac:dyDescent="0.2">
      <c r="A278">
        <v>0</v>
      </c>
      <c r="B278" s="59">
        <v>37104</v>
      </c>
      <c r="C278" s="59">
        <f>'Filter-new'!C10</f>
        <v>37104</v>
      </c>
      <c r="D278" s="60">
        <f t="shared" si="43"/>
        <v>2001</v>
      </c>
      <c r="E278" s="60"/>
      <c r="F278" s="60"/>
      <c r="G278" s="36">
        <f t="shared" si="44"/>
        <v>39.701192119202034</v>
      </c>
      <c r="H278" s="36"/>
      <c r="I278" s="36"/>
      <c r="J278" s="41"/>
      <c r="K278" s="46"/>
      <c r="L278" s="62"/>
      <c r="M278" s="62"/>
      <c r="N278" s="62"/>
      <c r="O278" s="429"/>
      <c r="P278" s="62"/>
      <c r="Q278" s="46"/>
      <c r="R278" s="62"/>
      <c r="S278" s="62"/>
      <c r="T278" s="62"/>
      <c r="U278" s="445"/>
      <c r="V278" s="62"/>
      <c r="W278" s="46">
        <f>'Filter-old'!J377</f>
        <v>66.193703628636001</v>
      </c>
      <c r="X278" s="62">
        <f>'Filter-new'!J377</f>
        <v>0</v>
      </c>
      <c r="Y278" s="62"/>
      <c r="Z278" s="62"/>
      <c r="AA278" s="46">
        <f>'Filter-old'!F377</f>
        <v>0</v>
      </c>
      <c r="AB278" s="62">
        <f>'Filter-new'!F377</f>
        <v>0</v>
      </c>
      <c r="AC278" s="62"/>
      <c r="AD278" s="62"/>
      <c r="AE278" s="46">
        <f>'Filter-old'!P377</f>
        <v>0</v>
      </c>
      <c r="AF278" s="62">
        <f>'Filter-new'!P377</f>
        <v>0</v>
      </c>
      <c r="AG278" s="62"/>
      <c r="AH278" s="62"/>
      <c r="AI278" s="46">
        <f>'Filter-old'!L377</f>
        <v>0</v>
      </c>
      <c r="AJ278" s="62">
        <f>'Filter-new'!L377</f>
        <v>0</v>
      </c>
      <c r="AK278" s="62"/>
      <c r="AL278" s="62"/>
      <c r="AM278" s="62"/>
      <c r="AN278" s="62"/>
      <c r="AO278" s="46">
        <f>'Filter-old'!G377</f>
        <v>0</v>
      </c>
      <c r="AP278" s="62">
        <f>'Filter-new'!G377</f>
        <v>0</v>
      </c>
      <c r="AQ278" s="62"/>
      <c r="AR278" s="62"/>
      <c r="AS278" s="46"/>
      <c r="AT278" s="62"/>
      <c r="AU278" s="62"/>
      <c r="AV278" s="62"/>
      <c r="AW278" s="46">
        <f>'Filter-old'!I377</f>
        <v>0</v>
      </c>
      <c r="AX278" s="62">
        <f>'Filter-new'!I377</f>
        <v>0</v>
      </c>
      <c r="AY278" s="62"/>
      <c r="AZ278" s="62"/>
      <c r="BA278" s="62"/>
      <c r="BB278" s="62"/>
      <c r="BC278" s="46">
        <f>'Filter-old'!K377</f>
        <v>0</v>
      </c>
      <c r="BD278" s="62">
        <f>'Filter-new'!K377</f>
        <v>0</v>
      </c>
      <c r="BE278" s="62"/>
      <c r="BF278" s="62"/>
      <c r="BG278" s="46">
        <f>'Filter-old'!M377</f>
        <v>0</v>
      </c>
      <c r="BH278" s="62"/>
      <c r="BI278" s="62"/>
      <c r="BJ278" s="62">
        <f>'Filter-new'!M377</f>
        <v>0</v>
      </c>
      <c r="BK278" s="62"/>
      <c r="BL278" s="62"/>
      <c r="BM278" s="62"/>
      <c r="BN278" s="406">
        <f>'Filter-new'!N377</f>
        <v>0</v>
      </c>
      <c r="BO278" s="62"/>
      <c r="BP278" s="62"/>
      <c r="BQ278" s="46">
        <f>'Filter-old'!O377</f>
        <v>0</v>
      </c>
      <c r="BR278" s="62">
        <f>'Filter-new'!O377</f>
        <v>0</v>
      </c>
      <c r="BS278" s="62"/>
      <c r="BT278" s="62"/>
      <c r="BU278" s="46">
        <f>'Filter-old'!Q377</f>
        <v>-94.537794528301902</v>
      </c>
      <c r="BV278" s="62">
        <f>'Filter-new'!Q377</f>
        <v>0</v>
      </c>
      <c r="BW278" s="62"/>
      <c r="BX278" s="62"/>
      <c r="BY278" s="62"/>
      <c r="BZ278" s="62"/>
      <c r="CA278" s="46">
        <f>'Filter-old'!R377</f>
        <v>68.045283018867934</v>
      </c>
      <c r="CB278" s="62">
        <f>'Filter-new'!R377</f>
        <v>0</v>
      </c>
      <c r="CC278" s="57"/>
      <c r="CD278" s="58"/>
      <c r="CE278" s="57"/>
      <c r="CF278" s="57"/>
      <c r="CG278" s="169">
        <f t="shared" si="45"/>
        <v>39.701192119202034</v>
      </c>
    </row>
    <row r="279" spans="1:85" hidden="1" x14ac:dyDescent="0.2">
      <c r="A279">
        <v>0</v>
      </c>
      <c r="B279" s="59">
        <v>37135</v>
      </c>
      <c r="C279" s="59">
        <f>'Filter-new'!C11</f>
        <v>37135</v>
      </c>
      <c r="D279" s="60">
        <f t="shared" si="43"/>
        <v>2001</v>
      </c>
      <c r="E279" s="60"/>
      <c r="F279" s="60"/>
      <c r="G279" s="36">
        <f t="shared" si="44"/>
        <v>-280.93704956246279</v>
      </c>
      <c r="H279" s="36">
        <f t="shared" ref="H279:H310" si="46">SUM(L279,AB279,AP279,R279,AX279,X279,BD279,AJ279,BJ279,BR279,AF279,BV279,CB279,BN279)</f>
        <v>0</v>
      </c>
      <c r="I279" s="36"/>
      <c r="J279" s="41"/>
      <c r="K279" s="46">
        <f>'Filter-old'!E378</f>
        <v>397.84871786248124</v>
      </c>
      <c r="L279" s="62">
        <f>'Filter-new'!E378</f>
        <v>0</v>
      </c>
      <c r="M279" s="62"/>
      <c r="N279" s="62"/>
      <c r="O279" s="429"/>
      <c r="P279" s="62"/>
      <c r="Q279" s="46">
        <f>'Filter-old'!H378</f>
        <v>-97.376172668730717</v>
      </c>
      <c r="R279" s="62">
        <f>'Filter-new'!H378</f>
        <v>0</v>
      </c>
      <c r="S279" s="62"/>
      <c r="T279" s="62"/>
      <c r="U279" s="445"/>
      <c r="V279" s="62"/>
      <c r="W279" s="46">
        <f>'Filter-old'!J378</f>
        <v>26.014943638427606</v>
      </c>
      <c r="X279" s="62">
        <f>'Filter-new'!J378</f>
        <v>0</v>
      </c>
      <c r="Y279" s="62"/>
      <c r="Z279" s="62"/>
      <c r="AA279" s="46">
        <f>'Filter-old'!F378</f>
        <v>0</v>
      </c>
      <c r="AB279" s="62">
        <f>'Filter-new'!F378</f>
        <v>0</v>
      </c>
      <c r="AC279" s="62"/>
      <c r="AD279" s="62"/>
      <c r="AE279" s="46">
        <f>'Filter-old'!P378</f>
        <v>0</v>
      </c>
      <c r="AF279" s="62">
        <f>'Filter-new'!P378</f>
        <v>0</v>
      </c>
      <c r="AG279" s="62"/>
      <c r="AH279" s="62"/>
      <c r="AI279" s="46">
        <f>'Filter-old'!L378</f>
        <v>0</v>
      </c>
      <c r="AJ279" s="62">
        <f>'Filter-new'!L378</f>
        <v>0</v>
      </c>
      <c r="AK279" s="62"/>
      <c r="AL279" s="62"/>
      <c r="AM279" s="62"/>
      <c r="AN279" s="62"/>
      <c r="AO279" s="46">
        <f>'Filter-old'!G378</f>
        <v>0</v>
      </c>
      <c r="AP279" s="62">
        <f>'Filter-new'!G378</f>
        <v>0</v>
      </c>
      <c r="AQ279" s="62"/>
      <c r="AR279" s="62"/>
      <c r="AS279" s="46"/>
      <c r="AT279" s="62"/>
      <c r="AU279" s="62"/>
      <c r="AV279" s="62"/>
      <c r="AW279" s="46">
        <f>'Filter-old'!I378</f>
        <v>-85.201793721973075</v>
      </c>
      <c r="AX279" s="62">
        <f>'Filter-new'!I378</f>
        <v>0</v>
      </c>
      <c r="AY279" s="62"/>
      <c r="AZ279" s="62"/>
      <c r="BA279" s="62"/>
      <c r="BB279" s="62"/>
      <c r="BC279" s="46">
        <f>'Filter-old'!K378</f>
        <v>0</v>
      </c>
      <c r="BD279" s="62">
        <f>'Filter-new'!K378</f>
        <v>0</v>
      </c>
      <c r="BE279" s="62"/>
      <c r="BF279" s="62"/>
      <c r="BG279" s="46">
        <f>'Filter-old'!M378</f>
        <v>0</v>
      </c>
      <c r="BH279" s="62"/>
      <c r="BI279" s="62"/>
      <c r="BJ279" s="62">
        <f>'Filter-new'!M378</f>
        <v>0</v>
      </c>
      <c r="BK279" s="62"/>
      <c r="BL279" s="62"/>
      <c r="BM279" s="62"/>
      <c r="BN279" s="406">
        <f>'Filter-new'!N378</f>
        <v>0</v>
      </c>
      <c r="BO279" s="62"/>
      <c r="BP279" s="62"/>
      <c r="BQ279" s="46">
        <f>'Filter-old'!O378</f>
        <v>0</v>
      </c>
      <c r="BR279" s="62">
        <f>'Filter-new'!O378</f>
        <v>0</v>
      </c>
      <c r="BS279" s="62"/>
      <c r="BT279" s="62"/>
      <c r="BU279" s="46">
        <f>'Filter-old'!Q378</f>
        <v>-269.55209195717208</v>
      </c>
      <c r="BV279" s="62">
        <f>'Filter-new'!Q378</f>
        <v>0</v>
      </c>
      <c r="BW279" s="62"/>
      <c r="BX279" s="62"/>
      <c r="BY279" s="62"/>
      <c r="BZ279" s="62"/>
      <c r="CA279" s="46">
        <f>'Filter-old'!R378</f>
        <v>-252.67065271549578</v>
      </c>
      <c r="CB279" s="62">
        <f>'Filter-new'!R378</f>
        <v>0</v>
      </c>
      <c r="CC279" s="57"/>
      <c r="CD279" s="58"/>
      <c r="CE279" s="57"/>
      <c r="CF279" s="57"/>
      <c r="CG279" s="169">
        <f t="shared" si="45"/>
        <v>-280.93704956246279</v>
      </c>
    </row>
    <row r="280" spans="1:85" hidden="1" x14ac:dyDescent="0.2">
      <c r="A280">
        <v>0</v>
      </c>
      <c r="B280" s="59">
        <v>37165</v>
      </c>
      <c r="C280" s="59">
        <f>'Filter-new'!C12</f>
        <v>37165</v>
      </c>
      <c r="D280" s="60">
        <f t="shared" si="43"/>
        <v>2001</v>
      </c>
      <c r="E280" s="60"/>
      <c r="F280" s="60"/>
      <c r="G280" s="36">
        <f t="shared" si="44"/>
        <v>303.93583967001319</v>
      </c>
      <c r="H280" s="36">
        <f t="shared" si="46"/>
        <v>0</v>
      </c>
      <c r="I280" s="36"/>
      <c r="J280" s="41"/>
      <c r="K280" s="46">
        <f>'Filter-old'!E379</f>
        <v>342.59852205883828</v>
      </c>
      <c r="L280" s="62">
        <f>'Filter-new'!E379</f>
        <v>0</v>
      </c>
      <c r="M280" s="62"/>
      <c r="N280" s="62"/>
      <c r="O280" s="429"/>
      <c r="P280" s="62"/>
      <c r="Q280" s="46">
        <f>'Filter-old'!H379</f>
        <v>-66.321680024744083</v>
      </c>
      <c r="R280" s="62">
        <f>'Filter-new'!H379</f>
        <v>0</v>
      </c>
      <c r="S280" s="62"/>
      <c r="T280" s="62"/>
      <c r="U280" s="445"/>
      <c r="V280" s="62"/>
      <c r="W280" s="46">
        <f>'Filter-old'!J379</f>
        <v>28.112870354221911</v>
      </c>
      <c r="X280" s="62">
        <f>'Filter-new'!J379</f>
        <v>0</v>
      </c>
      <c r="Y280" s="62"/>
      <c r="Z280" s="62"/>
      <c r="AA280" s="46">
        <f>'Filter-old'!F379</f>
        <v>0</v>
      </c>
      <c r="AB280" s="62">
        <f>'Filter-new'!F379</f>
        <v>0</v>
      </c>
      <c r="AC280" s="62"/>
      <c r="AD280" s="62"/>
      <c r="AE280" s="46">
        <f>'Filter-old'!P379</f>
        <v>0</v>
      </c>
      <c r="AF280" s="62">
        <f>'Filter-new'!P379</f>
        <v>0</v>
      </c>
      <c r="AG280" s="62"/>
      <c r="AH280" s="62"/>
      <c r="AI280" s="46">
        <f>'Filter-old'!L379</f>
        <v>0</v>
      </c>
      <c r="AJ280" s="62">
        <f>'Filter-new'!L379</f>
        <v>0</v>
      </c>
      <c r="AK280" s="62"/>
      <c r="AL280" s="62"/>
      <c r="AM280" s="62"/>
      <c r="AN280" s="62"/>
      <c r="AO280" s="46">
        <f>'Filter-old'!G379</f>
        <v>0</v>
      </c>
      <c r="AP280" s="62">
        <f>'Filter-new'!G379</f>
        <v>0</v>
      </c>
      <c r="AQ280" s="62"/>
      <c r="AR280" s="62"/>
      <c r="AS280" s="46"/>
      <c r="AT280" s="62"/>
      <c r="AU280" s="62"/>
      <c r="AV280" s="62"/>
      <c r="AW280" s="46">
        <f>'Filter-old'!I379</f>
        <v>15.772076961026146</v>
      </c>
      <c r="AX280" s="62">
        <f>'Filter-new'!I379</f>
        <v>0</v>
      </c>
      <c r="AY280" s="62"/>
      <c r="AZ280" s="62"/>
      <c r="BA280" s="62"/>
      <c r="BB280" s="62"/>
      <c r="BC280" s="46">
        <f>'Filter-old'!K379</f>
        <v>0</v>
      </c>
      <c r="BD280" s="62">
        <f>'Filter-new'!K379</f>
        <v>0</v>
      </c>
      <c r="BE280" s="62"/>
      <c r="BF280" s="62"/>
      <c r="BG280" s="46">
        <f>'Filter-old'!M379</f>
        <v>0</v>
      </c>
      <c r="BH280" s="62"/>
      <c r="BI280" s="62"/>
      <c r="BJ280" s="62">
        <f>'Filter-new'!M379</f>
        <v>0</v>
      </c>
      <c r="BK280" s="62"/>
      <c r="BL280" s="62"/>
      <c r="BM280" s="62"/>
      <c r="BN280" s="406">
        <f>'Filter-new'!N379</f>
        <v>0</v>
      </c>
      <c r="BO280" s="62"/>
      <c r="BP280" s="62"/>
      <c r="BQ280" s="46">
        <f>'Filter-old'!O379</f>
        <v>0</v>
      </c>
      <c r="BR280" s="62">
        <f>'Filter-new'!O379</f>
        <v>0</v>
      </c>
      <c r="BS280" s="62"/>
      <c r="BT280" s="62"/>
      <c r="BU280" s="46">
        <f>'Filter-old'!Q379</f>
        <v>0</v>
      </c>
      <c r="BV280" s="62">
        <f>'Filter-new'!Q379</f>
        <v>0</v>
      </c>
      <c r="BW280" s="62"/>
      <c r="BX280" s="62"/>
      <c r="BY280" s="62"/>
      <c r="BZ280" s="62"/>
      <c r="CA280" s="46">
        <f>'Filter-old'!R379</f>
        <v>-16.225949679329059</v>
      </c>
      <c r="CB280" s="62">
        <f>'Filter-new'!R379</f>
        <v>0</v>
      </c>
      <c r="CC280" s="57"/>
      <c r="CD280" s="58"/>
      <c r="CE280" s="57"/>
      <c r="CF280" s="57"/>
      <c r="CG280" s="169">
        <f t="shared" si="45"/>
        <v>303.93583967001319</v>
      </c>
    </row>
    <row r="281" spans="1:85" hidden="1" x14ac:dyDescent="0.2">
      <c r="A281">
        <v>0</v>
      </c>
      <c r="B281" s="59">
        <v>37196</v>
      </c>
      <c r="C281" s="59">
        <f>'Filter-new'!C13</f>
        <v>37196</v>
      </c>
      <c r="D281" s="60">
        <f t="shared" si="43"/>
        <v>2001</v>
      </c>
      <c r="E281" s="60"/>
      <c r="F281" s="60"/>
      <c r="G281" s="36">
        <f t="shared" si="44"/>
        <v>223.1006580967414</v>
      </c>
      <c r="H281" s="36" t="e">
        <f t="shared" si="46"/>
        <v>#VALUE!</v>
      </c>
      <c r="I281" s="36"/>
      <c r="J281" s="41"/>
      <c r="K281" s="46">
        <f>'Filter-old'!E380</f>
        <v>279.04242037553797</v>
      </c>
      <c r="L281" s="62">
        <f>'Filter-new'!E380</f>
        <v>0</v>
      </c>
      <c r="M281" s="62"/>
      <c r="N281" s="62"/>
      <c r="O281" s="429"/>
      <c r="P281" s="62"/>
      <c r="Q281" s="46">
        <f>'Filter-old'!H380</f>
        <v>-55.544786853465787</v>
      </c>
      <c r="R281" s="62">
        <f>'Filter-new'!H380</f>
        <v>0</v>
      </c>
      <c r="S281" s="62"/>
      <c r="T281" s="62"/>
      <c r="U281" s="445"/>
      <c r="V281" s="62"/>
      <c r="W281" s="46">
        <f>'Filter-old'!J380</f>
        <v>0</v>
      </c>
      <c r="X281" s="62">
        <f>'Filter-new'!J380</f>
        <v>0</v>
      </c>
      <c r="Y281" s="62"/>
      <c r="Z281" s="62"/>
      <c r="AA281" s="46">
        <f>'Filter-old'!F380</f>
        <v>0</v>
      </c>
      <c r="AB281" s="62">
        <f>'Filter-new'!F380</f>
        <v>0</v>
      </c>
      <c r="AC281" s="62"/>
      <c r="AD281" s="62"/>
      <c r="AE281" s="46">
        <f>'Filter-old'!P380</f>
        <v>0</v>
      </c>
      <c r="AF281" s="62">
        <f>'Filter-new'!P380</f>
        <v>0</v>
      </c>
      <c r="AG281" s="62"/>
      <c r="AH281" s="62"/>
      <c r="AI281" s="46">
        <f>'Filter-old'!L380</f>
        <v>0</v>
      </c>
      <c r="AJ281" s="62">
        <f>'Filter-new'!L380</f>
        <v>0</v>
      </c>
      <c r="AK281" s="62"/>
      <c r="AL281" s="62"/>
      <c r="AM281" s="62"/>
      <c r="AN281" s="62"/>
      <c r="AO281" s="46">
        <f>'Filter-old'!G380</f>
        <v>0</v>
      </c>
      <c r="AP281" s="62">
        <f>'Filter-new'!G380</f>
        <v>0</v>
      </c>
      <c r="AQ281" s="62"/>
      <c r="AR281" s="62"/>
      <c r="AS281" s="46"/>
      <c r="AT281" s="62"/>
      <c r="AU281" s="62"/>
      <c r="AV281" s="62"/>
      <c r="AW281" s="46">
        <f>'Filter-old'!I380</f>
        <v>13.794896030245745</v>
      </c>
      <c r="AX281" s="62">
        <f>'Filter-new'!I380</f>
        <v>0</v>
      </c>
      <c r="AY281" s="62"/>
      <c r="AZ281" s="62"/>
      <c r="BA281" s="62"/>
      <c r="BB281" s="62"/>
      <c r="BC281" s="46">
        <f>'Filter-old'!K380</f>
        <v>0</v>
      </c>
      <c r="BD281" s="62">
        <f>'Filter-new'!K380</f>
        <v>0</v>
      </c>
      <c r="BE281" s="62"/>
      <c r="BF281" s="62"/>
      <c r="BG281" s="46">
        <f>'Filter-old'!M380</f>
        <v>0</v>
      </c>
      <c r="BH281" s="62"/>
      <c r="BI281" s="62"/>
      <c r="BJ281" s="62" t="e">
        <f>'Filter-new'!M380</f>
        <v>#VALUE!</v>
      </c>
      <c r="BK281" s="62"/>
      <c r="BL281" s="62"/>
      <c r="BM281" s="62"/>
      <c r="BN281" s="406" t="e">
        <f>'Filter-new'!N380</f>
        <v>#VALUE!</v>
      </c>
      <c r="BO281" s="62"/>
      <c r="BP281" s="62"/>
      <c r="BQ281" s="46">
        <f>'Filter-old'!O380</f>
        <v>0</v>
      </c>
      <c r="BR281" s="62">
        <f>'Filter-new'!O380</f>
        <v>0</v>
      </c>
      <c r="BS281" s="62"/>
      <c r="BT281" s="62"/>
      <c r="BU281" s="46">
        <f>'Filter-old'!Q380</f>
        <v>0</v>
      </c>
      <c r="BV281" s="62">
        <f>'Filter-new'!Q380</f>
        <v>0</v>
      </c>
      <c r="BW281" s="62"/>
      <c r="BX281" s="62"/>
      <c r="BY281" s="62"/>
      <c r="BZ281" s="62"/>
      <c r="CA281" s="46">
        <f>'Filter-old'!R380</f>
        <v>-14.191871455576559</v>
      </c>
      <c r="CB281" s="62">
        <f>'Filter-new'!R380</f>
        <v>0</v>
      </c>
      <c r="CC281" s="57"/>
      <c r="CD281" s="58"/>
      <c r="CE281" s="57"/>
      <c r="CF281" s="57"/>
      <c r="CG281" s="169" t="e">
        <f t="shared" si="45"/>
        <v>#VALUE!</v>
      </c>
    </row>
    <row r="282" spans="1:85" hidden="1" x14ac:dyDescent="0.2">
      <c r="A282">
        <v>0</v>
      </c>
      <c r="B282" s="59">
        <v>37226</v>
      </c>
      <c r="C282" s="59">
        <f>'Filter-new'!C14</f>
        <v>37226</v>
      </c>
      <c r="D282" s="60">
        <f t="shared" si="43"/>
        <v>2001</v>
      </c>
      <c r="E282" s="60"/>
      <c r="F282" s="60"/>
      <c r="G282" s="36">
        <f t="shared" si="44"/>
        <v>251.44456147793863</v>
      </c>
      <c r="H282" s="36">
        <f t="shared" si="46"/>
        <v>981.07509115332982</v>
      </c>
      <c r="I282" s="36"/>
      <c r="J282" s="41"/>
      <c r="K282" s="46">
        <f>'Filter-old'!E381</f>
        <v>309.41130219616002</v>
      </c>
      <c r="L282" s="62">
        <f>'Filter-new'!E381</f>
        <v>413.47789291882572</v>
      </c>
      <c r="M282" s="62"/>
      <c r="N282" s="62"/>
      <c r="O282" s="429"/>
      <c r="P282" s="62"/>
      <c r="Q282" s="46">
        <f>'Filter-old'!H381</f>
        <v>-57.603434632844433</v>
      </c>
      <c r="R282" s="62">
        <f>'Filter-new'!H381</f>
        <v>53.737094607560941</v>
      </c>
      <c r="S282" s="62"/>
      <c r="T282" s="62"/>
      <c r="U282" s="445"/>
      <c r="V282" s="62"/>
      <c r="W282" s="46">
        <f>'Filter-old'!J381</f>
        <v>0</v>
      </c>
      <c r="X282" s="62">
        <f>'Filter-new'!J381</f>
        <v>0</v>
      </c>
      <c r="Y282" s="62"/>
      <c r="Z282" s="62"/>
      <c r="AA282" s="46">
        <f>'Filter-old'!F381</f>
        <v>0</v>
      </c>
      <c r="AB282" s="62">
        <f>'Filter-new'!F381</f>
        <v>0</v>
      </c>
      <c r="AC282" s="62"/>
      <c r="AD282" s="62"/>
      <c r="AE282" s="46">
        <f>'Filter-old'!P381</f>
        <v>0</v>
      </c>
      <c r="AF282" s="62">
        <f>'Filter-new'!P381</f>
        <v>0</v>
      </c>
      <c r="AG282" s="62"/>
      <c r="AH282" s="62"/>
      <c r="AI282" s="46">
        <f>'Filter-old'!L381</f>
        <v>0</v>
      </c>
      <c r="AJ282" s="62">
        <f>'Filter-new'!L381</f>
        <v>0</v>
      </c>
      <c r="AK282" s="62"/>
      <c r="AL282" s="62"/>
      <c r="AM282" s="62"/>
      <c r="AN282" s="62"/>
      <c r="AO282" s="46">
        <f>'Filter-old'!G381</f>
        <v>0</v>
      </c>
      <c r="AP282" s="62">
        <f>'Filter-new'!G381</f>
        <v>0</v>
      </c>
      <c r="AQ282" s="62"/>
      <c r="AR282" s="62"/>
      <c r="AS282" s="46"/>
      <c r="AT282" s="62"/>
      <c r="AU282" s="62"/>
      <c r="AV282" s="62"/>
      <c r="AW282" s="46">
        <f>'Filter-old'!I381</f>
        <v>12.624886466848318</v>
      </c>
      <c r="AX282" s="62">
        <f>'Filter-new'!I381</f>
        <v>13.704663212435236</v>
      </c>
      <c r="AY282" s="62"/>
      <c r="AZ282" s="62"/>
      <c r="BA282" s="62"/>
      <c r="BB282" s="62"/>
      <c r="BC282" s="46">
        <f>'Filter-old'!K381</f>
        <v>0</v>
      </c>
      <c r="BD282" s="62">
        <f>'Filter-new'!K381</f>
        <v>92.530224525043195</v>
      </c>
      <c r="BE282" s="62"/>
      <c r="BF282" s="62"/>
      <c r="BG282" s="46">
        <f>'Filter-old'!M381</f>
        <v>0</v>
      </c>
      <c r="BH282" s="62"/>
      <c r="BI282" s="62"/>
      <c r="BJ282" s="62">
        <f>'Filter-new'!M381</f>
        <v>163.00518134715023</v>
      </c>
      <c r="BK282" s="62"/>
      <c r="BL282" s="62"/>
      <c r="BM282" s="62"/>
      <c r="BN282" s="406">
        <f>'Filter-new'!N381</f>
        <v>202.07253886010366</v>
      </c>
      <c r="BO282" s="62"/>
      <c r="BP282" s="62"/>
      <c r="BQ282" s="46">
        <f>'Filter-old'!O381</f>
        <v>0</v>
      </c>
      <c r="BR282" s="62">
        <f>'Filter-new'!O381</f>
        <v>13.497409326424872</v>
      </c>
      <c r="BS282" s="62"/>
      <c r="BT282" s="62"/>
      <c r="BU282" s="46">
        <f>'Filter-old'!Q381</f>
        <v>0</v>
      </c>
      <c r="BV282" s="62">
        <f>'Filter-new'!Q381</f>
        <v>0</v>
      </c>
      <c r="BW282" s="62"/>
      <c r="BX282" s="62"/>
      <c r="BY282" s="62"/>
      <c r="BZ282" s="62"/>
      <c r="CA282" s="46">
        <f>'Filter-old'!R381</f>
        <v>-12.988192552225248</v>
      </c>
      <c r="CB282" s="62">
        <f>'Filter-new'!R381</f>
        <v>29.05008635578584</v>
      </c>
      <c r="CC282" s="57"/>
      <c r="CD282" s="58"/>
      <c r="CE282" s="57"/>
      <c r="CF282" s="57"/>
      <c r="CG282" s="169">
        <f t="shared" si="45"/>
        <v>-729.63052967539124</v>
      </c>
    </row>
    <row r="283" spans="1:85" hidden="1" x14ac:dyDescent="0.2">
      <c r="A283">
        <v>0</v>
      </c>
      <c r="B283" s="59">
        <v>37257</v>
      </c>
      <c r="C283" s="59">
        <f>'Filter-new'!C15</f>
        <v>37257</v>
      </c>
      <c r="D283" s="60">
        <f t="shared" si="43"/>
        <v>2002</v>
      </c>
      <c r="E283" s="60"/>
      <c r="F283" s="60"/>
      <c r="G283" s="36">
        <f t="shared" si="44"/>
        <v>-21.973296304825141</v>
      </c>
      <c r="H283" s="36">
        <f t="shared" si="46"/>
        <v>598.32040801775338</v>
      </c>
      <c r="I283" s="36"/>
      <c r="J283" s="41"/>
      <c r="K283" s="46">
        <f>'Filter-old'!E382</f>
        <v>486.59457094732784</v>
      </c>
      <c r="L283" s="62">
        <f>'Filter-new'!E382</f>
        <v>-858.775676325826</v>
      </c>
      <c r="M283" s="62"/>
      <c r="N283" s="62"/>
      <c r="O283" s="429"/>
      <c r="P283" s="62"/>
      <c r="Q283" s="46">
        <f>'Filter-old'!H382</f>
        <v>-388.41279014754514</v>
      </c>
      <c r="R283" s="62">
        <f>'Filter-new'!H382</f>
        <v>-313.55572644528058</v>
      </c>
      <c r="S283" s="62"/>
      <c r="T283" s="62"/>
      <c r="U283" s="445"/>
      <c r="V283" s="62"/>
      <c r="W283" s="46">
        <f>'Filter-old'!J382</f>
        <v>0</v>
      </c>
      <c r="X283" s="62">
        <f>'Filter-new'!J382</f>
        <v>0</v>
      </c>
      <c r="Y283" s="62"/>
      <c r="Z283" s="62"/>
      <c r="AA283" s="46">
        <f>'Filter-old'!F382</f>
        <v>0</v>
      </c>
      <c r="AB283" s="62">
        <f>'Filter-new'!F382</f>
        <v>0</v>
      </c>
      <c r="AC283" s="62"/>
      <c r="AD283" s="62"/>
      <c r="AE283" s="46">
        <f>'Filter-old'!P382</f>
        <v>0</v>
      </c>
      <c r="AF283" s="62">
        <f>'Filter-new'!P382</f>
        <v>18.727418829857768</v>
      </c>
      <c r="AG283" s="62"/>
      <c r="AH283" s="62"/>
      <c r="AI283" s="46">
        <f>'Filter-old'!L382</f>
        <v>0</v>
      </c>
      <c r="AJ283" s="62">
        <f>'Filter-new'!L382</f>
        <v>9.9758017167467035</v>
      </c>
      <c r="AK283" s="62"/>
      <c r="AL283" s="62"/>
      <c r="AM283" s="62"/>
      <c r="AN283" s="62"/>
      <c r="AO283" s="46">
        <f>'Filter-old'!G382</f>
        <v>0</v>
      </c>
      <c r="AP283" s="62">
        <f>'Filter-new'!G382</f>
        <v>0</v>
      </c>
      <c r="AQ283" s="62"/>
      <c r="AR283" s="62"/>
      <c r="AS283" s="46"/>
      <c r="AT283" s="62"/>
      <c r="AU283" s="62"/>
      <c r="AV283" s="62"/>
      <c r="AW283" s="46">
        <f>'Filter-old'!I382</f>
        <v>-14.950557703624412</v>
      </c>
      <c r="AX283" s="62">
        <f>'Filter-new'!I382</f>
        <v>-195.39642995545685</v>
      </c>
      <c r="AY283" s="62"/>
      <c r="AZ283" s="62"/>
      <c r="BA283" s="62"/>
      <c r="BB283" s="62"/>
      <c r="BC283" s="46">
        <f>'Filter-old'!K382</f>
        <v>0</v>
      </c>
      <c r="BD283" s="62">
        <f>'Filter-new'!K382</f>
        <v>519.31210169108851</v>
      </c>
      <c r="BE283" s="62"/>
      <c r="BF283" s="62"/>
      <c r="BG283" s="46">
        <f>'Filter-old'!M382</f>
        <v>0</v>
      </c>
      <c r="BH283" s="62"/>
      <c r="BI283" s="62"/>
      <c r="BJ283" s="62">
        <f>'Filter-new'!M382</f>
        <v>413.32798073063026</v>
      </c>
      <c r="BK283" s="62"/>
      <c r="BL283" s="62"/>
      <c r="BM283" s="62"/>
      <c r="BN283" s="406">
        <f>'Filter-new'!N382</f>
        <v>541.56563629064635</v>
      </c>
      <c r="BO283" s="62"/>
      <c r="BP283" s="62"/>
      <c r="BQ283" s="46">
        <f>'Filter-old'!O382</f>
        <v>0</v>
      </c>
      <c r="BR283" s="62">
        <f>'Filter-new'!O382</f>
        <v>0</v>
      </c>
      <c r="BS283" s="62"/>
      <c r="BT283" s="62"/>
      <c r="BU283" s="46">
        <f>'Filter-old'!Q382</f>
        <v>59.03329910594546</v>
      </c>
      <c r="BV283" s="62">
        <f>'Filter-new'!Q382</f>
        <v>0</v>
      </c>
      <c r="BW283" s="62"/>
      <c r="BX283" s="62"/>
      <c r="BY283" s="62"/>
      <c r="BZ283" s="62"/>
      <c r="CA283" s="46">
        <f>'Filter-old'!R382</f>
        <v>-164.2378185069289</v>
      </c>
      <c r="CB283" s="62">
        <f>'Filter-new'!R382</f>
        <v>463.13930148534729</v>
      </c>
      <c r="CC283" s="57"/>
      <c r="CD283" s="58"/>
      <c r="CE283" s="57"/>
      <c r="CF283" s="57"/>
      <c r="CG283" s="169">
        <f t="shared" si="45"/>
        <v>-620.29370432257849</v>
      </c>
    </row>
    <row r="284" spans="1:85" hidden="1" x14ac:dyDescent="0.2">
      <c r="A284">
        <v>0</v>
      </c>
      <c r="B284" s="59">
        <v>37288</v>
      </c>
      <c r="C284" s="59">
        <f>'Filter-new'!C16</f>
        <v>37288</v>
      </c>
      <c r="D284" s="60">
        <f t="shared" si="43"/>
        <v>2002</v>
      </c>
      <c r="E284" s="60"/>
      <c r="F284" s="60"/>
      <c r="G284" s="36">
        <f t="shared" si="44"/>
        <v>-23.271175719013826</v>
      </c>
      <c r="H284" s="36">
        <f t="shared" si="46"/>
        <v>531.06261440548792</v>
      </c>
      <c r="I284" s="36"/>
      <c r="J284" s="41"/>
      <c r="K284" s="46">
        <f>'Filter-old'!E383</f>
        <v>444.88845056161676</v>
      </c>
      <c r="L284" s="62">
        <f>'Filter-new'!E383</f>
        <v>-752.18689778963403</v>
      </c>
      <c r="M284" s="62"/>
      <c r="N284" s="62"/>
      <c r="O284" s="429"/>
      <c r="P284" s="62"/>
      <c r="Q284" s="46">
        <f>'Filter-old'!H383</f>
        <v>-355.99548116066825</v>
      </c>
      <c r="R284" s="62">
        <f>'Filter-new'!H383</f>
        <v>-260.51707317073169</v>
      </c>
      <c r="S284" s="62"/>
      <c r="T284" s="62"/>
      <c r="U284" s="445"/>
      <c r="V284" s="62"/>
      <c r="W284" s="46">
        <f>'Filter-old'!J383</f>
        <v>0</v>
      </c>
      <c r="X284" s="62">
        <f>'Filter-new'!J383</f>
        <v>0</v>
      </c>
      <c r="Y284" s="62"/>
      <c r="Z284" s="62"/>
      <c r="AA284" s="46">
        <f>'Filter-old'!F383</f>
        <v>0</v>
      </c>
      <c r="AB284" s="62">
        <f>'Filter-new'!F383</f>
        <v>0</v>
      </c>
      <c r="AC284" s="62"/>
      <c r="AD284" s="62"/>
      <c r="AE284" s="46">
        <f>'Filter-old'!P383</f>
        <v>0</v>
      </c>
      <c r="AF284" s="62">
        <f>'Filter-new'!P383</f>
        <v>17.957317073170731</v>
      </c>
      <c r="AG284" s="62"/>
      <c r="AH284" s="62"/>
      <c r="AI284" s="46">
        <f>'Filter-old'!L383</f>
        <v>0</v>
      </c>
      <c r="AJ284" s="62">
        <f>'Filter-new'!L383</f>
        <v>9.772682926829269</v>
      </c>
      <c r="AK284" s="62"/>
      <c r="AL284" s="62"/>
      <c r="AM284" s="62"/>
      <c r="AN284" s="62"/>
      <c r="AO284" s="46">
        <f>'Filter-old'!G383</f>
        <v>0</v>
      </c>
      <c r="AP284" s="62">
        <f>'Filter-new'!G383</f>
        <v>0</v>
      </c>
      <c r="AQ284" s="62"/>
      <c r="AR284" s="62"/>
      <c r="AS284" s="46"/>
      <c r="AT284" s="62"/>
      <c r="AU284" s="62"/>
      <c r="AV284" s="62"/>
      <c r="AW284" s="46">
        <f>'Filter-old'!I383</f>
        <v>-13.932173717579202</v>
      </c>
      <c r="AX284" s="62">
        <f>'Filter-new'!I383</f>
        <v>-155.91463414634146</v>
      </c>
      <c r="AY284" s="62"/>
      <c r="AZ284" s="62"/>
      <c r="BA284" s="62"/>
      <c r="BB284" s="62"/>
      <c r="BC284" s="46">
        <f>'Filter-old'!K383</f>
        <v>0</v>
      </c>
      <c r="BD284" s="62">
        <f>'Filter-new'!K383</f>
        <v>448.17073170731709</v>
      </c>
      <c r="BE284" s="62"/>
      <c r="BF284" s="62"/>
      <c r="BG284" s="46">
        <f>'Filter-old'!M383</f>
        <v>0</v>
      </c>
      <c r="BH284" s="62"/>
      <c r="BI284" s="62"/>
      <c r="BJ284" s="62">
        <f>'Filter-new'!M383</f>
        <v>356.70731707317077</v>
      </c>
      <c r="BK284" s="62"/>
      <c r="BL284" s="62"/>
      <c r="BM284" s="62"/>
      <c r="BN284" s="406">
        <f>'Filter-new'!N383</f>
        <v>467.37804878048786</v>
      </c>
      <c r="BO284" s="62"/>
      <c r="BP284" s="62"/>
      <c r="BQ284" s="46">
        <f>'Filter-old'!O383</f>
        <v>0</v>
      </c>
      <c r="BR284" s="62">
        <f>'Filter-new'!O383</f>
        <v>0</v>
      </c>
      <c r="BS284" s="62"/>
      <c r="BT284" s="62"/>
      <c r="BU284" s="46">
        <f>'Filter-old'!Q383</f>
        <v>54.838606049495866</v>
      </c>
      <c r="BV284" s="62">
        <f>'Filter-new'!Q383</f>
        <v>0</v>
      </c>
      <c r="BW284" s="62"/>
      <c r="BX284" s="62"/>
      <c r="BY284" s="62"/>
      <c r="BZ284" s="62"/>
      <c r="CA284" s="46">
        <f>'Filter-old'!R383</f>
        <v>-153.07057745187902</v>
      </c>
      <c r="CB284" s="62">
        <f>'Filter-new'!R383</f>
        <v>399.69512195121951</v>
      </c>
      <c r="CC284" s="57"/>
      <c r="CD284" s="58"/>
      <c r="CE284" s="57"/>
      <c r="CF284" s="57"/>
      <c r="CG284" s="169">
        <f t="shared" si="45"/>
        <v>-554.33379012450177</v>
      </c>
    </row>
    <row r="285" spans="1:85" hidden="1" x14ac:dyDescent="0.2">
      <c r="A285">
        <v>0</v>
      </c>
      <c r="B285" s="59">
        <v>37316</v>
      </c>
      <c r="C285" s="59">
        <f>'Filter-new'!C17</f>
        <v>37316</v>
      </c>
      <c r="D285" s="60">
        <f t="shared" si="43"/>
        <v>2002</v>
      </c>
      <c r="E285" s="60"/>
      <c r="F285" s="60"/>
      <c r="G285" s="36">
        <f t="shared" si="44"/>
        <v>-283.51636060310682</v>
      </c>
      <c r="H285" s="36">
        <f t="shared" si="46"/>
        <v>-501.90573779551488</v>
      </c>
      <c r="I285" s="36"/>
      <c r="J285" s="41"/>
      <c r="K285" s="46">
        <f>'Filter-old'!E384</f>
        <v>-127.6613074760369</v>
      </c>
      <c r="L285" s="62">
        <f>'Filter-new'!E384</f>
        <v>-711.77815740782967</v>
      </c>
      <c r="M285" s="62"/>
      <c r="N285" s="62"/>
      <c r="O285" s="429"/>
      <c r="P285" s="62"/>
      <c r="Q285" s="46">
        <f>'Filter-old'!H384</f>
        <v>-128.43850204347856</v>
      </c>
      <c r="R285" s="62">
        <f>'Filter-new'!H384</f>
        <v>-20.632519954389966</v>
      </c>
      <c r="S285" s="62"/>
      <c r="T285" s="62"/>
      <c r="U285" s="445"/>
      <c r="V285" s="62"/>
      <c r="W285" s="46">
        <f>'Filter-old'!J384</f>
        <v>0</v>
      </c>
      <c r="X285" s="62">
        <f>'Filter-new'!J384</f>
        <v>0</v>
      </c>
      <c r="Y285" s="62"/>
      <c r="Z285" s="62"/>
      <c r="AA285" s="46">
        <f>'Filter-old'!F384</f>
        <v>0</v>
      </c>
      <c r="AB285" s="62">
        <f>'Filter-new'!F384</f>
        <v>0</v>
      </c>
      <c r="AC285" s="62"/>
      <c r="AD285" s="62"/>
      <c r="AE285" s="46">
        <f>'Filter-old'!P384</f>
        <v>0</v>
      </c>
      <c r="AF285" s="62">
        <f>'Filter-new'!P384</f>
        <v>-32.348460661345499</v>
      </c>
      <c r="AG285" s="62"/>
      <c r="AH285" s="62"/>
      <c r="AI285" s="46">
        <f>'Filter-old'!L384</f>
        <v>0</v>
      </c>
      <c r="AJ285" s="62">
        <f>'Filter-new'!L384</f>
        <v>9.8892041049030794</v>
      </c>
      <c r="AK285" s="62"/>
      <c r="AL285" s="62"/>
      <c r="AM285" s="62"/>
      <c r="AN285" s="62"/>
      <c r="AO285" s="46">
        <f>'Filter-old'!G384</f>
        <v>0</v>
      </c>
      <c r="AP285" s="62">
        <f>'Filter-new'!G384</f>
        <v>0</v>
      </c>
      <c r="AQ285" s="62"/>
      <c r="AR285" s="62"/>
      <c r="AS285" s="46"/>
      <c r="AT285" s="62"/>
      <c r="AU285" s="62"/>
      <c r="AV285" s="62"/>
      <c r="AW285" s="46">
        <f>'Filter-old'!I384</f>
        <v>0</v>
      </c>
      <c r="AX285" s="62">
        <f>'Filter-new'!I384</f>
        <v>-45.936602052451533</v>
      </c>
      <c r="AY285" s="62"/>
      <c r="AZ285" s="62"/>
      <c r="BA285" s="62"/>
      <c r="BB285" s="62"/>
      <c r="BC285" s="46">
        <f>'Filter-old'!K384</f>
        <v>0</v>
      </c>
      <c r="BD285" s="62">
        <f>'Filter-new'!K384</f>
        <v>0</v>
      </c>
      <c r="BE285" s="62"/>
      <c r="BF285" s="62"/>
      <c r="BG285" s="46">
        <f>'Filter-old'!M384</f>
        <v>0</v>
      </c>
      <c r="BH285" s="62"/>
      <c r="BI285" s="62"/>
      <c r="BJ285" s="62">
        <f>'Filter-new'!M384</f>
        <v>86.2029646522235</v>
      </c>
      <c r="BK285" s="62"/>
      <c r="BL285" s="62"/>
      <c r="BM285" s="62"/>
      <c r="BN285" s="406">
        <f>'Filter-new'!N384</f>
        <v>111.74458380843788</v>
      </c>
      <c r="BO285" s="62"/>
      <c r="BP285" s="62"/>
      <c r="BQ285" s="46">
        <f>'Filter-old'!O384</f>
        <v>0</v>
      </c>
      <c r="BR285" s="62">
        <f>'Filter-new'!O384</f>
        <v>49.423033067274808</v>
      </c>
      <c r="BS285" s="62"/>
      <c r="BT285" s="62"/>
      <c r="BU285" s="46">
        <f>'Filter-old'!Q384</f>
        <v>-27.416551083591326</v>
      </c>
      <c r="BV285" s="62">
        <f>'Filter-new'!Q384</f>
        <v>0</v>
      </c>
      <c r="BW285" s="62"/>
      <c r="BX285" s="62"/>
      <c r="BY285" s="62"/>
      <c r="BZ285" s="62"/>
      <c r="CA285" s="46">
        <f>'Filter-old'!R384</f>
        <v>0</v>
      </c>
      <c r="CB285" s="62">
        <f>'Filter-new'!R384</f>
        <v>51.530216647662492</v>
      </c>
      <c r="CC285" s="57"/>
      <c r="CD285" s="58"/>
      <c r="CE285" s="57"/>
      <c r="CF285" s="57"/>
      <c r="CG285" s="169">
        <f t="shared" si="45"/>
        <v>218.38937719240806</v>
      </c>
    </row>
    <row r="286" spans="1:85" hidden="1" x14ac:dyDescent="0.2">
      <c r="A286">
        <v>0</v>
      </c>
      <c r="B286" s="59">
        <v>37347</v>
      </c>
      <c r="C286" s="59">
        <f>'Filter-new'!C18</f>
        <v>37347</v>
      </c>
      <c r="D286" s="60">
        <f t="shared" si="43"/>
        <v>2002</v>
      </c>
      <c r="E286" s="60"/>
      <c r="F286" s="60"/>
      <c r="G286" s="36">
        <f t="shared" si="44"/>
        <v>-278.96984966192451</v>
      </c>
      <c r="H286" s="36">
        <f t="shared" si="46"/>
        <v>-500.8855469716691</v>
      </c>
      <c r="I286" s="36"/>
      <c r="J286" s="41"/>
      <c r="K286" s="46">
        <f>'Filter-old'!E385</f>
        <v>-146.58597573845813</v>
      </c>
      <c r="L286" s="62">
        <f>'Filter-new'!E385</f>
        <v>-764.642763663859</v>
      </c>
      <c r="M286" s="62"/>
      <c r="N286" s="62"/>
      <c r="O286" s="429"/>
      <c r="P286" s="62"/>
      <c r="Q286" s="46">
        <f>'Filter-old'!H385</f>
        <v>-148.03429721078081</v>
      </c>
      <c r="R286" s="62">
        <f>'Filter-new'!H385</f>
        <v>-22.196753445635526</v>
      </c>
      <c r="S286" s="62"/>
      <c r="T286" s="62"/>
      <c r="U286" s="445"/>
      <c r="V286" s="62"/>
      <c r="W286" s="46">
        <f>'Filter-old'!J385</f>
        <v>0</v>
      </c>
      <c r="X286" s="62">
        <f>'Filter-new'!J385</f>
        <v>0</v>
      </c>
      <c r="Y286" s="62"/>
      <c r="Z286" s="62"/>
      <c r="AA286" s="46">
        <f>'Filter-old'!F385</f>
        <v>0</v>
      </c>
      <c r="AB286" s="62">
        <f>'Filter-new'!F385</f>
        <v>0</v>
      </c>
      <c r="AC286" s="62"/>
      <c r="AD286" s="62"/>
      <c r="AE286" s="46">
        <f>'Filter-old'!P385</f>
        <v>0</v>
      </c>
      <c r="AF286" s="62">
        <f>'Filter-new'!P385</f>
        <v>-34.741807044410415</v>
      </c>
      <c r="AG286" s="62"/>
      <c r="AH286" s="62"/>
      <c r="AI286" s="46">
        <f>'Filter-old'!L385</f>
        <v>0</v>
      </c>
      <c r="AJ286" s="62">
        <f>'Filter-new'!L385</f>
        <v>10.599215926493105</v>
      </c>
      <c r="AK286" s="62"/>
      <c r="AL286" s="62"/>
      <c r="AM286" s="62"/>
      <c r="AN286" s="62"/>
      <c r="AO286" s="46">
        <f>'Filter-old'!G385</f>
        <v>0</v>
      </c>
      <c r="AP286" s="62">
        <f>'Filter-new'!G385</f>
        <v>0</v>
      </c>
      <c r="AQ286" s="62"/>
      <c r="AR286" s="62"/>
      <c r="AS286" s="46"/>
      <c r="AT286" s="62"/>
      <c r="AU286" s="62"/>
      <c r="AV286" s="62"/>
      <c r="AW286" s="46">
        <f>'Filter-old'!I385</f>
        <v>0</v>
      </c>
      <c r="AX286" s="62">
        <f>'Filter-new'!I385</f>
        <v>-49.383767228177646</v>
      </c>
      <c r="AY286" s="62"/>
      <c r="AZ286" s="62"/>
      <c r="BA286" s="62"/>
      <c r="BB286" s="62"/>
      <c r="BC286" s="46">
        <f>'Filter-old'!K385</f>
        <v>0</v>
      </c>
      <c r="BD286" s="62">
        <f>'Filter-new'!K385</f>
        <v>0</v>
      </c>
      <c r="BE286" s="62"/>
      <c r="BF286" s="62"/>
      <c r="BG286" s="46">
        <f>'Filter-old'!M385</f>
        <v>0</v>
      </c>
      <c r="BH286" s="62"/>
      <c r="BI286" s="62"/>
      <c r="BJ286" s="62">
        <f>'Filter-new'!M385</f>
        <v>90.964777947932603</v>
      </c>
      <c r="BK286" s="62"/>
      <c r="BL286" s="62"/>
      <c r="BM286" s="62"/>
      <c r="BN286" s="406">
        <f>'Filter-new'!N385</f>
        <v>117.91730474732006</v>
      </c>
      <c r="BO286" s="62"/>
      <c r="BP286" s="62"/>
      <c r="BQ286" s="46">
        <f>'Filter-old'!O385</f>
        <v>0</v>
      </c>
      <c r="BR286" s="62">
        <f>'Filter-new'!O385</f>
        <v>52.153139356814705</v>
      </c>
      <c r="BS286" s="62"/>
      <c r="BT286" s="62"/>
      <c r="BU286" s="46">
        <f>'Filter-old'!Q385</f>
        <v>15.650423287314403</v>
      </c>
      <c r="BV286" s="62">
        <f>'Filter-new'!Q385</f>
        <v>44.06838361408883</v>
      </c>
      <c r="BW286" s="62"/>
      <c r="BX286" s="62"/>
      <c r="BY286" s="62"/>
      <c r="BZ286" s="62"/>
      <c r="CA286" s="46">
        <f>'Filter-old'!R385</f>
        <v>0</v>
      </c>
      <c r="CB286" s="62">
        <f>'Filter-new'!R385</f>
        <v>54.376722817764161</v>
      </c>
      <c r="CC286" s="57"/>
      <c r="CD286" s="58"/>
      <c r="CE286" s="57"/>
      <c r="CF286" s="57"/>
      <c r="CG286" s="169">
        <f t="shared" si="45"/>
        <v>221.91569730974459</v>
      </c>
    </row>
    <row r="287" spans="1:85" hidden="1" x14ac:dyDescent="0.2">
      <c r="A287">
        <v>0</v>
      </c>
      <c r="B287" s="59">
        <v>37377</v>
      </c>
      <c r="C287" s="59">
        <f>'Filter-new'!C19</f>
        <v>37377</v>
      </c>
      <c r="D287" s="60">
        <f t="shared" si="43"/>
        <v>2002</v>
      </c>
      <c r="E287" s="60"/>
      <c r="F287" s="60"/>
      <c r="G287" s="36">
        <f t="shared" si="44"/>
        <v>-387.60753694354855</v>
      </c>
      <c r="H287" s="36">
        <f t="shared" si="46"/>
        <v>-370.79859834212522</v>
      </c>
      <c r="I287" s="36"/>
      <c r="J287" s="41"/>
      <c r="K287" s="46">
        <f>'Filter-old'!E386</f>
        <v>-327.61168997081455</v>
      </c>
      <c r="L287" s="62">
        <f>'Filter-new'!E386</f>
        <v>-641.06735493594579</v>
      </c>
      <c r="M287" s="62"/>
      <c r="N287" s="62"/>
      <c r="O287" s="429"/>
      <c r="P287" s="62"/>
      <c r="Q287" s="46">
        <f>'Filter-old'!H386</f>
        <v>-96.452090074352441</v>
      </c>
      <c r="R287" s="62">
        <f>'Filter-new'!H386</f>
        <v>-22.764611906556144</v>
      </c>
      <c r="S287" s="62"/>
      <c r="T287" s="62"/>
      <c r="U287" s="445"/>
      <c r="V287" s="62"/>
      <c r="W287" s="46">
        <f>'Filter-old'!J386</f>
        <v>0</v>
      </c>
      <c r="X287" s="62">
        <f>'Filter-new'!J386</f>
        <v>0</v>
      </c>
      <c r="Y287" s="62"/>
      <c r="Z287" s="62"/>
      <c r="AA287" s="46">
        <f>'Filter-old'!F386</f>
        <v>0</v>
      </c>
      <c r="AB287" s="62">
        <f>'Filter-new'!F386</f>
        <v>0</v>
      </c>
      <c r="AC287" s="62"/>
      <c r="AD287" s="62"/>
      <c r="AE287" s="46">
        <f>'Filter-old'!P386</f>
        <v>0</v>
      </c>
      <c r="AF287" s="62">
        <f>'Filter-new'!P386</f>
        <v>0</v>
      </c>
      <c r="AG287" s="62"/>
      <c r="AH287" s="62"/>
      <c r="AI287" s="46">
        <f>'Filter-old'!L386</f>
        <v>0</v>
      </c>
      <c r="AJ287" s="62">
        <f>'Filter-new'!L386</f>
        <v>10.975795026375284</v>
      </c>
      <c r="AK287" s="62"/>
      <c r="AL287" s="62"/>
      <c r="AM287" s="62"/>
      <c r="AN287" s="62"/>
      <c r="AO287" s="46">
        <f>'Filter-old'!G386</f>
        <v>0</v>
      </c>
      <c r="AP287" s="62">
        <f>'Filter-new'!G386</f>
        <v>0</v>
      </c>
      <c r="AQ287" s="62"/>
      <c r="AR287" s="62"/>
      <c r="AS287" s="46"/>
      <c r="AT287" s="62"/>
      <c r="AU287" s="62"/>
      <c r="AV287" s="62"/>
      <c r="AW287" s="46">
        <f>'Filter-old'!I386</f>
        <v>0</v>
      </c>
      <c r="AX287" s="62">
        <f>'Filter-new'!I386</f>
        <v>-35.160211002260745</v>
      </c>
      <c r="AY287" s="62"/>
      <c r="AZ287" s="62"/>
      <c r="BA287" s="62"/>
      <c r="BB287" s="62"/>
      <c r="BC287" s="46">
        <f>'Filter-old'!K386</f>
        <v>0</v>
      </c>
      <c r="BD287" s="62">
        <f>'Filter-new'!K386</f>
        <v>0</v>
      </c>
      <c r="BE287" s="62"/>
      <c r="BF287" s="62"/>
      <c r="BG287" s="46">
        <f>'Filter-old'!M386</f>
        <v>0</v>
      </c>
      <c r="BH287" s="62"/>
      <c r="BI287" s="62"/>
      <c r="BJ287" s="62">
        <f>'Filter-new'!M386</f>
        <v>96.156744536548615</v>
      </c>
      <c r="BK287" s="62"/>
      <c r="BL287" s="62"/>
      <c r="BM287" s="62"/>
      <c r="BN287" s="406">
        <f>'Filter-new'!N386</f>
        <v>72.117558402411461</v>
      </c>
      <c r="BO287" s="62"/>
      <c r="BP287" s="62"/>
      <c r="BQ287" s="46">
        <f>'Filter-old'!O386</f>
        <v>0</v>
      </c>
      <c r="BR287" s="62">
        <f>'Filter-new'!O386</f>
        <v>129.04898266767145</v>
      </c>
      <c r="BS287" s="62"/>
      <c r="BT287" s="62"/>
      <c r="BU287" s="46">
        <f>'Filter-old'!Q386</f>
        <v>36.456243101618469</v>
      </c>
      <c r="BV287" s="62">
        <f>'Filter-new'!Q386</f>
        <v>0</v>
      </c>
      <c r="BW287" s="62"/>
      <c r="BX287" s="62"/>
      <c r="BY287" s="62"/>
      <c r="BZ287" s="62"/>
      <c r="CA287" s="46">
        <f>'Filter-old'!R386</f>
        <v>0</v>
      </c>
      <c r="CB287" s="62">
        <f>'Filter-new'!R386</f>
        <v>19.894498869630745</v>
      </c>
      <c r="CC287" s="57"/>
      <c r="CD287" s="58"/>
      <c r="CE287" s="57"/>
      <c r="CF287" s="57"/>
      <c r="CG287" s="169">
        <f t="shared" si="45"/>
        <v>-16.808938601423336</v>
      </c>
    </row>
    <row r="288" spans="1:85" hidden="1" x14ac:dyDescent="0.2">
      <c r="A288">
        <v>0</v>
      </c>
      <c r="B288" s="59">
        <v>37408</v>
      </c>
      <c r="C288" s="59">
        <f>'Filter-new'!C20</f>
        <v>37408</v>
      </c>
      <c r="D288" s="60">
        <f t="shared" si="43"/>
        <v>2002</v>
      </c>
      <c r="E288" s="60"/>
      <c r="F288" s="60"/>
      <c r="G288" s="36">
        <f t="shared" si="44"/>
        <v>-631.13309021146301</v>
      </c>
      <c r="H288" s="36">
        <f t="shared" si="46"/>
        <v>-607.51032100591726</v>
      </c>
      <c r="I288" s="36"/>
      <c r="J288" s="41"/>
      <c r="K288" s="46">
        <f>'Filter-old'!E387</f>
        <v>-806.34732259753855</v>
      </c>
      <c r="L288" s="62">
        <f>'Filter-new'!E387</f>
        <v>-1020.8949363905325</v>
      </c>
      <c r="M288" s="62"/>
      <c r="N288" s="62"/>
      <c r="O288" s="429"/>
      <c r="P288" s="62"/>
      <c r="Q288" s="46">
        <f>'Filter-old'!H387</f>
        <v>-79.601990049751237</v>
      </c>
      <c r="R288" s="62">
        <f>'Filter-new'!H387</f>
        <v>39.195266272189343</v>
      </c>
      <c r="S288" s="62"/>
      <c r="T288" s="62"/>
      <c r="U288" s="445"/>
      <c r="V288" s="62"/>
      <c r="W288" s="46">
        <f>'Filter-old'!J387</f>
        <v>0</v>
      </c>
      <c r="X288" s="62">
        <f>'Filter-new'!J387</f>
        <v>0</v>
      </c>
      <c r="Y288" s="62"/>
      <c r="Z288" s="62"/>
      <c r="AA288" s="46">
        <f>'Filter-old'!F387</f>
        <v>0</v>
      </c>
      <c r="AB288" s="62">
        <f>'Filter-new'!F387</f>
        <v>0</v>
      </c>
      <c r="AC288" s="62"/>
      <c r="AD288" s="62"/>
      <c r="AE288" s="46">
        <f>'Filter-old'!P387</f>
        <v>0</v>
      </c>
      <c r="AF288" s="62">
        <f>'Filter-new'!P387</f>
        <v>0</v>
      </c>
      <c r="AG288" s="62"/>
      <c r="AH288" s="62"/>
      <c r="AI288" s="46">
        <f>'Filter-old'!L387</f>
        <v>0</v>
      </c>
      <c r="AJ288" s="62">
        <f>'Filter-new'!L387</f>
        <v>12.940828402366863</v>
      </c>
      <c r="AK288" s="62"/>
      <c r="AL288" s="62"/>
      <c r="AM288" s="62"/>
      <c r="AN288" s="62"/>
      <c r="AO288" s="46">
        <f>'Filter-old'!G387</f>
        <v>88.504836209065687</v>
      </c>
      <c r="AP288" s="62">
        <f>'Filter-new'!G387</f>
        <v>0</v>
      </c>
      <c r="AQ288" s="62"/>
      <c r="AR288" s="62"/>
      <c r="AS288" s="46"/>
      <c r="AT288" s="62"/>
      <c r="AU288" s="62"/>
      <c r="AV288" s="62"/>
      <c r="AW288" s="46">
        <f>'Filter-old'!I387</f>
        <v>0</v>
      </c>
      <c r="AX288" s="62">
        <f>'Filter-new'!I387</f>
        <v>-81.207100591715971</v>
      </c>
      <c r="AY288" s="62"/>
      <c r="AZ288" s="62"/>
      <c r="BA288" s="62"/>
      <c r="BB288" s="62"/>
      <c r="BC288" s="46">
        <f>'Filter-old'!K387</f>
        <v>0</v>
      </c>
      <c r="BD288" s="62">
        <f>'Filter-new'!K387</f>
        <v>0</v>
      </c>
      <c r="BE288" s="62"/>
      <c r="BF288" s="62"/>
      <c r="BG288" s="46">
        <f>'Filter-old'!M387</f>
        <v>0</v>
      </c>
      <c r="BH288" s="62"/>
      <c r="BI288" s="62"/>
      <c r="BJ288" s="62">
        <f>'Filter-new'!M387</f>
        <v>233.72781065088753</v>
      </c>
      <c r="BK288" s="62"/>
      <c r="BL288" s="62"/>
      <c r="BM288" s="62"/>
      <c r="BN288" s="406">
        <f>'Filter-new'!N387</f>
        <v>77.218934911242599</v>
      </c>
      <c r="BO288" s="62"/>
      <c r="BP288" s="62"/>
      <c r="BQ288" s="46">
        <f>'Filter-old'!O387</f>
        <v>0</v>
      </c>
      <c r="BR288" s="62">
        <f>'Filter-new'!O387</f>
        <v>107.98816568047337</v>
      </c>
      <c r="BS288" s="62"/>
      <c r="BT288" s="62"/>
      <c r="BU288" s="46">
        <f>'Filter-old'!Q387</f>
        <v>166.31138622676093</v>
      </c>
      <c r="BV288" s="62">
        <f>'Filter-new'!Q387</f>
        <v>0</v>
      </c>
      <c r="BW288" s="62"/>
      <c r="BX288" s="62"/>
      <c r="BY288" s="62"/>
      <c r="BZ288" s="62"/>
      <c r="CA288" s="46">
        <f>'Filter-old'!R387</f>
        <v>0</v>
      </c>
      <c r="CB288" s="62">
        <f>'Filter-new'!R387</f>
        <v>23.520710059171599</v>
      </c>
      <c r="CC288" s="57"/>
      <c r="CD288" s="58"/>
      <c r="CE288" s="57"/>
      <c r="CF288" s="57"/>
      <c r="CG288" s="169">
        <f t="shared" si="45"/>
        <v>-23.622769205545751</v>
      </c>
    </row>
    <row r="289" spans="1:85" hidden="1" x14ac:dyDescent="0.2">
      <c r="A289">
        <v>0</v>
      </c>
      <c r="B289" s="59">
        <v>37438</v>
      </c>
      <c r="C289" s="59">
        <f>'Filter-new'!C21</f>
        <v>37438</v>
      </c>
      <c r="D289" s="60">
        <f t="shared" si="43"/>
        <v>2002</v>
      </c>
      <c r="E289" s="60"/>
      <c r="F289" s="60"/>
      <c r="G289" s="36">
        <f t="shared" si="44"/>
        <v>-575.18354738415871</v>
      </c>
      <c r="H289" s="36">
        <f t="shared" si="46"/>
        <v>777.94008746355689</v>
      </c>
      <c r="I289" s="36"/>
      <c r="J289" s="41"/>
      <c r="K289" s="46">
        <f>'Filter-old'!E388</f>
        <v>-413.71069771961646</v>
      </c>
      <c r="L289" s="62">
        <f>'Filter-new'!E388</f>
        <v>-880.16720116618058</v>
      </c>
      <c r="M289" s="62"/>
      <c r="N289" s="62"/>
      <c r="O289" s="429"/>
      <c r="P289" s="62"/>
      <c r="Q289" s="46">
        <f>'Filter-old'!H388</f>
        <v>-400.20730759264063</v>
      </c>
      <c r="R289" s="62">
        <f>'Filter-new'!H388</f>
        <v>-164.51895043731776</v>
      </c>
      <c r="S289" s="62"/>
      <c r="T289" s="62"/>
      <c r="U289" s="445"/>
      <c r="V289" s="62"/>
      <c r="W289" s="46">
        <f>'Filter-old'!J388</f>
        <v>0</v>
      </c>
      <c r="X289" s="62">
        <f>'Filter-new'!J388</f>
        <v>0</v>
      </c>
      <c r="Y289" s="62"/>
      <c r="Z289" s="62"/>
      <c r="AA289" s="46">
        <f>'Filter-old'!F388</f>
        <v>0</v>
      </c>
      <c r="AB289" s="62">
        <f>'Filter-new'!F388</f>
        <v>0</v>
      </c>
      <c r="AC289" s="62"/>
      <c r="AD289" s="62"/>
      <c r="AE289" s="46">
        <f>'Filter-old'!P388</f>
        <v>0</v>
      </c>
      <c r="AF289" s="62">
        <f>'Filter-new'!P388</f>
        <v>-32.310495626822146</v>
      </c>
      <c r="AG289" s="62"/>
      <c r="AH289" s="62"/>
      <c r="AI289" s="46">
        <f>'Filter-old'!L388</f>
        <v>0</v>
      </c>
      <c r="AJ289" s="62">
        <f>'Filter-new'!L388</f>
        <v>18.385714285714283</v>
      </c>
      <c r="AK289" s="62"/>
      <c r="AL289" s="62"/>
      <c r="AM289" s="62"/>
      <c r="AN289" s="62"/>
      <c r="AO289" s="46">
        <f>'Filter-old'!G388</f>
        <v>47.431970236986594</v>
      </c>
      <c r="AP289" s="62">
        <f>'Filter-new'!G388</f>
        <v>0</v>
      </c>
      <c r="AQ289" s="62"/>
      <c r="AR289" s="62"/>
      <c r="AS289" s="46"/>
      <c r="AT289" s="62"/>
      <c r="AU289" s="62"/>
      <c r="AV289" s="62"/>
      <c r="AW289" s="46">
        <f>'Filter-old'!I388</f>
        <v>161.33713397253175</v>
      </c>
      <c r="AX289" s="62">
        <f>'Filter-new'!I388</f>
        <v>-173.27405247813408</v>
      </c>
      <c r="AY289" s="62"/>
      <c r="AZ289" s="62"/>
      <c r="BA289" s="62"/>
      <c r="BB289" s="62"/>
      <c r="BC289" s="46">
        <f>'Filter-old'!K388</f>
        <v>-31.583311738792428</v>
      </c>
      <c r="BD289" s="62">
        <f>'Filter-new'!K388</f>
        <v>33.192419825072882</v>
      </c>
      <c r="BE289" s="62"/>
      <c r="BF289" s="62"/>
      <c r="BG289" s="46">
        <f>'Filter-old'!M388</f>
        <v>0</v>
      </c>
      <c r="BH289" s="62"/>
      <c r="BI289" s="62"/>
      <c r="BJ289" s="62">
        <f>'Filter-new'!M388</f>
        <v>1710.9329446064137</v>
      </c>
      <c r="BK289" s="62"/>
      <c r="BL289" s="62"/>
      <c r="BM289" s="62"/>
      <c r="BN289" s="406">
        <f>'Filter-new'!N388</f>
        <v>514.88338192419826</v>
      </c>
      <c r="BO289" s="62"/>
      <c r="BP289" s="62"/>
      <c r="BQ289" s="46">
        <f>'Filter-old'!O388</f>
        <v>0</v>
      </c>
      <c r="BR289" s="62">
        <f>'Filter-new'!O388</f>
        <v>217.7551020408163</v>
      </c>
      <c r="BS289" s="62"/>
      <c r="BT289" s="62"/>
      <c r="BU289" s="46">
        <f>'Filter-old'!Q388</f>
        <v>61.548665457372365</v>
      </c>
      <c r="BV289" s="62">
        <f>'Filter-new'!Q388</f>
        <v>0</v>
      </c>
      <c r="BW289" s="62"/>
      <c r="BX289" s="62"/>
      <c r="BY289" s="62"/>
      <c r="BZ289" s="62"/>
      <c r="CA289" s="46">
        <f>'Filter-old'!R388</f>
        <v>0</v>
      </c>
      <c r="CB289" s="62">
        <f>'Filter-new'!R388</f>
        <v>-466.9387755102041</v>
      </c>
      <c r="CC289" s="57"/>
      <c r="CD289" s="58"/>
      <c r="CE289" s="57"/>
      <c r="CF289" s="57"/>
      <c r="CG289" s="169">
        <f t="shared" si="45"/>
        <v>-1353.1236348477155</v>
      </c>
    </row>
    <row r="290" spans="1:85" hidden="1" x14ac:dyDescent="0.2">
      <c r="A290">
        <v>0</v>
      </c>
      <c r="B290" s="59">
        <v>37469</v>
      </c>
      <c r="C290" s="59">
        <f>'Filter-new'!C22</f>
        <v>37469</v>
      </c>
      <c r="D290" s="60">
        <f t="shared" si="43"/>
        <v>2002</v>
      </c>
      <c r="E290" s="60"/>
      <c r="F290" s="60"/>
      <c r="G290" s="36">
        <f t="shared" si="44"/>
        <v>-588.65479402677636</v>
      </c>
      <c r="H290" s="36">
        <f t="shared" si="46"/>
        <v>755.90465750718408</v>
      </c>
      <c r="I290" s="36"/>
      <c r="J290" s="41"/>
      <c r="K290" s="46">
        <f>'Filter-old'!E389</f>
        <v>-427.96820932028834</v>
      </c>
      <c r="L290" s="62">
        <f>'Filter-new'!E389</f>
        <v>-878.37925053879326</v>
      </c>
      <c r="M290" s="62"/>
      <c r="N290" s="62"/>
      <c r="O290" s="429"/>
      <c r="P290" s="62"/>
      <c r="Q290" s="46">
        <f>'Filter-old'!H389</f>
        <v>-397.63130792996901</v>
      </c>
      <c r="R290" s="62">
        <f>'Filter-new'!H389</f>
        <v>-162.15517241379311</v>
      </c>
      <c r="S290" s="62"/>
      <c r="T290" s="62"/>
      <c r="U290" s="445"/>
      <c r="V290" s="62"/>
      <c r="W290" s="46">
        <f>'Filter-old'!J389</f>
        <v>0</v>
      </c>
      <c r="X290" s="62">
        <f>'Filter-new'!J389</f>
        <v>0</v>
      </c>
      <c r="Y290" s="62"/>
      <c r="Z290" s="62"/>
      <c r="AA290" s="46">
        <f>'Filter-old'!F389</f>
        <v>0</v>
      </c>
      <c r="AB290" s="62">
        <f>'Filter-new'!F389</f>
        <v>0</v>
      </c>
      <c r="AC290" s="62"/>
      <c r="AD290" s="62"/>
      <c r="AE290" s="46">
        <f>'Filter-old'!P389</f>
        <v>0</v>
      </c>
      <c r="AF290" s="62">
        <f>'Filter-new'!P389</f>
        <v>-31.846264367816097</v>
      </c>
      <c r="AG290" s="62"/>
      <c r="AH290" s="62"/>
      <c r="AI290" s="46">
        <f>'Filter-old'!L389</f>
        <v>0</v>
      </c>
      <c r="AJ290" s="62">
        <f>'Filter-new'!L389</f>
        <v>18.121551724137934</v>
      </c>
      <c r="AK290" s="62"/>
      <c r="AL290" s="62"/>
      <c r="AM290" s="62"/>
      <c r="AN290" s="62"/>
      <c r="AO290" s="46">
        <f>'Filter-old'!G389</f>
        <v>47.126673532440783</v>
      </c>
      <c r="AP290" s="62">
        <f>'Filter-new'!G389</f>
        <v>0</v>
      </c>
      <c r="AQ290" s="62"/>
      <c r="AR290" s="62"/>
      <c r="AS290" s="46"/>
      <c r="AT290" s="62"/>
      <c r="AU290" s="62"/>
      <c r="AV290" s="62"/>
      <c r="AW290" s="46">
        <f>'Filter-old'!I389</f>
        <v>160.29866117404734</v>
      </c>
      <c r="AX290" s="62">
        <f>'Filter-new'!I389</f>
        <v>-170.7844827586207</v>
      </c>
      <c r="AY290" s="62"/>
      <c r="AZ290" s="62"/>
      <c r="BA290" s="62"/>
      <c r="BB290" s="62"/>
      <c r="BC290" s="46">
        <f>'Filter-old'!K389</f>
        <v>-31.380020597322343</v>
      </c>
      <c r="BD290" s="62">
        <f>'Filter-new'!K389</f>
        <v>32.715517241379317</v>
      </c>
      <c r="BE290" s="62"/>
      <c r="BF290" s="62"/>
      <c r="BG290" s="46">
        <f>'Filter-old'!M389</f>
        <v>0</v>
      </c>
      <c r="BH290" s="62"/>
      <c r="BI290" s="62"/>
      <c r="BJ290" s="62">
        <f>'Filter-new'!M389</f>
        <v>1686.3505747126437</v>
      </c>
      <c r="BK290" s="62"/>
      <c r="BL290" s="62"/>
      <c r="BM290" s="62"/>
      <c r="BN290" s="406">
        <f>'Filter-new'!N389</f>
        <v>507.48563218390819</v>
      </c>
      <c r="BO290" s="62"/>
      <c r="BP290" s="62"/>
      <c r="BQ290" s="46">
        <f>'Filter-old'!O389</f>
        <v>0</v>
      </c>
      <c r="BR290" s="62">
        <f>'Filter-new'!O389</f>
        <v>214.62643678160924</v>
      </c>
      <c r="BS290" s="62"/>
      <c r="BT290" s="62"/>
      <c r="BU290" s="46">
        <f>'Filter-old'!Q389</f>
        <v>60.899409114315141</v>
      </c>
      <c r="BV290" s="62">
        <f>'Filter-new'!Q389</f>
        <v>0</v>
      </c>
      <c r="BW290" s="62"/>
      <c r="BX290" s="62"/>
      <c r="BY290" s="62"/>
      <c r="BZ290" s="62"/>
      <c r="CA290" s="46">
        <f>'Filter-old'!R389</f>
        <v>0</v>
      </c>
      <c r="CB290" s="62">
        <f>'Filter-new'!R389</f>
        <v>-460.22988505747139</v>
      </c>
      <c r="CC290" s="57"/>
      <c r="CD290" s="58"/>
      <c r="CE290" s="57"/>
      <c r="CF290" s="57"/>
      <c r="CG290" s="169">
        <f t="shared" si="45"/>
        <v>-1344.5594515339603</v>
      </c>
    </row>
    <row r="291" spans="1:85" hidden="1" x14ac:dyDescent="0.2">
      <c r="A291">
        <v>0</v>
      </c>
      <c r="B291" s="59">
        <v>37500</v>
      </c>
      <c r="C291" s="59">
        <f>'Filter-new'!C23</f>
        <v>37500</v>
      </c>
      <c r="D291" s="60">
        <f t="shared" si="43"/>
        <v>2002</v>
      </c>
      <c r="E291" s="60"/>
      <c r="F291" s="60"/>
      <c r="G291" s="36">
        <f t="shared" si="44"/>
        <v>2.0326458867247652</v>
      </c>
      <c r="H291" s="36">
        <f t="shared" si="46"/>
        <v>-323.75325654911819</v>
      </c>
      <c r="I291" s="36"/>
      <c r="J291" s="41"/>
      <c r="K291" s="46">
        <f>'Filter-old'!E390</f>
        <v>44.775128139415678</v>
      </c>
      <c r="L291" s="62">
        <f>'Filter-new'!E390</f>
        <v>-618.27761783015455</v>
      </c>
      <c r="M291" s="62"/>
      <c r="N291" s="62"/>
      <c r="O291" s="429"/>
      <c r="P291" s="62"/>
      <c r="Q291" s="46">
        <f>'Filter-old'!H390</f>
        <v>-83.034341363403371</v>
      </c>
      <c r="R291" s="62">
        <f>'Filter-new'!H390</f>
        <v>134.00503778337531</v>
      </c>
      <c r="S291" s="62"/>
      <c r="T291" s="62"/>
      <c r="U291" s="445"/>
      <c r="V291" s="62"/>
      <c r="W291" s="46">
        <f>'Filter-old'!J390</f>
        <v>0</v>
      </c>
      <c r="X291" s="62">
        <f>'Filter-new'!J390</f>
        <v>0</v>
      </c>
      <c r="Y291" s="62"/>
      <c r="Z291" s="62"/>
      <c r="AA291" s="46">
        <f>'Filter-old'!F390</f>
        <v>0</v>
      </c>
      <c r="AB291" s="62">
        <f>'Filter-new'!F390</f>
        <v>0</v>
      </c>
      <c r="AC291" s="62"/>
      <c r="AD291" s="62"/>
      <c r="AE291" s="46">
        <f>'Filter-old'!P390</f>
        <v>0</v>
      </c>
      <c r="AF291" s="62">
        <f>'Filter-new'!P390</f>
        <v>0</v>
      </c>
      <c r="AG291" s="62"/>
      <c r="AH291" s="62"/>
      <c r="AI291" s="46">
        <f>'Filter-old'!L390</f>
        <v>0</v>
      </c>
      <c r="AJ291" s="62">
        <f>'Filter-new'!L390</f>
        <v>8.4876574307304793</v>
      </c>
      <c r="AK291" s="62"/>
      <c r="AL291" s="62"/>
      <c r="AM291" s="62"/>
      <c r="AN291" s="62"/>
      <c r="AO291" s="46">
        <f>'Filter-old'!G390</f>
        <v>0</v>
      </c>
      <c r="AP291" s="62">
        <f>'Filter-new'!G390</f>
        <v>0</v>
      </c>
      <c r="AQ291" s="62"/>
      <c r="AR291" s="62"/>
      <c r="AS291" s="46"/>
      <c r="AT291" s="62"/>
      <c r="AU291" s="62"/>
      <c r="AV291" s="62"/>
      <c r="AW291" s="46">
        <f>'Filter-old'!I390</f>
        <v>0</v>
      </c>
      <c r="AX291" s="62">
        <f>'Filter-new'!I390</f>
        <v>14.082763584023033</v>
      </c>
      <c r="AY291" s="62"/>
      <c r="AZ291" s="62"/>
      <c r="BA291" s="62"/>
      <c r="BB291" s="62"/>
      <c r="BC291" s="46">
        <f>'Filter-old'!K390</f>
        <v>0</v>
      </c>
      <c r="BD291" s="62">
        <f>'Filter-new'!K390</f>
        <v>0</v>
      </c>
      <c r="BE291" s="62"/>
      <c r="BF291" s="62"/>
      <c r="BG291" s="46">
        <f>'Filter-old'!M390</f>
        <v>0</v>
      </c>
      <c r="BH291" s="62"/>
      <c r="BI291" s="62"/>
      <c r="BJ291" s="62">
        <f>'Filter-new'!M390</f>
        <v>78.445483987045705</v>
      </c>
      <c r="BK291" s="62"/>
      <c r="BL291" s="62"/>
      <c r="BM291" s="62"/>
      <c r="BN291" s="406">
        <f>'Filter-new'!N390</f>
        <v>59.589780496581504</v>
      </c>
      <c r="BO291" s="62"/>
      <c r="BP291" s="62"/>
      <c r="BQ291" s="46">
        <f>'Filter-old'!O390</f>
        <v>0</v>
      </c>
      <c r="BR291" s="62">
        <f>'Filter-new'!O390</f>
        <v>15.45879812882332</v>
      </c>
      <c r="BS291" s="62"/>
      <c r="BT291" s="62"/>
      <c r="BU291" s="46">
        <f>'Filter-old'!Q390</f>
        <v>40.291859110712458</v>
      </c>
      <c r="BV291" s="62">
        <f>'Filter-new'!Q390</f>
        <v>0</v>
      </c>
      <c r="BW291" s="62"/>
      <c r="BX291" s="62"/>
      <c r="BY291" s="62"/>
      <c r="BZ291" s="62"/>
      <c r="CA291" s="46">
        <f>'Filter-old'!R390</f>
        <v>0</v>
      </c>
      <c r="CB291" s="62">
        <f>'Filter-new'!R390</f>
        <v>-15.545160129543001</v>
      </c>
      <c r="CC291" s="57"/>
      <c r="CD291" s="58"/>
      <c r="CE291" s="57"/>
      <c r="CF291" s="57"/>
      <c r="CG291" s="169">
        <f t="shared" si="45"/>
        <v>325.78590243584296</v>
      </c>
    </row>
    <row r="292" spans="1:85" hidden="1" x14ac:dyDescent="0.2">
      <c r="A292">
        <v>0</v>
      </c>
      <c r="B292" s="59">
        <v>37530</v>
      </c>
      <c r="C292" s="59">
        <f>'Filter-new'!C24</f>
        <v>37530</v>
      </c>
      <c r="D292" s="60">
        <f t="shared" si="43"/>
        <v>2002</v>
      </c>
      <c r="E292" s="60"/>
      <c r="F292" s="60"/>
      <c r="G292" s="36">
        <f t="shared" si="44"/>
        <v>-77.634664768897508</v>
      </c>
      <c r="H292" s="36">
        <f t="shared" si="46"/>
        <v>814.46341036825152</v>
      </c>
      <c r="I292" s="36"/>
      <c r="J292" s="41"/>
      <c r="K292" s="46">
        <f>'Filter-old'!E391</f>
        <v>-107.65267564760447</v>
      </c>
      <c r="L292" s="62">
        <f>'Filter-new'!E391</f>
        <v>-202.74758670003578</v>
      </c>
      <c r="M292" s="62"/>
      <c r="N292" s="62"/>
      <c r="O292" s="429"/>
      <c r="P292" s="62"/>
      <c r="Q292" s="46">
        <f>'Filter-old'!H391</f>
        <v>-86.278147794762432</v>
      </c>
      <c r="R292" s="62">
        <f>'Filter-new'!H391</f>
        <v>76.063639613871999</v>
      </c>
      <c r="S292" s="62"/>
      <c r="T292" s="62"/>
      <c r="U292" s="445"/>
      <c r="V292" s="62"/>
      <c r="W292" s="46">
        <f>'Filter-old'!J391</f>
        <v>0</v>
      </c>
      <c r="X292" s="62">
        <f>'Filter-new'!J391</f>
        <v>0</v>
      </c>
      <c r="Y292" s="62"/>
      <c r="Z292" s="62"/>
      <c r="AA292" s="46">
        <f>'Filter-old'!F391</f>
        <v>0</v>
      </c>
      <c r="AB292" s="62">
        <f>'Filter-new'!F391</f>
        <v>0</v>
      </c>
      <c r="AC292" s="62"/>
      <c r="AD292" s="62"/>
      <c r="AE292" s="46">
        <f>'Filter-old'!P391</f>
        <v>0</v>
      </c>
      <c r="AF292" s="62">
        <f>'Filter-new'!P391</f>
        <v>0</v>
      </c>
      <c r="AG292" s="62"/>
      <c r="AH292" s="62"/>
      <c r="AI292" s="46">
        <f>'Filter-old'!L391</f>
        <v>0</v>
      </c>
      <c r="AJ292" s="62">
        <f>'Filter-new'!L391</f>
        <v>9.5736574901680349</v>
      </c>
      <c r="AK292" s="62"/>
      <c r="AL292" s="62"/>
      <c r="AM292" s="62"/>
      <c r="AN292" s="62"/>
      <c r="AO292" s="46">
        <f>'Filter-old'!G391</f>
        <v>0</v>
      </c>
      <c r="AP292" s="62">
        <f>'Filter-new'!G391</f>
        <v>0</v>
      </c>
      <c r="AQ292" s="62"/>
      <c r="AR292" s="62"/>
      <c r="AS292" s="46"/>
      <c r="AT292" s="62"/>
      <c r="AU292" s="62"/>
      <c r="AV292" s="62"/>
      <c r="AW292" s="46">
        <f>'Filter-old'!I391</f>
        <v>0</v>
      </c>
      <c r="AX292" s="62">
        <f>'Filter-new'!I391</f>
        <v>0</v>
      </c>
      <c r="AY292" s="62"/>
      <c r="AZ292" s="62"/>
      <c r="BA292" s="62"/>
      <c r="BB292" s="62"/>
      <c r="BC292" s="46">
        <f>'Filter-old'!K391</f>
        <v>0</v>
      </c>
      <c r="BD292" s="62">
        <f>'Filter-new'!K391</f>
        <v>217.08973900607796</v>
      </c>
      <c r="BE292" s="62"/>
      <c r="BF292" s="62"/>
      <c r="BG292" s="46">
        <f>'Filter-old'!M391</f>
        <v>0</v>
      </c>
      <c r="BH292" s="62"/>
      <c r="BI292" s="62"/>
      <c r="BJ292" s="62">
        <f>'Filter-new'!M391</f>
        <v>179.26349660350374</v>
      </c>
      <c r="BK292" s="62"/>
      <c r="BL292" s="62"/>
      <c r="BM292" s="62"/>
      <c r="BN292" s="406">
        <f>'Filter-new'!N391</f>
        <v>272.34894529853415</v>
      </c>
      <c r="BO292" s="62"/>
      <c r="BP292" s="62"/>
      <c r="BQ292" s="46">
        <f>'Filter-old'!O391</f>
        <v>0</v>
      </c>
      <c r="BR292" s="62">
        <f>'Filter-new'!O391</f>
        <v>293.56453342867354</v>
      </c>
      <c r="BS292" s="62"/>
      <c r="BT292" s="62"/>
      <c r="BU292" s="46">
        <f>'Filter-old'!Q391</f>
        <v>116.29615867346938</v>
      </c>
      <c r="BV292" s="62">
        <f>'Filter-new'!Q391</f>
        <v>-30.693014372542013</v>
      </c>
      <c r="BW292" s="62"/>
      <c r="BX292" s="62"/>
      <c r="BY292" s="62"/>
      <c r="BZ292" s="62"/>
      <c r="CA292" s="46">
        <f>'Filter-old'!R391</f>
        <v>0</v>
      </c>
      <c r="CB292" s="62">
        <f>'Filter-new'!R391</f>
        <v>0</v>
      </c>
      <c r="CC292" s="57"/>
      <c r="CD292" s="58"/>
      <c r="CE292" s="57"/>
      <c r="CF292" s="57"/>
      <c r="CG292" s="169">
        <f t="shared" si="45"/>
        <v>-892.09807513714907</v>
      </c>
    </row>
    <row r="293" spans="1:85" hidden="1" x14ac:dyDescent="0.2">
      <c r="A293">
        <v>0</v>
      </c>
      <c r="B293" s="59">
        <v>37561</v>
      </c>
      <c r="C293" s="59">
        <f>'Filter-new'!C25</f>
        <v>37561</v>
      </c>
      <c r="D293" s="60">
        <f t="shared" si="43"/>
        <v>2002</v>
      </c>
      <c r="E293" s="60"/>
      <c r="F293" s="60"/>
      <c r="G293" s="36">
        <f t="shared" si="44"/>
        <v>-71.421904937455253</v>
      </c>
      <c r="H293" s="36">
        <f t="shared" si="46"/>
        <v>660.96407186248325</v>
      </c>
      <c r="I293" s="36"/>
      <c r="J293" s="41"/>
      <c r="K293" s="46">
        <f>'Filter-old'!E392</f>
        <v>-90.994459142977504</v>
      </c>
      <c r="L293" s="62">
        <f>'Filter-new'!E392</f>
        <v>-165.4725280373832</v>
      </c>
      <c r="M293" s="62"/>
      <c r="N293" s="62"/>
      <c r="O293" s="429"/>
      <c r="P293" s="62"/>
      <c r="Q293" s="46">
        <f>'Filter-old'!H392</f>
        <v>-78.423026727943466</v>
      </c>
      <c r="R293" s="62">
        <f>'Filter-new'!H392</f>
        <v>62.283044058744991</v>
      </c>
      <c r="S293" s="62"/>
      <c r="T293" s="62"/>
      <c r="U293" s="445"/>
      <c r="V293" s="62"/>
      <c r="W293" s="46">
        <f>'Filter-old'!J392</f>
        <v>0</v>
      </c>
      <c r="X293" s="62">
        <f>'Filter-new'!J392</f>
        <v>0</v>
      </c>
      <c r="Y293" s="62"/>
      <c r="Z293" s="62"/>
      <c r="AA293" s="46">
        <f>'Filter-old'!F392</f>
        <v>0</v>
      </c>
      <c r="AB293" s="62">
        <f>'Filter-new'!F392</f>
        <v>0</v>
      </c>
      <c r="AC293" s="62"/>
      <c r="AD293" s="62"/>
      <c r="AE293" s="46">
        <f>'Filter-old'!P392</f>
        <v>0</v>
      </c>
      <c r="AF293" s="62">
        <f>'Filter-new'!P392</f>
        <v>0</v>
      </c>
      <c r="AG293" s="62"/>
      <c r="AH293" s="62"/>
      <c r="AI293" s="46">
        <f>'Filter-old'!L392</f>
        <v>0</v>
      </c>
      <c r="AJ293" s="62">
        <f>'Filter-new'!L392</f>
        <v>7.829639519359147</v>
      </c>
      <c r="AK293" s="62"/>
      <c r="AL293" s="62"/>
      <c r="AM293" s="62"/>
      <c r="AN293" s="62"/>
      <c r="AO293" s="46">
        <f>'Filter-old'!G392</f>
        <v>0</v>
      </c>
      <c r="AP293" s="62">
        <f>'Filter-new'!G392</f>
        <v>0</v>
      </c>
      <c r="AQ293" s="62"/>
      <c r="AR293" s="62"/>
      <c r="AS293" s="46"/>
      <c r="AT293" s="62"/>
      <c r="AU293" s="62"/>
      <c r="AV293" s="62"/>
      <c r="AW293" s="46">
        <f>'Filter-old'!I392</f>
        <v>0</v>
      </c>
      <c r="AX293" s="62">
        <f>'Filter-new'!I392</f>
        <v>0</v>
      </c>
      <c r="AY293" s="62"/>
      <c r="AZ293" s="62"/>
      <c r="BA293" s="62"/>
      <c r="BB293" s="62"/>
      <c r="BC293" s="46">
        <f>'Filter-old'!K392</f>
        <v>0</v>
      </c>
      <c r="BD293" s="62">
        <f>'Filter-new'!K392</f>
        <v>176.2349799732977</v>
      </c>
      <c r="BE293" s="62"/>
      <c r="BF293" s="62"/>
      <c r="BG293" s="46">
        <f>'Filter-old'!M392</f>
        <v>0</v>
      </c>
      <c r="BH293" s="62"/>
      <c r="BI293" s="62"/>
      <c r="BJ293" s="62">
        <f>'Filter-new'!M392</f>
        <v>145.52736982643523</v>
      </c>
      <c r="BK293" s="62"/>
      <c r="BL293" s="62"/>
      <c r="BM293" s="62"/>
      <c r="BN293" s="406">
        <f>'Filter-new'!N392</f>
        <v>221.0947930574099</v>
      </c>
      <c r="BO293" s="62"/>
      <c r="BP293" s="62"/>
      <c r="BQ293" s="46">
        <f>'Filter-old'!O392</f>
        <v>0</v>
      </c>
      <c r="BR293" s="62">
        <f>'Filter-new'!O392</f>
        <v>238.31775700934577</v>
      </c>
      <c r="BS293" s="62"/>
      <c r="BT293" s="62"/>
      <c r="BU293" s="46">
        <f>'Filter-old'!Q392</f>
        <v>97.995580933465732</v>
      </c>
      <c r="BV293" s="62">
        <f>'Filter-new'!Q392</f>
        <v>-24.850983544726301</v>
      </c>
      <c r="BW293" s="62"/>
      <c r="BX293" s="62"/>
      <c r="BY293" s="62"/>
      <c r="BZ293" s="62"/>
      <c r="CA293" s="46">
        <f>'Filter-old'!R392</f>
        <v>0</v>
      </c>
      <c r="CB293" s="62">
        <f>'Filter-new'!R392</f>
        <v>0</v>
      </c>
      <c r="CC293" s="57"/>
      <c r="CD293" s="58"/>
      <c r="CE293" s="57"/>
      <c r="CF293" s="57"/>
      <c r="CG293" s="169">
        <f t="shared" si="45"/>
        <v>-732.38597679993848</v>
      </c>
    </row>
    <row r="294" spans="1:85" hidden="1" x14ac:dyDescent="0.2">
      <c r="A294">
        <v>0</v>
      </c>
      <c r="B294" s="59">
        <v>37591</v>
      </c>
      <c r="C294" s="59">
        <f>'Filter-new'!C26</f>
        <v>37591</v>
      </c>
      <c r="D294" s="60">
        <f t="shared" si="43"/>
        <v>2002</v>
      </c>
      <c r="E294" s="60"/>
      <c r="F294" s="60"/>
      <c r="G294" s="36">
        <f t="shared" si="44"/>
        <v>-74.137471237078984</v>
      </c>
      <c r="H294" s="36">
        <f t="shared" si="46"/>
        <v>653.49163002200578</v>
      </c>
      <c r="I294" s="36"/>
      <c r="J294" s="41"/>
      <c r="K294" s="46">
        <f>'Filter-old'!E393</f>
        <v>-92.374805794010697</v>
      </c>
      <c r="L294" s="62">
        <f>'Filter-new'!E393</f>
        <v>-164.45686337629675</v>
      </c>
      <c r="M294" s="62"/>
      <c r="N294" s="62"/>
      <c r="O294" s="429"/>
      <c r="P294" s="62"/>
      <c r="Q294" s="46">
        <f>'Filter-old'!H393</f>
        <v>-80.942872414222123</v>
      </c>
      <c r="R294" s="62">
        <f>'Filter-new'!H393</f>
        <v>62.121974221942786</v>
      </c>
      <c r="S294" s="62"/>
      <c r="T294" s="62"/>
      <c r="U294" s="445"/>
      <c r="V294" s="62"/>
      <c r="W294" s="46">
        <f>'Filter-old'!J393</f>
        <v>0</v>
      </c>
      <c r="X294" s="62">
        <f>'Filter-new'!J393</f>
        <v>0</v>
      </c>
      <c r="Y294" s="62"/>
      <c r="Z294" s="62"/>
      <c r="AA294" s="46">
        <f>'Filter-old'!F393</f>
        <v>0</v>
      </c>
      <c r="AB294" s="62">
        <f>'Filter-new'!F393</f>
        <v>0</v>
      </c>
      <c r="AC294" s="62"/>
      <c r="AD294" s="62"/>
      <c r="AE294" s="46">
        <f>'Filter-old'!P393</f>
        <v>0</v>
      </c>
      <c r="AF294" s="62">
        <f>'Filter-new'!P393</f>
        <v>0</v>
      </c>
      <c r="AG294" s="62"/>
      <c r="AH294" s="62"/>
      <c r="AI294" s="46">
        <f>'Filter-old'!L393</f>
        <v>0</v>
      </c>
      <c r="AJ294" s="62">
        <f>'Filter-new'!L393</f>
        <v>7.8000377239861702</v>
      </c>
      <c r="AK294" s="62"/>
      <c r="AL294" s="62"/>
      <c r="AM294" s="62"/>
      <c r="AN294" s="62"/>
      <c r="AO294" s="46">
        <f>'Filter-old'!G393</f>
        <v>0</v>
      </c>
      <c r="AP294" s="62">
        <f>'Filter-new'!G393</f>
        <v>0</v>
      </c>
      <c r="AQ294" s="62"/>
      <c r="AR294" s="62"/>
      <c r="AS294" s="46"/>
      <c r="AT294" s="62"/>
      <c r="AU294" s="62"/>
      <c r="AV294" s="62"/>
      <c r="AW294" s="46">
        <f>'Filter-old'!I393</f>
        <v>0</v>
      </c>
      <c r="AX294" s="62">
        <f>'Filter-new'!I393</f>
        <v>0</v>
      </c>
      <c r="AY294" s="62"/>
      <c r="AZ294" s="62"/>
      <c r="BA294" s="62"/>
      <c r="BB294" s="62"/>
      <c r="BC294" s="46">
        <f>'Filter-old'!K393</f>
        <v>0</v>
      </c>
      <c r="BD294" s="62">
        <f>'Filter-new'!K393</f>
        <v>174.28481609556744</v>
      </c>
      <c r="BE294" s="62"/>
      <c r="BF294" s="62"/>
      <c r="BG294" s="46">
        <f>'Filter-old'!M393</f>
        <v>0</v>
      </c>
      <c r="BH294" s="62"/>
      <c r="BI294" s="62"/>
      <c r="BJ294" s="62">
        <f>'Filter-new'!M393</f>
        <v>143.9170072304307</v>
      </c>
      <c r="BK294" s="62"/>
      <c r="BL294" s="62"/>
      <c r="BM294" s="62"/>
      <c r="BN294" s="406">
        <f>'Filter-new'!N393</f>
        <v>218.64822382898461</v>
      </c>
      <c r="BO294" s="62"/>
      <c r="BP294" s="62"/>
      <c r="BQ294" s="46">
        <f>'Filter-old'!O393</f>
        <v>0</v>
      </c>
      <c r="BR294" s="62">
        <f>'Filter-new'!O393</f>
        <v>235.68060358377872</v>
      </c>
      <c r="BS294" s="62"/>
      <c r="BT294" s="62"/>
      <c r="BU294" s="46">
        <f>'Filter-old'!Q393</f>
        <v>99.180206971153837</v>
      </c>
      <c r="BV294" s="62">
        <f>'Filter-new'!Q393</f>
        <v>-24.504169286387928</v>
      </c>
      <c r="BW294" s="62"/>
      <c r="BX294" s="62"/>
      <c r="BY294" s="62"/>
      <c r="BZ294" s="62"/>
      <c r="CA294" s="46">
        <f>'Filter-old'!R393</f>
        <v>0</v>
      </c>
      <c r="CB294" s="62">
        <f>'Filter-new'!R393</f>
        <v>0</v>
      </c>
      <c r="CC294" s="57"/>
      <c r="CD294" s="58"/>
      <c r="CE294" s="57"/>
      <c r="CF294" s="57"/>
      <c r="CG294" s="169">
        <f t="shared" si="45"/>
        <v>-727.62910125908479</v>
      </c>
    </row>
    <row r="295" spans="1:85" hidden="1" x14ac:dyDescent="0.2">
      <c r="A295">
        <v>0</v>
      </c>
      <c r="B295" s="59">
        <v>37622</v>
      </c>
      <c r="C295" s="59">
        <f>'Filter-new'!C27</f>
        <v>37622</v>
      </c>
      <c r="D295" s="60">
        <f t="shared" si="43"/>
        <v>2003</v>
      </c>
      <c r="E295" s="60"/>
      <c r="F295" s="60"/>
      <c r="G295" s="36">
        <f t="shared" si="44"/>
        <v>-210.28766978999161</v>
      </c>
      <c r="H295" s="36">
        <f t="shared" si="46"/>
        <v>-323.9038362434332</v>
      </c>
      <c r="I295" s="36"/>
      <c r="J295" s="41"/>
      <c r="K295" s="46">
        <f>'Filter-old'!E394</f>
        <v>-173.07621679442948</v>
      </c>
      <c r="L295" s="62">
        <f>'Filter-new'!E394</f>
        <v>-171.32135301160659</v>
      </c>
      <c r="M295" s="62"/>
      <c r="N295" s="62"/>
      <c r="O295" s="429"/>
      <c r="P295" s="62"/>
      <c r="Q295" s="46">
        <f>'Filter-old'!H394</f>
        <v>-142.46988258136096</v>
      </c>
      <c r="R295" s="62">
        <f>'Filter-new'!H394</f>
        <v>-265.8653634697618</v>
      </c>
      <c r="S295" s="62"/>
      <c r="T295" s="62"/>
      <c r="U295" s="445"/>
      <c r="V295" s="62"/>
      <c r="W295" s="46">
        <f>'Filter-old'!J394</f>
        <v>0</v>
      </c>
      <c r="X295" s="62">
        <f>'Filter-new'!J394</f>
        <v>0</v>
      </c>
      <c r="Y295" s="62"/>
      <c r="Z295" s="62"/>
      <c r="AA295" s="46">
        <f>'Filter-old'!F394</f>
        <v>0</v>
      </c>
      <c r="AB295" s="62">
        <f>'Filter-new'!F394</f>
        <v>0</v>
      </c>
      <c r="AC295" s="62"/>
      <c r="AD295" s="62"/>
      <c r="AE295" s="46">
        <f>'Filter-old'!P394</f>
        <v>0</v>
      </c>
      <c r="AF295" s="62">
        <f>'Filter-new'!P394</f>
        <v>0</v>
      </c>
      <c r="AG295" s="62"/>
      <c r="AH295" s="62"/>
      <c r="AI295" s="46">
        <f>'Filter-old'!L394</f>
        <v>0</v>
      </c>
      <c r="AJ295" s="62">
        <f>'Filter-new'!L394</f>
        <v>9.2050042761148454</v>
      </c>
      <c r="AK295" s="62"/>
      <c r="AL295" s="62"/>
      <c r="AM295" s="62"/>
      <c r="AN295" s="62"/>
      <c r="AO295" s="46">
        <f>'Filter-old'!G394</f>
        <v>0</v>
      </c>
      <c r="AP295" s="62">
        <f>'Filter-new'!G394</f>
        <v>0</v>
      </c>
      <c r="AQ295" s="62"/>
      <c r="AR295" s="62"/>
      <c r="AS295" s="46"/>
      <c r="AT295" s="62"/>
      <c r="AU295" s="62"/>
      <c r="AV295" s="62"/>
      <c r="AW295" s="46">
        <f>'Filter-old'!I394</f>
        <v>0</v>
      </c>
      <c r="AX295" s="62">
        <f>'Filter-new'!I394</f>
        <v>-15.041172877214413</v>
      </c>
      <c r="AY295" s="62"/>
      <c r="AZ295" s="62"/>
      <c r="BA295" s="62"/>
      <c r="BB295" s="62"/>
      <c r="BC295" s="46">
        <f>'Filter-old'!K394</f>
        <v>0</v>
      </c>
      <c r="BD295" s="62">
        <f>'Filter-new'!K394</f>
        <v>-20.293219303604157</v>
      </c>
      <c r="BE295" s="62"/>
      <c r="BF295" s="62"/>
      <c r="BG295" s="46">
        <f>'Filter-old'!M394</f>
        <v>0</v>
      </c>
      <c r="BH295" s="62"/>
      <c r="BI295" s="62"/>
      <c r="BJ295" s="62">
        <f>'Filter-new'!M394</f>
        <v>82.651191203420893</v>
      </c>
      <c r="BK295" s="62"/>
      <c r="BL295" s="62"/>
      <c r="BM295" s="62"/>
      <c r="BN295" s="406">
        <f>'Filter-new'!N394</f>
        <v>0</v>
      </c>
      <c r="BO295" s="62"/>
      <c r="BP295" s="62"/>
      <c r="BQ295" s="46">
        <f>'Filter-old'!O394</f>
        <v>0</v>
      </c>
      <c r="BR295" s="62">
        <f>'Filter-new'!O394</f>
        <v>15.240073304825902</v>
      </c>
      <c r="BS295" s="62"/>
      <c r="BT295" s="62"/>
      <c r="BU295" s="46">
        <f>'Filter-old'!Q394</f>
        <v>121.50458343195268</v>
      </c>
      <c r="BV295" s="62">
        <f>'Filter-new'!Q394</f>
        <v>41.52100363439218</v>
      </c>
      <c r="BW295" s="62"/>
      <c r="BX295" s="62"/>
      <c r="BY295" s="62"/>
      <c r="BZ295" s="62"/>
      <c r="CA295" s="46">
        <f>'Filter-old'!R394</f>
        <v>-16.246153846153849</v>
      </c>
      <c r="CB295" s="62">
        <f>'Filter-new'!R394</f>
        <v>0</v>
      </c>
      <c r="CC295" s="57"/>
      <c r="CD295" s="58"/>
      <c r="CE295" s="57"/>
      <c r="CF295" s="57"/>
      <c r="CG295" s="169">
        <f t="shared" si="45"/>
        <v>113.61616645344159</v>
      </c>
    </row>
    <row r="296" spans="1:85" hidden="1" x14ac:dyDescent="0.2">
      <c r="A296">
        <v>0</v>
      </c>
      <c r="B296" s="59">
        <v>37653</v>
      </c>
      <c r="C296" s="59">
        <f>'Filter-new'!C28</f>
        <v>37653</v>
      </c>
      <c r="D296" s="60">
        <f t="shared" si="43"/>
        <v>2003</v>
      </c>
      <c r="E296" s="60"/>
      <c r="F296" s="60"/>
      <c r="G296" s="36">
        <f t="shared" si="44"/>
        <v>-198.10038330731726</v>
      </c>
      <c r="H296" s="36">
        <f t="shared" si="46"/>
        <v>-290.91217264007474</v>
      </c>
      <c r="I296" s="36"/>
      <c r="J296" s="41"/>
      <c r="K296" s="46">
        <f>'Filter-old'!E395</f>
        <v>-158.3619361082221</v>
      </c>
      <c r="L296" s="62">
        <f>'Filter-new'!E395</f>
        <v>-155.10057551885319</v>
      </c>
      <c r="M296" s="62"/>
      <c r="N296" s="62"/>
      <c r="O296" s="429"/>
      <c r="P296" s="62"/>
      <c r="Q296" s="46">
        <f>'Filter-old'!H395</f>
        <v>-137.62671848863286</v>
      </c>
      <c r="R296" s="62">
        <f>'Filter-new'!H395</f>
        <v>-240.90744780305391</v>
      </c>
      <c r="S296" s="62"/>
      <c r="T296" s="62"/>
      <c r="U296" s="445"/>
      <c r="V296" s="62"/>
      <c r="W296" s="46">
        <f>'Filter-old'!J395</f>
        <v>0</v>
      </c>
      <c r="X296" s="62">
        <f>'Filter-new'!J395</f>
        <v>0</v>
      </c>
      <c r="Y296" s="62"/>
      <c r="Z296" s="62"/>
      <c r="AA296" s="46">
        <f>'Filter-old'!F395</f>
        <v>0</v>
      </c>
      <c r="AB296" s="62">
        <f>'Filter-new'!F395</f>
        <v>0</v>
      </c>
      <c r="AC296" s="62"/>
      <c r="AD296" s="62"/>
      <c r="AE296" s="46">
        <f>'Filter-old'!P395</f>
        <v>0</v>
      </c>
      <c r="AF296" s="62">
        <f>'Filter-new'!P395</f>
        <v>0</v>
      </c>
      <c r="AG296" s="62"/>
      <c r="AH296" s="62"/>
      <c r="AI296" s="46">
        <f>'Filter-old'!L395</f>
        <v>0</v>
      </c>
      <c r="AJ296" s="62">
        <f>'Filter-new'!L395</f>
        <v>8.3761421003427845</v>
      </c>
      <c r="AK296" s="62"/>
      <c r="AL296" s="62"/>
      <c r="AM296" s="62"/>
      <c r="AN296" s="62"/>
      <c r="AO296" s="46">
        <f>'Filter-old'!G395</f>
        <v>0</v>
      </c>
      <c r="AP296" s="62">
        <f>'Filter-new'!G395</f>
        <v>0</v>
      </c>
      <c r="AQ296" s="62"/>
      <c r="AR296" s="62"/>
      <c r="AS296" s="46"/>
      <c r="AT296" s="62"/>
      <c r="AU296" s="62"/>
      <c r="AV296" s="62"/>
      <c r="AW296" s="46">
        <f>'Filter-old'!I395</f>
        <v>0</v>
      </c>
      <c r="AX296" s="62">
        <f>'Filter-new'!I395</f>
        <v>-13.651604861327517</v>
      </c>
      <c r="AY296" s="62"/>
      <c r="AZ296" s="62"/>
      <c r="BA296" s="62"/>
      <c r="BB296" s="62"/>
      <c r="BC296" s="46">
        <f>'Filter-old'!K395</f>
        <v>0</v>
      </c>
      <c r="BD296" s="62">
        <f>'Filter-new'!K395</f>
        <v>-18.822062947958869</v>
      </c>
      <c r="BE296" s="62"/>
      <c r="BF296" s="62"/>
      <c r="BG296" s="46">
        <f>'Filter-old'!M395</f>
        <v>0</v>
      </c>
      <c r="BH296" s="62"/>
      <c r="BI296" s="62"/>
      <c r="BJ296" s="62">
        <f>'Filter-new'!M395</f>
        <v>76.659395450296046</v>
      </c>
      <c r="BK296" s="62"/>
      <c r="BL296" s="62"/>
      <c r="BM296" s="62"/>
      <c r="BN296" s="406">
        <f>'Filter-new'!N395</f>
        <v>0</v>
      </c>
      <c r="BO296" s="62"/>
      <c r="BP296" s="62"/>
      <c r="BQ296" s="46">
        <f>'Filter-old'!O395</f>
        <v>0</v>
      </c>
      <c r="BR296" s="62">
        <f>'Filter-new'!O395</f>
        <v>14.135244624493611</v>
      </c>
      <c r="BS296" s="62"/>
      <c r="BT296" s="62"/>
      <c r="BU296" s="46">
        <f>'Filter-old'!Q395</f>
        <v>113.07075304136254</v>
      </c>
      <c r="BV296" s="62">
        <f>'Filter-new'!Q395</f>
        <v>38.398736315986284</v>
      </c>
      <c r="BW296" s="62"/>
      <c r="BX296" s="62"/>
      <c r="BY296" s="62"/>
      <c r="BZ296" s="62"/>
      <c r="CA296" s="46">
        <f>'Filter-old'!R395</f>
        <v>-15.182481751824817</v>
      </c>
      <c r="CB296" s="62">
        <f>'Filter-new'!R395</f>
        <v>0</v>
      </c>
      <c r="CC296" s="57"/>
      <c r="CD296" s="58"/>
      <c r="CE296" s="57"/>
      <c r="CF296" s="57"/>
      <c r="CG296" s="169">
        <f t="shared" si="45"/>
        <v>92.811789332757485</v>
      </c>
    </row>
    <row r="297" spans="1:85" hidden="1" x14ac:dyDescent="0.2">
      <c r="A297">
        <v>0</v>
      </c>
      <c r="B297" s="59">
        <v>37681</v>
      </c>
      <c r="C297" s="59">
        <f>'Filter-new'!C29</f>
        <v>37681</v>
      </c>
      <c r="D297" s="60">
        <f t="shared" si="43"/>
        <v>2003</v>
      </c>
      <c r="E297" s="60"/>
      <c r="F297" s="60"/>
      <c r="G297" s="36">
        <f t="shared" si="44"/>
        <v>-206.7257387798204</v>
      </c>
      <c r="H297" s="36">
        <f t="shared" si="46"/>
        <v>-93.516009962808567</v>
      </c>
      <c r="I297" s="36"/>
      <c r="J297" s="41"/>
      <c r="K297" s="46">
        <f>'Filter-old'!E396</f>
        <v>-198.92925051377142</v>
      </c>
      <c r="L297" s="62">
        <f>'Filter-new'!E396</f>
        <v>-136.66546611093301</v>
      </c>
      <c r="M297" s="62"/>
      <c r="N297" s="62"/>
      <c r="O297" s="429"/>
      <c r="P297" s="62"/>
      <c r="Q297" s="46">
        <f>'Filter-old'!H396</f>
        <v>-137.25178317551899</v>
      </c>
      <c r="R297" s="62">
        <f>'Filter-new'!H396</f>
        <v>-212.89515870471303</v>
      </c>
      <c r="S297" s="62"/>
      <c r="T297" s="62"/>
      <c r="U297" s="445"/>
      <c r="V297" s="62"/>
      <c r="W297" s="46">
        <f>'Filter-old'!J396</f>
        <v>0</v>
      </c>
      <c r="X297" s="62">
        <f>'Filter-new'!J396</f>
        <v>0</v>
      </c>
      <c r="Y297" s="62"/>
      <c r="Z297" s="62"/>
      <c r="AA297" s="46">
        <f>'Filter-old'!F396</f>
        <v>0</v>
      </c>
      <c r="AB297" s="62">
        <f>'Filter-new'!F396</f>
        <v>0</v>
      </c>
      <c r="AC297" s="62"/>
      <c r="AD297" s="62"/>
      <c r="AE297" s="46">
        <f>'Filter-old'!P396</f>
        <v>0</v>
      </c>
      <c r="AF297" s="62">
        <f>'Filter-new'!P396</f>
        <v>0</v>
      </c>
      <c r="AG297" s="62"/>
      <c r="AH297" s="62"/>
      <c r="AI297" s="46">
        <f>'Filter-old'!L396</f>
        <v>0</v>
      </c>
      <c r="AJ297" s="62">
        <f>'Filter-new'!L396</f>
        <v>8.8858480282141699</v>
      </c>
      <c r="AK297" s="62"/>
      <c r="AL297" s="62"/>
      <c r="AM297" s="62"/>
      <c r="AN297" s="62"/>
      <c r="AO297" s="46">
        <f>'Filter-old'!G396</f>
        <v>0</v>
      </c>
      <c r="AP297" s="62">
        <f>'Filter-new'!G396</f>
        <v>0</v>
      </c>
      <c r="AQ297" s="62"/>
      <c r="AR297" s="62"/>
      <c r="AS297" s="46"/>
      <c r="AT297" s="62"/>
      <c r="AU297" s="62"/>
      <c r="AV297" s="62"/>
      <c r="AW297" s="46">
        <f>'Filter-old'!I396</f>
        <v>0</v>
      </c>
      <c r="AX297" s="62">
        <f>'Filter-new'!I396</f>
        <v>-14.596986213529981</v>
      </c>
      <c r="AY297" s="62"/>
      <c r="AZ297" s="62"/>
      <c r="BA297" s="62"/>
      <c r="BB297" s="62"/>
      <c r="BC297" s="46">
        <f>'Filter-old'!K396</f>
        <v>0</v>
      </c>
      <c r="BD297" s="62">
        <f>'Filter-new'!K396</f>
        <v>-18.044244950304581</v>
      </c>
      <c r="BE297" s="62"/>
      <c r="BF297" s="62"/>
      <c r="BG297" s="46">
        <f>'Filter-old'!M396</f>
        <v>0</v>
      </c>
      <c r="BH297" s="62"/>
      <c r="BI297" s="62"/>
      <c r="BJ297" s="62">
        <f>'Filter-new'!M396</f>
        <v>76.755370310997108</v>
      </c>
      <c r="BK297" s="62"/>
      <c r="BL297" s="62"/>
      <c r="BM297" s="62"/>
      <c r="BN297" s="406">
        <f>'Filter-new'!N396</f>
        <v>0</v>
      </c>
      <c r="BO297" s="62"/>
      <c r="BP297" s="62"/>
      <c r="BQ297" s="46">
        <f>'Filter-old'!O396</f>
        <v>0</v>
      </c>
      <c r="BR297" s="62">
        <f>'Filter-new'!O396</f>
        <v>14.596986213529981</v>
      </c>
      <c r="BS297" s="62"/>
      <c r="BT297" s="62"/>
      <c r="BU297" s="46">
        <f>'Filter-old'!Q396</f>
        <v>144.29628430876329</v>
      </c>
      <c r="BV297" s="62">
        <f>'Filter-new'!Q396</f>
        <v>79.104903406861155</v>
      </c>
      <c r="BW297" s="62"/>
      <c r="BX297" s="62"/>
      <c r="BY297" s="62"/>
      <c r="BZ297" s="62"/>
      <c r="CA297" s="46">
        <f>'Filter-old'!R396</f>
        <v>-14.840989399293287</v>
      </c>
      <c r="CB297" s="62">
        <f>'Filter-new'!R396</f>
        <v>109.3427380570696</v>
      </c>
      <c r="CC297" s="57"/>
      <c r="CD297" s="58"/>
      <c r="CE297" s="57"/>
      <c r="CF297" s="57"/>
      <c r="CG297" s="169">
        <f t="shared" si="45"/>
        <v>-113.20972881701184</v>
      </c>
    </row>
    <row r="298" spans="1:85" hidden="1" x14ac:dyDescent="0.2">
      <c r="A298">
        <v>0</v>
      </c>
      <c r="B298" s="59">
        <v>37712</v>
      </c>
      <c r="C298" s="59">
        <f>'Filter-new'!C30</f>
        <v>37712</v>
      </c>
      <c r="D298" s="60">
        <f t="shared" si="43"/>
        <v>2003</v>
      </c>
      <c r="E298" s="60"/>
      <c r="F298" s="60"/>
      <c r="G298" s="36">
        <f t="shared" si="44"/>
        <v>-233.68841331852815</v>
      </c>
      <c r="H298" s="36">
        <f t="shared" si="46"/>
        <v>-105.44696066207122</v>
      </c>
      <c r="I298" s="36"/>
      <c r="J298" s="41"/>
      <c r="K298" s="46">
        <f>'Filter-old'!E397</f>
        <v>-223.4866566625515</v>
      </c>
      <c r="L298" s="62">
        <f>'Filter-new'!E397</f>
        <v>-150.73255346334901</v>
      </c>
      <c r="M298" s="62"/>
      <c r="N298" s="62"/>
      <c r="O298" s="429"/>
      <c r="P298" s="62"/>
      <c r="Q298" s="46">
        <f>'Filter-old'!H397</f>
        <v>-155.15848685599664</v>
      </c>
      <c r="R298" s="62">
        <f>'Filter-new'!H397</f>
        <v>-235.68258238063211</v>
      </c>
      <c r="S298" s="62"/>
      <c r="T298" s="62"/>
      <c r="U298" s="445"/>
      <c r="V298" s="62"/>
      <c r="W298" s="46">
        <f>'Filter-old'!J397</f>
        <v>0</v>
      </c>
      <c r="X298" s="62">
        <f>'Filter-new'!J397</f>
        <v>0</v>
      </c>
      <c r="Y298" s="62"/>
      <c r="Z298" s="62"/>
      <c r="AA298" s="46">
        <f>'Filter-old'!F397</f>
        <v>0</v>
      </c>
      <c r="AB298" s="62">
        <f>'Filter-new'!F397</f>
        <v>0</v>
      </c>
      <c r="AC298" s="62"/>
      <c r="AD298" s="62"/>
      <c r="AE298" s="46">
        <f>'Filter-old'!P397</f>
        <v>0</v>
      </c>
      <c r="AF298" s="62">
        <f>'Filter-new'!P397</f>
        <v>0</v>
      </c>
      <c r="AG298" s="62"/>
      <c r="AH298" s="62"/>
      <c r="AI298" s="46">
        <f>'Filter-old'!L397</f>
        <v>0</v>
      </c>
      <c r="AJ298" s="62">
        <f>'Filter-new'!L397</f>
        <v>9.8267652992602539</v>
      </c>
      <c r="AK298" s="62"/>
      <c r="AL298" s="62"/>
      <c r="AM298" s="62"/>
      <c r="AN298" s="62"/>
      <c r="AO298" s="46">
        <f>'Filter-old'!G397</f>
        <v>0</v>
      </c>
      <c r="AP298" s="62">
        <f>'Filter-new'!G397</f>
        <v>0</v>
      </c>
      <c r="AQ298" s="62"/>
      <c r="AR298" s="62"/>
      <c r="AS298" s="46"/>
      <c r="AT298" s="62"/>
      <c r="AU298" s="62"/>
      <c r="AV298" s="62"/>
      <c r="AW298" s="46">
        <f>'Filter-old'!I397</f>
        <v>0</v>
      </c>
      <c r="AX298" s="62">
        <f>'Filter-new'!I397</f>
        <v>-16.156018829858773</v>
      </c>
      <c r="AY298" s="62"/>
      <c r="AZ298" s="62"/>
      <c r="BA298" s="62"/>
      <c r="BB298" s="62"/>
      <c r="BC298" s="46">
        <f>'Filter-old'!K397</f>
        <v>0</v>
      </c>
      <c r="BD298" s="62">
        <f>'Filter-new'!K397</f>
        <v>-19.825151311365161</v>
      </c>
      <c r="BE298" s="62"/>
      <c r="BF298" s="62"/>
      <c r="BG298" s="46">
        <f>'Filter-old'!M397</f>
        <v>0</v>
      </c>
      <c r="BH298" s="62"/>
      <c r="BI298" s="62"/>
      <c r="BJ298" s="62">
        <f>'Filter-new'!M397</f>
        <v>84.330867518493605</v>
      </c>
      <c r="BK298" s="62"/>
      <c r="BL298" s="62"/>
      <c r="BM298" s="62"/>
      <c r="BN298" s="406">
        <f>'Filter-new'!N397</f>
        <v>0</v>
      </c>
      <c r="BO298" s="62"/>
      <c r="BP298" s="62"/>
      <c r="BQ298" s="46">
        <f>'Filter-old'!O397</f>
        <v>0</v>
      </c>
      <c r="BR298" s="62">
        <f>'Filter-new'!O397</f>
        <v>16.037659717552117</v>
      </c>
      <c r="BS298" s="62"/>
      <c r="BT298" s="62"/>
      <c r="BU298" s="46">
        <f>'Filter-old'!Q397</f>
        <v>161.12970317299298</v>
      </c>
      <c r="BV298" s="62">
        <f>'Filter-new'!Q397</f>
        <v>86.619553796570287</v>
      </c>
      <c r="BW298" s="62"/>
      <c r="BX298" s="62"/>
      <c r="BY298" s="62"/>
      <c r="BZ298" s="62"/>
      <c r="CA298" s="46">
        <f>'Filter-old'!R397</f>
        <v>-16.172972972972975</v>
      </c>
      <c r="CB298" s="62">
        <f>'Filter-new'!R397</f>
        <v>120.13449899125759</v>
      </c>
      <c r="CC298" s="57"/>
      <c r="CD298" s="58"/>
      <c r="CE298" s="57"/>
      <c r="CF298" s="57"/>
      <c r="CG298" s="169">
        <f t="shared" si="45"/>
        <v>-128.24145265645694</v>
      </c>
    </row>
    <row r="299" spans="1:85" hidden="1" x14ac:dyDescent="0.2">
      <c r="A299">
        <v>0</v>
      </c>
      <c r="B299" s="59">
        <v>37742</v>
      </c>
      <c r="C299" s="59">
        <f>'Filter-new'!C31</f>
        <v>37742</v>
      </c>
      <c r="D299" s="60">
        <f t="shared" si="43"/>
        <v>2003</v>
      </c>
      <c r="E299" s="60"/>
      <c r="F299" s="60"/>
      <c r="G299" s="36">
        <f t="shared" si="44"/>
        <v>-357.97748886014949</v>
      </c>
      <c r="H299" s="36">
        <f t="shared" si="46"/>
        <v>-232.30463559011429</v>
      </c>
      <c r="I299" s="36"/>
      <c r="J299" s="41"/>
      <c r="K299" s="46">
        <f>'Filter-old'!E398</f>
        <v>-249.27767957433684</v>
      </c>
      <c r="L299" s="62">
        <f>'Filter-new'!E398</f>
        <v>-233.69672549596498</v>
      </c>
      <c r="M299" s="62"/>
      <c r="N299" s="62"/>
      <c r="O299" s="429"/>
      <c r="P299" s="62"/>
      <c r="Q299" s="46">
        <f>'Filter-old'!H398</f>
        <v>-166.19510061372588</v>
      </c>
      <c r="R299" s="62">
        <f>'Filter-new'!H398</f>
        <v>-216.28446536650975</v>
      </c>
      <c r="S299" s="62"/>
      <c r="T299" s="62"/>
      <c r="U299" s="445"/>
      <c r="V299" s="62"/>
      <c r="W299" s="46">
        <f>'Filter-old'!J398</f>
        <v>0</v>
      </c>
      <c r="X299" s="62">
        <f>'Filter-new'!J398</f>
        <v>0</v>
      </c>
      <c r="Y299" s="62"/>
      <c r="Z299" s="62"/>
      <c r="AA299" s="46">
        <f>'Filter-old'!F398</f>
        <v>0</v>
      </c>
      <c r="AB299" s="62">
        <f>'Filter-new'!F398</f>
        <v>0</v>
      </c>
      <c r="AC299" s="62"/>
      <c r="AD299" s="62"/>
      <c r="AE299" s="46">
        <f>'Filter-old'!P398</f>
        <v>0</v>
      </c>
      <c r="AF299" s="62">
        <f>'Filter-new'!P398</f>
        <v>0</v>
      </c>
      <c r="AG299" s="62"/>
      <c r="AH299" s="62"/>
      <c r="AI299" s="46">
        <f>'Filter-old'!L398</f>
        <v>0</v>
      </c>
      <c r="AJ299" s="62">
        <f>'Filter-new'!L398</f>
        <v>10.07406859448554</v>
      </c>
      <c r="AK299" s="62"/>
      <c r="AL299" s="62"/>
      <c r="AM299" s="62"/>
      <c r="AN299" s="62"/>
      <c r="AO299" s="46">
        <f>'Filter-old'!G398</f>
        <v>0</v>
      </c>
      <c r="AP299" s="62">
        <f>'Filter-new'!G398</f>
        <v>0</v>
      </c>
      <c r="AQ299" s="62"/>
      <c r="AR299" s="62"/>
      <c r="AS299" s="46"/>
      <c r="AT299" s="62"/>
      <c r="AU299" s="62"/>
      <c r="AV299" s="62"/>
      <c r="AW299" s="46">
        <f>'Filter-old'!I398</f>
        <v>0</v>
      </c>
      <c r="AX299" s="62">
        <f>'Filter-new'!I398</f>
        <v>-30.815063887020848</v>
      </c>
      <c r="AY299" s="62"/>
      <c r="AZ299" s="62"/>
      <c r="BA299" s="62"/>
      <c r="BB299" s="62"/>
      <c r="BC299" s="46">
        <f>'Filter-old'!K398</f>
        <v>0</v>
      </c>
      <c r="BD299" s="62">
        <f>'Filter-new'!K398</f>
        <v>-19.206455951580363</v>
      </c>
      <c r="BE299" s="62"/>
      <c r="BF299" s="62"/>
      <c r="BG299" s="46">
        <f>'Filter-old'!M398</f>
        <v>0</v>
      </c>
      <c r="BH299" s="62"/>
      <c r="BI299" s="62"/>
      <c r="BJ299" s="62">
        <f>'Filter-new'!M398</f>
        <v>84.734364492266309</v>
      </c>
      <c r="BK299" s="62"/>
      <c r="BL299" s="62"/>
      <c r="BM299" s="62"/>
      <c r="BN299" s="406">
        <f>'Filter-new'!N398</f>
        <v>0</v>
      </c>
      <c r="BO299" s="62"/>
      <c r="BP299" s="62"/>
      <c r="BQ299" s="46">
        <f>'Filter-old'!O398</f>
        <v>0</v>
      </c>
      <c r="BR299" s="62">
        <f>'Filter-new'!O398</f>
        <v>16.523201075991931</v>
      </c>
      <c r="BS299" s="62"/>
      <c r="BT299" s="62"/>
      <c r="BU299" s="46">
        <f>'Filter-old'!Q398</f>
        <v>75.023746612466141</v>
      </c>
      <c r="BV299" s="62">
        <f>'Filter-new'!Q398</f>
        <v>-14.514527444519167</v>
      </c>
      <c r="BW299" s="62"/>
      <c r="BX299" s="62"/>
      <c r="BY299" s="62"/>
      <c r="BZ299" s="62"/>
      <c r="CA299" s="46">
        <f>'Filter-old'!R398</f>
        <v>-17.528455284552848</v>
      </c>
      <c r="CB299" s="62">
        <f>'Filter-new'!R398</f>
        <v>170.88096839273703</v>
      </c>
      <c r="CC299" s="57"/>
      <c r="CD299" s="58"/>
      <c r="CE299" s="57"/>
      <c r="CF299" s="57"/>
      <c r="CG299" s="169">
        <f t="shared" si="45"/>
        <v>-125.6728532700352</v>
      </c>
    </row>
    <row r="300" spans="1:85" hidden="1" x14ac:dyDescent="0.2">
      <c r="A300">
        <v>0</v>
      </c>
      <c r="B300" s="59">
        <v>37773</v>
      </c>
      <c r="C300" s="59">
        <f>'Filter-new'!C32</f>
        <v>37773</v>
      </c>
      <c r="D300" s="60">
        <f t="shared" si="43"/>
        <v>2003</v>
      </c>
      <c r="E300" s="60"/>
      <c r="F300" s="60"/>
      <c r="G300" s="36">
        <f t="shared" si="44"/>
        <v>-308.49762714294047</v>
      </c>
      <c r="H300" s="36">
        <f t="shared" si="46"/>
        <v>-96.740243307922754</v>
      </c>
      <c r="I300" s="36"/>
      <c r="J300" s="41"/>
      <c r="K300" s="46">
        <f>'Filter-old'!E399</f>
        <v>-211.6645443711524</v>
      </c>
      <c r="L300" s="62">
        <f>'Filter-new'!E399</f>
        <v>-223.34365061584552</v>
      </c>
      <c r="M300" s="62"/>
      <c r="N300" s="62"/>
      <c r="O300" s="429"/>
      <c r="P300" s="62"/>
      <c r="Q300" s="46">
        <f>'Filter-old'!H399</f>
        <v>-171.27699758412052</v>
      </c>
      <c r="R300" s="62">
        <f>'Filter-new'!H399</f>
        <v>-286.43608521970708</v>
      </c>
      <c r="S300" s="62"/>
      <c r="T300" s="62"/>
      <c r="U300" s="445"/>
      <c r="V300" s="62"/>
      <c r="W300" s="46">
        <f>'Filter-old'!J399</f>
        <v>0</v>
      </c>
      <c r="X300" s="62">
        <f>'Filter-new'!J399</f>
        <v>0</v>
      </c>
      <c r="Y300" s="62"/>
      <c r="Z300" s="62"/>
      <c r="AA300" s="46">
        <f>'Filter-old'!F399</f>
        <v>0</v>
      </c>
      <c r="AB300" s="62">
        <f>'Filter-new'!F399</f>
        <v>0</v>
      </c>
      <c r="AC300" s="62"/>
      <c r="AD300" s="62"/>
      <c r="AE300" s="46">
        <f>'Filter-old'!P399</f>
        <v>0</v>
      </c>
      <c r="AF300" s="62">
        <f>'Filter-new'!P399</f>
        <v>0</v>
      </c>
      <c r="AG300" s="62"/>
      <c r="AH300" s="62"/>
      <c r="AI300" s="46">
        <f>'Filter-old'!L399</f>
        <v>0</v>
      </c>
      <c r="AJ300" s="62">
        <f>'Filter-new'!L399</f>
        <v>12.132743009320906</v>
      </c>
      <c r="AK300" s="62"/>
      <c r="AL300" s="62"/>
      <c r="AM300" s="62"/>
      <c r="AN300" s="62"/>
      <c r="AO300" s="46">
        <f>'Filter-old'!G399</f>
        <v>0</v>
      </c>
      <c r="AP300" s="62">
        <f>'Filter-new'!G399</f>
        <v>0</v>
      </c>
      <c r="AQ300" s="62"/>
      <c r="AR300" s="62"/>
      <c r="AS300" s="46"/>
      <c r="AT300" s="62"/>
      <c r="AU300" s="62"/>
      <c r="AV300" s="62"/>
      <c r="AW300" s="46">
        <f>'Filter-old'!I399</f>
        <v>0</v>
      </c>
      <c r="AX300" s="62">
        <f>'Filter-new'!I399</f>
        <v>19.599067909454064</v>
      </c>
      <c r="AY300" s="62"/>
      <c r="AZ300" s="62"/>
      <c r="BA300" s="62"/>
      <c r="BB300" s="62"/>
      <c r="BC300" s="46">
        <f>'Filter-old'!K399</f>
        <v>0</v>
      </c>
      <c r="BD300" s="62">
        <f>'Filter-new'!K399</f>
        <v>-42.223701731025301</v>
      </c>
      <c r="BE300" s="62"/>
      <c r="BF300" s="62"/>
      <c r="BG300" s="46">
        <f>'Filter-old'!M399</f>
        <v>0</v>
      </c>
      <c r="BH300" s="62"/>
      <c r="BI300" s="62"/>
      <c r="BJ300" s="62">
        <f>'Filter-new'!M399</f>
        <v>109.05459387483357</v>
      </c>
      <c r="BK300" s="62"/>
      <c r="BL300" s="62"/>
      <c r="BM300" s="62"/>
      <c r="BN300" s="406">
        <f>'Filter-new'!N399</f>
        <v>0</v>
      </c>
      <c r="BO300" s="62"/>
      <c r="BP300" s="62"/>
      <c r="BQ300" s="46">
        <f>'Filter-old'!O399</f>
        <v>0</v>
      </c>
      <c r="BR300" s="62">
        <f>'Filter-new'!O399</f>
        <v>40.937416777629828</v>
      </c>
      <c r="BS300" s="62"/>
      <c r="BT300" s="62"/>
      <c r="BU300" s="46">
        <f>'Filter-old'!Q399</f>
        <v>96.28841883378017</v>
      </c>
      <c r="BV300" s="62">
        <f>'Filter-new'!Q399</f>
        <v>-19.090454210053267</v>
      </c>
      <c r="BW300" s="62"/>
      <c r="BX300" s="62"/>
      <c r="BY300" s="62"/>
      <c r="BZ300" s="62"/>
      <c r="CA300" s="46">
        <f>'Filter-old'!R399</f>
        <v>-21.844504021447726</v>
      </c>
      <c r="CB300" s="62">
        <f>'Filter-new'!R399</f>
        <v>292.62982689747002</v>
      </c>
      <c r="CC300" s="57"/>
      <c r="CD300" s="58"/>
      <c r="CE300" s="57"/>
      <c r="CF300" s="57"/>
      <c r="CG300" s="169">
        <f t="shared" si="45"/>
        <v>-211.75738383501772</v>
      </c>
    </row>
    <row r="301" spans="1:85" hidden="1" x14ac:dyDescent="0.2">
      <c r="A301">
        <v>0</v>
      </c>
      <c r="B301" s="59">
        <v>37803</v>
      </c>
      <c r="C301" s="59">
        <f>'Filter-new'!C33</f>
        <v>37803</v>
      </c>
      <c r="D301" s="60">
        <f t="shared" si="43"/>
        <v>2003</v>
      </c>
      <c r="E301" s="60"/>
      <c r="F301" s="60"/>
      <c r="G301" s="36">
        <f t="shared" si="44"/>
        <v>-95.884296823833651</v>
      </c>
      <c r="H301" s="36">
        <f t="shared" si="46"/>
        <v>-1027.2385470072272</v>
      </c>
      <c r="I301" s="36"/>
      <c r="J301" s="41"/>
      <c r="K301" s="46">
        <f>'Filter-old'!E400</f>
        <v>254.09616958448044</v>
      </c>
      <c r="L301" s="62">
        <f>'Filter-new'!E400</f>
        <v>-456.83399520039421</v>
      </c>
      <c r="M301" s="62"/>
      <c r="N301" s="62"/>
      <c r="O301" s="429"/>
      <c r="P301" s="62"/>
      <c r="Q301" s="46">
        <f>'Filter-old'!H400</f>
        <v>-347.56531422865754</v>
      </c>
      <c r="R301" s="62">
        <f>'Filter-new'!H400</f>
        <v>-589.51327201051254</v>
      </c>
      <c r="S301" s="62"/>
      <c r="T301" s="62"/>
      <c r="U301" s="445"/>
      <c r="V301" s="62"/>
      <c r="W301" s="46">
        <f>'Filter-old'!J400</f>
        <v>0</v>
      </c>
      <c r="X301" s="62">
        <f>'Filter-new'!J400</f>
        <v>0</v>
      </c>
      <c r="Y301" s="62"/>
      <c r="Z301" s="62"/>
      <c r="AA301" s="46">
        <f>'Filter-old'!F400</f>
        <v>0</v>
      </c>
      <c r="AB301" s="62">
        <f>'Filter-new'!F400</f>
        <v>0</v>
      </c>
      <c r="AC301" s="62"/>
      <c r="AD301" s="62"/>
      <c r="AE301" s="46">
        <f>'Filter-old'!P400</f>
        <v>0</v>
      </c>
      <c r="AF301" s="62">
        <f>'Filter-new'!P400</f>
        <v>0</v>
      </c>
      <c r="AG301" s="62"/>
      <c r="AH301" s="62"/>
      <c r="AI301" s="46">
        <f>'Filter-old'!L400</f>
        <v>0</v>
      </c>
      <c r="AJ301" s="62">
        <f>'Filter-new'!L400</f>
        <v>15.312462549277264</v>
      </c>
      <c r="AK301" s="62"/>
      <c r="AL301" s="62"/>
      <c r="AM301" s="62"/>
      <c r="AN301" s="62"/>
      <c r="AO301" s="46">
        <f>'Filter-old'!G400</f>
        <v>0</v>
      </c>
      <c r="AP301" s="62">
        <f>'Filter-new'!G400</f>
        <v>0</v>
      </c>
      <c r="AQ301" s="62"/>
      <c r="AR301" s="62"/>
      <c r="AS301" s="46"/>
      <c r="AT301" s="62"/>
      <c r="AU301" s="62"/>
      <c r="AV301" s="62"/>
      <c r="AW301" s="46">
        <f>'Filter-old'!I400</f>
        <v>0</v>
      </c>
      <c r="AX301" s="62">
        <f>'Filter-new'!I400</f>
        <v>26.700657030223393</v>
      </c>
      <c r="AY301" s="62"/>
      <c r="AZ301" s="62"/>
      <c r="BA301" s="62"/>
      <c r="BB301" s="62"/>
      <c r="BC301" s="46">
        <f>'Filter-old'!K400</f>
        <v>0</v>
      </c>
      <c r="BD301" s="62">
        <f>'Filter-new'!K400</f>
        <v>-54.060446780551914</v>
      </c>
      <c r="BE301" s="62"/>
      <c r="BF301" s="62"/>
      <c r="BG301" s="46">
        <f>'Filter-old'!M400</f>
        <v>0</v>
      </c>
      <c r="BH301" s="62"/>
      <c r="BI301" s="62"/>
      <c r="BJ301" s="62">
        <f>'Filter-new'!M400</f>
        <v>87.595269382391578</v>
      </c>
      <c r="BK301" s="62"/>
      <c r="BL301" s="62"/>
      <c r="BM301" s="62"/>
      <c r="BN301" s="406">
        <f>'Filter-new'!N400</f>
        <v>0</v>
      </c>
      <c r="BO301" s="62"/>
      <c r="BP301" s="62"/>
      <c r="BQ301" s="46">
        <f>'Filter-old'!O400</f>
        <v>0</v>
      </c>
      <c r="BR301" s="62">
        <f>'Filter-new'!O400</f>
        <v>52.036793692509853</v>
      </c>
      <c r="BS301" s="62"/>
      <c r="BT301" s="62"/>
      <c r="BU301" s="46">
        <f>'Filter-old'!Q400</f>
        <v>27.111928401585203</v>
      </c>
      <c r="BV301" s="62">
        <f>'Filter-new'!Q400</f>
        <v>-21.748026182654399</v>
      </c>
      <c r="BW301" s="62"/>
      <c r="BX301" s="62"/>
      <c r="BY301" s="62"/>
      <c r="BZ301" s="62"/>
      <c r="CA301" s="46">
        <f>'Filter-old'!R400</f>
        <v>-29.527080581241748</v>
      </c>
      <c r="CB301" s="62">
        <f>'Filter-new'!R400</f>
        <v>-86.727989487516425</v>
      </c>
      <c r="CC301" s="57"/>
      <c r="CD301" s="58"/>
      <c r="CE301" s="57"/>
      <c r="CF301" s="57"/>
      <c r="CG301" s="169">
        <f t="shared" si="45"/>
        <v>931.35425018339356</v>
      </c>
    </row>
    <row r="302" spans="1:85" hidden="1" x14ac:dyDescent="0.2">
      <c r="A302">
        <v>0</v>
      </c>
      <c r="B302" s="59">
        <v>37834</v>
      </c>
      <c r="C302" s="59">
        <f>'Filter-new'!C34</f>
        <v>37834</v>
      </c>
      <c r="D302" s="60">
        <f t="shared" si="43"/>
        <v>2003</v>
      </c>
      <c r="E302" s="60"/>
      <c r="F302" s="60"/>
      <c r="G302" s="36">
        <f t="shared" si="44"/>
        <v>-104.58815973173571</v>
      </c>
      <c r="H302" s="36">
        <f t="shared" si="46"/>
        <v>-981.73062196654757</v>
      </c>
      <c r="I302" s="36"/>
      <c r="J302" s="41"/>
      <c r="K302" s="46">
        <f>'Filter-old'!E401</f>
        <v>226.98365249231821</v>
      </c>
      <c r="L302" s="62">
        <f>'Filter-new'!E401</f>
        <v>-442.46873712244241</v>
      </c>
      <c r="M302" s="62"/>
      <c r="N302" s="62"/>
      <c r="O302" s="429"/>
      <c r="P302" s="62"/>
      <c r="Q302" s="46">
        <f>'Filter-old'!H401</f>
        <v>-329.15797690295301</v>
      </c>
      <c r="R302" s="62">
        <f>'Filter-new'!H401</f>
        <v>-557.45008119519321</v>
      </c>
      <c r="S302" s="62"/>
      <c r="T302" s="62"/>
      <c r="U302" s="445"/>
      <c r="V302" s="62"/>
      <c r="W302" s="46">
        <f>'Filter-old'!J401</f>
        <v>0</v>
      </c>
      <c r="X302" s="62">
        <f>'Filter-new'!J401</f>
        <v>0</v>
      </c>
      <c r="Y302" s="62"/>
      <c r="Z302" s="62"/>
      <c r="AA302" s="46">
        <f>'Filter-old'!F401</f>
        <v>0</v>
      </c>
      <c r="AB302" s="62">
        <f>'Filter-new'!F401</f>
        <v>0</v>
      </c>
      <c r="AC302" s="62"/>
      <c r="AD302" s="62"/>
      <c r="AE302" s="46">
        <f>'Filter-old'!P401</f>
        <v>0</v>
      </c>
      <c r="AF302" s="62">
        <f>'Filter-new'!P401</f>
        <v>0</v>
      </c>
      <c r="AG302" s="62"/>
      <c r="AH302" s="62"/>
      <c r="AI302" s="46">
        <f>'Filter-old'!L401</f>
        <v>0</v>
      </c>
      <c r="AJ302" s="62">
        <f>'Filter-new'!L401</f>
        <v>14.475827216628776</v>
      </c>
      <c r="AK302" s="62"/>
      <c r="AL302" s="62"/>
      <c r="AM302" s="62"/>
      <c r="AN302" s="62"/>
      <c r="AO302" s="46">
        <f>'Filter-old'!G401</f>
        <v>0</v>
      </c>
      <c r="AP302" s="62">
        <f>'Filter-new'!G401</f>
        <v>0</v>
      </c>
      <c r="AQ302" s="62"/>
      <c r="AR302" s="62"/>
      <c r="AS302" s="46"/>
      <c r="AT302" s="62"/>
      <c r="AU302" s="62"/>
      <c r="AV302" s="62"/>
      <c r="AW302" s="46">
        <f>'Filter-old'!I401</f>
        <v>0</v>
      </c>
      <c r="AX302" s="62">
        <f>'Filter-new'!I401</f>
        <v>25.246378694381292</v>
      </c>
      <c r="AY302" s="62"/>
      <c r="AZ302" s="62"/>
      <c r="BA302" s="62"/>
      <c r="BB302" s="62"/>
      <c r="BC302" s="46">
        <f>'Filter-old'!K401</f>
        <v>0</v>
      </c>
      <c r="BD302" s="62">
        <f>'Filter-new'!K401</f>
        <v>-51.016563819421883</v>
      </c>
      <c r="BE302" s="62"/>
      <c r="BF302" s="62"/>
      <c r="BG302" s="46">
        <f>'Filter-old'!M401</f>
        <v>0</v>
      </c>
      <c r="BH302" s="62"/>
      <c r="BI302" s="62"/>
      <c r="BJ302" s="62">
        <f>'Filter-new'!M401</f>
        <v>82.663202338421556</v>
      </c>
      <c r="BK302" s="62"/>
      <c r="BL302" s="62"/>
      <c r="BM302" s="62"/>
      <c r="BN302" s="406">
        <f>'Filter-new'!N401</f>
        <v>0</v>
      </c>
      <c r="BO302" s="62"/>
      <c r="BP302" s="62"/>
      <c r="BQ302" s="46">
        <f>'Filter-old'!O401</f>
        <v>0</v>
      </c>
      <c r="BR302" s="62">
        <f>'Filter-new'!O401</f>
        <v>49.106852874309837</v>
      </c>
      <c r="BS302" s="62"/>
      <c r="BT302" s="62"/>
      <c r="BU302" s="46">
        <f>'Filter-old'!Q401</f>
        <v>25.54946743119266</v>
      </c>
      <c r="BV302" s="62">
        <f>'Filter-new'!Q401</f>
        <v>-20.442746162715164</v>
      </c>
      <c r="BW302" s="62"/>
      <c r="BX302" s="62"/>
      <c r="BY302" s="62"/>
      <c r="BZ302" s="62"/>
      <c r="CA302" s="46">
        <f>'Filter-old'!R401</f>
        <v>-27.963302752293576</v>
      </c>
      <c r="CB302" s="62">
        <f>'Filter-new'!R401</f>
        <v>-81.84475479051639</v>
      </c>
      <c r="CC302" s="57"/>
      <c r="CD302" s="58"/>
      <c r="CE302" s="57"/>
      <c r="CF302" s="57"/>
      <c r="CG302" s="169">
        <f t="shared" si="45"/>
        <v>877.14246223481189</v>
      </c>
    </row>
    <row r="303" spans="1:85" hidden="1" x14ac:dyDescent="0.2">
      <c r="A303">
        <v>0</v>
      </c>
      <c r="B303" s="59">
        <v>37865</v>
      </c>
      <c r="C303" s="59">
        <f>'Filter-new'!C35</f>
        <v>37865</v>
      </c>
      <c r="D303" s="60">
        <f t="shared" si="43"/>
        <v>2003</v>
      </c>
      <c r="E303" s="60"/>
      <c r="F303" s="60"/>
      <c r="G303" s="36">
        <f t="shared" si="44"/>
        <v>-263.17781549083827</v>
      </c>
      <c r="H303" s="36">
        <f t="shared" si="46"/>
        <v>-85.280622210457878</v>
      </c>
      <c r="I303" s="36"/>
      <c r="J303" s="41"/>
      <c r="K303" s="46">
        <f>'Filter-old'!E402</f>
        <v>-199.24395966994393</v>
      </c>
      <c r="L303" s="62">
        <f>'Filter-new'!E402</f>
        <v>-102.35872478077297</v>
      </c>
      <c r="M303" s="62"/>
      <c r="N303" s="62"/>
      <c r="O303" s="429"/>
      <c r="P303" s="62"/>
      <c r="Q303" s="46">
        <f>'Filter-old'!H402</f>
        <v>-107.9981221522243</v>
      </c>
      <c r="R303" s="62">
        <f>'Filter-new'!H402</f>
        <v>-179.10360506658003</v>
      </c>
      <c r="S303" s="62"/>
      <c r="T303" s="62"/>
      <c r="U303" s="445"/>
      <c r="V303" s="62"/>
      <c r="W303" s="46">
        <f>'Filter-old'!J402</f>
        <v>0</v>
      </c>
      <c r="X303" s="62">
        <f>'Filter-new'!J402</f>
        <v>0</v>
      </c>
      <c r="Y303" s="62"/>
      <c r="Z303" s="62"/>
      <c r="AA303" s="46">
        <f>'Filter-old'!F402</f>
        <v>0</v>
      </c>
      <c r="AB303" s="62">
        <f>'Filter-new'!F402</f>
        <v>0</v>
      </c>
      <c r="AC303" s="62"/>
      <c r="AD303" s="62"/>
      <c r="AE303" s="46">
        <f>'Filter-old'!P402</f>
        <v>0</v>
      </c>
      <c r="AF303" s="62">
        <f>'Filter-new'!P402</f>
        <v>0</v>
      </c>
      <c r="AG303" s="62"/>
      <c r="AH303" s="62"/>
      <c r="AI303" s="46">
        <f>'Filter-old'!L402</f>
        <v>0</v>
      </c>
      <c r="AJ303" s="62">
        <f>'Filter-new'!L402</f>
        <v>8.0495953231568702</v>
      </c>
      <c r="AK303" s="62"/>
      <c r="AL303" s="62"/>
      <c r="AM303" s="62"/>
      <c r="AN303" s="62"/>
      <c r="AO303" s="46">
        <f>'Filter-old'!G402</f>
        <v>0</v>
      </c>
      <c r="AP303" s="62">
        <f>'Filter-new'!G402</f>
        <v>0</v>
      </c>
      <c r="AQ303" s="62"/>
      <c r="AR303" s="62"/>
      <c r="AS303" s="46"/>
      <c r="AT303" s="62"/>
      <c r="AU303" s="62"/>
      <c r="AV303" s="62"/>
      <c r="AW303" s="46">
        <f>'Filter-old'!I402</f>
        <v>0</v>
      </c>
      <c r="AX303" s="62">
        <f>'Filter-new'!I402</f>
        <v>-14.131860993829163</v>
      </c>
      <c r="AY303" s="62"/>
      <c r="AZ303" s="62"/>
      <c r="BA303" s="62"/>
      <c r="BB303" s="62"/>
      <c r="BC303" s="46">
        <f>'Filter-old'!K402</f>
        <v>0</v>
      </c>
      <c r="BD303" s="62">
        <f>'Filter-new'!K402</f>
        <v>-18.005846053913608</v>
      </c>
      <c r="BE303" s="62"/>
      <c r="BF303" s="62"/>
      <c r="BG303" s="46">
        <f>'Filter-old'!M402</f>
        <v>0</v>
      </c>
      <c r="BH303" s="62"/>
      <c r="BI303" s="62"/>
      <c r="BJ303" s="62">
        <f>'Filter-new'!M402</f>
        <v>77.752517050990562</v>
      </c>
      <c r="BK303" s="62"/>
      <c r="BL303" s="62"/>
      <c r="BM303" s="62"/>
      <c r="BN303" s="406">
        <f>'Filter-new'!N402</f>
        <v>0</v>
      </c>
      <c r="BO303" s="62"/>
      <c r="BP303" s="62"/>
      <c r="BQ303" s="46">
        <f>'Filter-old'!O402</f>
        <v>0</v>
      </c>
      <c r="BR303" s="62">
        <f>'Filter-new'!O402</f>
        <v>29.955180253329001</v>
      </c>
      <c r="BS303" s="62"/>
      <c r="BT303" s="62"/>
      <c r="BU303" s="46">
        <f>'Filter-old'!Q402</f>
        <v>59.20928854193884</v>
      </c>
      <c r="BV303" s="62">
        <f>'Filter-new'!Q402</f>
        <v>-12.933168621630399</v>
      </c>
      <c r="BW303" s="62"/>
      <c r="BX303" s="62"/>
      <c r="BY303" s="62"/>
      <c r="BZ303" s="62"/>
      <c r="CA303" s="46">
        <f>'Filter-old'!R402</f>
        <v>-15.145022210608831</v>
      </c>
      <c r="CB303" s="62">
        <f>'Filter-new'!R402</f>
        <v>125.49529067879182</v>
      </c>
      <c r="CC303" s="57"/>
      <c r="CD303" s="58"/>
      <c r="CE303" s="57"/>
      <c r="CF303" s="57"/>
      <c r="CG303" s="169">
        <f t="shared" si="45"/>
        <v>-177.89719328038041</v>
      </c>
    </row>
    <row r="304" spans="1:85" hidden="1" x14ac:dyDescent="0.2">
      <c r="A304">
        <v>0</v>
      </c>
      <c r="B304" s="59">
        <v>37895</v>
      </c>
      <c r="C304" s="59">
        <f>'Filter-new'!C36</f>
        <v>37895</v>
      </c>
      <c r="D304" s="60">
        <f t="shared" si="43"/>
        <v>2003</v>
      </c>
      <c r="E304" s="60"/>
      <c r="F304" s="60"/>
      <c r="G304" s="36">
        <f t="shared" si="44"/>
        <v>-221.09465575833295</v>
      </c>
      <c r="H304" s="36">
        <f t="shared" si="46"/>
        <v>127.28876436753791</v>
      </c>
      <c r="I304" s="36"/>
      <c r="J304" s="41"/>
      <c r="K304" s="46">
        <f>'Filter-old'!E403</f>
        <v>-208.58457402842225</v>
      </c>
      <c r="L304" s="62">
        <f>'Filter-new'!E403</f>
        <v>-38.429786834462739</v>
      </c>
      <c r="M304" s="62"/>
      <c r="N304" s="62"/>
      <c r="O304" s="429"/>
      <c r="P304" s="62"/>
      <c r="Q304" s="46">
        <f>'Filter-old'!H403</f>
        <v>-110.28120497666394</v>
      </c>
      <c r="R304" s="62">
        <f>'Filter-new'!H403</f>
        <v>-185.95934172313645</v>
      </c>
      <c r="S304" s="62"/>
      <c r="T304" s="62"/>
      <c r="U304" s="445"/>
      <c r="V304" s="62"/>
      <c r="W304" s="46">
        <f>'Filter-old'!J403</f>
        <v>0</v>
      </c>
      <c r="X304" s="62">
        <f>'Filter-new'!J403</f>
        <v>0</v>
      </c>
      <c r="Y304" s="62"/>
      <c r="Z304" s="62"/>
      <c r="AA304" s="46">
        <f>'Filter-old'!F403</f>
        <v>0</v>
      </c>
      <c r="AB304" s="62">
        <f>'Filter-new'!F403</f>
        <v>0</v>
      </c>
      <c r="AC304" s="62"/>
      <c r="AD304" s="62"/>
      <c r="AE304" s="46">
        <f>'Filter-old'!P403</f>
        <v>0</v>
      </c>
      <c r="AF304" s="62">
        <f>'Filter-new'!P403</f>
        <v>0</v>
      </c>
      <c r="AG304" s="62"/>
      <c r="AH304" s="62"/>
      <c r="AI304" s="46">
        <f>'Filter-old'!L403</f>
        <v>0</v>
      </c>
      <c r="AJ304" s="62">
        <f>'Filter-new'!L403</f>
        <v>9.0510900290416263</v>
      </c>
      <c r="AK304" s="62"/>
      <c r="AL304" s="62"/>
      <c r="AM304" s="62"/>
      <c r="AN304" s="62"/>
      <c r="AO304" s="46">
        <f>'Filter-old'!G403</f>
        <v>0</v>
      </c>
      <c r="AP304" s="62">
        <f>'Filter-new'!G403</f>
        <v>0</v>
      </c>
      <c r="AQ304" s="62"/>
      <c r="AR304" s="62"/>
      <c r="AS304" s="46"/>
      <c r="AT304" s="62"/>
      <c r="AU304" s="62"/>
      <c r="AV304" s="62"/>
      <c r="AW304" s="46">
        <f>'Filter-old'!I403</f>
        <v>0</v>
      </c>
      <c r="AX304" s="62">
        <f>'Filter-new'!I403</f>
        <v>31.349467570183926</v>
      </c>
      <c r="AY304" s="62"/>
      <c r="AZ304" s="62"/>
      <c r="BA304" s="62"/>
      <c r="BB304" s="62"/>
      <c r="BC304" s="46">
        <f>'Filter-old'!K403</f>
        <v>0</v>
      </c>
      <c r="BD304" s="62">
        <f>'Filter-new'!K403</f>
        <v>-20.335592126492418</v>
      </c>
      <c r="BE304" s="62"/>
      <c r="BF304" s="62"/>
      <c r="BG304" s="46">
        <f>'Filter-old'!M403</f>
        <v>0</v>
      </c>
      <c r="BH304" s="62"/>
      <c r="BI304" s="62"/>
      <c r="BJ304" s="62">
        <f>'Filter-new'!M403</f>
        <v>84.607938044530485</v>
      </c>
      <c r="BK304" s="62"/>
      <c r="BL304" s="62"/>
      <c r="BM304" s="62"/>
      <c r="BN304" s="406">
        <f>'Filter-new'!N403</f>
        <v>0</v>
      </c>
      <c r="BO304" s="62"/>
      <c r="BP304" s="62"/>
      <c r="BQ304" s="46">
        <f>'Filter-old'!O403</f>
        <v>0</v>
      </c>
      <c r="BR304" s="62">
        <f>'Filter-new'!O403</f>
        <v>32.418199419167472</v>
      </c>
      <c r="BS304" s="62"/>
      <c r="BT304" s="62"/>
      <c r="BU304" s="46">
        <f>'Filter-old'!Q403</f>
        <v>113.54255181818185</v>
      </c>
      <c r="BV304" s="62">
        <f>'Filter-new'!Q403</f>
        <v>43.886564109390122</v>
      </c>
      <c r="BW304" s="62"/>
      <c r="BX304" s="62"/>
      <c r="BY304" s="62"/>
      <c r="BZ304" s="62"/>
      <c r="CA304" s="46">
        <f>'Filter-old'!R403</f>
        <v>-15.77142857142857</v>
      </c>
      <c r="CB304" s="62">
        <f>'Filter-new'!R403</f>
        <v>170.70022587931589</v>
      </c>
      <c r="CC304" s="57"/>
      <c r="CD304" s="58"/>
      <c r="CE304" s="57"/>
      <c r="CF304" s="57"/>
      <c r="CG304" s="169">
        <f t="shared" si="45"/>
        <v>-348.38342012587088</v>
      </c>
    </row>
    <row r="305" spans="1:85" hidden="1" x14ac:dyDescent="0.2">
      <c r="A305">
        <v>0</v>
      </c>
      <c r="B305" s="59">
        <v>37926</v>
      </c>
      <c r="C305" s="59">
        <f>'Filter-new'!C37</f>
        <v>37926</v>
      </c>
      <c r="D305" s="60">
        <f t="shared" si="43"/>
        <v>2003</v>
      </c>
      <c r="E305" s="60"/>
      <c r="F305" s="60"/>
      <c r="G305" s="36">
        <f t="shared" si="44"/>
        <v>-187.28996910606895</v>
      </c>
      <c r="H305" s="36">
        <f t="shared" si="46"/>
        <v>100.18588421490415</v>
      </c>
      <c r="I305" s="36"/>
      <c r="J305" s="41"/>
      <c r="K305" s="46">
        <f>'Filter-old'!E404</f>
        <v>-166.18424578717782</v>
      </c>
      <c r="L305" s="62">
        <f>'Filter-new'!E404</f>
        <v>-30.409441171923316</v>
      </c>
      <c r="M305" s="62"/>
      <c r="N305" s="62"/>
      <c r="O305" s="429"/>
      <c r="P305" s="62"/>
      <c r="Q305" s="46">
        <f>'Filter-old'!H404</f>
        <v>-98.695653745490901</v>
      </c>
      <c r="R305" s="62">
        <f>'Filter-new'!H404</f>
        <v>-147.76994434137288</v>
      </c>
      <c r="S305" s="62"/>
      <c r="T305" s="62"/>
      <c r="U305" s="445"/>
      <c r="V305" s="62"/>
      <c r="W305" s="46">
        <f>'Filter-old'!J404</f>
        <v>0</v>
      </c>
      <c r="X305" s="62">
        <f>'Filter-new'!J404</f>
        <v>0</v>
      </c>
      <c r="Y305" s="62"/>
      <c r="Z305" s="62"/>
      <c r="AA305" s="46">
        <f>'Filter-old'!F404</f>
        <v>0</v>
      </c>
      <c r="AB305" s="62">
        <f>'Filter-new'!F404</f>
        <v>0</v>
      </c>
      <c r="AC305" s="62"/>
      <c r="AD305" s="62"/>
      <c r="AE305" s="46">
        <f>'Filter-old'!P404</f>
        <v>0</v>
      </c>
      <c r="AF305" s="62">
        <f>'Filter-new'!P404</f>
        <v>0</v>
      </c>
      <c r="AG305" s="62"/>
      <c r="AH305" s="62"/>
      <c r="AI305" s="46">
        <f>'Filter-old'!L404</f>
        <v>0</v>
      </c>
      <c r="AJ305" s="62">
        <f>'Filter-new'!L404</f>
        <v>7.1877105751391452</v>
      </c>
      <c r="AK305" s="62"/>
      <c r="AL305" s="62"/>
      <c r="AM305" s="62"/>
      <c r="AN305" s="62"/>
      <c r="AO305" s="46">
        <f>'Filter-old'!G404</f>
        <v>0</v>
      </c>
      <c r="AP305" s="62">
        <f>'Filter-new'!G404</f>
        <v>0</v>
      </c>
      <c r="AQ305" s="62"/>
      <c r="AR305" s="62"/>
      <c r="AS305" s="46"/>
      <c r="AT305" s="62"/>
      <c r="AU305" s="62"/>
      <c r="AV305" s="62"/>
      <c r="AW305" s="46">
        <f>'Filter-old'!I404</f>
        <v>0</v>
      </c>
      <c r="AX305" s="62">
        <f>'Filter-new'!I404</f>
        <v>24.910327767470626</v>
      </c>
      <c r="AY305" s="62"/>
      <c r="AZ305" s="62"/>
      <c r="BA305" s="62"/>
      <c r="BB305" s="62"/>
      <c r="BC305" s="46">
        <f>'Filter-old'!K404</f>
        <v>0</v>
      </c>
      <c r="BD305" s="62">
        <f>'Filter-new'!K404</f>
        <v>-16.097711811997527</v>
      </c>
      <c r="BE305" s="62"/>
      <c r="BF305" s="62"/>
      <c r="BG305" s="46">
        <f>'Filter-old'!M404</f>
        <v>0</v>
      </c>
      <c r="BH305" s="62"/>
      <c r="BI305" s="62"/>
      <c r="BJ305" s="62">
        <f>'Filter-new'!M404</f>
        <v>66.975881261595546</v>
      </c>
      <c r="BK305" s="62"/>
      <c r="BL305" s="62"/>
      <c r="BM305" s="62"/>
      <c r="BN305" s="406">
        <f>'Filter-new'!N404</f>
        <v>0</v>
      </c>
      <c r="BO305" s="62"/>
      <c r="BP305" s="62"/>
      <c r="BQ305" s="46">
        <f>'Filter-old'!O404</f>
        <v>0</v>
      </c>
      <c r="BR305" s="62">
        <f>'Filter-new'!O404</f>
        <v>25.662337662337666</v>
      </c>
      <c r="BS305" s="62"/>
      <c r="BT305" s="62"/>
      <c r="BU305" s="46">
        <f>'Filter-old'!Q404</f>
        <v>90.177132434127998</v>
      </c>
      <c r="BV305" s="62">
        <f>'Filter-new'!Q404</f>
        <v>34.599946289734078</v>
      </c>
      <c r="BW305" s="62"/>
      <c r="BX305" s="62"/>
      <c r="BY305" s="62"/>
      <c r="BZ305" s="62"/>
      <c r="CA305" s="46">
        <f>'Filter-old'!R404</f>
        <v>-12.58720200752823</v>
      </c>
      <c r="CB305" s="62">
        <f>'Filter-new'!R404</f>
        <v>135.12677798392082</v>
      </c>
      <c r="CC305" s="57"/>
      <c r="CD305" s="58"/>
      <c r="CE305" s="57"/>
      <c r="CF305" s="57"/>
      <c r="CG305" s="169">
        <f t="shared" si="45"/>
        <v>-287.4758533209731</v>
      </c>
    </row>
    <row r="306" spans="1:85" hidden="1" x14ac:dyDescent="0.2">
      <c r="A306">
        <v>0</v>
      </c>
      <c r="B306" s="59">
        <v>37956</v>
      </c>
      <c r="C306" s="59">
        <f>'Filter-new'!C38</f>
        <v>37956</v>
      </c>
      <c r="D306" s="60">
        <f t="shared" si="43"/>
        <v>2003</v>
      </c>
      <c r="E306" s="60"/>
      <c r="F306" s="60"/>
      <c r="G306" s="36">
        <f t="shared" si="44"/>
        <v>-211.36040528924235</v>
      </c>
      <c r="H306" s="36">
        <f t="shared" si="46"/>
        <v>110.71866579459775</v>
      </c>
      <c r="I306" s="36"/>
      <c r="J306" s="41"/>
      <c r="K306" s="46">
        <f>'Filter-old'!E405</f>
        <v>-185.53400518886357</v>
      </c>
      <c r="L306" s="62">
        <f>'Filter-new'!E405</f>
        <v>-33.779563668744437</v>
      </c>
      <c r="M306" s="62"/>
      <c r="N306" s="62"/>
      <c r="O306" s="429"/>
      <c r="P306" s="62"/>
      <c r="Q306" s="46">
        <f>'Filter-old'!H405</f>
        <v>-112.10727864583333</v>
      </c>
      <c r="R306" s="62">
        <f>'Filter-new'!H405</f>
        <v>-164.8726625111309</v>
      </c>
      <c r="S306" s="62"/>
      <c r="T306" s="62"/>
      <c r="U306" s="445"/>
      <c r="V306" s="62"/>
      <c r="W306" s="46">
        <f>'Filter-old'!J405</f>
        <v>0</v>
      </c>
      <c r="X306" s="62">
        <f>'Filter-new'!J405</f>
        <v>0</v>
      </c>
      <c r="Y306" s="62"/>
      <c r="Z306" s="62"/>
      <c r="AA306" s="46">
        <f>'Filter-old'!F405</f>
        <v>0</v>
      </c>
      <c r="AB306" s="62">
        <f>'Filter-new'!F405</f>
        <v>0</v>
      </c>
      <c r="AC306" s="62"/>
      <c r="AD306" s="62"/>
      <c r="AE306" s="46">
        <f>'Filter-old'!P405</f>
        <v>0</v>
      </c>
      <c r="AF306" s="62">
        <f>'Filter-new'!P405</f>
        <v>0</v>
      </c>
      <c r="AG306" s="62"/>
      <c r="AH306" s="62"/>
      <c r="AI306" s="46">
        <f>'Filter-old'!L405</f>
        <v>0</v>
      </c>
      <c r="AJ306" s="62">
        <f>'Filter-new'!L405</f>
        <v>8.0173250222617973</v>
      </c>
      <c r="AK306" s="62"/>
      <c r="AL306" s="62"/>
      <c r="AM306" s="62"/>
      <c r="AN306" s="62"/>
      <c r="AO306" s="46">
        <f>'Filter-old'!G405</f>
        <v>0</v>
      </c>
      <c r="AP306" s="62">
        <f>'Filter-new'!G405</f>
        <v>0</v>
      </c>
      <c r="AQ306" s="62"/>
      <c r="AR306" s="62"/>
      <c r="AS306" s="46"/>
      <c r="AT306" s="62"/>
      <c r="AU306" s="62"/>
      <c r="AV306" s="62"/>
      <c r="AW306" s="46">
        <f>'Filter-old'!I405</f>
        <v>0</v>
      </c>
      <c r="AX306" s="62">
        <f>'Filter-new'!I405</f>
        <v>27.792223211635498</v>
      </c>
      <c r="AY306" s="62"/>
      <c r="AZ306" s="62"/>
      <c r="BA306" s="62"/>
      <c r="BB306" s="62"/>
      <c r="BC306" s="46">
        <f>'Filter-old'!K405</f>
        <v>0</v>
      </c>
      <c r="BD306" s="62">
        <f>'Filter-new'!K405</f>
        <v>-17.892549718017214</v>
      </c>
      <c r="BE306" s="62"/>
      <c r="BF306" s="62"/>
      <c r="BG306" s="46">
        <f>'Filter-old'!M405</f>
        <v>0</v>
      </c>
      <c r="BH306" s="62"/>
      <c r="BI306" s="62"/>
      <c r="BJ306" s="62">
        <f>'Filter-new'!M405</f>
        <v>74.443455031166522</v>
      </c>
      <c r="BK306" s="62"/>
      <c r="BL306" s="62"/>
      <c r="BM306" s="62"/>
      <c r="BN306" s="406">
        <f>'Filter-new'!N405</f>
        <v>0</v>
      </c>
      <c r="BO306" s="62"/>
      <c r="BP306" s="62"/>
      <c r="BQ306" s="46">
        <f>'Filter-old'!O405</f>
        <v>0</v>
      </c>
      <c r="BR306" s="62">
        <f>'Filter-new'!O405</f>
        <v>28.523597506678541</v>
      </c>
      <c r="BS306" s="62"/>
      <c r="BT306" s="62"/>
      <c r="BU306" s="46">
        <f>'Filter-old'!Q405</f>
        <v>100.36087854545454</v>
      </c>
      <c r="BV306" s="62">
        <f>'Filter-new'!Q405</f>
        <v>38.293905331552381</v>
      </c>
      <c r="BW306" s="62"/>
      <c r="BX306" s="62"/>
      <c r="BY306" s="62"/>
      <c r="BZ306" s="62"/>
      <c r="CA306" s="46">
        <f>'Filter-old'!R405</f>
        <v>-14.08</v>
      </c>
      <c r="CB306" s="62">
        <f>'Filter-new'!R405</f>
        <v>150.19293558919557</v>
      </c>
      <c r="CC306" s="57"/>
      <c r="CD306" s="58"/>
      <c r="CE306" s="57"/>
      <c r="CF306" s="57"/>
      <c r="CG306" s="169">
        <f t="shared" si="45"/>
        <v>-322.07907108384012</v>
      </c>
    </row>
    <row r="307" spans="1:85" hidden="1" x14ac:dyDescent="0.2">
      <c r="A307">
        <v>0</v>
      </c>
      <c r="B307" s="59">
        <v>37987</v>
      </c>
      <c r="C307" s="59">
        <f>'Filter-new'!C39</f>
        <v>37987</v>
      </c>
      <c r="D307" s="60">
        <f t="shared" si="43"/>
        <v>2004</v>
      </c>
      <c r="E307" s="60"/>
      <c r="F307" s="60"/>
      <c r="G307" s="36">
        <f t="shared" si="44"/>
        <v>71.630083149431215</v>
      </c>
      <c r="H307" s="36">
        <f t="shared" si="46"/>
        <v>78.62392761738117</v>
      </c>
      <c r="I307" s="36"/>
      <c r="J307" s="41"/>
      <c r="K307" s="46">
        <f>'Filter-old'!E406</f>
        <v>6.1991970583877842</v>
      </c>
      <c r="L307" s="62">
        <f>'Filter-new'!E406</f>
        <v>6.0297802857976102</v>
      </c>
      <c r="M307" s="62"/>
      <c r="N307" s="62"/>
      <c r="O307" s="429"/>
      <c r="P307" s="62"/>
      <c r="Q307" s="46">
        <f>'Filter-old'!H406</f>
        <v>0</v>
      </c>
      <c r="R307" s="62">
        <f>'Filter-new'!H406</f>
        <v>0</v>
      </c>
      <c r="S307" s="62"/>
      <c r="T307" s="62"/>
      <c r="U307" s="445"/>
      <c r="V307" s="62"/>
      <c r="W307" s="46">
        <f>'Filter-old'!J406</f>
        <v>0</v>
      </c>
      <c r="X307" s="62">
        <f>'Filter-new'!J406</f>
        <v>0</v>
      </c>
      <c r="Y307" s="62"/>
      <c r="Z307" s="62"/>
      <c r="AA307" s="46">
        <f>'Filter-old'!F406</f>
        <v>0</v>
      </c>
      <c r="AB307" s="62">
        <f>'Filter-new'!F406</f>
        <v>0</v>
      </c>
      <c r="AC307" s="62"/>
      <c r="AD307" s="62"/>
      <c r="AE307" s="46">
        <f>'Filter-old'!P406</f>
        <v>0</v>
      </c>
      <c r="AF307" s="62">
        <f>'Filter-new'!P406</f>
        <v>0</v>
      </c>
      <c r="AG307" s="62"/>
      <c r="AH307" s="62"/>
      <c r="AI307" s="46">
        <f>'Filter-old'!L406</f>
        <v>0</v>
      </c>
      <c r="AJ307" s="62">
        <f>'Filter-new'!L406</f>
        <v>0</v>
      </c>
      <c r="AK307" s="62"/>
      <c r="AL307" s="62"/>
      <c r="AM307" s="62"/>
      <c r="AN307" s="62"/>
      <c r="AO307" s="46">
        <f>'Filter-old'!G406</f>
        <v>0</v>
      </c>
      <c r="AP307" s="62">
        <f>'Filter-new'!G406</f>
        <v>0</v>
      </c>
      <c r="AQ307" s="62"/>
      <c r="AR307" s="62"/>
      <c r="AS307" s="46"/>
      <c r="AT307" s="62"/>
      <c r="AU307" s="62"/>
      <c r="AV307" s="62"/>
      <c r="AW307" s="46">
        <f>'Filter-old'!I406</f>
        <v>14.200046843860507</v>
      </c>
      <c r="AX307" s="62">
        <f>'Filter-new'!I406</f>
        <v>27.799125109361334</v>
      </c>
      <c r="AY307" s="62"/>
      <c r="AZ307" s="62"/>
      <c r="BA307" s="62"/>
      <c r="BB307" s="62"/>
      <c r="BC307" s="46">
        <f>'Filter-old'!K406</f>
        <v>0</v>
      </c>
      <c r="BD307" s="62">
        <f>'Filter-new'!K406</f>
        <v>0</v>
      </c>
      <c r="BE307" s="62"/>
      <c r="BF307" s="62"/>
      <c r="BG307" s="46">
        <f>'Filter-old'!M406</f>
        <v>0</v>
      </c>
      <c r="BH307" s="62"/>
      <c r="BI307" s="62"/>
      <c r="BJ307" s="62">
        <f>'Filter-new'!M406</f>
        <v>-15.43307086614173</v>
      </c>
      <c r="BK307" s="62"/>
      <c r="BL307" s="62"/>
      <c r="BM307" s="62"/>
      <c r="BN307" s="406">
        <f>'Filter-new'!N406</f>
        <v>0</v>
      </c>
      <c r="BO307" s="62"/>
      <c r="BP307" s="62"/>
      <c r="BQ307" s="46">
        <f>'Filter-old'!O406</f>
        <v>0</v>
      </c>
      <c r="BR307" s="62">
        <f>'Filter-new'!O406</f>
        <v>0</v>
      </c>
      <c r="BS307" s="62"/>
      <c r="BT307" s="62"/>
      <c r="BU307" s="46">
        <f>'Filter-old'!Q406</f>
        <v>51.230839247182928</v>
      </c>
      <c r="BV307" s="62">
        <f>'Filter-new'!Q406</f>
        <v>-0.52431286089238849</v>
      </c>
      <c r="BW307" s="62"/>
      <c r="BX307" s="62"/>
      <c r="BY307" s="62"/>
      <c r="BZ307" s="62"/>
      <c r="CA307" s="46">
        <f>'Filter-old'!R406</f>
        <v>0</v>
      </c>
      <c r="CB307" s="62">
        <f>'Filter-new'!R406</f>
        <v>60.75240594925635</v>
      </c>
      <c r="CC307" s="57"/>
      <c r="CD307" s="58"/>
      <c r="CE307" s="57"/>
      <c r="CF307" s="57"/>
      <c r="CG307" s="169">
        <f t="shared" si="45"/>
        <v>-6.9938444679499554</v>
      </c>
    </row>
    <row r="308" spans="1:85" hidden="1" x14ac:dyDescent="0.2">
      <c r="A308">
        <v>0</v>
      </c>
      <c r="B308" s="59">
        <v>38018</v>
      </c>
      <c r="C308" s="59">
        <f>'Filter-new'!C40</f>
        <v>38018</v>
      </c>
      <c r="D308" s="60">
        <f t="shared" si="43"/>
        <v>2004</v>
      </c>
      <c r="E308" s="60"/>
      <c r="F308" s="60"/>
      <c r="G308" s="36">
        <f t="shared" ref="G308:G339" si="47">SUM(K308,AA308,AO308,Q308,AW308,W308,BC308,AI308,BG308,BQ308,AE308,BU308,CA308)</f>
        <v>68.340939491206626</v>
      </c>
      <c r="H308" s="36">
        <f t="shared" si="46"/>
        <v>76.334224231160292</v>
      </c>
      <c r="I308" s="36"/>
      <c r="J308" s="41"/>
      <c r="K308" s="46">
        <f>'Filter-old'!E407</f>
        <v>5.912559438525741</v>
      </c>
      <c r="L308" s="62">
        <f>'Filter-new'!E407</f>
        <v>5.7932614593301448</v>
      </c>
      <c r="M308" s="62"/>
      <c r="N308" s="62"/>
      <c r="O308" s="429"/>
      <c r="P308" s="62"/>
      <c r="Q308" s="46">
        <f>'Filter-old'!H407</f>
        <v>0</v>
      </c>
      <c r="R308" s="62">
        <f>'Filter-new'!H407</f>
        <v>0</v>
      </c>
      <c r="S308" s="62"/>
      <c r="T308" s="62"/>
      <c r="U308" s="445"/>
      <c r="V308" s="62"/>
      <c r="W308" s="46">
        <f>'Filter-old'!J407</f>
        <v>0</v>
      </c>
      <c r="X308" s="62">
        <f>'Filter-new'!J407</f>
        <v>0</v>
      </c>
      <c r="Y308" s="62"/>
      <c r="Z308" s="62"/>
      <c r="AA308" s="46">
        <f>'Filter-old'!F407</f>
        <v>0</v>
      </c>
      <c r="AB308" s="62">
        <f>'Filter-new'!F407</f>
        <v>0</v>
      </c>
      <c r="AC308" s="62"/>
      <c r="AD308" s="62"/>
      <c r="AE308" s="46">
        <f>'Filter-old'!P407</f>
        <v>0</v>
      </c>
      <c r="AF308" s="62">
        <f>'Filter-new'!P407</f>
        <v>0</v>
      </c>
      <c r="AG308" s="62"/>
      <c r="AH308" s="62"/>
      <c r="AI308" s="46">
        <f>'Filter-old'!L407</f>
        <v>0</v>
      </c>
      <c r="AJ308" s="62">
        <f>'Filter-new'!L407</f>
        <v>0</v>
      </c>
      <c r="AK308" s="62"/>
      <c r="AL308" s="62"/>
      <c r="AM308" s="62"/>
      <c r="AN308" s="62"/>
      <c r="AO308" s="46">
        <f>'Filter-old'!G407</f>
        <v>0</v>
      </c>
      <c r="AP308" s="62">
        <f>'Filter-new'!G407</f>
        <v>0</v>
      </c>
      <c r="AQ308" s="62"/>
      <c r="AR308" s="62"/>
      <c r="AS308" s="46"/>
      <c r="AT308" s="62"/>
      <c r="AU308" s="62"/>
      <c r="AV308" s="62"/>
      <c r="AW308" s="46">
        <f>'Filter-old'!I407</f>
        <v>13.816927239949576</v>
      </c>
      <c r="AX308" s="62">
        <f>'Filter-new'!I407</f>
        <v>26.813397129186605</v>
      </c>
      <c r="AY308" s="62"/>
      <c r="AZ308" s="62"/>
      <c r="BA308" s="62"/>
      <c r="BB308" s="62"/>
      <c r="BC308" s="46">
        <f>'Filter-old'!K407</f>
        <v>0</v>
      </c>
      <c r="BD308" s="62">
        <f>'Filter-new'!K407</f>
        <v>0</v>
      </c>
      <c r="BE308" s="62"/>
      <c r="BF308" s="62"/>
      <c r="BG308" s="46">
        <f>'Filter-old'!M407</f>
        <v>0</v>
      </c>
      <c r="BH308" s="62"/>
      <c r="BI308" s="62"/>
      <c r="BJ308" s="62">
        <f>'Filter-new'!M407</f>
        <v>-15.071770334928232</v>
      </c>
      <c r="BK308" s="62"/>
      <c r="BL308" s="62"/>
      <c r="BM308" s="62"/>
      <c r="BN308" s="406">
        <f>'Filter-new'!N407</f>
        <v>0</v>
      </c>
      <c r="BO308" s="62"/>
      <c r="BP308" s="62"/>
      <c r="BQ308" s="46">
        <f>'Filter-old'!O407</f>
        <v>0</v>
      </c>
      <c r="BR308" s="62">
        <f>'Filter-new'!O407</f>
        <v>0</v>
      </c>
      <c r="BS308" s="62"/>
      <c r="BT308" s="62"/>
      <c r="BU308" s="46">
        <f>'Filter-old'!Q407</f>
        <v>48.611452812731315</v>
      </c>
      <c r="BV308" s="62">
        <f>'Filter-new'!Q407</f>
        <v>-0.53080756309808608</v>
      </c>
      <c r="BW308" s="62"/>
      <c r="BX308" s="62"/>
      <c r="BY308" s="62"/>
      <c r="BZ308" s="62"/>
      <c r="CA308" s="46">
        <f>'Filter-old'!R407</f>
        <v>0</v>
      </c>
      <c r="CB308" s="62">
        <f>'Filter-new'!R407</f>
        <v>59.330143540669859</v>
      </c>
      <c r="CC308" s="57"/>
      <c r="CD308" s="58"/>
      <c r="CE308" s="57"/>
      <c r="CF308" s="57"/>
      <c r="CG308" s="169">
        <f t="shared" ref="CG308:CG339" si="48">G308-H308</f>
        <v>-7.9932847399536655</v>
      </c>
    </row>
    <row r="309" spans="1:85" hidden="1" x14ac:dyDescent="0.2">
      <c r="A309">
        <v>0</v>
      </c>
      <c r="B309" s="59">
        <v>38047</v>
      </c>
      <c r="C309" s="59">
        <f>'Filter-new'!C41</f>
        <v>38047</v>
      </c>
      <c r="D309" s="60">
        <f t="shared" si="43"/>
        <v>2004</v>
      </c>
      <c r="E309" s="60"/>
      <c r="F309" s="60"/>
      <c r="G309" s="36">
        <f t="shared" si="47"/>
        <v>68.063057866913468</v>
      </c>
      <c r="H309" s="36">
        <f t="shared" si="46"/>
        <v>88.129237771001868</v>
      </c>
      <c r="I309" s="36"/>
      <c r="J309" s="41"/>
      <c r="K309" s="46">
        <f>'Filter-old'!E408</f>
        <v>6.0532289456246193</v>
      </c>
      <c r="L309" s="62">
        <f>'Filter-new'!E408</f>
        <v>6.8310100248911025</v>
      </c>
      <c r="M309" s="62"/>
      <c r="N309" s="62"/>
      <c r="O309" s="429"/>
      <c r="P309" s="62"/>
      <c r="Q309" s="46">
        <f>'Filter-old'!H408</f>
        <v>0</v>
      </c>
      <c r="R309" s="62">
        <f>'Filter-new'!H408</f>
        <v>0</v>
      </c>
      <c r="S309" s="62"/>
      <c r="T309" s="62"/>
      <c r="U309" s="445"/>
      <c r="V309" s="62"/>
      <c r="W309" s="46">
        <f>'Filter-old'!J408</f>
        <v>0</v>
      </c>
      <c r="X309" s="62">
        <f>'Filter-new'!J408</f>
        <v>0</v>
      </c>
      <c r="Y309" s="62"/>
      <c r="Z309" s="62"/>
      <c r="AA309" s="46">
        <f>'Filter-old'!F408</f>
        <v>0</v>
      </c>
      <c r="AB309" s="62">
        <f>'Filter-new'!F408</f>
        <v>0</v>
      </c>
      <c r="AC309" s="62"/>
      <c r="AD309" s="62"/>
      <c r="AE309" s="46">
        <f>'Filter-old'!P408</f>
        <v>0</v>
      </c>
      <c r="AF309" s="62">
        <f>'Filter-new'!P408</f>
        <v>0</v>
      </c>
      <c r="AG309" s="62"/>
      <c r="AH309" s="62"/>
      <c r="AI309" s="46">
        <f>'Filter-old'!L408</f>
        <v>0</v>
      </c>
      <c r="AJ309" s="62">
        <f>'Filter-new'!L408</f>
        <v>0</v>
      </c>
      <c r="AK309" s="62"/>
      <c r="AL309" s="62"/>
      <c r="AM309" s="62"/>
      <c r="AN309" s="62"/>
      <c r="AO309" s="46">
        <f>'Filter-old'!G408</f>
        <v>0</v>
      </c>
      <c r="AP309" s="62">
        <f>'Filter-new'!G408</f>
        <v>0</v>
      </c>
      <c r="AQ309" s="62"/>
      <c r="AR309" s="62"/>
      <c r="AS309" s="46"/>
      <c r="AT309" s="62"/>
      <c r="AU309" s="62"/>
      <c r="AV309" s="62"/>
      <c r="AW309" s="46">
        <f>'Filter-old'!I408</f>
        <v>14.316326530612246</v>
      </c>
      <c r="AX309" s="62">
        <f>'Filter-new'!I408</f>
        <v>31.750591163659003</v>
      </c>
      <c r="AY309" s="62"/>
      <c r="AZ309" s="62"/>
      <c r="BA309" s="62"/>
      <c r="BB309" s="62"/>
      <c r="BC309" s="46">
        <f>'Filter-old'!K408</f>
        <v>0</v>
      </c>
      <c r="BD309" s="62">
        <f>'Filter-new'!K408</f>
        <v>0</v>
      </c>
      <c r="BE309" s="62"/>
      <c r="BF309" s="62"/>
      <c r="BG309" s="46">
        <f>'Filter-old'!M408</f>
        <v>0</v>
      </c>
      <c r="BH309" s="62"/>
      <c r="BI309" s="62"/>
      <c r="BJ309" s="62">
        <f>'Filter-new'!M408</f>
        <v>-16.888612321095209</v>
      </c>
      <c r="BK309" s="62"/>
      <c r="BL309" s="62"/>
      <c r="BM309" s="62"/>
      <c r="BN309" s="406">
        <f>'Filter-new'!N408</f>
        <v>0</v>
      </c>
      <c r="BO309" s="62"/>
      <c r="BP309" s="62"/>
      <c r="BQ309" s="46">
        <f>'Filter-old'!O408</f>
        <v>0</v>
      </c>
      <c r="BR309" s="62">
        <f>'Filter-new'!O408</f>
        <v>0</v>
      </c>
      <c r="BS309" s="62"/>
      <c r="BT309" s="62"/>
      <c r="BU309" s="46">
        <f>'Filter-old'!Q408</f>
        <v>47.693502390676606</v>
      </c>
      <c r="BV309" s="62">
        <f>'Filter-new'!Q408</f>
        <v>-0.54570504791537022</v>
      </c>
      <c r="BW309" s="62"/>
      <c r="BX309" s="62"/>
      <c r="BY309" s="62"/>
      <c r="BZ309" s="62"/>
      <c r="CA309" s="46">
        <f>'Filter-old'!R408</f>
        <v>0</v>
      </c>
      <c r="CB309" s="62">
        <f>'Filter-new'!R408</f>
        <v>66.981953951462344</v>
      </c>
      <c r="CC309" s="57"/>
      <c r="CD309" s="58"/>
      <c r="CE309" s="57"/>
      <c r="CF309" s="57"/>
      <c r="CG309" s="169">
        <f t="shared" si="48"/>
        <v>-20.066179904088401</v>
      </c>
    </row>
    <row r="310" spans="1:85" hidden="1" x14ac:dyDescent="0.2">
      <c r="A310">
        <v>0</v>
      </c>
      <c r="B310" s="59">
        <v>38078</v>
      </c>
      <c r="C310" s="59">
        <f>'Filter-new'!C42</f>
        <v>38078</v>
      </c>
      <c r="D310" s="60">
        <f t="shared" si="43"/>
        <v>2004</v>
      </c>
      <c r="E310" s="60"/>
      <c r="F310" s="60"/>
      <c r="G310" s="36">
        <f t="shared" si="47"/>
        <v>68.270466376455943</v>
      </c>
      <c r="H310" s="36">
        <f t="shared" si="46"/>
        <v>89.761690769891047</v>
      </c>
      <c r="I310" s="36"/>
      <c r="J310" s="41"/>
      <c r="K310" s="46">
        <f>'Filter-old'!E409</f>
        <v>6.1307745245451164</v>
      </c>
      <c r="L310" s="62">
        <f>'Filter-new'!E409</f>
        <v>7.0107189237372074</v>
      </c>
      <c r="M310" s="62"/>
      <c r="N310" s="62"/>
      <c r="O310" s="429"/>
      <c r="P310" s="62"/>
      <c r="Q310" s="46">
        <f>'Filter-old'!H409</f>
        <v>0</v>
      </c>
      <c r="R310" s="62">
        <f>'Filter-new'!H409</f>
        <v>0</v>
      </c>
      <c r="S310" s="62"/>
      <c r="T310" s="62"/>
      <c r="U310" s="445"/>
      <c r="V310" s="62"/>
      <c r="W310" s="46">
        <f>'Filter-old'!J409</f>
        <v>0</v>
      </c>
      <c r="X310" s="62">
        <f>'Filter-new'!J409</f>
        <v>0</v>
      </c>
      <c r="Y310" s="62"/>
      <c r="Z310" s="62"/>
      <c r="AA310" s="46">
        <f>'Filter-old'!F409</f>
        <v>0</v>
      </c>
      <c r="AB310" s="62">
        <f>'Filter-new'!F409</f>
        <v>0</v>
      </c>
      <c r="AC310" s="62"/>
      <c r="AD310" s="62"/>
      <c r="AE310" s="46">
        <f>'Filter-old'!P409</f>
        <v>0</v>
      </c>
      <c r="AF310" s="62">
        <f>'Filter-new'!P409</f>
        <v>0</v>
      </c>
      <c r="AG310" s="62"/>
      <c r="AH310" s="62"/>
      <c r="AI310" s="46">
        <f>'Filter-old'!L409</f>
        <v>0</v>
      </c>
      <c r="AJ310" s="62">
        <f>'Filter-new'!L409</f>
        <v>0</v>
      </c>
      <c r="AK310" s="62"/>
      <c r="AL310" s="62"/>
      <c r="AM310" s="62"/>
      <c r="AN310" s="62"/>
      <c r="AO310" s="46">
        <f>'Filter-old'!G409</f>
        <v>0</v>
      </c>
      <c r="AP310" s="62">
        <f>'Filter-new'!G409</f>
        <v>0</v>
      </c>
      <c r="AQ310" s="62"/>
      <c r="AR310" s="62"/>
      <c r="AS310" s="46"/>
      <c r="AT310" s="62"/>
      <c r="AU310" s="62"/>
      <c r="AV310" s="62"/>
      <c r="AW310" s="46">
        <f>'Filter-old'!I409</f>
        <v>14.018741633199463</v>
      </c>
      <c r="AX310" s="62">
        <f>'Filter-new'!I409</f>
        <v>32.736348629910857</v>
      </c>
      <c r="AY310" s="62"/>
      <c r="AZ310" s="62"/>
      <c r="BA310" s="62"/>
      <c r="BB310" s="62"/>
      <c r="BC310" s="46">
        <f>'Filter-old'!K409</f>
        <v>0</v>
      </c>
      <c r="BD310" s="62">
        <f>'Filter-new'!K409</f>
        <v>0</v>
      </c>
      <c r="BE310" s="62"/>
      <c r="BF310" s="62"/>
      <c r="BG310" s="46">
        <f>'Filter-old'!M409</f>
        <v>0</v>
      </c>
      <c r="BH310" s="62"/>
      <c r="BI310" s="62"/>
      <c r="BJ310" s="62">
        <f>'Filter-new'!M409</f>
        <v>-17.140970617365468</v>
      </c>
      <c r="BK310" s="62"/>
      <c r="BL310" s="62"/>
      <c r="BM310" s="62"/>
      <c r="BN310" s="406">
        <f>'Filter-new'!N409</f>
        <v>0</v>
      </c>
      <c r="BO310" s="62"/>
      <c r="BP310" s="62"/>
      <c r="BQ310" s="46">
        <f>'Filter-old'!O409</f>
        <v>0</v>
      </c>
      <c r="BR310" s="62">
        <f>'Filter-new'!O409</f>
        <v>0</v>
      </c>
      <c r="BS310" s="62"/>
      <c r="BT310" s="62"/>
      <c r="BU310" s="46">
        <f>'Filter-old'!Q409</f>
        <v>48.120950218711357</v>
      </c>
      <c r="BV310" s="62">
        <f>'Filter-new'!Q409</f>
        <v>-0.82723878441729959</v>
      </c>
      <c r="BW310" s="62"/>
      <c r="BX310" s="62"/>
      <c r="BY310" s="62"/>
      <c r="BZ310" s="62"/>
      <c r="CA310" s="46">
        <f>'Filter-old'!R409</f>
        <v>0</v>
      </c>
      <c r="CB310" s="62">
        <f>'Filter-new'!R409</f>
        <v>67.982832618025753</v>
      </c>
      <c r="CC310" s="57"/>
      <c r="CD310" s="58"/>
      <c r="CE310" s="57"/>
      <c r="CF310" s="57"/>
      <c r="CG310" s="169">
        <f t="shared" si="48"/>
        <v>-21.491224393435104</v>
      </c>
    </row>
    <row r="311" spans="1:85" hidden="1" x14ac:dyDescent="0.2">
      <c r="A311">
        <v>0</v>
      </c>
      <c r="B311" s="59">
        <v>38108</v>
      </c>
      <c r="C311" s="59">
        <f>'Filter-new'!C43</f>
        <v>38108</v>
      </c>
      <c r="D311" s="60">
        <f t="shared" si="43"/>
        <v>2004</v>
      </c>
      <c r="E311" s="60"/>
      <c r="F311" s="60"/>
      <c r="G311" s="36">
        <f t="shared" si="47"/>
        <v>72.754116870625126</v>
      </c>
      <c r="H311" s="36">
        <f t="shared" ref="H311:H342" si="49">SUM(L311,AB311,AP311,R311,AX311,X311,BD311,AJ311,BJ311,BR311,AF311,BV311,CB311,BN311)</f>
        <v>85.285261044973552</v>
      </c>
      <c r="I311" s="36"/>
      <c r="J311" s="41"/>
      <c r="K311" s="46">
        <f>'Filter-old'!E410</f>
        <v>6.6021265350546603</v>
      </c>
      <c r="L311" s="62">
        <f>'Filter-new'!E410</f>
        <v>6.5279664682539682</v>
      </c>
      <c r="M311" s="62"/>
      <c r="N311" s="62"/>
      <c r="O311" s="429"/>
      <c r="P311" s="62"/>
      <c r="Q311" s="46">
        <f>'Filter-old'!H410</f>
        <v>0</v>
      </c>
      <c r="R311" s="62">
        <f>'Filter-new'!H410</f>
        <v>0</v>
      </c>
      <c r="S311" s="62"/>
      <c r="T311" s="62"/>
      <c r="U311" s="445"/>
      <c r="V311" s="62"/>
      <c r="W311" s="46">
        <f>'Filter-old'!J410</f>
        <v>0</v>
      </c>
      <c r="X311" s="62">
        <f>'Filter-new'!J410</f>
        <v>0</v>
      </c>
      <c r="Y311" s="62"/>
      <c r="Z311" s="62"/>
      <c r="AA311" s="46">
        <f>'Filter-old'!F410</f>
        <v>0</v>
      </c>
      <c r="AB311" s="62">
        <f>'Filter-new'!F410</f>
        <v>0</v>
      </c>
      <c r="AC311" s="62"/>
      <c r="AD311" s="62"/>
      <c r="AE311" s="46">
        <f>'Filter-old'!P410</f>
        <v>0</v>
      </c>
      <c r="AF311" s="62">
        <f>'Filter-new'!P410</f>
        <v>0</v>
      </c>
      <c r="AG311" s="62"/>
      <c r="AH311" s="62"/>
      <c r="AI311" s="46">
        <f>'Filter-old'!L410</f>
        <v>0</v>
      </c>
      <c r="AJ311" s="62">
        <f>'Filter-new'!L410</f>
        <v>0</v>
      </c>
      <c r="AK311" s="62"/>
      <c r="AL311" s="62"/>
      <c r="AM311" s="62"/>
      <c r="AN311" s="62"/>
      <c r="AO311" s="46">
        <f>'Filter-old'!G410</f>
        <v>0</v>
      </c>
      <c r="AP311" s="62">
        <f>'Filter-new'!G410</f>
        <v>0</v>
      </c>
      <c r="AQ311" s="62"/>
      <c r="AR311" s="62"/>
      <c r="AS311" s="46"/>
      <c r="AT311" s="62"/>
      <c r="AU311" s="62"/>
      <c r="AV311" s="62"/>
      <c r="AW311" s="46">
        <f>'Filter-old'!I410</f>
        <v>13.959731543624162</v>
      </c>
      <c r="AX311" s="62">
        <f>'Filter-new'!I410</f>
        <v>30.634920634920633</v>
      </c>
      <c r="AY311" s="62"/>
      <c r="AZ311" s="62"/>
      <c r="BA311" s="62"/>
      <c r="BB311" s="62"/>
      <c r="BC311" s="46">
        <f>'Filter-old'!K410</f>
        <v>0</v>
      </c>
      <c r="BD311" s="62">
        <f>'Filter-new'!K410</f>
        <v>0</v>
      </c>
      <c r="BE311" s="62"/>
      <c r="BF311" s="62"/>
      <c r="BG311" s="46">
        <f>'Filter-old'!M410</f>
        <v>0</v>
      </c>
      <c r="BH311" s="62"/>
      <c r="BI311" s="62"/>
      <c r="BJ311" s="62">
        <f>'Filter-new'!M410</f>
        <v>-16.137566137566139</v>
      </c>
      <c r="BK311" s="62"/>
      <c r="BL311" s="62"/>
      <c r="BM311" s="62"/>
      <c r="BN311" s="406">
        <f>'Filter-new'!N410</f>
        <v>0</v>
      </c>
      <c r="BO311" s="62"/>
      <c r="BP311" s="62"/>
      <c r="BQ311" s="46">
        <f>'Filter-old'!O410</f>
        <v>0</v>
      </c>
      <c r="BR311" s="62">
        <f>'Filter-new'!O410</f>
        <v>0</v>
      </c>
      <c r="BS311" s="62"/>
      <c r="BT311" s="62"/>
      <c r="BU311" s="46">
        <f>'Filter-old'!Q410</f>
        <v>52.192258791946308</v>
      </c>
      <c r="BV311" s="62">
        <f>'Filter-new'!Q410</f>
        <v>-0.81942499999999985</v>
      </c>
      <c r="BW311" s="62"/>
      <c r="BX311" s="62"/>
      <c r="BY311" s="62"/>
      <c r="BZ311" s="62"/>
      <c r="CA311" s="46">
        <f>'Filter-old'!R410</f>
        <v>0</v>
      </c>
      <c r="CB311" s="62">
        <f>'Filter-new'!R410</f>
        <v>65.07936507936509</v>
      </c>
      <c r="CC311" s="57"/>
      <c r="CD311" s="58"/>
      <c r="CE311" s="57"/>
      <c r="CF311" s="57"/>
      <c r="CG311" s="169">
        <f t="shared" si="48"/>
        <v>-12.531144174348427</v>
      </c>
    </row>
    <row r="312" spans="1:85" hidden="1" x14ac:dyDescent="0.2">
      <c r="A312">
        <v>0</v>
      </c>
      <c r="B312" s="59">
        <v>38139</v>
      </c>
      <c r="C312" s="59">
        <f>'Filter-new'!C44</f>
        <v>38139</v>
      </c>
      <c r="D312" s="60">
        <f t="shared" si="43"/>
        <v>2004</v>
      </c>
      <c r="E312" s="60"/>
      <c r="F312" s="60"/>
      <c r="G312" s="36">
        <f t="shared" si="47"/>
        <v>-176.02913238989018</v>
      </c>
      <c r="H312" s="36">
        <f t="shared" si="49"/>
        <v>-180.03667249950968</v>
      </c>
      <c r="I312" s="36"/>
      <c r="J312" s="41"/>
      <c r="K312" s="46">
        <f>'Filter-old'!E411</f>
        <v>-177.65126746035014</v>
      </c>
      <c r="L312" s="62">
        <f>'Filter-new'!E411</f>
        <v>-190.85888642039882</v>
      </c>
      <c r="M312" s="62"/>
      <c r="N312" s="62"/>
      <c r="O312" s="429"/>
      <c r="P312" s="62"/>
      <c r="Q312" s="46">
        <f>'Filter-old'!H411</f>
        <v>0</v>
      </c>
      <c r="R312" s="62">
        <f>'Filter-new'!H411</f>
        <v>0</v>
      </c>
      <c r="S312" s="62"/>
      <c r="T312" s="62"/>
      <c r="U312" s="445"/>
      <c r="V312" s="62"/>
      <c r="W312" s="46">
        <f>'Filter-old'!J411</f>
        <v>0</v>
      </c>
      <c r="X312" s="62">
        <f>'Filter-new'!J411</f>
        <v>0</v>
      </c>
      <c r="Y312" s="62"/>
      <c r="Z312" s="62"/>
      <c r="AA312" s="46">
        <f>'Filter-old'!F411</f>
        <v>0</v>
      </c>
      <c r="AB312" s="62">
        <f>'Filter-new'!F411</f>
        <v>0</v>
      </c>
      <c r="AC312" s="62"/>
      <c r="AD312" s="62"/>
      <c r="AE312" s="46">
        <f>'Filter-old'!P411</f>
        <v>0</v>
      </c>
      <c r="AF312" s="62">
        <f>'Filter-new'!P411</f>
        <v>0</v>
      </c>
      <c r="AG312" s="62"/>
      <c r="AH312" s="62"/>
      <c r="AI312" s="46">
        <f>'Filter-old'!L411</f>
        <v>0</v>
      </c>
      <c r="AJ312" s="62">
        <f>'Filter-new'!L411</f>
        <v>0</v>
      </c>
      <c r="AK312" s="62"/>
      <c r="AL312" s="62"/>
      <c r="AM312" s="62"/>
      <c r="AN312" s="62"/>
      <c r="AO312" s="46">
        <f>'Filter-old'!G411</f>
        <v>0</v>
      </c>
      <c r="AP312" s="62">
        <f>'Filter-new'!G411</f>
        <v>0</v>
      </c>
      <c r="AQ312" s="62"/>
      <c r="AR312" s="62"/>
      <c r="AS312" s="46"/>
      <c r="AT312" s="62"/>
      <c r="AU312" s="62"/>
      <c r="AV312" s="62"/>
      <c r="AW312" s="46">
        <f>'Filter-old'!I411</f>
        <v>20.473278383408665</v>
      </c>
      <c r="AX312" s="62">
        <f>'Filter-new'!I411</f>
        <v>39.36554429552141</v>
      </c>
      <c r="AY312" s="62"/>
      <c r="AZ312" s="62"/>
      <c r="BA312" s="62"/>
      <c r="BB312" s="62"/>
      <c r="BC312" s="46">
        <f>'Filter-old'!K411</f>
        <v>0</v>
      </c>
      <c r="BD312" s="62">
        <f>'Filter-new'!K411</f>
        <v>0</v>
      </c>
      <c r="BE312" s="62"/>
      <c r="BF312" s="62"/>
      <c r="BG312" s="46">
        <f>'Filter-old'!M411</f>
        <v>0</v>
      </c>
      <c r="BH312" s="62"/>
      <c r="BI312" s="62"/>
      <c r="BJ312" s="62">
        <f>'Filter-new'!M411</f>
        <v>-23.014056881333769</v>
      </c>
      <c r="BK312" s="62"/>
      <c r="BL312" s="62"/>
      <c r="BM312" s="62"/>
      <c r="BN312" s="406">
        <f>'Filter-new'!N411</f>
        <v>0</v>
      </c>
      <c r="BO312" s="62"/>
      <c r="BP312" s="62"/>
      <c r="BQ312" s="46">
        <f>'Filter-old'!O411</f>
        <v>0</v>
      </c>
      <c r="BR312" s="62">
        <f>'Filter-new'!O411</f>
        <v>0</v>
      </c>
      <c r="BS312" s="62"/>
      <c r="BT312" s="62"/>
      <c r="BU312" s="46">
        <f>'Filter-old'!Q411</f>
        <v>-18.851143312948683</v>
      </c>
      <c r="BV312" s="62">
        <f>'Filter-new'!Q411</f>
        <v>-99.311555284733572</v>
      </c>
      <c r="BW312" s="62"/>
      <c r="BX312" s="62"/>
      <c r="BY312" s="62"/>
      <c r="BZ312" s="62"/>
      <c r="CA312" s="46">
        <f>'Filter-old'!R411</f>
        <v>0</v>
      </c>
      <c r="CB312" s="62">
        <f>'Filter-new'!R411</f>
        <v>93.782281791435096</v>
      </c>
      <c r="CC312" s="57"/>
      <c r="CD312" s="58"/>
      <c r="CE312" s="57"/>
      <c r="CF312" s="57"/>
      <c r="CG312" s="169">
        <f t="shared" si="48"/>
        <v>4.007540109619498</v>
      </c>
    </row>
    <row r="313" spans="1:85" hidden="1" x14ac:dyDescent="0.2">
      <c r="A313">
        <v>0</v>
      </c>
      <c r="B313" s="59">
        <v>38169</v>
      </c>
      <c r="C313" s="59">
        <f>'Filter-new'!C45</f>
        <v>38169</v>
      </c>
      <c r="D313" s="60">
        <f t="shared" si="43"/>
        <v>2004</v>
      </c>
      <c r="E313" s="60"/>
      <c r="F313" s="60"/>
      <c r="G313" s="36">
        <f t="shared" si="47"/>
        <v>-125.55557614627146</v>
      </c>
      <c r="H313" s="36">
        <f t="shared" si="49"/>
        <v>108.50786267182961</v>
      </c>
      <c r="I313" s="36"/>
      <c r="J313" s="41"/>
      <c r="K313" s="46">
        <f>'Filter-old'!E412</f>
        <v>-171.95577476831872</v>
      </c>
      <c r="L313" s="62">
        <f>'Filter-new'!E412</f>
        <v>-57.007366253630202</v>
      </c>
      <c r="M313" s="62"/>
      <c r="N313" s="62"/>
      <c r="O313" s="429"/>
      <c r="P313" s="62"/>
      <c r="Q313" s="46">
        <f>'Filter-old'!H412</f>
        <v>0</v>
      </c>
      <c r="R313" s="62">
        <f>'Filter-new'!H412</f>
        <v>0</v>
      </c>
      <c r="S313" s="62"/>
      <c r="T313" s="62"/>
      <c r="U313" s="445"/>
      <c r="V313" s="62"/>
      <c r="W313" s="46">
        <f>'Filter-old'!J412</f>
        <v>0</v>
      </c>
      <c r="X313" s="62">
        <f>'Filter-new'!J412</f>
        <v>0</v>
      </c>
      <c r="Y313" s="62"/>
      <c r="Z313" s="62"/>
      <c r="AA313" s="46">
        <f>'Filter-old'!F412</f>
        <v>0</v>
      </c>
      <c r="AB313" s="62">
        <f>'Filter-new'!F412</f>
        <v>0</v>
      </c>
      <c r="AC313" s="62"/>
      <c r="AD313" s="62"/>
      <c r="AE313" s="46">
        <f>'Filter-old'!P412</f>
        <v>0</v>
      </c>
      <c r="AF313" s="62">
        <f>'Filter-new'!P412</f>
        <v>0</v>
      </c>
      <c r="AG313" s="62"/>
      <c r="AH313" s="62"/>
      <c r="AI313" s="46">
        <f>'Filter-old'!L412</f>
        <v>0</v>
      </c>
      <c r="AJ313" s="62">
        <f>'Filter-new'!L412</f>
        <v>-0.494621490803485</v>
      </c>
      <c r="AK313" s="62"/>
      <c r="AL313" s="62"/>
      <c r="AM313" s="62"/>
      <c r="AN313" s="62"/>
      <c r="AO313" s="46">
        <f>'Filter-old'!G412</f>
        <v>0</v>
      </c>
      <c r="AP313" s="62">
        <f>'Filter-new'!G412</f>
        <v>0</v>
      </c>
      <c r="AQ313" s="62"/>
      <c r="AR313" s="62"/>
      <c r="AS313" s="46"/>
      <c r="AT313" s="62"/>
      <c r="AU313" s="62"/>
      <c r="AV313" s="62"/>
      <c r="AW313" s="46">
        <f>'Filter-old'!I412</f>
        <v>25.960629921259841</v>
      </c>
      <c r="AX313" s="62">
        <f>'Filter-new'!I412</f>
        <v>49.191093901258462</v>
      </c>
      <c r="AY313" s="62"/>
      <c r="AZ313" s="62"/>
      <c r="BA313" s="62"/>
      <c r="BB313" s="62"/>
      <c r="BC313" s="46">
        <f>'Filter-old'!K412</f>
        <v>0</v>
      </c>
      <c r="BD313" s="62">
        <f>'Filter-new'!K412</f>
        <v>0</v>
      </c>
      <c r="BE313" s="62"/>
      <c r="BF313" s="62"/>
      <c r="BG313" s="46">
        <f>'Filter-old'!M412</f>
        <v>0</v>
      </c>
      <c r="BH313" s="62"/>
      <c r="BI313" s="62"/>
      <c r="BJ313" s="62">
        <f>'Filter-new'!M412</f>
        <v>-27.918683446272986</v>
      </c>
      <c r="BK313" s="62"/>
      <c r="BL313" s="62"/>
      <c r="BM313" s="62"/>
      <c r="BN313" s="406">
        <f>'Filter-new'!N412</f>
        <v>0</v>
      </c>
      <c r="BO313" s="62"/>
      <c r="BP313" s="62"/>
      <c r="BQ313" s="46">
        <f>'Filter-old'!O412</f>
        <v>0</v>
      </c>
      <c r="BR313" s="62">
        <f>'Filter-new'!O412</f>
        <v>0</v>
      </c>
      <c r="BS313" s="62"/>
      <c r="BT313" s="62"/>
      <c r="BU313" s="46">
        <f>'Filter-old'!Q412</f>
        <v>20.439568700787401</v>
      </c>
      <c r="BV313" s="62">
        <f>'Filter-new'!Q412</f>
        <v>-45.949878528557605</v>
      </c>
      <c r="BW313" s="62"/>
      <c r="BX313" s="62"/>
      <c r="BY313" s="62"/>
      <c r="BZ313" s="62"/>
      <c r="CA313" s="46">
        <f>'Filter-old'!R412</f>
        <v>0</v>
      </c>
      <c r="CB313" s="62">
        <f>'Filter-new'!R412</f>
        <v>190.68731848983543</v>
      </c>
      <c r="CC313" s="57"/>
      <c r="CD313" s="58"/>
      <c r="CE313" s="57"/>
      <c r="CF313" s="57"/>
      <c r="CG313" s="169">
        <f t="shared" si="48"/>
        <v>-234.06343881810108</v>
      </c>
    </row>
    <row r="314" spans="1:85" hidden="1" x14ac:dyDescent="0.2">
      <c r="A314">
        <v>0</v>
      </c>
      <c r="B314" s="59">
        <v>38200</v>
      </c>
      <c r="C314" s="59">
        <f>'Filter-new'!C46</f>
        <v>38200</v>
      </c>
      <c r="D314" s="60">
        <f t="shared" si="43"/>
        <v>2004</v>
      </c>
      <c r="E314" s="60"/>
      <c r="F314" s="60"/>
      <c r="G314" s="36">
        <f t="shared" si="47"/>
        <v>-128.77229092536106</v>
      </c>
      <c r="H314" s="36">
        <f t="shared" si="49"/>
        <v>113.36871950302643</v>
      </c>
      <c r="I314" s="36"/>
      <c r="J314" s="41"/>
      <c r="K314" s="46">
        <f>'Filter-old'!E413</f>
        <v>-177.11738696945963</v>
      </c>
      <c r="L314" s="62">
        <f>'Filter-new'!E413</f>
        <v>-57.164594061803129</v>
      </c>
      <c r="M314" s="62"/>
      <c r="N314" s="62"/>
      <c r="O314" s="429"/>
      <c r="P314" s="62"/>
      <c r="Q314" s="46">
        <f>'Filter-old'!H413</f>
        <v>0</v>
      </c>
      <c r="R314" s="62">
        <f>'Filter-new'!H413</f>
        <v>0</v>
      </c>
      <c r="S314" s="62"/>
      <c r="T314" s="62"/>
      <c r="U314" s="445"/>
      <c r="V314" s="62"/>
      <c r="W314" s="46">
        <f>'Filter-old'!J413</f>
        <v>0</v>
      </c>
      <c r="X314" s="62">
        <f>'Filter-new'!J413</f>
        <v>0</v>
      </c>
      <c r="Y314" s="62"/>
      <c r="Z314" s="62"/>
      <c r="AA314" s="46">
        <f>'Filter-old'!F413</f>
        <v>0</v>
      </c>
      <c r="AB314" s="62">
        <f>'Filter-new'!F413</f>
        <v>0</v>
      </c>
      <c r="AC314" s="62"/>
      <c r="AD314" s="62"/>
      <c r="AE314" s="46">
        <f>'Filter-old'!P413</f>
        <v>0</v>
      </c>
      <c r="AF314" s="62">
        <f>'Filter-new'!P413</f>
        <v>0</v>
      </c>
      <c r="AG314" s="62"/>
      <c r="AH314" s="62"/>
      <c r="AI314" s="46">
        <f>'Filter-old'!L413</f>
        <v>0</v>
      </c>
      <c r="AJ314" s="62">
        <f>'Filter-new'!L413</f>
        <v>-0.5038343421471807</v>
      </c>
      <c r="AK314" s="62"/>
      <c r="AL314" s="62"/>
      <c r="AM314" s="62"/>
      <c r="AN314" s="62"/>
      <c r="AO314" s="46">
        <f>'Filter-old'!G413</f>
        <v>0</v>
      </c>
      <c r="AP314" s="62">
        <f>'Filter-new'!G413</f>
        <v>0</v>
      </c>
      <c r="AQ314" s="62"/>
      <c r="AR314" s="62"/>
      <c r="AS314" s="46"/>
      <c r="AT314" s="62"/>
      <c r="AU314" s="62"/>
      <c r="AV314" s="62"/>
      <c r="AW314" s="46">
        <f>'Filter-old'!I413</f>
        <v>26.822308690012974</v>
      </c>
      <c r="AX314" s="62">
        <f>'Filter-new'!I413</f>
        <v>49.542402038865887</v>
      </c>
      <c r="AY314" s="62"/>
      <c r="AZ314" s="62"/>
      <c r="BA314" s="62"/>
      <c r="BB314" s="62"/>
      <c r="BC314" s="46">
        <f>'Filter-old'!K413</f>
        <v>0</v>
      </c>
      <c r="BD314" s="62">
        <f>'Filter-new'!K413</f>
        <v>0</v>
      </c>
      <c r="BE314" s="62"/>
      <c r="BF314" s="62"/>
      <c r="BG314" s="46">
        <f>'Filter-old'!M413</f>
        <v>0</v>
      </c>
      <c r="BH314" s="62"/>
      <c r="BI314" s="62"/>
      <c r="BJ314" s="62">
        <f>'Filter-new'!M413</f>
        <v>-28.875438037591596</v>
      </c>
      <c r="BK314" s="62"/>
      <c r="BL314" s="62"/>
      <c r="BM314" s="62"/>
      <c r="BN314" s="406">
        <f>'Filter-new'!N413</f>
        <v>0</v>
      </c>
      <c r="BO314" s="62"/>
      <c r="BP314" s="62"/>
      <c r="BQ314" s="46">
        <f>'Filter-old'!O413</f>
        <v>0</v>
      </c>
      <c r="BR314" s="62">
        <f>'Filter-new'!O413</f>
        <v>0</v>
      </c>
      <c r="BS314" s="62"/>
      <c r="BT314" s="62"/>
      <c r="BU314" s="46">
        <f>'Filter-old'!Q413</f>
        <v>21.522787354085605</v>
      </c>
      <c r="BV314" s="62">
        <f>'Filter-new'!Q413</f>
        <v>-46.851861331634289</v>
      </c>
      <c r="BW314" s="62"/>
      <c r="BX314" s="62"/>
      <c r="BY314" s="62"/>
      <c r="BZ314" s="62"/>
      <c r="CA314" s="46">
        <f>'Filter-old'!R413</f>
        <v>0</v>
      </c>
      <c r="CB314" s="62">
        <f>'Filter-new'!R413</f>
        <v>197.22204523733674</v>
      </c>
      <c r="CC314" s="57"/>
      <c r="CD314" s="58"/>
      <c r="CE314" s="57"/>
      <c r="CF314" s="57"/>
      <c r="CG314" s="169">
        <f t="shared" si="48"/>
        <v>-242.14101042838749</v>
      </c>
    </row>
    <row r="315" spans="1:85" hidden="1" x14ac:dyDescent="0.2">
      <c r="A315">
        <v>0</v>
      </c>
      <c r="B315" s="59">
        <v>38231</v>
      </c>
      <c r="C315" s="59">
        <f>'Filter-new'!C47</f>
        <v>38231</v>
      </c>
      <c r="D315" s="60">
        <f t="shared" si="43"/>
        <v>2004</v>
      </c>
      <c r="E315" s="60"/>
      <c r="F315" s="60"/>
      <c r="G315" s="36">
        <f t="shared" si="47"/>
        <v>64.134356417472318</v>
      </c>
      <c r="H315" s="36">
        <f t="shared" si="49"/>
        <v>81.57614517937219</v>
      </c>
      <c r="I315" s="36"/>
      <c r="J315" s="41"/>
      <c r="K315" s="46">
        <f>'Filter-old'!E414</f>
        <v>5.6103919230031938</v>
      </c>
      <c r="L315" s="62">
        <f>'Filter-new'!E414</f>
        <v>6.1432118033311971</v>
      </c>
      <c r="M315" s="62"/>
      <c r="N315" s="62"/>
      <c r="O315" s="429"/>
      <c r="P315" s="62"/>
      <c r="Q315" s="46">
        <f>'Filter-old'!H414</f>
        <v>0</v>
      </c>
      <c r="R315" s="62">
        <f>'Filter-new'!H414</f>
        <v>0</v>
      </c>
      <c r="S315" s="62"/>
      <c r="T315" s="62"/>
      <c r="U315" s="445"/>
      <c r="V315" s="62"/>
      <c r="W315" s="46">
        <f>'Filter-old'!J414</f>
        <v>0</v>
      </c>
      <c r="X315" s="62">
        <f>'Filter-new'!J414</f>
        <v>0</v>
      </c>
      <c r="Y315" s="62"/>
      <c r="Z315" s="62"/>
      <c r="AA315" s="46">
        <f>'Filter-old'!F414</f>
        <v>0</v>
      </c>
      <c r="AB315" s="62">
        <f>'Filter-new'!F414</f>
        <v>0</v>
      </c>
      <c r="AC315" s="62"/>
      <c r="AD315" s="62"/>
      <c r="AE315" s="46">
        <f>'Filter-old'!P414</f>
        <v>0</v>
      </c>
      <c r="AF315" s="62">
        <f>'Filter-new'!P414</f>
        <v>0</v>
      </c>
      <c r="AG315" s="62"/>
      <c r="AH315" s="62"/>
      <c r="AI315" s="46">
        <f>'Filter-old'!L414</f>
        <v>0</v>
      </c>
      <c r="AJ315" s="62">
        <f>'Filter-new'!L414</f>
        <v>0</v>
      </c>
      <c r="AK315" s="62"/>
      <c r="AL315" s="62"/>
      <c r="AM315" s="62"/>
      <c r="AN315" s="62"/>
      <c r="AO315" s="46">
        <f>'Filter-old'!G414</f>
        <v>0</v>
      </c>
      <c r="AP315" s="62">
        <f>'Filter-new'!G414</f>
        <v>0</v>
      </c>
      <c r="AQ315" s="62"/>
      <c r="AR315" s="62"/>
      <c r="AS315" s="46"/>
      <c r="AT315" s="62"/>
      <c r="AU315" s="62"/>
      <c r="AV315" s="62"/>
      <c r="AW315" s="46">
        <f>'Filter-old'!I414</f>
        <v>14.790264111859139</v>
      </c>
      <c r="AX315" s="62">
        <f>'Filter-new'!I414</f>
        <v>29.327354260089685</v>
      </c>
      <c r="AY315" s="62"/>
      <c r="AZ315" s="62"/>
      <c r="BA315" s="62"/>
      <c r="BB315" s="62"/>
      <c r="BC315" s="46">
        <f>'Filter-old'!K414</f>
        <v>0</v>
      </c>
      <c r="BD315" s="62">
        <f>'Filter-new'!K414</f>
        <v>0</v>
      </c>
      <c r="BE315" s="62"/>
      <c r="BF315" s="62"/>
      <c r="BG315" s="46">
        <f>'Filter-old'!M414</f>
        <v>0</v>
      </c>
      <c r="BH315" s="62"/>
      <c r="BI315" s="62"/>
      <c r="BJ315" s="62">
        <f>'Filter-new'!M414</f>
        <v>-15.605381165919281</v>
      </c>
      <c r="BK315" s="62"/>
      <c r="BL315" s="62"/>
      <c r="BM315" s="62"/>
      <c r="BN315" s="406">
        <f>'Filter-new'!N414</f>
        <v>0</v>
      </c>
      <c r="BO315" s="62"/>
      <c r="BP315" s="62"/>
      <c r="BQ315" s="46">
        <f>'Filter-old'!O414</f>
        <v>0</v>
      </c>
      <c r="BR315" s="62">
        <f>'Filter-new'!O414</f>
        <v>0</v>
      </c>
      <c r="BS315" s="62"/>
      <c r="BT315" s="62"/>
      <c r="BU315" s="46">
        <f>'Filter-old'!Q414</f>
        <v>43.733700382609989</v>
      </c>
      <c r="BV315" s="62">
        <f>'Filter-new'!Q414</f>
        <v>-0.71056438180653425</v>
      </c>
      <c r="BW315" s="62"/>
      <c r="BX315" s="62"/>
      <c r="BY315" s="62"/>
      <c r="BZ315" s="62"/>
      <c r="CA315" s="46">
        <f>'Filter-old'!R414</f>
        <v>0</v>
      </c>
      <c r="CB315" s="62">
        <f>'Filter-new'!R414</f>
        <v>62.421524663677125</v>
      </c>
      <c r="CC315" s="57"/>
      <c r="CD315" s="58"/>
      <c r="CE315" s="57"/>
      <c r="CF315" s="57"/>
      <c r="CG315" s="169">
        <f t="shared" si="48"/>
        <v>-17.441788761899872</v>
      </c>
    </row>
    <row r="316" spans="1:85" hidden="1" x14ac:dyDescent="0.2">
      <c r="A316">
        <v>0</v>
      </c>
      <c r="B316" s="59">
        <v>38261</v>
      </c>
      <c r="C316" s="59">
        <f>'Filter-new'!C48</f>
        <v>38261</v>
      </c>
      <c r="D316" s="60">
        <f t="shared" si="43"/>
        <v>2004</v>
      </c>
      <c r="E316" s="60"/>
      <c r="F316" s="60"/>
      <c r="G316" s="36">
        <f t="shared" si="47"/>
        <v>61.270329128758277</v>
      </c>
      <c r="H316" s="36">
        <f t="shared" si="49"/>
        <v>81.07692554178584</v>
      </c>
      <c r="I316" s="36"/>
      <c r="J316" s="41"/>
      <c r="K316" s="46">
        <f>'Filter-old'!E415</f>
        <v>5.375027329272414</v>
      </c>
      <c r="L316" s="62">
        <f>'Filter-new'!E415</f>
        <v>6.1028843724181767</v>
      </c>
      <c r="M316" s="62"/>
      <c r="N316" s="62"/>
      <c r="O316" s="429"/>
      <c r="P316" s="62"/>
      <c r="Q316" s="46">
        <f>'Filter-old'!H415</f>
        <v>0</v>
      </c>
      <c r="R316" s="62">
        <f>'Filter-new'!H415</f>
        <v>0</v>
      </c>
      <c r="S316" s="62"/>
      <c r="T316" s="62"/>
      <c r="U316" s="445"/>
      <c r="V316" s="62"/>
      <c r="W316" s="46">
        <f>'Filter-old'!J415</f>
        <v>0</v>
      </c>
      <c r="X316" s="62">
        <f>'Filter-new'!J415</f>
        <v>0</v>
      </c>
      <c r="Y316" s="62"/>
      <c r="Z316" s="62"/>
      <c r="AA316" s="46">
        <f>'Filter-old'!F415</f>
        <v>0</v>
      </c>
      <c r="AB316" s="62">
        <f>'Filter-new'!F415</f>
        <v>0</v>
      </c>
      <c r="AC316" s="62"/>
      <c r="AD316" s="62"/>
      <c r="AE316" s="46">
        <f>'Filter-old'!P415</f>
        <v>0</v>
      </c>
      <c r="AF316" s="62">
        <f>'Filter-new'!P415</f>
        <v>0</v>
      </c>
      <c r="AG316" s="62"/>
      <c r="AH316" s="62"/>
      <c r="AI316" s="46">
        <f>'Filter-old'!L415</f>
        <v>0</v>
      </c>
      <c r="AJ316" s="62">
        <f>'Filter-new'!L415</f>
        <v>0</v>
      </c>
      <c r="AK316" s="62"/>
      <c r="AL316" s="62"/>
      <c r="AM316" s="62"/>
      <c r="AN316" s="62"/>
      <c r="AO316" s="46">
        <f>'Filter-old'!G415</f>
        <v>0</v>
      </c>
      <c r="AP316" s="62">
        <f>'Filter-new'!G415</f>
        <v>0</v>
      </c>
      <c r="AQ316" s="62"/>
      <c r="AR316" s="62"/>
      <c r="AS316" s="46"/>
      <c r="AT316" s="62"/>
      <c r="AU316" s="62"/>
      <c r="AV316" s="62"/>
      <c r="AW316" s="46">
        <f>'Filter-old'!I415</f>
        <v>13.982005141388173</v>
      </c>
      <c r="AX316" s="62">
        <f>'Filter-new'!I415</f>
        <v>29.275881792183036</v>
      </c>
      <c r="AY316" s="62"/>
      <c r="AZ316" s="62"/>
      <c r="BA316" s="62"/>
      <c r="BB316" s="62"/>
      <c r="BC316" s="46">
        <f>'Filter-old'!K415</f>
        <v>0</v>
      </c>
      <c r="BD316" s="62">
        <f>'Filter-new'!K415</f>
        <v>0</v>
      </c>
      <c r="BE316" s="62"/>
      <c r="BF316" s="62"/>
      <c r="BG316" s="46">
        <f>'Filter-old'!M415</f>
        <v>0</v>
      </c>
      <c r="BH316" s="62"/>
      <c r="BI316" s="62"/>
      <c r="BJ316" s="62">
        <f>'Filter-new'!M415</f>
        <v>-15.481410867492851</v>
      </c>
      <c r="BK316" s="62"/>
      <c r="BL316" s="62"/>
      <c r="BM316" s="62"/>
      <c r="BN316" s="406">
        <f>'Filter-new'!N415</f>
        <v>0</v>
      </c>
      <c r="BO316" s="62"/>
      <c r="BP316" s="62"/>
      <c r="BQ316" s="46">
        <f>'Filter-old'!O415</f>
        <v>0</v>
      </c>
      <c r="BR316" s="62">
        <f>'Filter-new'!O415</f>
        <v>0</v>
      </c>
      <c r="BS316" s="62"/>
      <c r="BT316" s="62"/>
      <c r="BU316" s="46">
        <f>'Filter-old'!Q415</f>
        <v>41.913296658097686</v>
      </c>
      <c r="BV316" s="62">
        <f>'Filter-new'!Q415</f>
        <v>-0.74607322529393072</v>
      </c>
      <c r="BW316" s="62"/>
      <c r="BX316" s="62"/>
      <c r="BY316" s="62"/>
      <c r="BZ316" s="62"/>
      <c r="CA316" s="46">
        <f>'Filter-old'!R415</f>
        <v>0</v>
      </c>
      <c r="CB316" s="62">
        <f>'Filter-new'!R415</f>
        <v>61.925643469971405</v>
      </c>
      <c r="CC316" s="57"/>
      <c r="CD316" s="58"/>
      <c r="CE316" s="57"/>
      <c r="CF316" s="57"/>
      <c r="CG316" s="169">
        <f t="shared" si="48"/>
        <v>-19.806596413027563</v>
      </c>
    </row>
    <row r="317" spans="1:85" hidden="1" x14ac:dyDescent="0.2">
      <c r="A317">
        <v>0</v>
      </c>
      <c r="B317" s="59">
        <v>38292</v>
      </c>
      <c r="C317" s="59">
        <f>'Filter-new'!C49</f>
        <v>38292</v>
      </c>
      <c r="D317" s="60">
        <f t="shared" si="43"/>
        <v>2004</v>
      </c>
      <c r="E317" s="60"/>
      <c r="F317" s="60"/>
      <c r="G317" s="36">
        <f t="shared" si="47"/>
        <v>58.947044215988072</v>
      </c>
      <c r="H317" s="36">
        <f t="shared" si="49"/>
        <v>77.734901121551985</v>
      </c>
      <c r="I317" s="36"/>
      <c r="J317" s="41"/>
      <c r="K317" s="46">
        <f>'Filter-old'!E416</f>
        <v>5.1843007377272068</v>
      </c>
      <c r="L317" s="62">
        <f>'Filter-new'!E416</f>
        <v>5.8654876386783883</v>
      </c>
      <c r="M317" s="62"/>
      <c r="N317" s="62"/>
      <c r="O317" s="429"/>
      <c r="P317" s="62"/>
      <c r="Q317" s="46">
        <f>'Filter-old'!H416</f>
        <v>0</v>
      </c>
      <c r="R317" s="62">
        <f>'Filter-new'!H416</f>
        <v>0</v>
      </c>
      <c r="S317" s="62"/>
      <c r="T317" s="62"/>
      <c r="U317" s="445"/>
      <c r="V317" s="62"/>
      <c r="W317" s="46">
        <f>'Filter-old'!J416</f>
        <v>0</v>
      </c>
      <c r="X317" s="62">
        <f>'Filter-new'!J416</f>
        <v>0</v>
      </c>
      <c r="Y317" s="62"/>
      <c r="Z317" s="62"/>
      <c r="AA317" s="46">
        <f>'Filter-old'!F416</f>
        <v>0</v>
      </c>
      <c r="AB317" s="62">
        <f>'Filter-new'!F416</f>
        <v>0</v>
      </c>
      <c r="AC317" s="62"/>
      <c r="AD317" s="62"/>
      <c r="AE317" s="46">
        <f>'Filter-old'!P416</f>
        <v>0</v>
      </c>
      <c r="AF317" s="62">
        <f>'Filter-new'!P416</f>
        <v>0</v>
      </c>
      <c r="AG317" s="62"/>
      <c r="AH317" s="62"/>
      <c r="AI317" s="46">
        <f>'Filter-old'!L416</f>
        <v>0</v>
      </c>
      <c r="AJ317" s="62">
        <f>'Filter-new'!L416</f>
        <v>0</v>
      </c>
      <c r="AK317" s="62"/>
      <c r="AL317" s="62"/>
      <c r="AM317" s="62"/>
      <c r="AN317" s="62"/>
      <c r="AO317" s="46">
        <f>'Filter-old'!G416</f>
        <v>0</v>
      </c>
      <c r="AP317" s="62">
        <f>'Filter-new'!G416</f>
        <v>0</v>
      </c>
      <c r="AQ317" s="62"/>
      <c r="AR317" s="62"/>
      <c r="AS317" s="46"/>
      <c r="AT317" s="62"/>
      <c r="AU317" s="62"/>
      <c r="AV317" s="62"/>
      <c r="AW317" s="46">
        <f>'Filter-old'!I416</f>
        <v>13.460869565217392</v>
      </c>
      <c r="AX317" s="62">
        <f>'Filter-new'!I416</f>
        <v>28.273294937859959</v>
      </c>
      <c r="AY317" s="62"/>
      <c r="AZ317" s="62"/>
      <c r="BA317" s="62"/>
      <c r="BB317" s="62"/>
      <c r="BC317" s="46">
        <f>'Filter-old'!K416</f>
        <v>0</v>
      </c>
      <c r="BD317" s="62">
        <f>'Filter-new'!K416</f>
        <v>0</v>
      </c>
      <c r="BE317" s="62"/>
      <c r="BF317" s="62"/>
      <c r="BG317" s="46">
        <f>'Filter-old'!M416</f>
        <v>0</v>
      </c>
      <c r="BH317" s="62"/>
      <c r="BI317" s="62"/>
      <c r="BJ317" s="62">
        <f>'Filter-new'!M416</f>
        <v>-14.768111548954231</v>
      </c>
      <c r="BK317" s="62"/>
      <c r="BL317" s="62"/>
      <c r="BM317" s="62"/>
      <c r="BN317" s="406">
        <f>'Filter-new'!N416</f>
        <v>0</v>
      </c>
      <c r="BO317" s="62"/>
      <c r="BP317" s="62"/>
      <c r="BQ317" s="46">
        <f>'Filter-old'!O416</f>
        <v>0</v>
      </c>
      <c r="BR317" s="62">
        <f>'Filter-new'!O416</f>
        <v>0</v>
      </c>
      <c r="BS317" s="62"/>
      <c r="BT317" s="62"/>
      <c r="BU317" s="46">
        <f>'Filter-old'!Q416</f>
        <v>40.301873913043472</v>
      </c>
      <c r="BV317" s="62">
        <f>'Filter-new'!Q416</f>
        <v>-0.70821610184904515</v>
      </c>
      <c r="BW317" s="62"/>
      <c r="BX317" s="62"/>
      <c r="BY317" s="62"/>
      <c r="BZ317" s="62"/>
      <c r="CA317" s="46">
        <f>'Filter-old'!R416</f>
        <v>0</v>
      </c>
      <c r="CB317" s="62">
        <f>'Filter-new'!R416</f>
        <v>59.072446195816923</v>
      </c>
      <c r="CC317" s="57"/>
      <c r="CD317" s="58"/>
      <c r="CE317" s="57"/>
      <c r="CF317" s="57"/>
      <c r="CG317" s="169">
        <f t="shared" si="48"/>
        <v>-18.787856905563913</v>
      </c>
    </row>
    <row r="318" spans="1:85" hidden="1" x14ac:dyDescent="0.2">
      <c r="A318">
        <v>0</v>
      </c>
      <c r="B318" s="59">
        <v>38322</v>
      </c>
      <c r="C318" s="59">
        <f>'Filter-new'!C50</f>
        <v>38322</v>
      </c>
      <c r="D318" s="60">
        <f t="shared" si="43"/>
        <v>2004</v>
      </c>
      <c r="E318" s="60"/>
      <c r="F318" s="60"/>
      <c r="G318" s="36">
        <f t="shared" si="47"/>
        <v>62.173137441252628</v>
      </c>
      <c r="H318" s="36">
        <f t="shared" si="49"/>
        <v>81.182327894247521</v>
      </c>
      <c r="I318" s="36"/>
      <c r="J318" s="41"/>
      <c r="K318" s="46">
        <f>'Filter-old'!E417</f>
        <v>5.4816130422141685</v>
      </c>
      <c r="L318" s="62">
        <f>'Filter-new'!E417</f>
        <v>6.0627222777454977</v>
      </c>
      <c r="M318" s="62"/>
      <c r="N318" s="62"/>
      <c r="O318" s="429"/>
      <c r="P318" s="62"/>
      <c r="Q318" s="46">
        <f>'Filter-old'!H417</f>
        <v>0</v>
      </c>
      <c r="R318" s="62">
        <f>'Filter-new'!H417</f>
        <v>0</v>
      </c>
      <c r="S318" s="62"/>
      <c r="T318" s="62"/>
      <c r="U318" s="445"/>
      <c r="V318" s="62"/>
      <c r="W318" s="46">
        <f>'Filter-old'!J417</f>
        <v>0</v>
      </c>
      <c r="X318" s="62">
        <f>'Filter-new'!J417</f>
        <v>0</v>
      </c>
      <c r="Y318" s="62"/>
      <c r="Z318" s="62"/>
      <c r="AA318" s="46">
        <f>'Filter-old'!F417</f>
        <v>0</v>
      </c>
      <c r="AB318" s="62">
        <f>'Filter-new'!F417</f>
        <v>0</v>
      </c>
      <c r="AC318" s="62"/>
      <c r="AD318" s="62"/>
      <c r="AE318" s="46">
        <f>'Filter-old'!P417</f>
        <v>0</v>
      </c>
      <c r="AF318" s="62">
        <f>'Filter-new'!P417</f>
        <v>0</v>
      </c>
      <c r="AG318" s="62"/>
      <c r="AH318" s="62"/>
      <c r="AI318" s="46">
        <f>'Filter-old'!L417</f>
        <v>0</v>
      </c>
      <c r="AJ318" s="62">
        <f>'Filter-new'!L417</f>
        <v>0</v>
      </c>
      <c r="AK318" s="62"/>
      <c r="AL318" s="62"/>
      <c r="AM318" s="62"/>
      <c r="AN318" s="62"/>
      <c r="AO318" s="46">
        <f>'Filter-old'!G417</f>
        <v>0</v>
      </c>
      <c r="AP318" s="62">
        <f>'Filter-new'!G417</f>
        <v>0</v>
      </c>
      <c r="AQ318" s="62"/>
      <c r="AR318" s="62"/>
      <c r="AS318" s="46"/>
      <c r="AT318" s="62"/>
      <c r="AU318" s="62"/>
      <c r="AV318" s="62"/>
      <c r="AW318" s="46">
        <f>'Filter-old'!I417</f>
        <v>14.209134615384615</v>
      </c>
      <c r="AX318" s="62">
        <f>'Filter-new'!I417</f>
        <v>29.358744915746659</v>
      </c>
      <c r="AY318" s="62"/>
      <c r="AZ318" s="62"/>
      <c r="BA318" s="62"/>
      <c r="BB318" s="62"/>
      <c r="BC318" s="46">
        <f>'Filter-old'!K417</f>
        <v>0</v>
      </c>
      <c r="BD318" s="62">
        <f>'Filter-new'!K417</f>
        <v>0</v>
      </c>
      <c r="BE318" s="62"/>
      <c r="BF318" s="62"/>
      <c r="BG318" s="46">
        <f>'Filter-old'!M417</f>
        <v>0</v>
      </c>
      <c r="BH318" s="62"/>
      <c r="BI318" s="62"/>
      <c r="BJ318" s="62">
        <f>'Filter-new'!M417</f>
        <v>-15.502614758861123</v>
      </c>
      <c r="BK318" s="62"/>
      <c r="BL318" s="62"/>
      <c r="BM318" s="62"/>
      <c r="BN318" s="406">
        <f>'Filter-new'!N417</f>
        <v>0</v>
      </c>
      <c r="BO318" s="62"/>
      <c r="BP318" s="62"/>
      <c r="BQ318" s="46">
        <f>'Filter-old'!O417</f>
        <v>0</v>
      </c>
      <c r="BR318" s="62">
        <f>'Filter-new'!O417</f>
        <v>0</v>
      </c>
      <c r="BS318" s="62"/>
      <c r="BT318" s="62"/>
      <c r="BU318" s="46">
        <f>'Filter-old'!Q417</f>
        <v>42.482389783653844</v>
      </c>
      <c r="BV318" s="62">
        <f>'Filter-new'!Q417</f>
        <v>-0.74698357582800712</v>
      </c>
      <c r="BW318" s="62"/>
      <c r="BX318" s="62"/>
      <c r="BY318" s="62"/>
      <c r="BZ318" s="62"/>
      <c r="CA318" s="46">
        <f>'Filter-old'!R417</f>
        <v>0</v>
      </c>
      <c r="CB318" s="62">
        <f>'Filter-new'!R417</f>
        <v>62.010459035444491</v>
      </c>
      <c r="CC318" s="57"/>
      <c r="CD318" s="58"/>
      <c r="CE318" s="57"/>
      <c r="CF318" s="57"/>
      <c r="CG318" s="169">
        <f t="shared" si="48"/>
        <v>-19.009190452994893</v>
      </c>
    </row>
    <row r="319" spans="1:85" hidden="1" x14ac:dyDescent="0.2">
      <c r="A319">
        <v>0</v>
      </c>
      <c r="B319" s="59">
        <v>38353</v>
      </c>
      <c r="C319" s="59">
        <f>'Filter-new'!C51</f>
        <v>38353</v>
      </c>
      <c r="D319" s="60">
        <f t="shared" si="43"/>
        <v>2005</v>
      </c>
      <c r="E319" s="60"/>
      <c r="F319" s="60"/>
      <c r="G319" s="36">
        <f t="shared" si="47"/>
        <v>124.4149314533577</v>
      </c>
      <c r="H319" s="36">
        <f t="shared" si="49"/>
        <v>18.472049450071939</v>
      </c>
      <c r="I319" s="36"/>
      <c r="J319" s="41"/>
      <c r="K319" s="46">
        <f>'Filter-old'!E418</f>
        <v>68.887312510198001</v>
      </c>
      <c r="L319" s="62">
        <f>'Filter-new'!E418</f>
        <v>-19.573820684892084</v>
      </c>
      <c r="M319" s="62"/>
      <c r="N319" s="62"/>
      <c r="O319" s="429"/>
      <c r="P319" s="62"/>
      <c r="Q319" s="46">
        <f>'Filter-old'!H418</f>
        <v>15.688610807880561</v>
      </c>
      <c r="R319" s="62">
        <f>'Filter-new'!H418</f>
        <v>-13.734906474820143</v>
      </c>
      <c r="S319" s="62"/>
      <c r="T319" s="62"/>
      <c r="U319" s="445"/>
      <c r="V319" s="62"/>
      <c r="W319" s="46">
        <f>'Filter-old'!J418</f>
        <v>0</v>
      </c>
      <c r="X319" s="62">
        <f>'Filter-new'!J418</f>
        <v>0</v>
      </c>
      <c r="Y319" s="62"/>
      <c r="Z319" s="62"/>
      <c r="AA319" s="46">
        <f>'Filter-old'!F418</f>
        <v>0</v>
      </c>
      <c r="AB319" s="62">
        <f>'Filter-new'!F418</f>
        <v>0</v>
      </c>
      <c r="AC319" s="62"/>
      <c r="AD319" s="62"/>
      <c r="AE319" s="46">
        <f>'Filter-old'!P418</f>
        <v>0</v>
      </c>
      <c r="AF319" s="62">
        <f>'Filter-new'!P418</f>
        <v>0</v>
      </c>
      <c r="AG319" s="62"/>
      <c r="AH319" s="62"/>
      <c r="AI319" s="46">
        <f>'Filter-old'!L418</f>
        <v>0</v>
      </c>
      <c r="AJ319" s="62">
        <f>'Filter-new'!L418</f>
        <v>0</v>
      </c>
      <c r="AK319" s="62"/>
      <c r="AL319" s="62"/>
      <c r="AM319" s="62"/>
      <c r="AN319" s="62"/>
      <c r="AO319" s="46">
        <f>'Filter-old'!G418</f>
        <v>0</v>
      </c>
      <c r="AP319" s="62">
        <f>'Filter-new'!G418</f>
        <v>0</v>
      </c>
      <c r="AQ319" s="62"/>
      <c r="AR319" s="62"/>
      <c r="AS319" s="46"/>
      <c r="AT319" s="62"/>
      <c r="AU319" s="62"/>
      <c r="AV319" s="62"/>
      <c r="AW319" s="46">
        <f>'Filter-old'!I418</f>
        <v>-23.247463241755121</v>
      </c>
      <c r="AX319" s="62">
        <f>'Filter-new'!I418</f>
        <v>7.1212661870503595</v>
      </c>
      <c r="AY319" s="62"/>
      <c r="AZ319" s="62"/>
      <c r="BA319" s="62"/>
      <c r="BB319" s="62"/>
      <c r="BC319" s="46">
        <f>'Filter-old'!K418</f>
        <v>0</v>
      </c>
      <c r="BD319" s="62">
        <f>'Filter-new'!K418</f>
        <v>0</v>
      </c>
      <c r="BE319" s="62"/>
      <c r="BF319" s="62"/>
      <c r="BG319" s="46">
        <f>'Filter-old'!M418</f>
        <v>0</v>
      </c>
      <c r="BH319" s="62"/>
      <c r="BI319" s="62"/>
      <c r="BJ319" s="62">
        <f>'Filter-new'!M418</f>
        <v>0</v>
      </c>
      <c r="BK319" s="62"/>
      <c r="BL319" s="62"/>
      <c r="BM319" s="62"/>
      <c r="BN319" s="406">
        <f>'Filter-new'!N418</f>
        <v>0</v>
      </c>
      <c r="BO319" s="62"/>
      <c r="BP319" s="62"/>
      <c r="BQ319" s="46">
        <f>'Filter-old'!O418</f>
        <v>0</v>
      </c>
      <c r="BR319" s="62">
        <f>'Filter-new'!O418</f>
        <v>0</v>
      </c>
      <c r="BS319" s="62"/>
      <c r="BT319" s="62"/>
      <c r="BU319" s="46">
        <f>'Filter-old'!Q418</f>
        <v>63.08647137703425</v>
      </c>
      <c r="BV319" s="62">
        <f>'Filter-new'!Q418</f>
        <v>29.55159675366906</v>
      </c>
      <c r="BW319" s="62"/>
      <c r="BX319" s="62"/>
      <c r="BY319" s="62"/>
      <c r="BZ319" s="62"/>
      <c r="CA319" s="46">
        <f>'Filter-old'!R418</f>
        <v>0</v>
      </c>
      <c r="CB319" s="62">
        <f>'Filter-new'!R418</f>
        <v>15.107913669064747</v>
      </c>
      <c r="CC319" s="57"/>
      <c r="CD319" s="58"/>
      <c r="CE319" s="57"/>
      <c r="CF319" s="57"/>
      <c r="CG319" s="169">
        <f t="shared" si="48"/>
        <v>105.94288200328576</v>
      </c>
    </row>
    <row r="320" spans="1:85" hidden="1" x14ac:dyDescent="0.2">
      <c r="A320">
        <v>0</v>
      </c>
      <c r="B320" s="59">
        <v>38384</v>
      </c>
      <c r="C320" s="59">
        <f>'Filter-new'!C52</f>
        <v>38384</v>
      </c>
      <c r="D320" s="60">
        <f t="shared" si="43"/>
        <v>2005</v>
      </c>
      <c r="E320" s="60"/>
      <c r="F320" s="60"/>
      <c r="G320" s="36">
        <f t="shared" si="47"/>
        <v>128.48272801285106</v>
      </c>
      <c r="H320" s="36">
        <f t="shared" si="49"/>
        <v>18.613591123135414</v>
      </c>
      <c r="I320" s="36"/>
      <c r="J320" s="41"/>
      <c r="K320" s="46">
        <f>'Filter-old'!E419</f>
        <v>66.567079440422134</v>
      </c>
      <c r="L320" s="62">
        <f>'Filter-new'!E419</f>
        <v>-18.297515530856973</v>
      </c>
      <c r="M320" s="62"/>
      <c r="N320" s="62"/>
      <c r="O320" s="429"/>
      <c r="P320" s="62"/>
      <c r="Q320" s="46">
        <f>'Filter-old'!H419</f>
        <v>15.628846276194739</v>
      </c>
      <c r="R320" s="62">
        <f>'Filter-new'!H419</f>
        <v>-12.873939748464462</v>
      </c>
      <c r="S320" s="62"/>
      <c r="T320" s="62"/>
      <c r="U320" s="445"/>
      <c r="V320" s="62"/>
      <c r="W320" s="46">
        <f>'Filter-old'!J419</f>
        <v>0</v>
      </c>
      <c r="X320" s="62">
        <f>'Filter-new'!J419</f>
        <v>0</v>
      </c>
      <c r="Y320" s="62"/>
      <c r="Z320" s="62"/>
      <c r="AA320" s="46">
        <f>'Filter-old'!F419</f>
        <v>0</v>
      </c>
      <c r="AB320" s="62">
        <f>'Filter-new'!F419</f>
        <v>0</v>
      </c>
      <c r="AC320" s="62"/>
      <c r="AD320" s="62"/>
      <c r="AE320" s="46">
        <f>'Filter-old'!P419</f>
        <v>0</v>
      </c>
      <c r="AF320" s="62">
        <f>'Filter-new'!P419</f>
        <v>0</v>
      </c>
      <c r="AG320" s="62"/>
      <c r="AH320" s="62"/>
      <c r="AI320" s="46">
        <f>'Filter-old'!L419</f>
        <v>0</v>
      </c>
      <c r="AJ320" s="62">
        <f>'Filter-new'!L419</f>
        <v>0</v>
      </c>
      <c r="AK320" s="62"/>
      <c r="AL320" s="62"/>
      <c r="AM320" s="62"/>
      <c r="AN320" s="62"/>
      <c r="AO320" s="46">
        <f>'Filter-old'!G419</f>
        <v>0</v>
      </c>
      <c r="AP320" s="62">
        <f>'Filter-new'!G419</f>
        <v>0</v>
      </c>
      <c r="AQ320" s="62"/>
      <c r="AR320" s="62"/>
      <c r="AS320" s="46"/>
      <c r="AT320" s="62"/>
      <c r="AU320" s="62"/>
      <c r="AV320" s="62"/>
      <c r="AW320" s="46">
        <f>'Filter-old'!I419</f>
        <v>-22.740844905945767</v>
      </c>
      <c r="AX320" s="62">
        <f>'Filter-new'!I419</f>
        <v>6.6826557472945289</v>
      </c>
      <c r="AY320" s="62"/>
      <c r="AZ320" s="62"/>
      <c r="BA320" s="62"/>
      <c r="BB320" s="62"/>
      <c r="BC320" s="46">
        <f>'Filter-old'!K419</f>
        <v>0</v>
      </c>
      <c r="BD320" s="62">
        <f>'Filter-new'!K419</f>
        <v>0</v>
      </c>
      <c r="BE320" s="62"/>
      <c r="BF320" s="62"/>
      <c r="BG320" s="46">
        <f>'Filter-old'!M419</f>
        <v>0</v>
      </c>
      <c r="BH320" s="62"/>
      <c r="BI320" s="62"/>
      <c r="BJ320" s="62">
        <f>'Filter-new'!M419</f>
        <v>0</v>
      </c>
      <c r="BK320" s="62"/>
      <c r="BL320" s="62"/>
      <c r="BM320" s="62"/>
      <c r="BN320" s="406">
        <f>'Filter-new'!N419</f>
        <v>0</v>
      </c>
      <c r="BO320" s="62"/>
      <c r="BP320" s="62"/>
      <c r="BQ320" s="46">
        <f>'Filter-old'!O419</f>
        <v>0</v>
      </c>
      <c r="BR320" s="62">
        <f>'Filter-new'!O419</f>
        <v>0</v>
      </c>
      <c r="BS320" s="62"/>
      <c r="BT320" s="62"/>
      <c r="BU320" s="46">
        <f>'Filter-old'!Q419</f>
        <v>69.027647202179935</v>
      </c>
      <c r="BV320" s="62">
        <f>'Filter-new'!Q419</f>
        <v>28.478231544311193</v>
      </c>
      <c r="BW320" s="62"/>
      <c r="BX320" s="62"/>
      <c r="BY320" s="62"/>
      <c r="BZ320" s="62"/>
      <c r="CA320" s="46">
        <f>'Filter-old'!R419</f>
        <v>0</v>
      </c>
      <c r="CB320" s="62">
        <f>'Filter-new'!R419</f>
        <v>14.624159110851126</v>
      </c>
      <c r="CC320" s="57"/>
      <c r="CD320" s="58"/>
      <c r="CE320" s="57"/>
      <c r="CF320" s="57"/>
      <c r="CG320" s="169">
        <f t="shared" si="48"/>
        <v>109.86913688971563</v>
      </c>
    </row>
    <row r="321" spans="1:85" hidden="1" x14ac:dyDescent="0.2">
      <c r="A321">
        <v>0</v>
      </c>
      <c r="B321" s="59">
        <v>38412</v>
      </c>
      <c r="C321" s="59">
        <f>'Filter-new'!C53</f>
        <v>38412</v>
      </c>
      <c r="D321" s="60">
        <f t="shared" si="43"/>
        <v>2005</v>
      </c>
      <c r="E321" s="60"/>
      <c r="F321" s="60"/>
      <c r="G321" s="36">
        <f t="shared" si="47"/>
        <v>124.83228761338103</v>
      </c>
      <c r="H321" s="36">
        <f t="shared" si="49"/>
        <v>23.12686214198844</v>
      </c>
      <c r="I321" s="36"/>
      <c r="J321" s="41"/>
      <c r="K321" s="46">
        <f>'Filter-old'!E420</f>
        <v>68.288806930550209</v>
      </c>
      <c r="L321" s="62">
        <f>'Filter-new'!E420</f>
        <v>-20.15793</v>
      </c>
      <c r="M321" s="62"/>
      <c r="N321" s="62"/>
      <c r="O321" s="429"/>
      <c r="P321" s="62"/>
      <c r="Q321" s="46">
        <f>'Filter-old'!H420</f>
        <v>15.301600743547271</v>
      </c>
      <c r="R321" s="62">
        <f>'Filter-new'!H420</f>
        <v>-14.187412587412586</v>
      </c>
      <c r="S321" s="62"/>
      <c r="T321" s="62"/>
      <c r="U321" s="445"/>
      <c r="V321" s="62"/>
      <c r="W321" s="46">
        <f>'Filter-old'!J420</f>
        <v>0</v>
      </c>
      <c r="X321" s="62">
        <f>'Filter-new'!J420</f>
        <v>0</v>
      </c>
      <c r="Y321" s="62"/>
      <c r="Z321" s="62"/>
      <c r="AA321" s="46">
        <f>'Filter-old'!F420</f>
        <v>0</v>
      </c>
      <c r="AB321" s="62">
        <f>'Filter-new'!F420</f>
        <v>0</v>
      </c>
      <c r="AC321" s="62"/>
      <c r="AD321" s="62"/>
      <c r="AE321" s="46">
        <f>'Filter-old'!P420</f>
        <v>0</v>
      </c>
      <c r="AF321" s="62">
        <f>'Filter-new'!P420</f>
        <v>0</v>
      </c>
      <c r="AG321" s="62"/>
      <c r="AH321" s="62"/>
      <c r="AI321" s="46">
        <f>'Filter-old'!L420</f>
        <v>0</v>
      </c>
      <c r="AJ321" s="62">
        <f>'Filter-new'!L420</f>
        <v>0</v>
      </c>
      <c r="AK321" s="62"/>
      <c r="AL321" s="62"/>
      <c r="AM321" s="62"/>
      <c r="AN321" s="62"/>
      <c r="AO321" s="46">
        <f>'Filter-old'!G420</f>
        <v>0</v>
      </c>
      <c r="AP321" s="62">
        <f>'Filter-new'!G420</f>
        <v>0</v>
      </c>
      <c r="AQ321" s="62"/>
      <c r="AR321" s="62"/>
      <c r="AS321" s="46"/>
      <c r="AT321" s="62"/>
      <c r="AU321" s="62"/>
      <c r="AV321" s="62"/>
      <c r="AW321" s="46">
        <f>'Filter-old'!I420</f>
        <v>-22.603002041201044</v>
      </c>
      <c r="AX321" s="62">
        <f>'Filter-new'!I420</f>
        <v>7.3874125874125864</v>
      </c>
      <c r="AY321" s="62"/>
      <c r="AZ321" s="62"/>
      <c r="BA321" s="62"/>
      <c r="BB321" s="62"/>
      <c r="BC321" s="46">
        <f>'Filter-old'!K420</f>
        <v>0</v>
      </c>
      <c r="BD321" s="62">
        <f>'Filter-new'!K420</f>
        <v>0</v>
      </c>
      <c r="BE321" s="62"/>
      <c r="BF321" s="62"/>
      <c r="BG321" s="46">
        <f>'Filter-old'!M420</f>
        <v>0</v>
      </c>
      <c r="BH321" s="62"/>
      <c r="BI321" s="62"/>
      <c r="BJ321" s="62">
        <f>'Filter-new'!M420</f>
        <v>0</v>
      </c>
      <c r="BK321" s="62"/>
      <c r="BL321" s="62"/>
      <c r="BM321" s="62"/>
      <c r="BN321" s="406">
        <f>'Filter-new'!N420</f>
        <v>0</v>
      </c>
      <c r="BO321" s="62"/>
      <c r="BP321" s="62"/>
      <c r="BQ321" s="46">
        <f>'Filter-old'!O420</f>
        <v>0</v>
      </c>
      <c r="BR321" s="62">
        <f>'Filter-new'!O420</f>
        <v>0</v>
      </c>
      <c r="BS321" s="62"/>
      <c r="BT321" s="62"/>
      <c r="BU321" s="46">
        <f>'Filter-old'!Q420</f>
        <v>63.844881980484587</v>
      </c>
      <c r="BV321" s="62">
        <f>'Filter-new'!Q420</f>
        <v>33.581295638491937</v>
      </c>
      <c r="BW321" s="62"/>
      <c r="BX321" s="62"/>
      <c r="BY321" s="62"/>
      <c r="BZ321" s="62"/>
      <c r="CA321" s="46">
        <f>'Filter-old'!R420</f>
        <v>0</v>
      </c>
      <c r="CB321" s="62">
        <f>'Filter-new'!R420</f>
        <v>16.503496503496503</v>
      </c>
      <c r="CC321" s="57"/>
      <c r="CD321" s="58"/>
      <c r="CE321" s="57"/>
      <c r="CF321" s="57"/>
      <c r="CG321" s="169">
        <f t="shared" si="48"/>
        <v>101.70542547139259</v>
      </c>
    </row>
    <row r="322" spans="1:85" hidden="1" x14ac:dyDescent="0.2">
      <c r="A322">
        <v>0</v>
      </c>
      <c r="B322" s="59">
        <v>38443</v>
      </c>
      <c r="C322" s="59">
        <f>'Filter-new'!C54</f>
        <v>38443</v>
      </c>
      <c r="D322" s="60">
        <f t="shared" si="43"/>
        <v>2005</v>
      </c>
      <c r="E322" s="60"/>
      <c r="F322" s="60"/>
      <c r="G322" s="36">
        <f t="shared" si="47"/>
        <v>121.88555652350597</v>
      </c>
      <c r="H322" s="36">
        <f t="shared" si="49"/>
        <v>20.850761389819585</v>
      </c>
      <c r="I322" s="36"/>
      <c r="J322" s="41"/>
      <c r="K322" s="46">
        <f>'Filter-old'!E421</f>
        <v>65.967260258231391</v>
      </c>
      <c r="L322" s="62">
        <f>'Filter-new'!E421</f>
        <v>-20.283352796391753</v>
      </c>
      <c r="M322" s="62"/>
      <c r="N322" s="62"/>
      <c r="O322" s="429"/>
      <c r="P322" s="62"/>
      <c r="Q322" s="46">
        <f>'Filter-old'!H421</f>
        <v>14.657518120875871</v>
      </c>
      <c r="R322" s="62">
        <f>'Filter-new'!H421</f>
        <v>-14.380670103092779</v>
      </c>
      <c r="S322" s="62"/>
      <c r="T322" s="62"/>
      <c r="U322" s="445"/>
      <c r="V322" s="62"/>
      <c r="W322" s="46">
        <f>'Filter-old'!J421</f>
        <v>0</v>
      </c>
      <c r="X322" s="62">
        <f>'Filter-new'!J421</f>
        <v>0</v>
      </c>
      <c r="Y322" s="62"/>
      <c r="Z322" s="62"/>
      <c r="AA322" s="46">
        <f>'Filter-old'!F421</f>
        <v>0</v>
      </c>
      <c r="AB322" s="62">
        <f>'Filter-new'!F421</f>
        <v>0</v>
      </c>
      <c r="AC322" s="62"/>
      <c r="AD322" s="62"/>
      <c r="AE322" s="46">
        <f>'Filter-old'!P421</f>
        <v>0</v>
      </c>
      <c r="AF322" s="62">
        <f>'Filter-new'!P421</f>
        <v>0</v>
      </c>
      <c r="AG322" s="62"/>
      <c r="AH322" s="62"/>
      <c r="AI322" s="46">
        <f>'Filter-old'!L421</f>
        <v>0</v>
      </c>
      <c r="AJ322" s="62">
        <f>'Filter-new'!L421</f>
        <v>0</v>
      </c>
      <c r="AK322" s="62"/>
      <c r="AL322" s="62"/>
      <c r="AM322" s="62"/>
      <c r="AN322" s="62"/>
      <c r="AO322" s="46">
        <f>'Filter-old'!G421</f>
        <v>0</v>
      </c>
      <c r="AP322" s="62">
        <f>'Filter-new'!G421</f>
        <v>0</v>
      </c>
      <c r="AQ322" s="62"/>
      <c r="AR322" s="62"/>
      <c r="AS322" s="46"/>
      <c r="AT322" s="62"/>
      <c r="AU322" s="62"/>
      <c r="AV322" s="62"/>
      <c r="AW322" s="46">
        <f>'Filter-old'!I421</f>
        <v>-21.718547076343068</v>
      </c>
      <c r="AX322" s="62">
        <f>'Filter-new'!I421</f>
        <v>7.4744845360824748</v>
      </c>
      <c r="AY322" s="62"/>
      <c r="AZ322" s="62"/>
      <c r="BA322" s="62"/>
      <c r="BB322" s="62"/>
      <c r="BC322" s="46">
        <f>'Filter-old'!K421</f>
        <v>0</v>
      </c>
      <c r="BD322" s="62">
        <f>'Filter-new'!K421</f>
        <v>0</v>
      </c>
      <c r="BE322" s="62"/>
      <c r="BF322" s="62"/>
      <c r="BG322" s="46">
        <f>'Filter-old'!M421</f>
        <v>0</v>
      </c>
      <c r="BH322" s="62"/>
      <c r="BI322" s="62"/>
      <c r="BJ322" s="62">
        <f>'Filter-new'!M421</f>
        <v>0</v>
      </c>
      <c r="BK322" s="62"/>
      <c r="BL322" s="62"/>
      <c r="BM322" s="62"/>
      <c r="BN322" s="406">
        <f>'Filter-new'!N421</f>
        <v>0</v>
      </c>
      <c r="BO322" s="62"/>
      <c r="BP322" s="62"/>
      <c r="BQ322" s="46">
        <f>'Filter-old'!O421</f>
        <v>0</v>
      </c>
      <c r="BR322" s="62">
        <f>'Filter-new'!O421</f>
        <v>0</v>
      </c>
      <c r="BS322" s="62"/>
      <c r="BT322" s="62"/>
      <c r="BU322" s="46">
        <f>'Filter-old'!Q421</f>
        <v>62.979325220741785</v>
      </c>
      <c r="BV322" s="62">
        <f>'Filter-new'!Q421</f>
        <v>32.073804907860826</v>
      </c>
      <c r="BW322" s="62"/>
      <c r="BX322" s="62"/>
      <c r="BY322" s="62"/>
      <c r="BZ322" s="62"/>
      <c r="CA322" s="46">
        <f>'Filter-old'!R421</f>
        <v>0</v>
      </c>
      <c r="CB322" s="62">
        <f>'Filter-new'!R421</f>
        <v>15.96649484536082</v>
      </c>
      <c r="CC322" s="57"/>
      <c r="CD322" s="58"/>
      <c r="CE322" s="57"/>
      <c r="CF322" s="57"/>
      <c r="CG322" s="169">
        <f t="shared" si="48"/>
        <v>101.03479513368639</v>
      </c>
    </row>
    <row r="323" spans="1:85" hidden="1" x14ac:dyDescent="0.2">
      <c r="A323">
        <v>0</v>
      </c>
      <c r="B323" s="59">
        <v>38473</v>
      </c>
      <c r="C323" s="59">
        <f>'Filter-new'!C55</f>
        <v>38473</v>
      </c>
      <c r="D323" s="60">
        <f t="shared" si="43"/>
        <v>2005</v>
      </c>
      <c r="E323" s="60"/>
      <c r="F323" s="60"/>
      <c r="G323" s="36">
        <f t="shared" si="47"/>
        <v>135.76655564128447</v>
      </c>
      <c r="H323" s="36">
        <f t="shared" si="49"/>
        <v>21.532891599225554</v>
      </c>
      <c r="I323" s="36"/>
      <c r="J323" s="41"/>
      <c r="K323" s="46">
        <f>'Filter-old'!E422</f>
        <v>77.90735298230129</v>
      </c>
      <c r="L323" s="62">
        <f>'Filter-new'!E422</f>
        <v>-21.396220406582771</v>
      </c>
      <c r="M323" s="62"/>
      <c r="N323" s="62"/>
      <c r="O323" s="429"/>
      <c r="P323" s="62"/>
      <c r="Q323" s="46">
        <f>'Filter-old'!H422</f>
        <v>15.01198158314955</v>
      </c>
      <c r="R323" s="62">
        <f>'Filter-new'!H422</f>
        <v>-15.320038722168439</v>
      </c>
      <c r="S323" s="62"/>
      <c r="T323" s="62"/>
      <c r="U323" s="445"/>
      <c r="V323" s="62"/>
      <c r="W323" s="46">
        <f>'Filter-old'!J422</f>
        <v>0</v>
      </c>
      <c r="X323" s="62">
        <f>'Filter-new'!J422</f>
        <v>0</v>
      </c>
      <c r="Y323" s="62"/>
      <c r="Z323" s="62"/>
      <c r="AA323" s="46">
        <f>'Filter-old'!F422</f>
        <v>0</v>
      </c>
      <c r="AB323" s="62">
        <f>'Filter-new'!F422</f>
        <v>0</v>
      </c>
      <c r="AC323" s="62"/>
      <c r="AD323" s="62"/>
      <c r="AE323" s="46">
        <f>'Filter-old'!P422</f>
        <v>0</v>
      </c>
      <c r="AF323" s="62">
        <f>'Filter-new'!P422</f>
        <v>0</v>
      </c>
      <c r="AG323" s="62"/>
      <c r="AH323" s="62"/>
      <c r="AI323" s="46">
        <f>'Filter-old'!L422</f>
        <v>0</v>
      </c>
      <c r="AJ323" s="62">
        <f>'Filter-new'!L422</f>
        <v>0</v>
      </c>
      <c r="AK323" s="62"/>
      <c r="AL323" s="62"/>
      <c r="AM323" s="62"/>
      <c r="AN323" s="62"/>
      <c r="AO323" s="46">
        <f>'Filter-old'!G422</f>
        <v>0</v>
      </c>
      <c r="AP323" s="62">
        <f>'Filter-new'!G422</f>
        <v>0</v>
      </c>
      <c r="AQ323" s="62"/>
      <c r="AR323" s="62"/>
      <c r="AS323" s="46"/>
      <c r="AT323" s="62"/>
      <c r="AU323" s="62"/>
      <c r="AV323" s="62"/>
      <c r="AW323" s="46">
        <f>'Filter-old'!I422</f>
        <v>-22.719303420634464</v>
      </c>
      <c r="AX323" s="62">
        <f>'Filter-new'!I422</f>
        <v>7.9310745401742508</v>
      </c>
      <c r="AY323" s="62"/>
      <c r="AZ323" s="62"/>
      <c r="BA323" s="62"/>
      <c r="BB323" s="62"/>
      <c r="BC323" s="46">
        <f>'Filter-old'!K422</f>
        <v>0</v>
      </c>
      <c r="BD323" s="62">
        <f>'Filter-new'!K422</f>
        <v>0</v>
      </c>
      <c r="BE323" s="62"/>
      <c r="BF323" s="62"/>
      <c r="BG323" s="46">
        <f>'Filter-old'!M422</f>
        <v>0</v>
      </c>
      <c r="BH323" s="62"/>
      <c r="BI323" s="62"/>
      <c r="BJ323" s="62">
        <f>'Filter-new'!M422</f>
        <v>0</v>
      </c>
      <c r="BK323" s="62"/>
      <c r="BL323" s="62"/>
      <c r="BM323" s="62"/>
      <c r="BN323" s="406">
        <f>'Filter-new'!N422</f>
        <v>0</v>
      </c>
      <c r="BO323" s="62"/>
      <c r="BP323" s="62"/>
      <c r="BQ323" s="46">
        <f>'Filter-old'!O422</f>
        <v>0</v>
      </c>
      <c r="BR323" s="62">
        <f>'Filter-new'!O422</f>
        <v>0</v>
      </c>
      <c r="BS323" s="62"/>
      <c r="BT323" s="62"/>
      <c r="BU323" s="46">
        <f>'Filter-old'!Q422</f>
        <v>65.566524496468077</v>
      </c>
      <c r="BV323" s="62">
        <f>'Filter-new'!Q422</f>
        <v>33.512655084220718</v>
      </c>
      <c r="BW323" s="62"/>
      <c r="BX323" s="62"/>
      <c r="BY323" s="62"/>
      <c r="BZ323" s="62"/>
      <c r="CA323" s="46">
        <f>'Filter-old'!R422</f>
        <v>0</v>
      </c>
      <c r="CB323" s="62">
        <f>'Filter-new'!R422</f>
        <v>16.805421103581796</v>
      </c>
      <c r="CC323" s="57"/>
      <c r="CD323" s="58"/>
      <c r="CE323" s="57"/>
      <c r="CF323" s="57"/>
      <c r="CG323" s="169">
        <f t="shared" si="48"/>
        <v>114.23366404205892</v>
      </c>
    </row>
    <row r="324" spans="1:85" hidden="1" x14ac:dyDescent="0.2">
      <c r="A324">
        <v>0</v>
      </c>
      <c r="B324" s="59">
        <v>38504</v>
      </c>
      <c r="C324" s="59">
        <f>'Filter-new'!C56</f>
        <v>38504</v>
      </c>
      <c r="D324" s="60">
        <f t="shared" si="43"/>
        <v>2005</v>
      </c>
      <c r="E324" s="60"/>
      <c r="F324" s="60"/>
      <c r="G324" s="36">
        <f t="shared" si="47"/>
        <v>132.73230354888619</v>
      </c>
      <c r="H324" s="36">
        <f t="shared" si="49"/>
        <v>13.610167672303774</v>
      </c>
      <c r="I324" s="36"/>
      <c r="J324" s="41"/>
      <c r="K324" s="46">
        <f>'Filter-old'!E423</f>
        <v>65.282154823409272</v>
      </c>
      <c r="L324" s="62">
        <f>'Filter-new'!E423</f>
        <v>-43.244170070197832</v>
      </c>
      <c r="M324" s="62"/>
      <c r="N324" s="62"/>
      <c r="O324" s="429"/>
      <c r="P324" s="62"/>
      <c r="Q324" s="46">
        <f>'Filter-old'!H423</f>
        <v>15.321822391591516</v>
      </c>
      <c r="R324" s="62">
        <f>'Filter-new'!H423</f>
        <v>-18.936566687938736</v>
      </c>
      <c r="S324" s="62"/>
      <c r="T324" s="62"/>
      <c r="U324" s="445"/>
      <c r="V324" s="62"/>
      <c r="W324" s="46">
        <f>'Filter-old'!J423</f>
        <v>0</v>
      </c>
      <c r="X324" s="62">
        <f>'Filter-new'!J423</f>
        <v>0</v>
      </c>
      <c r="Y324" s="62"/>
      <c r="Z324" s="62"/>
      <c r="AA324" s="46">
        <f>'Filter-old'!F423</f>
        <v>0</v>
      </c>
      <c r="AB324" s="62">
        <f>'Filter-new'!F423</f>
        <v>0</v>
      </c>
      <c r="AC324" s="62"/>
      <c r="AD324" s="62"/>
      <c r="AE324" s="46">
        <f>'Filter-old'!P423</f>
        <v>0</v>
      </c>
      <c r="AF324" s="62">
        <f>'Filter-new'!P423</f>
        <v>0</v>
      </c>
      <c r="AG324" s="62"/>
      <c r="AH324" s="62"/>
      <c r="AI324" s="46">
        <f>'Filter-old'!L423</f>
        <v>0</v>
      </c>
      <c r="AJ324" s="62">
        <f>'Filter-new'!L423</f>
        <v>0</v>
      </c>
      <c r="AK324" s="62"/>
      <c r="AL324" s="62"/>
      <c r="AM324" s="62"/>
      <c r="AN324" s="62"/>
      <c r="AO324" s="46">
        <f>'Filter-old'!G423</f>
        <v>0</v>
      </c>
      <c r="AP324" s="62">
        <f>'Filter-new'!G423</f>
        <v>0</v>
      </c>
      <c r="AQ324" s="62"/>
      <c r="AR324" s="62"/>
      <c r="AS324" s="46"/>
      <c r="AT324" s="62"/>
      <c r="AU324" s="62"/>
      <c r="AV324" s="62"/>
      <c r="AW324" s="46">
        <f>'Filter-old'!I423</f>
        <v>-27.404784753749631</v>
      </c>
      <c r="AX324" s="62">
        <f>'Filter-new'!I423</f>
        <v>9.7911933631142318</v>
      </c>
      <c r="AY324" s="62"/>
      <c r="AZ324" s="62"/>
      <c r="BA324" s="62"/>
      <c r="BB324" s="62"/>
      <c r="BC324" s="46">
        <f>'Filter-old'!K423</f>
        <v>0</v>
      </c>
      <c r="BD324" s="62">
        <f>'Filter-new'!K423</f>
        <v>0</v>
      </c>
      <c r="BE324" s="62"/>
      <c r="BF324" s="62"/>
      <c r="BG324" s="46">
        <f>'Filter-old'!M423</f>
        <v>0</v>
      </c>
      <c r="BH324" s="62"/>
      <c r="BI324" s="62"/>
      <c r="BJ324" s="62">
        <f>'Filter-new'!M423</f>
        <v>0</v>
      </c>
      <c r="BK324" s="62"/>
      <c r="BL324" s="62"/>
      <c r="BM324" s="62"/>
      <c r="BN324" s="406">
        <f>'Filter-new'!N423</f>
        <v>0</v>
      </c>
      <c r="BO324" s="62"/>
      <c r="BP324" s="62"/>
      <c r="BQ324" s="46">
        <f>'Filter-old'!O423</f>
        <v>0</v>
      </c>
      <c r="BR324" s="62">
        <f>'Filter-new'!O423</f>
        <v>0</v>
      </c>
      <c r="BS324" s="62"/>
      <c r="BT324" s="62"/>
      <c r="BU324" s="46">
        <f>'Filter-old'!Q423</f>
        <v>79.533111087635049</v>
      </c>
      <c r="BV324" s="62">
        <f>'Filter-new'!Q423</f>
        <v>42.974822745692414</v>
      </c>
      <c r="BW324" s="62"/>
      <c r="BX324" s="62"/>
      <c r="BY324" s="62"/>
      <c r="BZ324" s="62"/>
      <c r="CA324" s="46">
        <f>'Filter-old'!R423</f>
        <v>0</v>
      </c>
      <c r="CB324" s="62">
        <f>'Filter-new'!R423</f>
        <v>23.024888321633696</v>
      </c>
      <c r="CC324" s="57"/>
      <c r="CD324" s="58"/>
      <c r="CE324" s="57"/>
      <c r="CF324" s="57"/>
      <c r="CG324" s="169">
        <f t="shared" si="48"/>
        <v>119.12213587658242</v>
      </c>
    </row>
    <row r="325" spans="1:85" hidden="1" x14ac:dyDescent="0.2">
      <c r="A325">
        <v>0</v>
      </c>
      <c r="B325" s="59">
        <v>38534</v>
      </c>
      <c r="C325" s="59">
        <f>'Filter-new'!C57</f>
        <v>38534</v>
      </c>
      <c r="D325" s="60">
        <f t="shared" si="43"/>
        <v>2005</v>
      </c>
      <c r="E325" s="60"/>
      <c r="F325" s="60"/>
      <c r="G325" s="36">
        <f t="shared" si="47"/>
        <v>147.42726878423372</v>
      </c>
      <c r="H325" s="36">
        <f t="shared" si="49"/>
        <v>32.335131947069939</v>
      </c>
      <c r="I325" s="36"/>
      <c r="J325" s="41"/>
      <c r="K325" s="46">
        <f>'Filter-old'!E424</f>
        <v>59.107425770728589</v>
      </c>
      <c r="L325" s="62">
        <f>'Filter-new'!E424</f>
        <v>-30.050761184625078</v>
      </c>
      <c r="M325" s="62"/>
      <c r="N325" s="62"/>
      <c r="O325" s="429"/>
      <c r="P325" s="62"/>
      <c r="Q325" s="46">
        <f>'Filter-old'!H424</f>
        <v>18.332144419352215</v>
      </c>
      <c r="R325" s="62">
        <f>'Filter-new'!H424</f>
        <v>-21.844990548204159</v>
      </c>
      <c r="S325" s="62"/>
      <c r="T325" s="62"/>
      <c r="U325" s="445"/>
      <c r="V325" s="62"/>
      <c r="W325" s="46">
        <f>'Filter-old'!J424</f>
        <v>0</v>
      </c>
      <c r="X325" s="62">
        <f>'Filter-new'!J424</f>
        <v>0</v>
      </c>
      <c r="Y325" s="62"/>
      <c r="Z325" s="62"/>
      <c r="AA325" s="46">
        <f>'Filter-old'!F424</f>
        <v>0</v>
      </c>
      <c r="AB325" s="62">
        <f>'Filter-new'!F424</f>
        <v>0</v>
      </c>
      <c r="AC325" s="62"/>
      <c r="AD325" s="62"/>
      <c r="AE325" s="46">
        <f>'Filter-old'!P424</f>
        <v>0</v>
      </c>
      <c r="AF325" s="62">
        <f>'Filter-new'!P424</f>
        <v>0</v>
      </c>
      <c r="AG325" s="62"/>
      <c r="AH325" s="62"/>
      <c r="AI325" s="46">
        <f>'Filter-old'!L424</f>
        <v>0</v>
      </c>
      <c r="AJ325" s="62">
        <f>'Filter-new'!L424</f>
        <v>-0.44496534341524885</v>
      </c>
      <c r="AK325" s="62"/>
      <c r="AL325" s="62"/>
      <c r="AM325" s="62"/>
      <c r="AN325" s="62"/>
      <c r="AO325" s="46">
        <f>'Filter-old'!G424</f>
        <v>0</v>
      </c>
      <c r="AP325" s="62">
        <f>'Filter-new'!G424</f>
        <v>0</v>
      </c>
      <c r="AQ325" s="62"/>
      <c r="AR325" s="62"/>
      <c r="AS325" s="46"/>
      <c r="AT325" s="62"/>
      <c r="AU325" s="62"/>
      <c r="AV325" s="62"/>
      <c r="AW325" s="46">
        <f>'Filter-old'!I424</f>
        <v>-35.07634162902832</v>
      </c>
      <c r="AX325" s="62">
        <f>'Filter-new'!I424</f>
        <v>11.313169502205419</v>
      </c>
      <c r="AY325" s="62"/>
      <c r="AZ325" s="62"/>
      <c r="BA325" s="62"/>
      <c r="BB325" s="62"/>
      <c r="BC325" s="46">
        <f>'Filter-old'!K424</f>
        <v>0</v>
      </c>
      <c r="BD325" s="62">
        <f>'Filter-new'!K424</f>
        <v>0</v>
      </c>
      <c r="BE325" s="62"/>
      <c r="BF325" s="62"/>
      <c r="BG325" s="46">
        <f>'Filter-old'!M424</f>
        <v>0</v>
      </c>
      <c r="BH325" s="62"/>
      <c r="BI325" s="62"/>
      <c r="BJ325" s="62">
        <f>'Filter-new'!M424</f>
        <v>0</v>
      </c>
      <c r="BK325" s="62"/>
      <c r="BL325" s="62"/>
      <c r="BM325" s="62"/>
      <c r="BN325" s="406">
        <f>'Filter-new'!N424</f>
        <v>0</v>
      </c>
      <c r="BO325" s="62"/>
      <c r="BP325" s="62"/>
      <c r="BQ325" s="46">
        <f>'Filter-old'!O424</f>
        <v>0</v>
      </c>
      <c r="BR325" s="62">
        <f>'Filter-new'!O424</f>
        <v>0</v>
      </c>
      <c r="BS325" s="62"/>
      <c r="BT325" s="62"/>
      <c r="BU325" s="46">
        <f>'Filter-old'!Q424</f>
        <v>105.06404022318125</v>
      </c>
      <c r="BV325" s="62">
        <f>'Filter-new'!Q424</f>
        <v>48.031866666666666</v>
      </c>
      <c r="BW325" s="62"/>
      <c r="BX325" s="62"/>
      <c r="BY325" s="62"/>
      <c r="BZ325" s="62"/>
      <c r="CA325" s="46">
        <f>'Filter-old'!R424</f>
        <v>0</v>
      </c>
      <c r="CB325" s="62">
        <f>'Filter-new'!R424</f>
        <v>25.330812854442346</v>
      </c>
      <c r="CC325" s="57"/>
      <c r="CD325" s="58"/>
      <c r="CE325" s="57"/>
      <c r="CF325" s="57"/>
      <c r="CG325" s="169">
        <f t="shared" si="48"/>
        <v>115.09213683716378</v>
      </c>
    </row>
    <row r="326" spans="1:85" hidden="1" x14ac:dyDescent="0.2">
      <c r="A326">
        <v>0</v>
      </c>
      <c r="B326" s="59">
        <v>38565</v>
      </c>
      <c r="C326" s="59">
        <f>'Filter-new'!C58</f>
        <v>38565</v>
      </c>
      <c r="D326" s="60">
        <f t="shared" si="43"/>
        <v>2005</v>
      </c>
      <c r="E326" s="60"/>
      <c r="F326" s="60"/>
      <c r="G326" s="36">
        <f t="shared" si="47"/>
        <v>167.6221024472093</v>
      </c>
      <c r="H326" s="36">
        <f t="shared" si="49"/>
        <v>38.038465556938391</v>
      </c>
      <c r="I326" s="36"/>
      <c r="J326" s="41"/>
      <c r="K326" s="46">
        <f>'Filter-old'!E425</f>
        <v>66.827989490543402</v>
      </c>
      <c r="L326" s="62">
        <f>'Filter-new'!E425</f>
        <v>-33.473304760423147</v>
      </c>
      <c r="M326" s="62"/>
      <c r="N326" s="62"/>
      <c r="O326" s="429"/>
      <c r="P326" s="62"/>
      <c r="Q326" s="46">
        <f>'Filter-old'!H425</f>
        <v>20.83777342493163</v>
      </c>
      <c r="R326" s="62">
        <f>'Filter-new'!H425</f>
        <v>-24.436963285625392</v>
      </c>
      <c r="S326" s="62"/>
      <c r="T326" s="62"/>
      <c r="U326" s="445"/>
      <c r="V326" s="62"/>
      <c r="W326" s="46">
        <f>'Filter-old'!J425</f>
        <v>0</v>
      </c>
      <c r="X326" s="62">
        <f>'Filter-new'!J425</f>
        <v>0</v>
      </c>
      <c r="Y326" s="62"/>
      <c r="Z326" s="62"/>
      <c r="AA326" s="46">
        <f>'Filter-old'!F425</f>
        <v>0</v>
      </c>
      <c r="AB326" s="62">
        <f>'Filter-new'!F425</f>
        <v>0</v>
      </c>
      <c r="AC326" s="62"/>
      <c r="AD326" s="62"/>
      <c r="AE326" s="46">
        <f>'Filter-old'!P425</f>
        <v>0</v>
      </c>
      <c r="AF326" s="62">
        <f>'Filter-new'!P425</f>
        <v>0</v>
      </c>
      <c r="AG326" s="62"/>
      <c r="AH326" s="62"/>
      <c r="AI326" s="46">
        <f>'Filter-old'!L425</f>
        <v>0</v>
      </c>
      <c r="AJ326" s="62">
        <f>'Filter-new'!L425</f>
        <v>-0.50934909769757319</v>
      </c>
      <c r="AK326" s="62"/>
      <c r="AL326" s="62"/>
      <c r="AM326" s="62"/>
      <c r="AN326" s="62"/>
      <c r="AO326" s="46">
        <f>'Filter-old'!G425</f>
        <v>0</v>
      </c>
      <c r="AP326" s="62">
        <f>'Filter-new'!G425</f>
        <v>0</v>
      </c>
      <c r="AQ326" s="62"/>
      <c r="AR326" s="62"/>
      <c r="AS326" s="46"/>
      <c r="AT326" s="62"/>
      <c r="AU326" s="62"/>
      <c r="AV326" s="62"/>
      <c r="AW326" s="46">
        <f>'Filter-old'!I425</f>
        <v>-39.781756662493969</v>
      </c>
      <c r="AX326" s="62">
        <f>'Filter-new'!I425</f>
        <v>12.662165525824518</v>
      </c>
      <c r="AY326" s="62"/>
      <c r="AZ326" s="62"/>
      <c r="BA326" s="62"/>
      <c r="BB326" s="62"/>
      <c r="BC326" s="46">
        <f>'Filter-old'!K425</f>
        <v>0</v>
      </c>
      <c r="BD326" s="62">
        <f>'Filter-new'!K425</f>
        <v>0</v>
      </c>
      <c r="BE326" s="62"/>
      <c r="BF326" s="62"/>
      <c r="BG326" s="46">
        <f>'Filter-old'!M425</f>
        <v>0</v>
      </c>
      <c r="BH326" s="62"/>
      <c r="BI326" s="62"/>
      <c r="BJ326" s="62">
        <f>'Filter-new'!M425</f>
        <v>0</v>
      </c>
      <c r="BK326" s="62"/>
      <c r="BL326" s="62"/>
      <c r="BM326" s="62"/>
      <c r="BN326" s="406">
        <f>'Filter-new'!N425</f>
        <v>0</v>
      </c>
      <c r="BO326" s="62"/>
      <c r="BP326" s="62"/>
      <c r="BQ326" s="46">
        <f>'Filter-old'!O425</f>
        <v>0</v>
      </c>
      <c r="BR326" s="62">
        <f>'Filter-new'!O425</f>
        <v>0</v>
      </c>
      <c r="BS326" s="62"/>
      <c r="BT326" s="62"/>
      <c r="BU326" s="46">
        <f>'Filter-old'!Q425</f>
        <v>119.73809619422825</v>
      </c>
      <c r="BV326" s="62">
        <f>'Filter-new'!Q425</f>
        <v>55.028026695706288</v>
      </c>
      <c r="BW326" s="62"/>
      <c r="BX326" s="62"/>
      <c r="BY326" s="62"/>
      <c r="BZ326" s="62"/>
      <c r="CA326" s="46">
        <f>'Filter-old'!R425</f>
        <v>0</v>
      </c>
      <c r="CB326" s="62">
        <f>'Filter-new'!R425</f>
        <v>28.767890479153703</v>
      </c>
      <c r="CC326" s="57"/>
      <c r="CD326" s="58"/>
      <c r="CE326" s="57"/>
      <c r="CF326" s="57"/>
      <c r="CG326" s="169">
        <f t="shared" si="48"/>
        <v>129.5836368902709</v>
      </c>
    </row>
    <row r="327" spans="1:85" hidden="1" x14ac:dyDescent="0.2">
      <c r="A327">
        <v>0</v>
      </c>
      <c r="B327" s="59">
        <v>38596</v>
      </c>
      <c r="C327" s="59">
        <f>'Filter-new'!C59</f>
        <v>38596</v>
      </c>
      <c r="D327" s="60">
        <f t="shared" si="43"/>
        <v>2005</v>
      </c>
      <c r="E327" s="60"/>
      <c r="F327" s="60"/>
      <c r="G327" s="36">
        <f t="shared" si="47"/>
        <v>113.5364249492892</v>
      </c>
      <c r="H327" s="36">
        <f t="shared" si="49"/>
        <v>16.561764738817644</v>
      </c>
      <c r="I327" s="36"/>
      <c r="J327" s="41"/>
      <c r="K327" s="46">
        <f>'Filter-old'!E426</f>
        <v>63.193134529470527</v>
      </c>
      <c r="L327" s="62">
        <f>'Filter-new'!E426</f>
        <v>-19.248782533625274</v>
      </c>
      <c r="M327" s="62"/>
      <c r="N327" s="62"/>
      <c r="O327" s="429"/>
      <c r="P327" s="62"/>
      <c r="Q327" s="46">
        <f>'Filter-old'!H426</f>
        <v>12.130421810012926</v>
      </c>
      <c r="R327" s="62">
        <f>'Filter-new'!H426</f>
        <v>-14.141007194244603</v>
      </c>
      <c r="S327" s="62"/>
      <c r="T327" s="62"/>
      <c r="U327" s="445"/>
      <c r="V327" s="62"/>
      <c r="W327" s="46">
        <f>'Filter-old'!J426</f>
        <v>0</v>
      </c>
      <c r="X327" s="62">
        <f>'Filter-new'!J426</f>
        <v>0</v>
      </c>
      <c r="Y327" s="62"/>
      <c r="Z327" s="62"/>
      <c r="AA327" s="46">
        <f>'Filter-old'!F426</f>
        <v>0</v>
      </c>
      <c r="AB327" s="62">
        <f>'Filter-new'!F426</f>
        <v>0</v>
      </c>
      <c r="AC327" s="62"/>
      <c r="AD327" s="62"/>
      <c r="AE327" s="46">
        <f>'Filter-old'!P426</f>
        <v>0</v>
      </c>
      <c r="AF327" s="62">
        <f>'Filter-new'!P426</f>
        <v>0</v>
      </c>
      <c r="AG327" s="62"/>
      <c r="AH327" s="62"/>
      <c r="AI327" s="46">
        <f>'Filter-old'!L426</f>
        <v>0</v>
      </c>
      <c r="AJ327" s="62">
        <f>'Filter-new'!L426</f>
        <v>0</v>
      </c>
      <c r="AK327" s="62"/>
      <c r="AL327" s="62"/>
      <c r="AM327" s="62"/>
      <c r="AN327" s="62"/>
      <c r="AO327" s="46">
        <f>'Filter-old'!G426</f>
        <v>0</v>
      </c>
      <c r="AP327" s="62">
        <f>'Filter-new'!G426</f>
        <v>0</v>
      </c>
      <c r="AQ327" s="62"/>
      <c r="AR327" s="62"/>
      <c r="AS327" s="46"/>
      <c r="AT327" s="62"/>
      <c r="AU327" s="62"/>
      <c r="AV327" s="62"/>
      <c r="AW327" s="46">
        <f>'Filter-old'!I426</f>
        <v>-21.692035592717229</v>
      </c>
      <c r="AX327" s="62">
        <f>'Filter-new'!I426</f>
        <v>7.2675633406318436</v>
      </c>
      <c r="AY327" s="62"/>
      <c r="AZ327" s="62"/>
      <c r="BA327" s="62"/>
      <c r="BB327" s="62"/>
      <c r="BC327" s="46">
        <f>'Filter-old'!K426</f>
        <v>0</v>
      </c>
      <c r="BD327" s="62">
        <f>'Filter-new'!K426</f>
        <v>0</v>
      </c>
      <c r="BE327" s="62"/>
      <c r="BF327" s="62"/>
      <c r="BG327" s="46">
        <f>'Filter-old'!M426</f>
        <v>0</v>
      </c>
      <c r="BH327" s="62"/>
      <c r="BI327" s="62"/>
      <c r="BJ327" s="62">
        <f>'Filter-new'!M426</f>
        <v>0</v>
      </c>
      <c r="BK327" s="62"/>
      <c r="BL327" s="62"/>
      <c r="BM327" s="62"/>
      <c r="BN327" s="406">
        <f>'Filter-new'!N426</f>
        <v>0</v>
      </c>
      <c r="BO327" s="62"/>
      <c r="BP327" s="62"/>
      <c r="BQ327" s="46">
        <f>'Filter-old'!O426</f>
        <v>0</v>
      </c>
      <c r="BR327" s="62">
        <f>'Filter-new'!O426</f>
        <v>0</v>
      </c>
      <c r="BS327" s="62"/>
      <c r="BT327" s="62"/>
      <c r="BU327" s="46">
        <f>'Filter-old'!Q426</f>
        <v>59.904904202522992</v>
      </c>
      <c r="BV327" s="62">
        <f>'Filter-new'!Q426</f>
        <v>27.444704294651235</v>
      </c>
      <c r="BW327" s="62"/>
      <c r="BX327" s="62"/>
      <c r="BY327" s="62"/>
      <c r="BZ327" s="62"/>
      <c r="CA327" s="46">
        <f>'Filter-old'!R426</f>
        <v>0</v>
      </c>
      <c r="CB327" s="62">
        <f>'Filter-new'!R426</f>
        <v>15.23928683140444</v>
      </c>
      <c r="CC327" s="57"/>
      <c r="CD327" s="58"/>
      <c r="CE327" s="57"/>
      <c r="CF327" s="57"/>
      <c r="CG327" s="169">
        <f t="shared" si="48"/>
        <v>96.974660210471555</v>
      </c>
    </row>
    <row r="328" spans="1:85" hidden="1" x14ac:dyDescent="0.2">
      <c r="A328">
        <v>0</v>
      </c>
      <c r="B328" s="59">
        <v>38626</v>
      </c>
      <c r="C328" s="59">
        <f>'Filter-new'!C60</f>
        <v>38626</v>
      </c>
      <c r="D328" s="60">
        <f t="shared" si="43"/>
        <v>2005</v>
      </c>
      <c r="E328" s="60"/>
      <c r="F328" s="60"/>
      <c r="G328" s="36">
        <f t="shared" si="47"/>
        <v>108.55311677180168</v>
      </c>
      <c r="H328" s="36">
        <f t="shared" si="49"/>
        <v>18.233428436995659</v>
      </c>
      <c r="I328" s="36"/>
      <c r="J328" s="41"/>
      <c r="K328" s="46">
        <f>'Filter-old'!E427</f>
        <v>60.56812064879724</v>
      </c>
      <c r="L328" s="62">
        <f>'Filter-new'!E427</f>
        <v>-18.795655555555559</v>
      </c>
      <c r="M328" s="62"/>
      <c r="N328" s="62"/>
      <c r="O328" s="429"/>
      <c r="P328" s="62"/>
      <c r="Q328" s="46">
        <f>'Filter-old'!H427</f>
        <v>13.754541124616351</v>
      </c>
      <c r="R328" s="62">
        <f>'Filter-new'!H427</f>
        <v>-13.869646182495346</v>
      </c>
      <c r="S328" s="62"/>
      <c r="T328" s="62"/>
      <c r="U328" s="445"/>
      <c r="V328" s="62"/>
      <c r="W328" s="46">
        <f>'Filter-old'!J427</f>
        <v>0</v>
      </c>
      <c r="X328" s="62">
        <f>'Filter-new'!J427</f>
        <v>0</v>
      </c>
      <c r="Y328" s="62"/>
      <c r="Z328" s="62"/>
      <c r="AA328" s="46">
        <f>'Filter-old'!F427</f>
        <v>0</v>
      </c>
      <c r="AB328" s="62">
        <f>'Filter-new'!F427</f>
        <v>0</v>
      </c>
      <c r="AC328" s="62"/>
      <c r="AD328" s="62"/>
      <c r="AE328" s="46">
        <f>'Filter-old'!P427</f>
        <v>0</v>
      </c>
      <c r="AF328" s="62">
        <f>'Filter-new'!P427</f>
        <v>0</v>
      </c>
      <c r="AG328" s="62"/>
      <c r="AH328" s="62"/>
      <c r="AI328" s="46">
        <f>'Filter-old'!L427</f>
        <v>0</v>
      </c>
      <c r="AJ328" s="62">
        <f>'Filter-new'!L427</f>
        <v>0</v>
      </c>
      <c r="AK328" s="62"/>
      <c r="AL328" s="62"/>
      <c r="AM328" s="62"/>
      <c r="AN328" s="62"/>
      <c r="AO328" s="46">
        <f>'Filter-old'!G427</f>
        <v>0</v>
      </c>
      <c r="AP328" s="62">
        <f>'Filter-new'!G427</f>
        <v>0</v>
      </c>
      <c r="AQ328" s="62"/>
      <c r="AR328" s="62"/>
      <c r="AS328" s="46"/>
      <c r="AT328" s="62"/>
      <c r="AU328" s="62"/>
      <c r="AV328" s="62"/>
      <c r="AW328" s="46">
        <f>'Filter-old'!I427</f>
        <v>-20.815028326851984</v>
      </c>
      <c r="AX328" s="62">
        <f>'Filter-new'!I427</f>
        <v>7.1303538175046564</v>
      </c>
      <c r="AY328" s="62"/>
      <c r="AZ328" s="62"/>
      <c r="BA328" s="62"/>
      <c r="BB328" s="62"/>
      <c r="BC328" s="46">
        <f>'Filter-old'!K427</f>
        <v>0</v>
      </c>
      <c r="BD328" s="62">
        <f>'Filter-new'!K427</f>
        <v>0</v>
      </c>
      <c r="BE328" s="62"/>
      <c r="BF328" s="62"/>
      <c r="BG328" s="46">
        <f>'Filter-old'!M427</f>
        <v>0</v>
      </c>
      <c r="BH328" s="62"/>
      <c r="BI328" s="62"/>
      <c r="BJ328" s="62">
        <f>'Filter-new'!M427</f>
        <v>0</v>
      </c>
      <c r="BK328" s="62"/>
      <c r="BL328" s="62"/>
      <c r="BM328" s="62"/>
      <c r="BN328" s="406">
        <f>'Filter-new'!N427</f>
        <v>0</v>
      </c>
      <c r="BO328" s="62"/>
      <c r="BP328" s="62"/>
      <c r="BQ328" s="46">
        <f>'Filter-old'!O427</f>
        <v>0</v>
      </c>
      <c r="BR328" s="62">
        <f>'Filter-new'!O427</f>
        <v>0</v>
      </c>
      <c r="BS328" s="62"/>
      <c r="BT328" s="62"/>
      <c r="BU328" s="46">
        <f>'Filter-old'!Q427</f>
        <v>55.045483325240085</v>
      </c>
      <c r="BV328" s="62">
        <f>'Filter-new'!Q427</f>
        <v>28.647333527001873</v>
      </c>
      <c r="BW328" s="62"/>
      <c r="BX328" s="62"/>
      <c r="BY328" s="62"/>
      <c r="BZ328" s="62"/>
      <c r="CA328" s="46">
        <f>'Filter-old'!R427</f>
        <v>0</v>
      </c>
      <c r="CB328" s="62">
        <f>'Filter-new'!R427</f>
        <v>15.121042830540036</v>
      </c>
      <c r="CC328" s="57"/>
      <c r="CD328" s="58"/>
      <c r="CE328" s="57"/>
      <c r="CF328" s="57"/>
      <c r="CG328" s="169">
        <f t="shared" si="48"/>
        <v>90.319688334806017</v>
      </c>
    </row>
    <row r="329" spans="1:85" hidden="1" x14ac:dyDescent="0.2">
      <c r="A329">
        <v>0</v>
      </c>
      <c r="B329" s="59">
        <v>38657</v>
      </c>
      <c r="C329" s="59">
        <f>'Filter-new'!C61</f>
        <v>38657</v>
      </c>
      <c r="D329" s="60">
        <f t="shared" si="43"/>
        <v>2005</v>
      </c>
      <c r="E329" s="60"/>
      <c r="F329" s="60"/>
      <c r="G329" s="36">
        <f t="shared" si="47"/>
        <v>106.17071550564009</v>
      </c>
      <c r="H329" s="36">
        <f t="shared" si="49"/>
        <v>16.480458801422639</v>
      </c>
      <c r="I329" s="36"/>
      <c r="J329" s="41"/>
      <c r="K329" s="46">
        <f>'Filter-old'!E428</f>
        <v>58.420990109129811</v>
      </c>
      <c r="L329" s="62">
        <f>'Filter-new'!E428</f>
        <v>-18.575265014819205</v>
      </c>
      <c r="M329" s="62"/>
      <c r="N329" s="62"/>
      <c r="O329" s="429"/>
      <c r="P329" s="62"/>
      <c r="Q329" s="46">
        <f>'Filter-old'!H428</f>
        <v>14.746683405301132</v>
      </c>
      <c r="R329" s="62">
        <f>'Filter-new'!H428</f>
        <v>-13.797510373443982</v>
      </c>
      <c r="S329" s="62"/>
      <c r="T329" s="62"/>
      <c r="U329" s="445"/>
      <c r="V329" s="62"/>
      <c r="W329" s="46">
        <f>'Filter-old'!J428</f>
        <v>0</v>
      </c>
      <c r="X329" s="62">
        <f>'Filter-new'!J428</f>
        <v>0</v>
      </c>
      <c r="Y329" s="62"/>
      <c r="Z329" s="62"/>
      <c r="AA329" s="46">
        <f>'Filter-old'!F428</f>
        <v>0</v>
      </c>
      <c r="AB329" s="62">
        <f>'Filter-new'!F428</f>
        <v>0</v>
      </c>
      <c r="AC329" s="62"/>
      <c r="AD329" s="62"/>
      <c r="AE329" s="46">
        <f>'Filter-old'!P428</f>
        <v>0</v>
      </c>
      <c r="AF329" s="62">
        <f>'Filter-new'!P428</f>
        <v>0</v>
      </c>
      <c r="AG329" s="62"/>
      <c r="AH329" s="62"/>
      <c r="AI329" s="46">
        <f>'Filter-old'!L428</f>
        <v>0</v>
      </c>
      <c r="AJ329" s="62">
        <f>'Filter-new'!L428</f>
        <v>0</v>
      </c>
      <c r="AK329" s="62"/>
      <c r="AL329" s="62"/>
      <c r="AM329" s="62"/>
      <c r="AN329" s="62"/>
      <c r="AO329" s="46">
        <f>'Filter-old'!G428</f>
        <v>0</v>
      </c>
      <c r="AP329" s="62">
        <f>'Filter-new'!G428</f>
        <v>0</v>
      </c>
      <c r="AQ329" s="62"/>
      <c r="AR329" s="62"/>
      <c r="AS329" s="46"/>
      <c r="AT329" s="62"/>
      <c r="AU329" s="62"/>
      <c r="AV329" s="62"/>
      <c r="AW329" s="46">
        <f>'Filter-old'!I428</f>
        <v>-20.106512255498131</v>
      </c>
      <c r="AX329" s="62">
        <f>'Filter-new'!I428</f>
        <v>7.0854771784232362</v>
      </c>
      <c r="AY329" s="62"/>
      <c r="AZ329" s="62"/>
      <c r="BA329" s="62"/>
      <c r="BB329" s="62"/>
      <c r="BC329" s="46">
        <f>'Filter-old'!K428</f>
        <v>0</v>
      </c>
      <c r="BD329" s="62">
        <f>'Filter-new'!K428</f>
        <v>0</v>
      </c>
      <c r="BE329" s="62"/>
      <c r="BF329" s="62"/>
      <c r="BG329" s="46">
        <f>'Filter-old'!M428</f>
        <v>0</v>
      </c>
      <c r="BH329" s="62"/>
      <c r="BI329" s="62"/>
      <c r="BJ329" s="62">
        <f>'Filter-new'!M428</f>
        <v>0</v>
      </c>
      <c r="BK329" s="62"/>
      <c r="BL329" s="62"/>
      <c r="BM329" s="62"/>
      <c r="BN329" s="406">
        <f>'Filter-new'!N428</f>
        <v>0</v>
      </c>
      <c r="BO329" s="62"/>
      <c r="BP329" s="62"/>
      <c r="BQ329" s="46">
        <f>'Filter-old'!O428</f>
        <v>0</v>
      </c>
      <c r="BR329" s="62">
        <f>'Filter-new'!O428</f>
        <v>0</v>
      </c>
      <c r="BS329" s="62"/>
      <c r="BT329" s="62"/>
      <c r="BU329" s="46">
        <f>'Filter-old'!Q428</f>
        <v>53.109554246707269</v>
      </c>
      <c r="BV329" s="62">
        <f>'Filter-new'!Q428</f>
        <v>27.327922986366325</v>
      </c>
      <c r="BW329" s="62"/>
      <c r="BX329" s="62"/>
      <c r="BY329" s="62"/>
      <c r="BZ329" s="62"/>
      <c r="CA329" s="46">
        <f>'Filter-old'!R428</f>
        <v>0</v>
      </c>
      <c r="CB329" s="62">
        <f>'Filter-new'!R428</f>
        <v>14.439834024896264</v>
      </c>
      <c r="CC329" s="57"/>
      <c r="CD329" s="58"/>
      <c r="CE329" s="57"/>
      <c r="CF329" s="57"/>
      <c r="CG329" s="169">
        <f t="shared" si="48"/>
        <v>89.690256704217447</v>
      </c>
    </row>
    <row r="330" spans="1:85" hidden="1" x14ac:dyDescent="0.2">
      <c r="A330">
        <v>0</v>
      </c>
      <c r="B330" s="59">
        <v>38687</v>
      </c>
      <c r="C330" s="59">
        <f>'Filter-new'!C62</f>
        <v>38687</v>
      </c>
      <c r="D330" s="60">
        <f t="shared" si="43"/>
        <v>2005</v>
      </c>
      <c r="E330" s="60"/>
      <c r="F330" s="60"/>
      <c r="G330" s="36">
        <f t="shared" si="47"/>
        <v>102.71647687395745</v>
      </c>
      <c r="H330" s="36">
        <f t="shared" si="49"/>
        <v>15.424729767415414</v>
      </c>
      <c r="I330" s="36"/>
      <c r="J330" s="41"/>
      <c r="K330" s="46">
        <f>'Filter-old'!E429</f>
        <v>56.400409154238886</v>
      </c>
      <c r="L330" s="62">
        <f>'Filter-new'!E429</f>
        <v>-18.052975308501562</v>
      </c>
      <c r="M330" s="62"/>
      <c r="N330" s="62"/>
      <c r="O330" s="429"/>
      <c r="P330" s="62"/>
      <c r="Q330" s="46">
        <f>'Filter-old'!H429</f>
        <v>14.472028928042029</v>
      </c>
      <c r="R330" s="62">
        <f>'Filter-new'!H429</f>
        <v>-13.484901905032698</v>
      </c>
      <c r="S330" s="62"/>
      <c r="T330" s="62"/>
      <c r="U330" s="445"/>
      <c r="V330" s="62"/>
      <c r="W330" s="46">
        <f>'Filter-old'!J429</f>
        <v>0</v>
      </c>
      <c r="X330" s="62">
        <f>'Filter-new'!J429</f>
        <v>0</v>
      </c>
      <c r="Y330" s="62"/>
      <c r="Z330" s="62"/>
      <c r="AA330" s="46">
        <f>'Filter-old'!F429</f>
        <v>0</v>
      </c>
      <c r="AB330" s="62">
        <f>'Filter-new'!F429</f>
        <v>0</v>
      </c>
      <c r="AC330" s="62"/>
      <c r="AD330" s="62"/>
      <c r="AE330" s="46">
        <f>'Filter-old'!P429</f>
        <v>0</v>
      </c>
      <c r="AF330" s="62">
        <f>'Filter-new'!P429</f>
        <v>0</v>
      </c>
      <c r="AG330" s="62"/>
      <c r="AH330" s="62"/>
      <c r="AI330" s="46">
        <f>'Filter-old'!L429</f>
        <v>0</v>
      </c>
      <c r="AJ330" s="62">
        <f>'Filter-new'!L429</f>
        <v>0</v>
      </c>
      <c r="AK330" s="62"/>
      <c r="AL330" s="62"/>
      <c r="AM330" s="62"/>
      <c r="AN330" s="62"/>
      <c r="AO330" s="46">
        <f>'Filter-old'!G429</f>
        <v>0</v>
      </c>
      <c r="AP330" s="62">
        <f>'Filter-new'!G429</f>
        <v>0</v>
      </c>
      <c r="AQ330" s="62"/>
      <c r="AR330" s="62"/>
      <c r="AS330" s="46"/>
      <c r="AT330" s="62"/>
      <c r="AU330" s="62"/>
      <c r="AV330" s="62"/>
      <c r="AW330" s="46">
        <f>'Filter-old'!I429</f>
        <v>-19.443652351033428</v>
      </c>
      <c r="AX330" s="62">
        <f>'Filter-new'!I429</f>
        <v>6.9215808928063689</v>
      </c>
      <c r="AY330" s="62"/>
      <c r="AZ330" s="62"/>
      <c r="BA330" s="62"/>
      <c r="BB330" s="62"/>
      <c r="BC330" s="46">
        <f>'Filter-old'!K429</f>
        <v>0</v>
      </c>
      <c r="BD330" s="62">
        <f>'Filter-new'!K429</f>
        <v>0</v>
      </c>
      <c r="BE330" s="62"/>
      <c r="BF330" s="62"/>
      <c r="BG330" s="46">
        <f>'Filter-old'!M429</f>
        <v>0</v>
      </c>
      <c r="BH330" s="62"/>
      <c r="BI330" s="62"/>
      <c r="BJ330" s="62">
        <f>'Filter-new'!M429</f>
        <v>0</v>
      </c>
      <c r="BK330" s="62"/>
      <c r="BL330" s="62"/>
      <c r="BM330" s="62"/>
      <c r="BN330" s="406">
        <f>'Filter-new'!N429</f>
        <v>0</v>
      </c>
      <c r="BO330" s="62"/>
      <c r="BP330" s="62"/>
      <c r="BQ330" s="46">
        <f>'Filter-old'!O429</f>
        <v>0</v>
      </c>
      <c r="BR330" s="62">
        <f>'Filter-new'!O429</f>
        <v>0</v>
      </c>
      <c r="BS330" s="62"/>
      <c r="BT330" s="62"/>
      <c r="BU330" s="46">
        <f>'Filter-old'!Q429</f>
        <v>51.28769114270996</v>
      </c>
      <c r="BV330" s="62">
        <f>'Filter-new'!Q429</f>
        <v>26.188310705715097</v>
      </c>
      <c r="BW330" s="62"/>
      <c r="BX330" s="62"/>
      <c r="BY330" s="62"/>
      <c r="BZ330" s="62"/>
      <c r="CA330" s="46">
        <f>'Filter-old'!R429</f>
        <v>0</v>
      </c>
      <c r="CB330" s="62">
        <f>'Filter-new'!R429</f>
        <v>13.852715382428208</v>
      </c>
      <c r="CC330" s="57"/>
      <c r="CD330" s="58"/>
      <c r="CE330" s="57"/>
      <c r="CF330" s="57"/>
      <c r="CG330" s="169">
        <f t="shared" si="48"/>
        <v>87.291747106542033</v>
      </c>
    </row>
    <row r="331" spans="1:85" hidden="1" x14ac:dyDescent="0.2">
      <c r="A331">
        <v>0</v>
      </c>
      <c r="B331" s="59">
        <v>38718</v>
      </c>
      <c r="C331" s="59">
        <f>'Filter-new'!C63</f>
        <v>38718</v>
      </c>
      <c r="D331" s="60">
        <f t="shared" si="43"/>
        <v>2006</v>
      </c>
      <c r="E331" s="60"/>
      <c r="F331" s="60"/>
      <c r="G331" s="36">
        <f t="shared" si="47"/>
        <v>-10.679108902586481</v>
      </c>
      <c r="H331" s="36">
        <f t="shared" si="49"/>
        <v>-51.846130417464799</v>
      </c>
      <c r="I331" s="36"/>
      <c r="J331" s="41"/>
      <c r="K331" s="46">
        <f>'Filter-old'!E430</f>
        <v>-6.5255950531063416</v>
      </c>
      <c r="L331" s="62">
        <f>'Filter-new'!E430</f>
        <v>5.5568134901408452</v>
      </c>
      <c r="M331" s="62"/>
      <c r="N331" s="62"/>
      <c r="O331" s="429"/>
      <c r="P331" s="62"/>
      <c r="Q331" s="46">
        <f>'Filter-old'!H430</f>
        <v>-26.136307608207087</v>
      </c>
      <c r="R331" s="62">
        <f>'Filter-new'!H430</f>
        <v>-78.097000563380277</v>
      </c>
      <c r="S331" s="62"/>
      <c r="T331" s="62"/>
      <c r="U331" s="445"/>
      <c r="V331" s="62"/>
      <c r="W331" s="46">
        <f>'Filter-old'!J430</f>
        <v>0</v>
      </c>
      <c r="X331" s="62">
        <f>'Filter-new'!J430</f>
        <v>0</v>
      </c>
      <c r="Y331" s="62"/>
      <c r="Z331" s="62"/>
      <c r="AA331" s="46">
        <f>'Filter-old'!F430</f>
        <v>0</v>
      </c>
      <c r="AB331" s="62">
        <f>'Filter-new'!F430</f>
        <v>0</v>
      </c>
      <c r="AC331" s="62"/>
      <c r="AD331" s="62"/>
      <c r="AE331" s="46">
        <f>'Filter-old'!P430</f>
        <v>0</v>
      </c>
      <c r="AF331" s="62">
        <f>'Filter-new'!P430</f>
        <v>0</v>
      </c>
      <c r="AG331" s="62"/>
      <c r="AH331" s="62"/>
      <c r="AI331" s="46">
        <f>'Filter-old'!L430</f>
        <v>0</v>
      </c>
      <c r="AJ331" s="62">
        <f>'Filter-new'!L430</f>
        <v>0</v>
      </c>
      <c r="AK331" s="62"/>
      <c r="AL331" s="62"/>
      <c r="AM331" s="62"/>
      <c r="AN331" s="62"/>
      <c r="AO331" s="46">
        <f>'Filter-old'!G430</f>
        <v>0</v>
      </c>
      <c r="AP331" s="62">
        <f>'Filter-new'!G430</f>
        <v>0</v>
      </c>
      <c r="AQ331" s="62"/>
      <c r="AR331" s="62"/>
      <c r="AS331" s="46"/>
      <c r="AT331" s="62"/>
      <c r="AU331" s="62"/>
      <c r="AV331" s="62"/>
      <c r="AW331" s="46">
        <f>'Filter-old'!I430</f>
        <v>-7.6320691908116975</v>
      </c>
      <c r="AX331" s="62">
        <f>'Filter-new'!I430</f>
        <v>-7.1719436619718309</v>
      </c>
      <c r="AY331" s="62"/>
      <c r="AZ331" s="62"/>
      <c r="BA331" s="62"/>
      <c r="BB331" s="62"/>
      <c r="BC331" s="46">
        <f>'Filter-old'!K430</f>
        <v>0</v>
      </c>
      <c r="BD331" s="62">
        <f>'Filter-new'!K430</f>
        <v>0</v>
      </c>
      <c r="BE331" s="62"/>
      <c r="BF331" s="62"/>
      <c r="BG331" s="46">
        <f>'Filter-old'!M430</f>
        <v>0</v>
      </c>
      <c r="BH331" s="62"/>
      <c r="BI331" s="62"/>
      <c r="BJ331" s="62">
        <f>'Filter-new'!M430</f>
        <v>0</v>
      </c>
      <c r="BK331" s="62"/>
      <c r="BL331" s="62"/>
      <c r="BM331" s="62"/>
      <c r="BN331" s="406">
        <f>'Filter-new'!N430</f>
        <v>0</v>
      </c>
      <c r="BO331" s="62"/>
      <c r="BP331" s="62"/>
      <c r="BQ331" s="46">
        <f>'Filter-old'!O430</f>
        <v>0</v>
      </c>
      <c r="BR331" s="62">
        <f>'Filter-new'!O430</f>
        <v>0</v>
      </c>
      <c r="BS331" s="62"/>
      <c r="BT331" s="62"/>
      <c r="BU331" s="46">
        <f>'Filter-old'!Q430</f>
        <v>29.614862949538644</v>
      </c>
      <c r="BV331" s="62">
        <f>'Filter-new'!Q430</f>
        <v>27.866000317746476</v>
      </c>
      <c r="BW331" s="62"/>
      <c r="BX331" s="62"/>
      <c r="BY331" s="62"/>
      <c r="BZ331" s="62"/>
      <c r="CA331" s="46">
        <f>'Filter-old'!R430</f>
        <v>0</v>
      </c>
      <c r="CB331" s="62">
        <f>'Filter-new'!R430</f>
        <v>0</v>
      </c>
      <c r="CC331" s="57"/>
      <c r="CD331" s="58"/>
      <c r="CE331" s="57"/>
      <c r="CF331" s="57"/>
      <c r="CG331" s="169">
        <f t="shared" si="48"/>
        <v>41.167021514878314</v>
      </c>
    </row>
    <row r="332" spans="1:85" hidden="1" x14ac:dyDescent="0.2">
      <c r="A332">
        <v>0</v>
      </c>
      <c r="B332" s="59">
        <v>38749</v>
      </c>
      <c r="C332" s="59">
        <f>'Filter-new'!C64</f>
        <v>38749</v>
      </c>
      <c r="D332" s="60">
        <f t="shared" si="43"/>
        <v>2006</v>
      </c>
      <c r="E332" s="60"/>
      <c r="F332" s="60"/>
      <c r="G332" s="36">
        <f t="shared" si="47"/>
        <v>-11.072999456587183</v>
      </c>
      <c r="H332" s="36">
        <f t="shared" si="49"/>
        <v>-47.108842584430434</v>
      </c>
      <c r="I332" s="36"/>
      <c r="J332" s="41"/>
      <c r="K332" s="46">
        <f>'Filter-old'!E431</f>
        <v>-6.3045805141780331</v>
      </c>
      <c r="L332" s="62">
        <f>'Filter-new'!E431</f>
        <v>5.1278565855752714</v>
      </c>
      <c r="M332" s="62"/>
      <c r="N332" s="62"/>
      <c r="O332" s="429"/>
      <c r="P332" s="62"/>
      <c r="Q332" s="46">
        <f>'Filter-old'!H431</f>
        <v>-26.019071095550114</v>
      </c>
      <c r="R332" s="62">
        <f>'Filter-new'!H431</f>
        <v>-72.212661705781329</v>
      </c>
      <c r="S332" s="62"/>
      <c r="T332" s="62"/>
      <c r="U332" s="445"/>
      <c r="V332" s="62"/>
      <c r="W332" s="46">
        <f>'Filter-old'!J431</f>
        <v>0</v>
      </c>
      <c r="X332" s="62">
        <f>'Filter-new'!J431</f>
        <v>0</v>
      </c>
      <c r="Y332" s="62"/>
      <c r="Z332" s="62"/>
      <c r="AA332" s="46">
        <f>'Filter-old'!F431</f>
        <v>0</v>
      </c>
      <c r="AB332" s="62">
        <f>'Filter-new'!F431</f>
        <v>0</v>
      </c>
      <c r="AC332" s="62"/>
      <c r="AD332" s="62"/>
      <c r="AE332" s="46">
        <f>'Filter-old'!P431</f>
        <v>0</v>
      </c>
      <c r="AF332" s="62">
        <f>'Filter-new'!P431</f>
        <v>0</v>
      </c>
      <c r="AG332" s="62"/>
      <c r="AH332" s="62"/>
      <c r="AI332" s="46">
        <f>'Filter-old'!L431</f>
        <v>0</v>
      </c>
      <c r="AJ332" s="62">
        <f>'Filter-new'!L431</f>
        <v>0</v>
      </c>
      <c r="AK332" s="62"/>
      <c r="AL332" s="62"/>
      <c r="AM332" s="62"/>
      <c r="AN332" s="62"/>
      <c r="AO332" s="46">
        <f>'Filter-old'!G431</f>
        <v>0</v>
      </c>
      <c r="AP332" s="62">
        <f>'Filter-new'!G431</f>
        <v>0</v>
      </c>
      <c r="AQ332" s="62"/>
      <c r="AR332" s="62"/>
      <c r="AS332" s="46"/>
      <c r="AT332" s="62"/>
      <c r="AU332" s="62"/>
      <c r="AV332" s="62"/>
      <c r="AW332" s="46">
        <f>'Filter-old'!I431</f>
        <v>-7.3602447398738775</v>
      </c>
      <c r="AX332" s="62">
        <f>'Filter-new'!I431</f>
        <v>-6.6422438465941607</v>
      </c>
      <c r="AY332" s="62"/>
      <c r="AZ332" s="62"/>
      <c r="BA332" s="62"/>
      <c r="BB332" s="62"/>
      <c r="BC332" s="46">
        <f>'Filter-old'!K431</f>
        <v>0</v>
      </c>
      <c r="BD332" s="62">
        <f>'Filter-new'!K431</f>
        <v>0</v>
      </c>
      <c r="BE332" s="62"/>
      <c r="BF332" s="62"/>
      <c r="BG332" s="46">
        <f>'Filter-old'!M431</f>
        <v>0</v>
      </c>
      <c r="BH332" s="62"/>
      <c r="BI332" s="62"/>
      <c r="BJ332" s="62">
        <f>'Filter-new'!M431</f>
        <v>0</v>
      </c>
      <c r="BK332" s="62"/>
      <c r="BL332" s="62"/>
      <c r="BM332" s="62"/>
      <c r="BN332" s="406">
        <f>'Filter-new'!N431</f>
        <v>0</v>
      </c>
      <c r="BO332" s="62"/>
      <c r="BP332" s="62"/>
      <c r="BQ332" s="46">
        <f>'Filter-old'!O431</f>
        <v>0</v>
      </c>
      <c r="BR332" s="62">
        <f>'Filter-new'!O431</f>
        <v>0</v>
      </c>
      <c r="BS332" s="62"/>
      <c r="BT332" s="62"/>
      <c r="BU332" s="46">
        <f>'Filter-old'!Q431</f>
        <v>28.610896893014839</v>
      </c>
      <c r="BV332" s="62">
        <f>'Filter-new'!Q431</f>
        <v>26.618206382369781</v>
      </c>
      <c r="BW332" s="62"/>
      <c r="BX332" s="62"/>
      <c r="BY332" s="62"/>
      <c r="BZ332" s="62"/>
      <c r="CA332" s="46">
        <f>'Filter-old'!R431</f>
        <v>0</v>
      </c>
      <c r="CB332" s="62">
        <f>'Filter-new'!R431</f>
        <v>0</v>
      </c>
      <c r="CC332" s="57"/>
      <c r="CD332" s="58"/>
      <c r="CE332" s="57"/>
      <c r="CF332" s="57"/>
      <c r="CG332" s="169">
        <f t="shared" si="48"/>
        <v>36.03584312784325</v>
      </c>
    </row>
    <row r="333" spans="1:85" hidden="1" x14ac:dyDescent="0.2">
      <c r="A333">
        <v>0</v>
      </c>
      <c r="B333" s="59">
        <v>38777</v>
      </c>
      <c r="C333" s="59">
        <f>'Filter-new'!C65</f>
        <v>38777</v>
      </c>
      <c r="D333" s="60">
        <f t="shared" si="43"/>
        <v>2006</v>
      </c>
      <c r="E333" s="60"/>
      <c r="F333" s="60"/>
      <c r="G333" s="36">
        <f t="shared" si="47"/>
        <v>-11.923476529785649</v>
      </c>
      <c r="H333" s="36">
        <f t="shared" si="49"/>
        <v>-54.564049456004753</v>
      </c>
      <c r="I333" s="36"/>
      <c r="J333" s="41"/>
      <c r="K333" s="46">
        <f>'Filter-old'!E432</f>
        <v>-6.492803870271648</v>
      </c>
      <c r="L333" s="62">
        <f>'Filter-new'!E432</f>
        <v>5.8764134661117717</v>
      </c>
      <c r="M333" s="62"/>
      <c r="N333" s="62"/>
      <c r="O333" s="429"/>
      <c r="P333" s="62"/>
      <c r="Q333" s="46">
        <f>'Filter-old'!H432</f>
        <v>-26.848089085629105</v>
      </c>
      <c r="R333" s="62">
        <f>'Filter-new'!H432</f>
        <v>-84.160856123662313</v>
      </c>
      <c r="S333" s="62"/>
      <c r="T333" s="62"/>
      <c r="U333" s="445"/>
      <c r="V333" s="62"/>
      <c r="W333" s="46">
        <f>'Filter-old'!J432</f>
        <v>0</v>
      </c>
      <c r="X333" s="62">
        <f>'Filter-new'!J432</f>
        <v>0</v>
      </c>
      <c r="Y333" s="62"/>
      <c r="Z333" s="62"/>
      <c r="AA333" s="46">
        <f>'Filter-old'!F432</f>
        <v>0</v>
      </c>
      <c r="AB333" s="62">
        <f>'Filter-new'!F432</f>
        <v>0</v>
      </c>
      <c r="AC333" s="62"/>
      <c r="AD333" s="62"/>
      <c r="AE333" s="46">
        <f>'Filter-old'!P432</f>
        <v>0</v>
      </c>
      <c r="AF333" s="62">
        <f>'Filter-new'!P432</f>
        <v>0</v>
      </c>
      <c r="AG333" s="62"/>
      <c r="AH333" s="62"/>
      <c r="AI333" s="46">
        <f>'Filter-old'!L432</f>
        <v>0</v>
      </c>
      <c r="AJ333" s="62">
        <f>'Filter-new'!L432</f>
        <v>0</v>
      </c>
      <c r="AK333" s="62"/>
      <c r="AL333" s="62"/>
      <c r="AM333" s="62"/>
      <c r="AN333" s="62"/>
      <c r="AO333" s="46">
        <f>'Filter-old'!G432</f>
        <v>0</v>
      </c>
      <c r="AP333" s="62">
        <f>'Filter-new'!G432</f>
        <v>0</v>
      </c>
      <c r="AQ333" s="62"/>
      <c r="AR333" s="62"/>
      <c r="AS333" s="46"/>
      <c r="AT333" s="62"/>
      <c r="AU333" s="62"/>
      <c r="AV333" s="62"/>
      <c r="AW333" s="46">
        <f>'Filter-old'!I432</f>
        <v>-7.8162057059151779</v>
      </c>
      <c r="AX333" s="62">
        <f>'Filter-new'!I432</f>
        <v>-7.6438763376932215</v>
      </c>
      <c r="AY333" s="62"/>
      <c r="AZ333" s="62"/>
      <c r="BA333" s="62"/>
      <c r="BB333" s="62"/>
      <c r="BC333" s="46">
        <f>'Filter-old'!K432</f>
        <v>0</v>
      </c>
      <c r="BD333" s="62">
        <f>'Filter-new'!K432</f>
        <v>0</v>
      </c>
      <c r="BE333" s="62"/>
      <c r="BF333" s="62"/>
      <c r="BG333" s="46">
        <f>'Filter-old'!M432</f>
        <v>0</v>
      </c>
      <c r="BH333" s="62"/>
      <c r="BI333" s="62"/>
      <c r="BJ333" s="62">
        <f>'Filter-new'!M432</f>
        <v>0</v>
      </c>
      <c r="BK333" s="62"/>
      <c r="BL333" s="62"/>
      <c r="BM333" s="62"/>
      <c r="BN333" s="406">
        <f>'Filter-new'!N432</f>
        <v>0</v>
      </c>
      <c r="BO333" s="62"/>
      <c r="BP333" s="62"/>
      <c r="BQ333" s="46">
        <f>'Filter-old'!O432</f>
        <v>0</v>
      </c>
      <c r="BR333" s="62">
        <f>'Filter-new'!O432</f>
        <v>0</v>
      </c>
      <c r="BS333" s="62"/>
      <c r="BT333" s="62"/>
      <c r="BU333" s="46">
        <f>'Filter-old'!Q432</f>
        <v>29.233622132030288</v>
      </c>
      <c r="BV333" s="62">
        <f>'Filter-new'!Q432</f>
        <v>31.364269539239</v>
      </c>
      <c r="BW333" s="62"/>
      <c r="BX333" s="62"/>
      <c r="BY333" s="62"/>
      <c r="BZ333" s="62"/>
      <c r="CA333" s="46">
        <f>'Filter-old'!R432</f>
        <v>0</v>
      </c>
      <c r="CB333" s="62">
        <f>'Filter-new'!R432</f>
        <v>0</v>
      </c>
      <c r="CC333" s="57"/>
      <c r="CD333" s="58"/>
      <c r="CE333" s="57"/>
      <c r="CF333" s="57"/>
      <c r="CG333" s="169">
        <f t="shared" si="48"/>
        <v>42.640572926219107</v>
      </c>
    </row>
    <row r="334" spans="1:85" hidden="1" x14ac:dyDescent="0.2">
      <c r="A334">
        <v>0</v>
      </c>
      <c r="B334" s="59">
        <v>38808</v>
      </c>
      <c r="C334" s="59">
        <f>'Filter-new'!C66</f>
        <v>38808</v>
      </c>
      <c r="D334" s="60">
        <f t="shared" si="43"/>
        <v>2006</v>
      </c>
      <c r="E334" s="60"/>
      <c r="F334" s="60"/>
      <c r="G334" s="36">
        <f t="shared" si="47"/>
        <v>-10.579605265886837</v>
      </c>
      <c r="H334" s="36">
        <f t="shared" si="49"/>
        <v>-50.185428834224595</v>
      </c>
      <c r="I334" s="36"/>
      <c r="J334" s="41"/>
      <c r="K334" s="46">
        <f>'Filter-old'!E433</f>
        <v>-5.9661271104835532</v>
      </c>
      <c r="L334" s="62">
        <f>'Filter-new'!E433</f>
        <v>5.3723705567788613</v>
      </c>
      <c r="M334" s="62"/>
      <c r="N334" s="62"/>
      <c r="O334" s="429"/>
      <c r="P334" s="62"/>
      <c r="Q334" s="46">
        <f>'Filter-old'!H433</f>
        <v>-24.19659463930067</v>
      </c>
      <c r="R334" s="62">
        <f>'Filter-new'!H433</f>
        <v>-77.027996225228065</v>
      </c>
      <c r="S334" s="62"/>
      <c r="T334" s="62"/>
      <c r="U334" s="445"/>
      <c r="V334" s="62"/>
      <c r="W334" s="46">
        <f>'Filter-old'!J433</f>
        <v>0</v>
      </c>
      <c r="X334" s="62">
        <f>'Filter-new'!J433</f>
        <v>0</v>
      </c>
      <c r="Y334" s="62"/>
      <c r="Z334" s="62"/>
      <c r="AA334" s="46">
        <f>'Filter-old'!F433</f>
        <v>0</v>
      </c>
      <c r="AB334" s="62">
        <f>'Filter-new'!F433</f>
        <v>0</v>
      </c>
      <c r="AC334" s="62"/>
      <c r="AD334" s="62"/>
      <c r="AE334" s="46">
        <f>'Filter-old'!P433</f>
        <v>0</v>
      </c>
      <c r="AF334" s="62">
        <f>'Filter-new'!P433</f>
        <v>0</v>
      </c>
      <c r="AG334" s="62"/>
      <c r="AH334" s="62"/>
      <c r="AI334" s="46">
        <f>'Filter-old'!L433</f>
        <v>0</v>
      </c>
      <c r="AJ334" s="62">
        <f>'Filter-new'!L433</f>
        <v>0</v>
      </c>
      <c r="AK334" s="62"/>
      <c r="AL334" s="62"/>
      <c r="AM334" s="62"/>
      <c r="AN334" s="62"/>
      <c r="AO334" s="46">
        <f>'Filter-old'!G433</f>
        <v>0</v>
      </c>
      <c r="AP334" s="62">
        <f>'Filter-new'!G433</f>
        <v>0</v>
      </c>
      <c r="AQ334" s="62"/>
      <c r="AR334" s="62"/>
      <c r="AS334" s="46"/>
      <c r="AT334" s="62"/>
      <c r="AU334" s="62"/>
      <c r="AV334" s="62"/>
      <c r="AW334" s="46">
        <f>'Filter-old'!I433</f>
        <v>-7.0640830642760353</v>
      </c>
      <c r="AX334" s="62">
        <f>'Filter-new'!I433</f>
        <v>-7.0210758100031452</v>
      </c>
      <c r="AY334" s="62"/>
      <c r="AZ334" s="62"/>
      <c r="BA334" s="62"/>
      <c r="BB334" s="62"/>
      <c r="BC334" s="46">
        <f>'Filter-old'!K433</f>
        <v>0</v>
      </c>
      <c r="BD334" s="62">
        <f>'Filter-new'!K433</f>
        <v>0</v>
      </c>
      <c r="BE334" s="62"/>
      <c r="BF334" s="62"/>
      <c r="BG334" s="46">
        <f>'Filter-old'!M433</f>
        <v>0</v>
      </c>
      <c r="BH334" s="62"/>
      <c r="BI334" s="62"/>
      <c r="BJ334" s="62">
        <f>'Filter-new'!M433</f>
        <v>0</v>
      </c>
      <c r="BK334" s="62"/>
      <c r="BL334" s="62"/>
      <c r="BM334" s="62"/>
      <c r="BN334" s="406">
        <f>'Filter-new'!N433</f>
        <v>0</v>
      </c>
      <c r="BO334" s="62"/>
      <c r="BP334" s="62"/>
      <c r="BQ334" s="46">
        <f>'Filter-old'!O433</f>
        <v>0</v>
      </c>
      <c r="BR334" s="62">
        <f>'Filter-new'!O433</f>
        <v>0</v>
      </c>
      <c r="BS334" s="62"/>
      <c r="BT334" s="62"/>
      <c r="BU334" s="46">
        <f>'Filter-old'!Q433</f>
        <v>26.647199548173422</v>
      </c>
      <c r="BV334" s="62">
        <f>'Filter-new'!Q433</f>
        <v>28.491272644227749</v>
      </c>
      <c r="BW334" s="62"/>
      <c r="BX334" s="62"/>
      <c r="BY334" s="62"/>
      <c r="BZ334" s="62"/>
      <c r="CA334" s="46">
        <f>'Filter-old'!R433</f>
        <v>0</v>
      </c>
      <c r="CB334" s="62">
        <f>'Filter-new'!R433</f>
        <v>0</v>
      </c>
      <c r="CC334" s="57"/>
      <c r="CD334" s="58"/>
      <c r="CE334" s="57"/>
      <c r="CF334" s="57"/>
      <c r="CG334" s="169">
        <f t="shared" si="48"/>
        <v>39.605823568337755</v>
      </c>
    </row>
    <row r="335" spans="1:85" hidden="1" x14ac:dyDescent="0.2">
      <c r="A335">
        <v>0</v>
      </c>
      <c r="B335" s="59">
        <v>38838</v>
      </c>
      <c r="C335" s="59">
        <f>'Filter-new'!C67</f>
        <v>38838</v>
      </c>
      <c r="D335" s="60">
        <f t="shared" si="43"/>
        <v>2006</v>
      </c>
      <c r="E335" s="60"/>
      <c r="F335" s="60"/>
      <c r="G335" s="36">
        <f t="shared" si="47"/>
        <v>-10.180526385452815</v>
      </c>
      <c r="H335" s="36">
        <f t="shared" si="49"/>
        <v>-53.614380418084409</v>
      </c>
      <c r="I335" s="36"/>
      <c r="J335" s="41"/>
      <c r="K335" s="46">
        <f>'Filter-old'!E434</f>
        <v>-7.7092224663414033</v>
      </c>
      <c r="L335" s="62">
        <f>'Filter-new'!E434</f>
        <v>6.0692788610586001</v>
      </c>
      <c r="M335" s="62"/>
      <c r="N335" s="62"/>
      <c r="O335" s="429"/>
      <c r="P335" s="62"/>
      <c r="Q335" s="46">
        <f>'Filter-old'!H434</f>
        <v>-24.357760133605076</v>
      </c>
      <c r="R335" s="62">
        <f>'Filter-new'!H434</f>
        <v>-84.985043478260863</v>
      </c>
      <c r="S335" s="62"/>
      <c r="T335" s="62"/>
      <c r="U335" s="445"/>
      <c r="V335" s="62"/>
      <c r="W335" s="46">
        <f>'Filter-old'!J434</f>
        <v>0</v>
      </c>
      <c r="X335" s="62">
        <f>'Filter-new'!J434</f>
        <v>0</v>
      </c>
      <c r="Y335" s="62"/>
      <c r="Z335" s="62"/>
      <c r="AA335" s="46">
        <f>'Filter-old'!F434</f>
        <v>0</v>
      </c>
      <c r="AB335" s="62">
        <f>'Filter-new'!F434</f>
        <v>0</v>
      </c>
      <c r="AC335" s="62"/>
      <c r="AD335" s="62"/>
      <c r="AE335" s="46">
        <f>'Filter-old'!P434</f>
        <v>0</v>
      </c>
      <c r="AF335" s="62">
        <f>'Filter-new'!P434</f>
        <v>0</v>
      </c>
      <c r="AG335" s="62"/>
      <c r="AH335" s="62"/>
      <c r="AI335" s="46">
        <f>'Filter-old'!L434</f>
        <v>0</v>
      </c>
      <c r="AJ335" s="62">
        <f>'Filter-new'!L434</f>
        <v>0</v>
      </c>
      <c r="AK335" s="62"/>
      <c r="AL335" s="62"/>
      <c r="AM335" s="62"/>
      <c r="AN335" s="62"/>
      <c r="AO335" s="46">
        <f>'Filter-old'!G434</f>
        <v>0</v>
      </c>
      <c r="AP335" s="62">
        <f>'Filter-new'!G434</f>
        <v>0</v>
      </c>
      <c r="AQ335" s="62"/>
      <c r="AR335" s="62"/>
      <c r="AS335" s="46"/>
      <c r="AT335" s="62"/>
      <c r="AU335" s="62"/>
      <c r="AV335" s="62"/>
      <c r="AW335" s="46">
        <f>'Filter-old'!I434</f>
        <v>-8.1167690995810684</v>
      </c>
      <c r="AX335" s="62">
        <f>'Filter-new'!I434</f>
        <v>-7.9751732829237545</v>
      </c>
      <c r="AY335" s="62"/>
      <c r="AZ335" s="62"/>
      <c r="BA335" s="62"/>
      <c r="BB335" s="62"/>
      <c r="BC335" s="46">
        <f>'Filter-old'!K434</f>
        <v>0</v>
      </c>
      <c r="BD335" s="62">
        <f>'Filter-new'!K434</f>
        <v>0</v>
      </c>
      <c r="BE335" s="62"/>
      <c r="BF335" s="62"/>
      <c r="BG335" s="46">
        <f>'Filter-old'!M434</f>
        <v>0</v>
      </c>
      <c r="BH335" s="62"/>
      <c r="BI335" s="62"/>
      <c r="BJ335" s="62">
        <f>'Filter-new'!M434</f>
        <v>0</v>
      </c>
      <c r="BK335" s="62"/>
      <c r="BL335" s="62"/>
      <c r="BM335" s="62"/>
      <c r="BN335" s="406">
        <f>'Filter-new'!N434</f>
        <v>0</v>
      </c>
      <c r="BO335" s="62"/>
      <c r="BP335" s="62"/>
      <c r="BQ335" s="46">
        <f>'Filter-old'!O434</f>
        <v>0</v>
      </c>
      <c r="BR335" s="62">
        <f>'Filter-new'!O434</f>
        <v>0</v>
      </c>
      <c r="BS335" s="62"/>
      <c r="BT335" s="62"/>
      <c r="BU335" s="46">
        <f>'Filter-old'!Q434</f>
        <v>30.003225314074733</v>
      </c>
      <c r="BV335" s="62">
        <f>'Filter-new'!Q434</f>
        <v>33.276557482041596</v>
      </c>
      <c r="BW335" s="62"/>
      <c r="BX335" s="62"/>
      <c r="BY335" s="62"/>
      <c r="BZ335" s="62"/>
      <c r="CA335" s="46">
        <f>'Filter-old'!R434</f>
        <v>0</v>
      </c>
      <c r="CB335" s="62">
        <f>'Filter-new'!R434</f>
        <v>0</v>
      </c>
      <c r="CC335" s="57"/>
      <c r="CD335" s="58"/>
      <c r="CE335" s="57"/>
      <c r="CF335" s="57"/>
      <c r="CG335" s="169">
        <f t="shared" si="48"/>
        <v>43.433854032631594</v>
      </c>
    </row>
    <row r="336" spans="1:85" hidden="1" x14ac:dyDescent="0.2">
      <c r="A336">
        <v>0</v>
      </c>
      <c r="B336" s="59">
        <v>38869</v>
      </c>
      <c r="C336" s="59">
        <f>'Filter-new'!C68</f>
        <v>38869</v>
      </c>
      <c r="D336" s="60">
        <f t="shared" si="43"/>
        <v>2006</v>
      </c>
      <c r="E336" s="60"/>
      <c r="F336" s="60"/>
      <c r="G336" s="36">
        <f t="shared" si="47"/>
        <v>-4.2459457766862272</v>
      </c>
      <c r="H336" s="36">
        <f t="shared" si="49"/>
        <v>-62.344147056715499</v>
      </c>
      <c r="I336" s="36"/>
      <c r="J336" s="41"/>
      <c r="K336" s="46">
        <f>'Filter-old'!E435</f>
        <v>-7.131287157658651</v>
      </c>
      <c r="L336" s="62">
        <f>'Filter-new'!E435</f>
        <v>7.2329312683078841</v>
      </c>
      <c r="M336" s="62"/>
      <c r="N336" s="62"/>
      <c r="O336" s="429"/>
      <c r="P336" s="62"/>
      <c r="Q336" s="46">
        <f>'Filter-old'!H435</f>
        <v>-21.203638928442516</v>
      </c>
      <c r="R336" s="62">
        <f>'Filter-new'!H435</f>
        <v>-100.41576067310689</v>
      </c>
      <c r="S336" s="62"/>
      <c r="T336" s="62"/>
      <c r="U336" s="445"/>
      <c r="V336" s="62"/>
      <c r="W336" s="46">
        <f>'Filter-old'!J435</f>
        <v>0</v>
      </c>
      <c r="X336" s="62">
        <f>'Filter-new'!J435</f>
        <v>0</v>
      </c>
      <c r="Y336" s="62"/>
      <c r="Z336" s="62"/>
      <c r="AA336" s="46">
        <f>'Filter-old'!F435</f>
        <v>0</v>
      </c>
      <c r="AB336" s="62">
        <f>'Filter-new'!F435</f>
        <v>0</v>
      </c>
      <c r="AC336" s="62"/>
      <c r="AD336" s="62"/>
      <c r="AE336" s="46">
        <f>'Filter-old'!P435</f>
        <v>0</v>
      </c>
      <c r="AF336" s="62">
        <f>'Filter-new'!P435</f>
        <v>0</v>
      </c>
      <c r="AG336" s="62"/>
      <c r="AH336" s="62"/>
      <c r="AI336" s="46">
        <f>'Filter-old'!L435</f>
        <v>0</v>
      </c>
      <c r="AJ336" s="62">
        <f>'Filter-new'!L435</f>
        <v>0</v>
      </c>
      <c r="AK336" s="62"/>
      <c r="AL336" s="62"/>
      <c r="AM336" s="62"/>
      <c r="AN336" s="62"/>
      <c r="AO336" s="46">
        <f>'Filter-old'!G435</f>
        <v>0</v>
      </c>
      <c r="AP336" s="62">
        <f>'Filter-new'!G435</f>
        <v>0</v>
      </c>
      <c r="AQ336" s="62"/>
      <c r="AR336" s="62"/>
      <c r="AS336" s="46"/>
      <c r="AT336" s="62"/>
      <c r="AU336" s="62"/>
      <c r="AV336" s="62"/>
      <c r="AW336" s="46">
        <f>'Filter-old'!I435</f>
        <v>-8.7868740128587106</v>
      </c>
      <c r="AX336" s="62">
        <f>'Filter-new'!I435</f>
        <v>-9.5788095980056092</v>
      </c>
      <c r="AY336" s="62"/>
      <c r="AZ336" s="62"/>
      <c r="BA336" s="62"/>
      <c r="BB336" s="62"/>
      <c r="BC336" s="46">
        <f>'Filter-old'!K435</f>
        <v>0</v>
      </c>
      <c r="BD336" s="62">
        <f>'Filter-new'!K435</f>
        <v>0</v>
      </c>
      <c r="BE336" s="62"/>
      <c r="BF336" s="62"/>
      <c r="BG336" s="46">
        <f>'Filter-old'!M435</f>
        <v>0</v>
      </c>
      <c r="BH336" s="62"/>
      <c r="BI336" s="62"/>
      <c r="BJ336" s="62">
        <f>'Filter-new'!M435</f>
        <v>0</v>
      </c>
      <c r="BK336" s="62"/>
      <c r="BL336" s="62"/>
      <c r="BM336" s="62"/>
      <c r="BN336" s="406">
        <f>'Filter-new'!N435</f>
        <v>0</v>
      </c>
      <c r="BO336" s="62"/>
      <c r="BP336" s="62"/>
      <c r="BQ336" s="46">
        <f>'Filter-old'!O435</f>
        <v>0</v>
      </c>
      <c r="BR336" s="62">
        <f>'Filter-new'!O435</f>
        <v>0</v>
      </c>
      <c r="BS336" s="62"/>
      <c r="BT336" s="62"/>
      <c r="BU336" s="46">
        <f>'Filter-old'!Q435</f>
        <v>32.875854322273653</v>
      </c>
      <c r="BV336" s="62">
        <f>'Filter-new'!Q435</f>
        <v>40.417491946089115</v>
      </c>
      <c r="BW336" s="62"/>
      <c r="BX336" s="62"/>
      <c r="BY336" s="62"/>
      <c r="BZ336" s="62"/>
      <c r="CA336" s="46">
        <f>'Filter-old'!R435</f>
        <v>0</v>
      </c>
      <c r="CB336" s="62">
        <f>'Filter-new'!R435</f>
        <v>0</v>
      </c>
      <c r="CC336" s="57"/>
      <c r="CD336" s="58"/>
      <c r="CE336" s="57"/>
      <c r="CF336" s="57"/>
      <c r="CG336" s="169">
        <f t="shared" si="48"/>
        <v>58.098201280029272</v>
      </c>
    </row>
    <row r="337" spans="1:85" hidden="1" x14ac:dyDescent="0.2">
      <c r="A337">
        <v>0</v>
      </c>
      <c r="B337" s="59">
        <v>38899</v>
      </c>
      <c r="C337" s="59">
        <f>'Filter-new'!C69</f>
        <v>38899</v>
      </c>
      <c r="D337" s="60">
        <f t="shared" si="43"/>
        <v>2006</v>
      </c>
      <c r="E337" s="60"/>
      <c r="F337" s="60"/>
      <c r="G337" s="36">
        <f t="shared" si="47"/>
        <v>2.1675018219316655</v>
      </c>
      <c r="H337" s="36">
        <f t="shared" si="49"/>
        <v>-77.422062143120968</v>
      </c>
      <c r="I337" s="36"/>
      <c r="J337" s="41"/>
      <c r="K337" s="46">
        <f>'Filter-old'!E436</f>
        <v>-8.4634027131652836</v>
      </c>
      <c r="L337" s="62">
        <f>'Filter-new'!E436</f>
        <v>8.8541209064327493</v>
      </c>
      <c r="M337" s="62"/>
      <c r="N337" s="62"/>
      <c r="O337" s="429"/>
      <c r="P337" s="62"/>
      <c r="Q337" s="46">
        <f>'Filter-old'!H436</f>
        <v>-21.561404009946845</v>
      </c>
      <c r="R337" s="62">
        <f>'Filter-new'!H436</f>
        <v>-120.43764850723301</v>
      </c>
      <c r="S337" s="62"/>
      <c r="T337" s="62"/>
      <c r="U337" s="445"/>
      <c r="V337" s="62"/>
      <c r="W337" s="46">
        <f>'Filter-old'!J436</f>
        <v>0</v>
      </c>
      <c r="X337" s="62">
        <f>'Filter-new'!J436</f>
        <v>0</v>
      </c>
      <c r="Y337" s="62"/>
      <c r="Z337" s="62"/>
      <c r="AA337" s="46">
        <f>'Filter-old'!F436</f>
        <v>0</v>
      </c>
      <c r="AB337" s="62">
        <f>'Filter-new'!F436</f>
        <v>0</v>
      </c>
      <c r="AC337" s="62"/>
      <c r="AD337" s="62"/>
      <c r="AE337" s="46">
        <f>'Filter-old'!P436</f>
        <v>0</v>
      </c>
      <c r="AF337" s="62">
        <f>'Filter-new'!P436</f>
        <v>0</v>
      </c>
      <c r="AG337" s="62"/>
      <c r="AH337" s="62"/>
      <c r="AI337" s="46">
        <f>'Filter-old'!L436</f>
        <v>0</v>
      </c>
      <c r="AJ337" s="62">
        <f>'Filter-new'!L436</f>
        <v>-0.46335487842413048</v>
      </c>
      <c r="AK337" s="62"/>
      <c r="AL337" s="62"/>
      <c r="AM337" s="62"/>
      <c r="AN337" s="62"/>
      <c r="AO337" s="46">
        <f>'Filter-old'!G436</f>
        <v>0</v>
      </c>
      <c r="AP337" s="62">
        <f>'Filter-new'!G436</f>
        <v>0</v>
      </c>
      <c r="AQ337" s="62"/>
      <c r="AR337" s="62"/>
      <c r="AS337" s="46"/>
      <c r="AT337" s="62"/>
      <c r="AU337" s="62"/>
      <c r="AV337" s="62"/>
      <c r="AW337" s="46">
        <f>'Filter-old'!I436</f>
        <v>-11.447865594293654</v>
      </c>
      <c r="AX337" s="62">
        <f>'Filter-new'!I436</f>
        <v>-11.830101569713758</v>
      </c>
      <c r="AY337" s="62"/>
      <c r="AZ337" s="62"/>
      <c r="BA337" s="62"/>
      <c r="BB337" s="62"/>
      <c r="BC337" s="46">
        <f>'Filter-old'!K436</f>
        <v>0</v>
      </c>
      <c r="BD337" s="62">
        <f>'Filter-new'!K436</f>
        <v>0</v>
      </c>
      <c r="BE337" s="62"/>
      <c r="BF337" s="62"/>
      <c r="BG337" s="46">
        <f>'Filter-old'!M436</f>
        <v>0</v>
      </c>
      <c r="BH337" s="62"/>
      <c r="BI337" s="62"/>
      <c r="BJ337" s="62">
        <f>'Filter-new'!M436</f>
        <v>0</v>
      </c>
      <c r="BK337" s="62"/>
      <c r="BL337" s="62"/>
      <c r="BM337" s="62"/>
      <c r="BN337" s="406">
        <f>'Filter-new'!N436</f>
        <v>0</v>
      </c>
      <c r="BO337" s="62"/>
      <c r="BP337" s="62"/>
      <c r="BQ337" s="46">
        <f>'Filter-old'!O436</f>
        <v>0</v>
      </c>
      <c r="BR337" s="62">
        <f>'Filter-new'!O436</f>
        <v>0</v>
      </c>
      <c r="BS337" s="62"/>
      <c r="BT337" s="62"/>
      <c r="BU337" s="46">
        <f>'Filter-old'!Q436</f>
        <v>43.640174139337446</v>
      </c>
      <c r="BV337" s="62">
        <f>'Filter-new'!Q436</f>
        <v>46.454921905817173</v>
      </c>
      <c r="BW337" s="62"/>
      <c r="BX337" s="62"/>
      <c r="BY337" s="62"/>
      <c r="BZ337" s="62"/>
      <c r="CA337" s="46">
        <f>'Filter-old'!R436</f>
        <v>0</v>
      </c>
      <c r="CB337" s="62">
        <f>'Filter-new'!R436</f>
        <v>0</v>
      </c>
      <c r="CC337" s="57"/>
      <c r="CD337" s="58"/>
      <c r="CE337" s="57"/>
      <c r="CF337" s="57"/>
      <c r="CG337" s="169">
        <f t="shared" si="48"/>
        <v>79.589563965052633</v>
      </c>
    </row>
    <row r="338" spans="1:85" hidden="1" x14ac:dyDescent="0.2">
      <c r="A338">
        <v>0</v>
      </c>
      <c r="B338" s="59">
        <v>38930</v>
      </c>
      <c r="C338" s="59">
        <f>'Filter-new'!C70</f>
        <v>38930</v>
      </c>
      <c r="D338" s="60">
        <f t="shared" si="43"/>
        <v>2006</v>
      </c>
      <c r="E338" s="60"/>
      <c r="F338" s="60"/>
      <c r="G338" s="36">
        <f t="shared" si="47"/>
        <v>3.0816786962805125</v>
      </c>
      <c r="H338" s="36">
        <f t="shared" si="49"/>
        <v>-86.536434919428388</v>
      </c>
      <c r="I338" s="36"/>
      <c r="J338" s="41"/>
      <c r="K338" s="46">
        <f>'Filter-old'!E437</f>
        <v>-9.5700418616235829</v>
      </c>
      <c r="L338" s="62">
        <f>'Filter-new'!E437</f>
        <v>9.9728393888719982</v>
      </c>
      <c r="M338" s="62"/>
      <c r="N338" s="62"/>
      <c r="O338" s="429"/>
      <c r="P338" s="62"/>
      <c r="Q338" s="46">
        <f>'Filter-old'!H437</f>
        <v>-24.122264891023086</v>
      </c>
      <c r="R338" s="62">
        <f>'Filter-new'!H437</f>
        <v>-135.80027972027972</v>
      </c>
      <c r="S338" s="62"/>
      <c r="T338" s="62"/>
      <c r="U338" s="445"/>
      <c r="V338" s="62"/>
      <c r="W338" s="46">
        <f>'Filter-old'!J437</f>
        <v>0</v>
      </c>
      <c r="X338" s="62">
        <f>'Filter-new'!J437</f>
        <v>0</v>
      </c>
      <c r="Y338" s="62"/>
      <c r="Z338" s="62"/>
      <c r="AA338" s="46">
        <f>'Filter-old'!F437</f>
        <v>0</v>
      </c>
      <c r="AB338" s="62">
        <f>'Filter-new'!F437</f>
        <v>0</v>
      </c>
      <c r="AC338" s="62"/>
      <c r="AD338" s="62"/>
      <c r="AE338" s="46">
        <f>'Filter-old'!P437</f>
        <v>0</v>
      </c>
      <c r="AF338" s="62">
        <f>'Filter-new'!P437</f>
        <v>0</v>
      </c>
      <c r="AG338" s="62"/>
      <c r="AH338" s="62"/>
      <c r="AI338" s="46">
        <f>'Filter-old'!L437</f>
        <v>0</v>
      </c>
      <c r="AJ338" s="62">
        <f>'Filter-new'!L437</f>
        <v>-0.53566433566433558</v>
      </c>
      <c r="AK338" s="62"/>
      <c r="AL338" s="62"/>
      <c r="AM338" s="62"/>
      <c r="AN338" s="62"/>
      <c r="AO338" s="46">
        <f>'Filter-old'!G437</f>
        <v>0</v>
      </c>
      <c r="AP338" s="62">
        <f>'Filter-new'!G437</f>
        <v>0</v>
      </c>
      <c r="AQ338" s="62"/>
      <c r="AR338" s="62"/>
      <c r="AS338" s="46"/>
      <c r="AT338" s="62"/>
      <c r="AU338" s="62"/>
      <c r="AV338" s="62"/>
      <c r="AW338" s="46">
        <f>'Filter-old'!I437</f>
        <v>-12.984809243754976</v>
      </c>
      <c r="AX338" s="62">
        <f>'Filter-new'!I437</f>
        <v>-13.391608391608392</v>
      </c>
      <c r="AY338" s="62"/>
      <c r="AZ338" s="62"/>
      <c r="BA338" s="62"/>
      <c r="BB338" s="62"/>
      <c r="BC338" s="46">
        <f>'Filter-old'!K437</f>
        <v>0</v>
      </c>
      <c r="BD338" s="62">
        <f>'Filter-new'!K437</f>
        <v>0</v>
      </c>
      <c r="BE338" s="62"/>
      <c r="BF338" s="62"/>
      <c r="BG338" s="46">
        <f>'Filter-old'!M437</f>
        <v>0</v>
      </c>
      <c r="BH338" s="62"/>
      <c r="BI338" s="62"/>
      <c r="BJ338" s="62">
        <f>'Filter-new'!M437</f>
        <v>0</v>
      </c>
      <c r="BK338" s="62"/>
      <c r="BL338" s="62"/>
      <c r="BM338" s="62"/>
      <c r="BN338" s="406">
        <f>'Filter-new'!N437</f>
        <v>0</v>
      </c>
      <c r="BO338" s="62"/>
      <c r="BP338" s="62"/>
      <c r="BQ338" s="46">
        <f>'Filter-old'!O437</f>
        <v>0</v>
      </c>
      <c r="BR338" s="62">
        <f>'Filter-new'!O437</f>
        <v>0</v>
      </c>
      <c r="BS338" s="62"/>
      <c r="BT338" s="62"/>
      <c r="BU338" s="46">
        <f>'Filter-old'!Q437</f>
        <v>49.758794692682159</v>
      </c>
      <c r="BV338" s="62">
        <f>'Filter-new'!Q437</f>
        <v>53.21827813925205</v>
      </c>
      <c r="BW338" s="62"/>
      <c r="BX338" s="62"/>
      <c r="BY338" s="62"/>
      <c r="BZ338" s="62"/>
      <c r="CA338" s="46">
        <f>'Filter-old'!R437</f>
        <v>0</v>
      </c>
      <c r="CB338" s="62">
        <f>'Filter-new'!R437</f>
        <v>0</v>
      </c>
      <c r="CC338" s="57"/>
      <c r="CD338" s="58"/>
      <c r="CE338" s="57"/>
      <c r="CF338" s="57"/>
      <c r="CG338" s="169">
        <f t="shared" si="48"/>
        <v>89.618113615708893</v>
      </c>
    </row>
    <row r="339" spans="1:85" hidden="1" x14ac:dyDescent="0.2">
      <c r="A339">
        <v>0</v>
      </c>
      <c r="B339" s="59">
        <v>38961</v>
      </c>
      <c r="C339" s="59">
        <f>'Filter-new'!C71</f>
        <v>38961</v>
      </c>
      <c r="D339" s="60">
        <f t="shared" si="43"/>
        <v>2006</v>
      </c>
      <c r="E339" s="60"/>
      <c r="F339" s="60"/>
      <c r="G339" s="36">
        <f t="shared" si="47"/>
        <v>-6.0848207476775968</v>
      </c>
      <c r="H339" s="36">
        <f t="shared" si="49"/>
        <v>-49.611675876528111</v>
      </c>
      <c r="I339" s="36"/>
      <c r="J339" s="41"/>
      <c r="K339" s="46">
        <f>'Filter-old'!E438</f>
        <v>-5.7131078188512951</v>
      </c>
      <c r="L339" s="62">
        <f>'Filter-new'!E438</f>
        <v>4.9813819070904648</v>
      </c>
      <c r="M339" s="62"/>
      <c r="N339" s="62"/>
      <c r="O339" s="429"/>
      <c r="P339" s="62"/>
      <c r="Q339" s="46">
        <f>'Filter-old'!H438</f>
        <v>-18.47379223657649</v>
      </c>
      <c r="R339" s="62">
        <f>'Filter-new'!H438</f>
        <v>-72.130464547677263</v>
      </c>
      <c r="S339" s="62"/>
      <c r="T339" s="62"/>
      <c r="U339" s="445"/>
      <c r="V339" s="62"/>
      <c r="W339" s="46">
        <f>'Filter-old'!J438</f>
        <v>0</v>
      </c>
      <c r="X339" s="62">
        <f>'Filter-new'!J438</f>
        <v>0</v>
      </c>
      <c r="Y339" s="62"/>
      <c r="Z339" s="62"/>
      <c r="AA339" s="46">
        <f>'Filter-old'!F438</f>
        <v>0</v>
      </c>
      <c r="AB339" s="62">
        <f>'Filter-new'!F438</f>
        <v>0</v>
      </c>
      <c r="AC339" s="62"/>
      <c r="AD339" s="62"/>
      <c r="AE339" s="46">
        <f>'Filter-old'!P438</f>
        <v>0</v>
      </c>
      <c r="AF339" s="62">
        <f>'Filter-new'!P438</f>
        <v>0</v>
      </c>
      <c r="AG339" s="62"/>
      <c r="AH339" s="62"/>
      <c r="AI339" s="46">
        <f>'Filter-old'!L438</f>
        <v>0</v>
      </c>
      <c r="AJ339" s="62">
        <f>'Filter-new'!L438</f>
        <v>0</v>
      </c>
      <c r="AK339" s="62"/>
      <c r="AL339" s="62"/>
      <c r="AM339" s="62"/>
      <c r="AN339" s="62"/>
      <c r="AO339" s="46">
        <f>'Filter-old'!G438</f>
        <v>0</v>
      </c>
      <c r="AP339" s="62">
        <f>'Filter-new'!G438</f>
        <v>0</v>
      </c>
      <c r="AQ339" s="62"/>
      <c r="AR339" s="62"/>
      <c r="AS339" s="46"/>
      <c r="AT339" s="62"/>
      <c r="AU339" s="62"/>
      <c r="AV339" s="62"/>
      <c r="AW339" s="46">
        <f>'Filter-old'!I438</f>
        <v>-7.0502839035080749</v>
      </c>
      <c r="AX339" s="62">
        <f>'Filter-new'!I438</f>
        <v>-6.6699266503667491</v>
      </c>
      <c r="AY339" s="62"/>
      <c r="AZ339" s="62"/>
      <c r="BA339" s="62"/>
      <c r="BB339" s="62"/>
      <c r="BC339" s="46">
        <f>'Filter-old'!K438</f>
        <v>0</v>
      </c>
      <c r="BD339" s="62">
        <f>'Filter-new'!K438</f>
        <v>0</v>
      </c>
      <c r="BE339" s="62"/>
      <c r="BF339" s="62"/>
      <c r="BG339" s="46">
        <f>'Filter-old'!M438</f>
        <v>0</v>
      </c>
      <c r="BH339" s="62"/>
      <c r="BI339" s="62"/>
      <c r="BJ339" s="62">
        <f>'Filter-new'!M438</f>
        <v>0</v>
      </c>
      <c r="BK339" s="62"/>
      <c r="BL339" s="62"/>
      <c r="BM339" s="62"/>
      <c r="BN339" s="406">
        <f>'Filter-new'!N438</f>
        <v>0</v>
      </c>
      <c r="BO339" s="62"/>
      <c r="BP339" s="62"/>
      <c r="BQ339" s="46">
        <f>'Filter-old'!O438</f>
        <v>0</v>
      </c>
      <c r="BR339" s="62">
        <f>'Filter-new'!O438</f>
        <v>0</v>
      </c>
      <c r="BS339" s="62"/>
      <c r="BT339" s="62"/>
      <c r="BU339" s="46">
        <f>'Filter-old'!Q438</f>
        <v>25.152363211258262</v>
      </c>
      <c r="BV339" s="62">
        <f>'Filter-new'!Q438</f>
        <v>24.207333414425431</v>
      </c>
      <c r="BW339" s="62"/>
      <c r="BX339" s="62"/>
      <c r="BY339" s="62"/>
      <c r="BZ339" s="62"/>
      <c r="CA339" s="46">
        <f>'Filter-old'!R438</f>
        <v>0</v>
      </c>
      <c r="CB339" s="62">
        <f>'Filter-new'!R438</f>
        <v>0</v>
      </c>
      <c r="CC339" s="57"/>
      <c r="CD339" s="58"/>
      <c r="CE339" s="57"/>
      <c r="CF339" s="57"/>
      <c r="CG339" s="169">
        <f t="shared" si="48"/>
        <v>43.526855128850514</v>
      </c>
    </row>
    <row r="340" spans="1:85" hidden="1" x14ac:dyDescent="0.2">
      <c r="A340">
        <v>0</v>
      </c>
      <c r="B340" s="59">
        <v>38991</v>
      </c>
      <c r="C340" s="59">
        <f>'Filter-new'!C72</f>
        <v>38991</v>
      </c>
      <c r="D340" s="60">
        <f t="shared" ref="D340:D390" si="50">YEAR(C340)</f>
        <v>2006</v>
      </c>
      <c r="E340" s="60"/>
      <c r="F340" s="60"/>
      <c r="G340" s="36">
        <f t="shared" ref="G340:G371" si="51">SUM(K340,AA340,AO340,Q340,AW340,W340,BC340,AI340,BG340,BQ340,AE340,BU340,CA340)</f>
        <v>-11.188986671197533</v>
      </c>
      <c r="H340" s="36">
        <f t="shared" si="49"/>
        <v>-53.215228533818632</v>
      </c>
      <c r="I340" s="36"/>
      <c r="J340" s="41"/>
      <c r="K340" s="46">
        <f>'Filter-old'!E439</f>
        <v>-6.0299087963068132</v>
      </c>
      <c r="L340" s="62">
        <f>'Filter-new'!E439</f>
        <v>5.4316557476493781</v>
      </c>
      <c r="M340" s="62"/>
      <c r="N340" s="62"/>
      <c r="O340" s="429"/>
      <c r="P340" s="62"/>
      <c r="Q340" s="46">
        <f>'Filter-old'!H439</f>
        <v>-23.239292568630642</v>
      </c>
      <c r="R340" s="62">
        <f>'Filter-new'!H439</f>
        <v>-79.352778889899909</v>
      </c>
      <c r="S340" s="62"/>
      <c r="T340" s="62"/>
      <c r="U340" s="445"/>
      <c r="V340" s="62"/>
      <c r="W340" s="46">
        <f>'Filter-old'!J439</f>
        <v>0</v>
      </c>
      <c r="X340" s="62">
        <f>'Filter-new'!J439</f>
        <v>0</v>
      </c>
      <c r="Y340" s="62"/>
      <c r="Z340" s="62"/>
      <c r="AA340" s="46">
        <f>'Filter-old'!F439</f>
        <v>0</v>
      </c>
      <c r="AB340" s="62">
        <f>'Filter-new'!F439</f>
        <v>0</v>
      </c>
      <c r="AC340" s="62"/>
      <c r="AD340" s="62"/>
      <c r="AE340" s="46">
        <f>'Filter-old'!P439</f>
        <v>0</v>
      </c>
      <c r="AF340" s="62">
        <f>'Filter-new'!P439</f>
        <v>0</v>
      </c>
      <c r="AG340" s="62"/>
      <c r="AH340" s="62"/>
      <c r="AI340" s="46">
        <f>'Filter-old'!L439</f>
        <v>0</v>
      </c>
      <c r="AJ340" s="62">
        <f>'Filter-new'!L439</f>
        <v>0</v>
      </c>
      <c r="AK340" s="62"/>
      <c r="AL340" s="62"/>
      <c r="AM340" s="62"/>
      <c r="AN340" s="62"/>
      <c r="AO340" s="46">
        <f>'Filter-old'!G439</f>
        <v>0</v>
      </c>
      <c r="AP340" s="62">
        <f>'Filter-new'!G439</f>
        <v>0</v>
      </c>
      <c r="AQ340" s="62"/>
      <c r="AR340" s="62"/>
      <c r="AS340" s="46"/>
      <c r="AT340" s="62"/>
      <c r="AU340" s="62"/>
      <c r="AV340" s="62"/>
      <c r="AW340" s="46">
        <f>'Filter-old'!I439</f>
        <v>-7.4508743286132795</v>
      </c>
      <c r="AX340" s="62">
        <f>'Filter-new'!I439</f>
        <v>-7.3106460418562316</v>
      </c>
      <c r="AY340" s="62"/>
      <c r="AZ340" s="62"/>
      <c r="BA340" s="62"/>
      <c r="BB340" s="62"/>
      <c r="BC340" s="46">
        <f>'Filter-old'!K439</f>
        <v>0</v>
      </c>
      <c r="BD340" s="62">
        <f>'Filter-new'!K439</f>
        <v>0</v>
      </c>
      <c r="BE340" s="62"/>
      <c r="BF340" s="62"/>
      <c r="BG340" s="46">
        <f>'Filter-old'!M439</f>
        <v>0</v>
      </c>
      <c r="BH340" s="62"/>
      <c r="BI340" s="62"/>
      <c r="BJ340" s="62">
        <f>'Filter-new'!M439</f>
        <v>0</v>
      </c>
      <c r="BK340" s="62"/>
      <c r="BL340" s="62"/>
      <c r="BM340" s="62"/>
      <c r="BN340" s="406">
        <f>'Filter-new'!N439</f>
        <v>0</v>
      </c>
      <c r="BO340" s="62"/>
      <c r="BP340" s="62"/>
      <c r="BQ340" s="46">
        <f>'Filter-old'!O439</f>
        <v>0</v>
      </c>
      <c r="BR340" s="62">
        <f>'Filter-new'!O439</f>
        <v>0</v>
      </c>
      <c r="BS340" s="62"/>
      <c r="BT340" s="62"/>
      <c r="BU340" s="46">
        <f>'Filter-old'!Q439</f>
        <v>25.5310890223532</v>
      </c>
      <c r="BV340" s="62">
        <f>'Filter-new'!Q439</f>
        <v>28.016540650288132</v>
      </c>
      <c r="BW340" s="62"/>
      <c r="BX340" s="62"/>
      <c r="BY340" s="62"/>
      <c r="BZ340" s="62"/>
      <c r="CA340" s="46">
        <f>'Filter-old'!R439</f>
        <v>0</v>
      </c>
      <c r="CB340" s="62">
        <f>'Filter-new'!R439</f>
        <v>0</v>
      </c>
      <c r="CC340" s="57"/>
      <c r="CD340" s="58"/>
      <c r="CE340" s="57"/>
      <c r="CF340" s="57"/>
      <c r="CG340" s="169">
        <f t="shared" ref="CG340:CG371" si="52">G340-H340</f>
        <v>42.026241862621099</v>
      </c>
    </row>
    <row r="341" spans="1:85" hidden="1" x14ac:dyDescent="0.2">
      <c r="A341">
        <v>0</v>
      </c>
      <c r="B341" s="59">
        <v>39022</v>
      </c>
      <c r="C341" s="59">
        <f>'Filter-new'!C73</f>
        <v>39022</v>
      </c>
      <c r="D341" s="60">
        <f t="shared" si="50"/>
        <v>2006</v>
      </c>
      <c r="E341" s="60"/>
      <c r="F341" s="60"/>
      <c r="G341" s="36">
        <f t="shared" si="51"/>
        <v>-12.928977744767369</v>
      </c>
      <c r="H341" s="36">
        <f t="shared" si="49"/>
        <v>-48.450781239779644</v>
      </c>
      <c r="I341" s="36"/>
      <c r="J341" s="41"/>
      <c r="K341" s="46">
        <f>'Filter-old'!E440</f>
        <v>-5.5532669372232561</v>
      </c>
      <c r="L341" s="62">
        <f>'Filter-new'!E440</f>
        <v>4.9059344157726876</v>
      </c>
      <c r="M341" s="62"/>
      <c r="N341" s="62"/>
      <c r="O341" s="429"/>
      <c r="P341" s="62"/>
      <c r="Q341" s="46">
        <f>'Filter-old'!H440</f>
        <v>-24.020630508814104</v>
      </c>
      <c r="R341" s="62">
        <f>'Filter-new'!H440</f>
        <v>-72.258022615250795</v>
      </c>
      <c r="S341" s="62"/>
      <c r="T341" s="62"/>
      <c r="U341" s="445"/>
      <c r="V341" s="62"/>
      <c r="W341" s="46">
        <f>'Filter-old'!J440</f>
        <v>0</v>
      </c>
      <c r="X341" s="62">
        <f>'Filter-new'!J440</f>
        <v>0</v>
      </c>
      <c r="Y341" s="62"/>
      <c r="Z341" s="62"/>
      <c r="AA341" s="46">
        <f>'Filter-old'!F440</f>
        <v>0</v>
      </c>
      <c r="AB341" s="62">
        <f>'Filter-new'!F440</f>
        <v>0</v>
      </c>
      <c r="AC341" s="62"/>
      <c r="AD341" s="62"/>
      <c r="AE341" s="46">
        <f>'Filter-old'!P440</f>
        <v>0</v>
      </c>
      <c r="AF341" s="62">
        <f>'Filter-new'!P440</f>
        <v>0</v>
      </c>
      <c r="AG341" s="62"/>
      <c r="AH341" s="62"/>
      <c r="AI341" s="46">
        <f>'Filter-old'!L440</f>
        <v>0</v>
      </c>
      <c r="AJ341" s="62">
        <f>'Filter-new'!L440</f>
        <v>0</v>
      </c>
      <c r="AK341" s="62"/>
      <c r="AL341" s="62"/>
      <c r="AM341" s="62"/>
      <c r="AN341" s="62"/>
      <c r="AO341" s="46">
        <f>'Filter-old'!G440</f>
        <v>0</v>
      </c>
      <c r="AP341" s="62">
        <f>'Filter-new'!G440</f>
        <v>0</v>
      </c>
      <c r="AQ341" s="62"/>
      <c r="AR341" s="62"/>
      <c r="AS341" s="46"/>
      <c r="AT341" s="62"/>
      <c r="AU341" s="62"/>
      <c r="AV341" s="62"/>
      <c r="AW341" s="46">
        <f>'Filter-old'!I440</f>
        <v>-6.8726016313601761</v>
      </c>
      <c r="AX341" s="62">
        <f>'Filter-new'!I440</f>
        <v>-6.6342708031313418</v>
      </c>
      <c r="AY341" s="62"/>
      <c r="AZ341" s="62"/>
      <c r="BA341" s="62"/>
      <c r="BB341" s="62"/>
      <c r="BC341" s="46">
        <f>'Filter-old'!K440</f>
        <v>0</v>
      </c>
      <c r="BD341" s="62">
        <f>'Filter-new'!K440</f>
        <v>0</v>
      </c>
      <c r="BE341" s="62"/>
      <c r="BF341" s="62"/>
      <c r="BG341" s="46">
        <f>'Filter-old'!M440</f>
        <v>0</v>
      </c>
      <c r="BH341" s="62"/>
      <c r="BI341" s="62"/>
      <c r="BJ341" s="62">
        <f>'Filter-new'!M440</f>
        <v>0</v>
      </c>
      <c r="BK341" s="62"/>
      <c r="BL341" s="62"/>
      <c r="BM341" s="62"/>
      <c r="BN341" s="406">
        <f>'Filter-new'!N440</f>
        <v>0</v>
      </c>
      <c r="BO341" s="62"/>
      <c r="BP341" s="62"/>
      <c r="BQ341" s="46">
        <f>'Filter-old'!O440</f>
        <v>0</v>
      </c>
      <c r="BR341" s="62">
        <f>'Filter-new'!O440</f>
        <v>0</v>
      </c>
      <c r="BS341" s="62"/>
      <c r="BT341" s="62"/>
      <c r="BU341" s="46">
        <f>'Filter-old'!Q440</f>
        <v>23.517521332630164</v>
      </c>
      <c r="BV341" s="62">
        <f>'Filter-new'!Q440</f>
        <v>25.535577762829806</v>
      </c>
      <c r="BW341" s="62"/>
      <c r="BX341" s="62"/>
      <c r="BY341" s="62"/>
      <c r="BZ341" s="62"/>
      <c r="CA341" s="46">
        <f>'Filter-old'!R440</f>
        <v>0</v>
      </c>
      <c r="CB341" s="62">
        <f>'Filter-new'!R440</f>
        <v>0</v>
      </c>
      <c r="CC341" s="57"/>
      <c r="CD341" s="58"/>
      <c r="CE341" s="57"/>
      <c r="CF341" s="57"/>
      <c r="CG341" s="169">
        <f t="shared" si="52"/>
        <v>35.521803495012279</v>
      </c>
    </row>
    <row r="342" spans="1:85" hidden="1" x14ac:dyDescent="0.2">
      <c r="A342">
        <v>0</v>
      </c>
      <c r="B342" s="59">
        <v>39052</v>
      </c>
      <c r="C342" s="59">
        <f>'Filter-new'!C74</f>
        <v>39052</v>
      </c>
      <c r="D342" s="60">
        <f t="shared" si="50"/>
        <v>2006</v>
      </c>
      <c r="E342" s="60"/>
      <c r="F342" s="60"/>
      <c r="G342" s="36">
        <f t="shared" si="51"/>
        <v>-11.974730847541437</v>
      </c>
      <c r="H342" s="36">
        <f t="shared" si="49"/>
        <v>-42.260150570155901</v>
      </c>
      <c r="I342" s="36"/>
      <c r="J342" s="41"/>
      <c r="K342" s="46">
        <f>'Filter-old'!E441</f>
        <v>-5.1072172707921784</v>
      </c>
      <c r="L342" s="62">
        <f>'Filter-new'!E441</f>
        <v>4.3550629175946538</v>
      </c>
      <c r="M342" s="62"/>
      <c r="N342" s="62"/>
      <c r="O342" s="429"/>
      <c r="P342" s="62"/>
      <c r="Q342" s="46">
        <f>'Filter-old'!H441</f>
        <v>-22.168665070229391</v>
      </c>
      <c r="R342" s="62">
        <f>'Filter-new'!H441</f>
        <v>-64.151358574610242</v>
      </c>
      <c r="S342" s="62"/>
      <c r="T342" s="62"/>
      <c r="U342" s="445"/>
      <c r="V342" s="62"/>
      <c r="W342" s="46">
        <f>'Filter-old'!J441</f>
        <v>0</v>
      </c>
      <c r="X342" s="62">
        <f>'Filter-new'!J441</f>
        <v>0</v>
      </c>
      <c r="Y342" s="62"/>
      <c r="Z342" s="62"/>
      <c r="AA342" s="46">
        <f>'Filter-old'!F441</f>
        <v>0</v>
      </c>
      <c r="AB342" s="62">
        <f>'Filter-new'!F441</f>
        <v>0</v>
      </c>
      <c r="AC342" s="62"/>
      <c r="AD342" s="62"/>
      <c r="AE342" s="46">
        <f>'Filter-old'!P441</f>
        <v>0</v>
      </c>
      <c r="AF342" s="62">
        <f>'Filter-new'!P441</f>
        <v>0</v>
      </c>
      <c r="AG342" s="62"/>
      <c r="AH342" s="62"/>
      <c r="AI342" s="46">
        <f>'Filter-old'!L441</f>
        <v>0</v>
      </c>
      <c r="AJ342" s="62">
        <f>'Filter-new'!L441</f>
        <v>0</v>
      </c>
      <c r="AK342" s="62"/>
      <c r="AL342" s="62"/>
      <c r="AM342" s="62"/>
      <c r="AN342" s="62"/>
      <c r="AO342" s="46">
        <f>'Filter-old'!G441</f>
        <v>0</v>
      </c>
      <c r="AP342" s="62">
        <f>'Filter-new'!G441</f>
        <v>0</v>
      </c>
      <c r="AQ342" s="62"/>
      <c r="AR342" s="62"/>
      <c r="AS342" s="46"/>
      <c r="AT342" s="62"/>
      <c r="AU342" s="62"/>
      <c r="AV342" s="62"/>
      <c r="AW342" s="46">
        <f>'Filter-old'!I441</f>
        <v>-6.3317127994329931</v>
      </c>
      <c r="AX342" s="62">
        <f>'Filter-new'!I441</f>
        <v>-5.9153674832962135</v>
      </c>
      <c r="AY342" s="62"/>
      <c r="AZ342" s="62"/>
      <c r="BA342" s="62"/>
      <c r="BB342" s="62"/>
      <c r="BC342" s="46">
        <f>'Filter-old'!K441</f>
        <v>0</v>
      </c>
      <c r="BD342" s="62">
        <f>'Filter-new'!K441</f>
        <v>0</v>
      </c>
      <c r="BE342" s="62"/>
      <c r="BF342" s="62"/>
      <c r="BG342" s="46">
        <f>'Filter-old'!M441</f>
        <v>0</v>
      </c>
      <c r="BH342" s="62"/>
      <c r="BI342" s="62"/>
      <c r="BJ342" s="62">
        <f>'Filter-new'!M441</f>
        <v>0</v>
      </c>
      <c r="BK342" s="62"/>
      <c r="BL342" s="62"/>
      <c r="BM342" s="62"/>
      <c r="BN342" s="406">
        <f>'Filter-new'!N441</f>
        <v>0</v>
      </c>
      <c r="BO342" s="62"/>
      <c r="BP342" s="62"/>
      <c r="BQ342" s="46">
        <f>'Filter-old'!O441</f>
        <v>0</v>
      </c>
      <c r="BR342" s="62">
        <f>'Filter-new'!O441</f>
        <v>0</v>
      </c>
      <c r="BS342" s="62"/>
      <c r="BT342" s="62"/>
      <c r="BU342" s="46">
        <f>'Filter-old'!Q441</f>
        <v>21.632864292913126</v>
      </c>
      <c r="BV342" s="62">
        <f>'Filter-new'!Q441</f>
        <v>23.451512570155902</v>
      </c>
      <c r="BW342" s="62"/>
      <c r="BX342" s="62"/>
      <c r="BY342" s="62"/>
      <c r="BZ342" s="62"/>
      <c r="CA342" s="46">
        <f>'Filter-old'!R441</f>
        <v>0</v>
      </c>
      <c r="CB342" s="62">
        <f>'Filter-new'!R441</f>
        <v>0</v>
      </c>
      <c r="CC342" s="57"/>
      <c r="CD342" s="58"/>
      <c r="CE342" s="57"/>
      <c r="CF342" s="57"/>
      <c r="CG342" s="169">
        <f t="shared" si="52"/>
        <v>30.285419722614463</v>
      </c>
    </row>
    <row r="343" spans="1:85" hidden="1" x14ac:dyDescent="0.2">
      <c r="A343">
        <v>0</v>
      </c>
      <c r="B343" s="59">
        <v>39083</v>
      </c>
      <c r="C343" s="59">
        <f>'Filter-new'!C75</f>
        <v>39083</v>
      </c>
      <c r="D343" s="60">
        <f t="shared" si="50"/>
        <v>2007</v>
      </c>
      <c r="E343" s="60"/>
      <c r="F343" s="60"/>
      <c r="G343" s="36">
        <f t="shared" si="51"/>
        <v>-6.647496911337524</v>
      </c>
      <c r="H343" s="36">
        <f t="shared" ref="H343:H374" si="53">SUM(L343,AB343,AP343,R343,AX343,X343,BD343,AJ343,BJ343,BR343,AF343,BV343,CB343,BN343)</f>
        <v>-27.173202580965523</v>
      </c>
      <c r="I343" s="36"/>
      <c r="J343" s="41"/>
      <c r="K343" s="46">
        <f>'Filter-old'!E442</f>
        <v>40.870144977642099</v>
      </c>
      <c r="L343" s="62">
        <f>'Filter-new'!E442</f>
        <v>39.786198620689653</v>
      </c>
      <c r="M343" s="62"/>
      <c r="N343" s="62"/>
      <c r="O343" s="429"/>
      <c r="P343" s="62"/>
      <c r="Q343" s="46">
        <f>'Filter-old'!H442</f>
        <v>-44.916498102860636</v>
      </c>
      <c r="R343" s="62">
        <f>'Filter-new'!H442</f>
        <v>-64.768000000000001</v>
      </c>
      <c r="S343" s="62"/>
      <c r="T343" s="62"/>
      <c r="U343" s="445"/>
      <c r="V343" s="62"/>
      <c r="W343" s="46">
        <f>'Filter-old'!J442</f>
        <v>0</v>
      </c>
      <c r="X343" s="62">
        <f>'Filter-new'!J442</f>
        <v>0</v>
      </c>
      <c r="Y343" s="62"/>
      <c r="Z343" s="62"/>
      <c r="AA343" s="46">
        <f>'Filter-old'!F442</f>
        <v>0</v>
      </c>
      <c r="AB343" s="62">
        <f>'Filter-new'!F442</f>
        <v>0</v>
      </c>
      <c r="AC343" s="62"/>
      <c r="AD343" s="62"/>
      <c r="AE343" s="46">
        <f>'Filter-old'!P442</f>
        <v>0</v>
      </c>
      <c r="AF343" s="62">
        <f>'Filter-new'!P442</f>
        <v>0</v>
      </c>
      <c r="AG343" s="62"/>
      <c r="AH343" s="62"/>
      <c r="AI343" s="46">
        <f>'Filter-old'!L442</f>
        <v>0</v>
      </c>
      <c r="AJ343" s="62">
        <f>'Filter-new'!L442</f>
        <v>0</v>
      </c>
      <c r="AK343" s="62"/>
      <c r="AL343" s="62"/>
      <c r="AM343" s="62"/>
      <c r="AN343" s="62"/>
      <c r="AO343" s="46">
        <f>'Filter-old'!G442</f>
        <v>0</v>
      </c>
      <c r="AP343" s="62">
        <f>'Filter-new'!G442</f>
        <v>0</v>
      </c>
      <c r="AQ343" s="62"/>
      <c r="AR343" s="62"/>
      <c r="AS343" s="46"/>
      <c r="AT343" s="62"/>
      <c r="AU343" s="62"/>
      <c r="AV343" s="62"/>
      <c r="AW343" s="46">
        <f>'Filter-old'!I442</f>
        <v>-7.9792402663505371</v>
      </c>
      <c r="AX343" s="62">
        <f>'Filter-new'!I442</f>
        <v>-7.2342068965517248</v>
      </c>
      <c r="AY343" s="62"/>
      <c r="AZ343" s="62"/>
      <c r="BA343" s="62"/>
      <c r="BB343" s="62"/>
      <c r="BC343" s="46">
        <f>'Filter-old'!K442</f>
        <v>0</v>
      </c>
      <c r="BD343" s="62">
        <f>'Filter-new'!K442</f>
        <v>0</v>
      </c>
      <c r="BE343" s="62"/>
      <c r="BF343" s="62"/>
      <c r="BG343" s="46">
        <f>'Filter-old'!M442</f>
        <v>0</v>
      </c>
      <c r="BH343" s="62"/>
      <c r="BI343" s="62"/>
      <c r="BJ343" s="62">
        <f>'Filter-new'!M442</f>
        <v>0</v>
      </c>
      <c r="BK343" s="62"/>
      <c r="BL343" s="62"/>
      <c r="BM343" s="62"/>
      <c r="BN343" s="406">
        <f>'Filter-new'!N442</f>
        <v>0</v>
      </c>
      <c r="BO343" s="62"/>
      <c r="BP343" s="62"/>
      <c r="BQ343" s="46">
        <f>'Filter-old'!O442</f>
        <v>0</v>
      </c>
      <c r="BR343" s="62">
        <f>'Filter-new'!O442</f>
        <v>0</v>
      </c>
      <c r="BS343" s="62"/>
      <c r="BT343" s="62"/>
      <c r="BU343" s="46">
        <f>'Filter-old'!Q442</f>
        <v>5.3780964802315507</v>
      </c>
      <c r="BV343" s="62">
        <f>'Filter-new'!Q442</f>
        <v>5.0428056948965514</v>
      </c>
      <c r="BW343" s="62"/>
      <c r="BX343" s="62"/>
      <c r="BY343" s="62"/>
      <c r="BZ343" s="62"/>
      <c r="CA343" s="46">
        <f>'Filter-old'!R442</f>
        <v>0</v>
      </c>
      <c r="CB343" s="62">
        <f>'Filter-new'!R442</f>
        <v>0</v>
      </c>
      <c r="CC343" s="57"/>
      <c r="CD343" s="58"/>
      <c r="CE343" s="57"/>
      <c r="CF343" s="57"/>
      <c r="CG343" s="169">
        <f t="shared" si="52"/>
        <v>20.525705669628</v>
      </c>
    </row>
    <row r="344" spans="1:85" hidden="1" x14ac:dyDescent="0.2">
      <c r="A344">
        <v>0</v>
      </c>
      <c r="B344" s="59">
        <v>39114</v>
      </c>
      <c r="C344" s="59">
        <f>'Filter-new'!C76</f>
        <v>39114</v>
      </c>
      <c r="D344" s="60">
        <f t="shared" si="50"/>
        <v>2007</v>
      </c>
      <c r="E344" s="60"/>
      <c r="F344" s="60"/>
      <c r="G344" s="36">
        <f t="shared" si="51"/>
        <v>-7.3745375605038719</v>
      </c>
      <c r="H344" s="36">
        <f t="shared" si="53"/>
        <v>-24.786373451947327</v>
      </c>
      <c r="I344" s="36"/>
      <c r="J344" s="41"/>
      <c r="K344" s="46">
        <f>'Filter-old'!E443</f>
        <v>37.682918717205844</v>
      </c>
      <c r="L344" s="62">
        <f>'Filter-new'!E443</f>
        <v>35.995087834127212</v>
      </c>
      <c r="M344" s="62"/>
      <c r="N344" s="62"/>
      <c r="O344" s="429"/>
      <c r="P344" s="62"/>
      <c r="Q344" s="46">
        <f>'Filter-old'!H443</f>
        <v>-42.64778563926582</v>
      </c>
      <c r="R344" s="62">
        <f>'Filter-new'!H443</f>
        <v>-58.805402073409923</v>
      </c>
      <c r="S344" s="62"/>
      <c r="T344" s="62"/>
      <c r="U344" s="445"/>
      <c r="V344" s="62"/>
      <c r="W344" s="46">
        <f>'Filter-old'!J443</f>
        <v>0</v>
      </c>
      <c r="X344" s="62">
        <f>'Filter-new'!J443</f>
        <v>0</v>
      </c>
      <c r="Y344" s="62"/>
      <c r="Z344" s="62"/>
      <c r="AA344" s="46">
        <f>'Filter-old'!F443</f>
        <v>0</v>
      </c>
      <c r="AB344" s="62">
        <f>'Filter-new'!F443</f>
        <v>0</v>
      </c>
      <c r="AC344" s="62"/>
      <c r="AD344" s="62"/>
      <c r="AE344" s="46">
        <f>'Filter-old'!P443</f>
        <v>0</v>
      </c>
      <c r="AF344" s="62">
        <f>'Filter-new'!P443</f>
        <v>0</v>
      </c>
      <c r="AG344" s="62"/>
      <c r="AH344" s="62"/>
      <c r="AI344" s="46">
        <f>'Filter-old'!L443</f>
        <v>0</v>
      </c>
      <c r="AJ344" s="62">
        <f>'Filter-new'!L443</f>
        <v>0</v>
      </c>
      <c r="AK344" s="62"/>
      <c r="AL344" s="62"/>
      <c r="AM344" s="62"/>
      <c r="AN344" s="62"/>
      <c r="AO344" s="46">
        <f>'Filter-old'!G443</f>
        <v>0</v>
      </c>
      <c r="AP344" s="62">
        <f>'Filter-new'!G443</f>
        <v>0</v>
      </c>
      <c r="AQ344" s="62"/>
      <c r="AR344" s="62"/>
      <c r="AS344" s="46"/>
      <c r="AT344" s="62"/>
      <c r="AU344" s="62"/>
      <c r="AV344" s="62"/>
      <c r="AW344" s="46">
        <f>'Filter-old'!I443</f>
        <v>-7.3679101515696148</v>
      </c>
      <c r="AX344" s="62">
        <f>'Filter-new'!I443</f>
        <v>-6.5721490613617268</v>
      </c>
      <c r="AY344" s="62"/>
      <c r="AZ344" s="62"/>
      <c r="BA344" s="62"/>
      <c r="BB344" s="62"/>
      <c r="BC344" s="46">
        <f>'Filter-old'!K443</f>
        <v>0</v>
      </c>
      <c r="BD344" s="62">
        <f>'Filter-new'!K443</f>
        <v>0</v>
      </c>
      <c r="BE344" s="62"/>
      <c r="BF344" s="62"/>
      <c r="BG344" s="46">
        <f>'Filter-old'!M443</f>
        <v>0</v>
      </c>
      <c r="BH344" s="62"/>
      <c r="BI344" s="62"/>
      <c r="BJ344" s="62">
        <f>'Filter-new'!M443</f>
        <v>0</v>
      </c>
      <c r="BK344" s="62"/>
      <c r="BL344" s="62"/>
      <c r="BM344" s="62"/>
      <c r="BN344" s="406">
        <f>'Filter-new'!N443</f>
        <v>0</v>
      </c>
      <c r="BO344" s="62"/>
      <c r="BP344" s="62"/>
      <c r="BQ344" s="46">
        <f>'Filter-old'!O443</f>
        <v>0</v>
      </c>
      <c r="BR344" s="62">
        <f>'Filter-new'!O443</f>
        <v>0</v>
      </c>
      <c r="BS344" s="62"/>
      <c r="BT344" s="62"/>
      <c r="BU344" s="46">
        <f>'Filter-old'!Q443</f>
        <v>4.9582395131257178</v>
      </c>
      <c r="BV344" s="62">
        <f>'Filter-new'!Q443</f>
        <v>4.5960898486971136</v>
      </c>
      <c r="BW344" s="62"/>
      <c r="BX344" s="62"/>
      <c r="BY344" s="62"/>
      <c r="BZ344" s="62"/>
      <c r="CA344" s="46">
        <f>'Filter-old'!R443</f>
        <v>0</v>
      </c>
      <c r="CB344" s="62">
        <f>'Filter-new'!R443</f>
        <v>0</v>
      </c>
      <c r="CC344" s="57"/>
      <c r="CD344" s="58"/>
      <c r="CE344" s="57"/>
      <c r="CF344" s="57"/>
      <c r="CG344" s="169">
        <f t="shared" si="52"/>
        <v>17.411835891443456</v>
      </c>
    </row>
    <row r="345" spans="1:85" hidden="1" x14ac:dyDescent="0.2">
      <c r="A345">
        <v>0</v>
      </c>
      <c r="B345" s="59">
        <v>39142</v>
      </c>
      <c r="C345" s="59">
        <f>'Filter-new'!C77</f>
        <v>39142</v>
      </c>
      <c r="D345" s="60">
        <f t="shared" si="50"/>
        <v>2007</v>
      </c>
      <c r="E345" s="60"/>
      <c r="F345" s="60"/>
      <c r="G345" s="36">
        <f t="shared" si="51"/>
        <v>-7.1224479715024591</v>
      </c>
      <c r="H345" s="36">
        <f t="shared" si="53"/>
        <v>-28.452426263448665</v>
      </c>
      <c r="I345" s="36"/>
      <c r="J345" s="41"/>
      <c r="K345" s="46">
        <f>'Filter-old'!E444</f>
        <v>37.14331787335253</v>
      </c>
      <c r="L345" s="62">
        <f>'Filter-new'!E444</f>
        <v>39.545451608025594</v>
      </c>
      <c r="M345" s="62"/>
      <c r="N345" s="62"/>
      <c r="O345" s="429"/>
      <c r="P345" s="62"/>
      <c r="Q345" s="46">
        <f>'Filter-old'!H444</f>
        <v>-41.590038361502174</v>
      </c>
      <c r="R345" s="62">
        <f>'Filter-new'!H444</f>
        <v>-65.921339924396619</v>
      </c>
      <c r="S345" s="62"/>
      <c r="T345" s="62"/>
      <c r="U345" s="445"/>
      <c r="V345" s="62"/>
      <c r="W345" s="46">
        <f>'Filter-old'!J444</f>
        <v>0</v>
      </c>
      <c r="X345" s="62">
        <f>'Filter-new'!J444</f>
        <v>0</v>
      </c>
      <c r="Y345" s="62"/>
      <c r="Z345" s="62"/>
      <c r="AA345" s="46">
        <f>'Filter-old'!F444</f>
        <v>0</v>
      </c>
      <c r="AB345" s="62">
        <f>'Filter-new'!F444</f>
        <v>0</v>
      </c>
      <c r="AC345" s="62"/>
      <c r="AD345" s="62"/>
      <c r="AE345" s="46">
        <f>'Filter-old'!P444</f>
        <v>0</v>
      </c>
      <c r="AF345" s="62">
        <f>'Filter-new'!P444</f>
        <v>0</v>
      </c>
      <c r="AG345" s="62"/>
      <c r="AH345" s="62"/>
      <c r="AI345" s="46">
        <f>'Filter-old'!L444</f>
        <v>0</v>
      </c>
      <c r="AJ345" s="62">
        <f>'Filter-new'!L444</f>
        <v>0</v>
      </c>
      <c r="AK345" s="62"/>
      <c r="AL345" s="62"/>
      <c r="AM345" s="62"/>
      <c r="AN345" s="62"/>
      <c r="AO345" s="46">
        <f>'Filter-old'!G444</f>
        <v>0</v>
      </c>
      <c r="AP345" s="62">
        <f>'Filter-new'!G444</f>
        <v>0</v>
      </c>
      <c r="AQ345" s="62"/>
      <c r="AR345" s="62"/>
      <c r="AS345" s="46"/>
      <c r="AT345" s="62"/>
      <c r="AU345" s="62"/>
      <c r="AV345" s="62"/>
      <c r="AW345" s="46">
        <f>'Filter-old'!I444</f>
        <v>-7.5199799490447097</v>
      </c>
      <c r="AX345" s="62">
        <f>'Filter-new'!I444</f>
        <v>-7.2518755452166328</v>
      </c>
      <c r="AY345" s="62"/>
      <c r="AZ345" s="62"/>
      <c r="BA345" s="62"/>
      <c r="BB345" s="62"/>
      <c r="BC345" s="46">
        <f>'Filter-old'!K444</f>
        <v>0</v>
      </c>
      <c r="BD345" s="62">
        <f>'Filter-new'!K444</f>
        <v>0</v>
      </c>
      <c r="BE345" s="62"/>
      <c r="BF345" s="62"/>
      <c r="BG345" s="46">
        <f>'Filter-old'!M444</f>
        <v>0</v>
      </c>
      <c r="BH345" s="62"/>
      <c r="BI345" s="62"/>
      <c r="BJ345" s="62">
        <f>'Filter-new'!M444</f>
        <v>0</v>
      </c>
      <c r="BK345" s="62"/>
      <c r="BL345" s="62"/>
      <c r="BM345" s="62"/>
      <c r="BN345" s="406">
        <f>'Filter-new'!N444</f>
        <v>0</v>
      </c>
      <c r="BO345" s="62"/>
      <c r="BP345" s="62"/>
      <c r="BQ345" s="46">
        <f>'Filter-old'!O444</f>
        <v>0</v>
      </c>
      <c r="BR345" s="62">
        <f>'Filter-new'!O444</f>
        <v>0</v>
      </c>
      <c r="BS345" s="62"/>
      <c r="BT345" s="62"/>
      <c r="BU345" s="46">
        <f>'Filter-old'!Q444</f>
        <v>4.8442524656918957</v>
      </c>
      <c r="BV345" s="62">
        <f>'Filter-new'!Q444</f>
        <v>5.1753375981389942</v>
      </c>
      <c r="BW345" s="62"/>
      <c r="BX345" s="62"/>
      <c r="BY345" s="62"/>
      <c r="BZ345" s="62"/>
      <c r="CA345" s="46">
        <f>'Filter-old'!R444</f>
        <v>0</v>
      </c>
      <c r="CB345" s="62">
        <f>'Filter-new'!R444</f>
        <v>0</v>
      </c>
      <c r="CC345" s="57"/>
      <c r="CD345" s="58"/>
      <c r="CE345" s="57"/>
      <c r="CF345" s="57"/>
      <c r="CG345" s="169">
        <f t="shared" si="52"/>
        <v>21.329978291946205</v>
      </c>
    </row>
    <row r="346" spans="1:85" hidden="1" x14ac:dyDescent="0.2">
      <c r="A346">
        <v>0</v>
      </c>
      <c r="B346" s="59">
        <v>39173</v>
      </c>
      <c r="C346" s="59">
        <f>'Filter-new'!C78</f>
        <v>39173</v>
      </c>
      <c r="D346" s="60">
        <f t="shared" si="50"/>
        <v>2007</v>
      </c>
      <c r="E346" s="60"/>
      <c r="F346" s="60"/>
      <c r="G346" s="36">
        <f t="shared" si="51"/>
        <v>-6.7231969692797593</v>
      </c>
      <c r="H346" s="36">
        <f t="shared" si="53"/>
        <v>-28.601957722188082</v>
      </c>
      <c r="I346" s="36"/>
      <c r="J346" s="41"/>
      <c r="K346" s="46">
        <f>'Filter-old'!E445</f>
        <v>37.442919945522327</v>
      </c>
      <c r="L346" s="62">
        <f>'Filter-new'!E445</f>
        <v>39.427703995082979</v>
      </c>
      <c r="M346" s="62"/>
      <c r="N346" s="62"/>
      <c r="O346" s="429"/>
      <c r="P346" s="62"/>
      <c r="Q346" s="46">
        <f>'Filter-old'!H445</f>
        <v>-41.298832803570342</v>
      </c>
      <c r="R346" s="62">
        <f>'Filter-new'!H445</f>
        <v>-65.735291948371241</v>
      </c>
      <c r="S346" s="62"/>
      <c r="T346" s="62"/>
      <c r="U346" s="445"/>
      <c r="V346" s="62"/>
      <c r="W346" s="46">
        <f>'Filter-old'!J445</f>
        <v>0</v>
      </c>
      <c r="X346" s="62">
        <f>'Filter-new'!J445</f>
        <v>0</v>
      </c>
      <c r="Y346" s="62"/>
      <c r="Z346" s="62"/>
      <c r="AA346" s="46">
        <f>'Filter-old'!F445</f>
        <v>0</v>
      </c>
      <c r="AB346" s="62">
        <f>'Filter-new'!F445</f>
        <v>0</v>
      </c>
      <c r="AC346" s="62"/>
      <c r="AD346" s="62"/>
      <c r="AE346" s="46">
        <f>'Filter-old'!P445</f>
        <v>0</v>
      </c>
      <c r="AF346" s="62">
        <f>'Filter-new'!P445</f>
        <v>0</v>
      </c>
      <c r="AG346" s="62"/>
      <c r="AH346" s="62"/>
      <c r="AI346" s="46">
        <f>'Filter-old'!L445</f>
        <v>0</v>
      </c>
      <c r="AJ346" s="62">
        <f>'Filter-new'!L445</f>
        <v>0</v>
      </c>
      <c r="AK346" s="62"/>
      <c r="AL346" s="62"/>
      <c r="AM346" s="62"/>
      <c r="AN346" s="62"/>
      <c r="AO346" s="46">
        <f>'Filter-old'!G445</f>
        <v>0</v>
      </c>
      <c r="AP346" s="62">
        <f>'Filter-new'!G445</f>
        <v>0</v>
      </c>
      <c r="AQ346" s="62"/>
      <c r="AR346" s="62"/>
      <c r="AS346" s="46"/>
      <c r="AT346" s="62"/>
      <c r="AU346" s="62"/>
      <c r="AV346" s="62"/>
      <c r="AW346" s="46">
        <f>'Filter-old'!I445</f>
        <v>-7.538982584318763</v>
      </c>
      <c r="AX346" s="62">
        <f>'Filter-new'!I445</f>
        <v>-7.2641671788567912</v>
      </c>
      <c r="AY346" s="62"/>
      <c r="AZ346" s="62"/>
      <c r="BA346" s="62"/>
      <c r="BB346" s="62"/>
      <c r="BC346" s="46">
        <f>'Filter-old'!K445</f>
        <v>0</v>
      </c>
      <c r="BD346" s="62">
        <f>'Filter-new'!K445</f>
        <v>0</v>
      </c>
      <c r="BE346" s="62"/>
      <c r="BF346" s="62"/>
      <c r="BG346" s="46">
        <f>'Filter-old'!M445</f>
        <v>0</v>
      </c>
      <c r="BH346" s="62"/>
      <c r="BI346" s="62"/>
      <c r="BJ346" s="62">
        <f>'Filter-new'!M445</f>
        <v>0</v>
      </c>
      <c r="BK346" s="62"/>
      <c r="BL346" s="62"/>
      <c r="BM346" s="62"/>
      <c r="BN346" s="406">
        <f>'Filter-new'!N445</f>
        <v>0</v>
      </c>
      <c r="BO346" s="62"/>
      <c r="BP346" s="62"/>
      <c r="BQ346" s="46">
        <f>'Filter-old'!O445</f>
        <v>0</v>
      </c>
      <c r="BR346" s="62">
        <f>'Filter-new'!O445</f>
        <v>0</v>
      </c>
      <c r="BS346" s="62"/>
      <c r="BT346" s="62"/>
      <c r="BU346" s="46">
        <f>'Filter-old'!Q445</f>
        <v>4.6716984730870186</v>
      </c>
      <c r="BV346" s="62">
        <f>'Filter-new'!Q445</f>
        <v>4.9697974099569748</v>
      </c>
      <c r="BW346" s="62"/>
      <c r="BX346" s="62"/>
      <c r="BY346" s="62"/>
      <c r="BZ346" s="62"/>
      <c r="CA346" s="46">
        <f>'Filter-old'!R445</f>
        <v>0</v>
      </c>
      <c r="CB346" s="62">
        <f>'Filter-new'!R445</f>
        <v>0</v>
      </c>
      <c r="CC346" s="57"/>
      <c r="CD346" s="58"/>
      <c r="CE346" s="57"/>
      <c r="CF346" s="57"/>
      <c r="CG346" s="169">
        <f t="shared" si="52"/>
        <v>21.878760752908324</v>
      </c>
    </row>
    <row r="347" spans="1:85" hidden="1" x14ac:dyDescent="0.2">
      <c r="A347">
        <v>0</v>
      </c>
      <c r="B347" s="59">
        <v>39203</v>
      </c>
      <c r="C347" s="59">
        <f>'Filter-new'!C79</f>
        <v>39203</v>
      </c>
      <c r="D347" s="60">
        <f t="shared" si="50"/>
        <v>2007</v>
      </c>
      <c r="E347" s="60"/>
      <c r="F347" s="60"/>
      <c r="G347" s="36">
        <f t="shared" si="51"/>
        <v>1.4936870651294747</v>
      </c>
      <c r="H347" s="36">
        <f t="shared" si="53"/>
        <v>-29.574597347491533</v>
      </c>
      <c r="I347" s="36"/>
      <c r="J347" s="41"/>
      <c r="K347" s="46">
        <f>'Filter-old'!E446</f>
        <v>46.024081860803967</v>
      </c>
      <c r="L347" s="62">
        <f>'Filter-new'!E446</f>
        <v>43.72131119113574</v>
      </c>
      <c r="M347" s="62"/>
      <c r="N347" s="62"/>
      <c r="O347" s="429"/>
      <c r="P347" s="62"/>
      <c r="Q347" s="46">
        <f>'Filter-old'!H446</f>
        <v>-41.299343518875972</v>
      </c>
      <c r="R347" s="62">
        <f>'Filter-new'!H446</f>
        <v>-70.810829178208678</v>
      </c>
      <c r="S347" s="62"/>
      <c r="T347" s="62"/>
      <c r="U347" s="445"/>
      <c r="V347" s="62"/>
      <c r="W347" s="46">
        <f>'Filter-old'!J446</f>
        <v>0</v>
      </c>
      <c r="X347" s="62">
        <f>'Filter-new'!J446</f>
        <v>0</v>
      </c>
      <c r="Y347" s="62"/>
      <c r="Z347" s="62"/>
      <c r="AA347" s="46">
        <f>'Filter-old'!F446</f>
        <v>0</v>
      </c>
      <c r="AB347" s="62">
        <f>'Filter-new'!F446</f>
        <v>0</v>
      </c>
      <c r="AC347" s="62"/>
      <c r="AD347" s="62"/>
      <c r="AE347" s="46">
        <f>'Filter-old'!P446</f>
        <v>0</v>
      </c>
      <c r="AF347" s="62">
        <f>'Filter-new'!P446</f>
        <v>0</v>
      </c>
      <c r="AG347" s="62"/>
      <c r="AH347" s="62"/>
      <c r="AI347" s="46">
        <f>'Filter-old'!L446</f>
        <v>0</v>
      </c>
      <c r="AJ347" s="62">
        <f>'Filter-new'!L446</f>
        <v>0</v>
      </c>
      <c r="AK347" s="62"/>
      <c r="AL347" s="62"/>
      <c r="AM347" s="62"/>
      <c r="AN347" s="62"/>
      <c r="AO347" s="46">
        <f>'Filter-old'!G446</f>
        <v>0</v>
      </c>
      <c r="AP347" s="62">
        <f>'Filter-new'!G446</f>
        <v>0</v>
      </c>
      <c r="AQ347" s="62"/>
      <c r="AR347" s="62"/>
      <c r="AS347" s="46"/>
      <c r="AT347" s="62"/>
      <c r="AU347" s="62"/>
      <c r="AV347" s="62"/>
      <c r="AW347" s="46">
        <f>'Filter-old'!I446</f>
        <v>-8.2400880969857351</v>
      </c>
      <c r="AX347" s="62">
        <f>'Filter-new'!I446</f>
        <v>-8.103908895044631</v>
      </c>
      <c r="AY347" s="62"/>
      <c r="AZ347" s="62"/>
      <c r="BA347" s="62"/>
      <c r="BB347" s="62"/>
      <c r="BC347" s="46">
        <f>'Filter-old'!K446</f>
        <v>0</v>
      </c>
      <c r="BD347" s="62">
        <f>'Filter-new'!K446</f>
        <v>0</v>
      </c>
      <c r="BE347" s="62"/>
      <c r="BF347" s="62"/>
      <c r="BG347" s="46">
        <f>'Filter-old'!M446</f>
        <v>0</v>
      </c>
      <c r="BH347" s="62"/>
      <c r="BI347" s="62"/>
      <c r="BJ347" s="62">
        <f>'Filter-new'!M446</f>
        <v>0</v>
      </c>
      <c r="BK347" s="62"/>
      <c r="BL347" s="62"/>
      <c r="BM347" s="62"/>
      <c r="BN347" s="406">
        <f>'Filter-new'!N446</f>
        <v>0</v>
      </c>
      <c r="BO347" s="62"/>
      <c r="BP347" s="62"/>
      <c r="BQ347" s="46">
        <f>'Filter-old'!O446</f>
        <v>0</v>
      </c>
      <c r="BR347" s="62">
        <f>'Filter-new'!O446</f>
        <v>0</v>
      </c>
      <c r="BS347" s="62"/>
      <c r="BT347" s="62"/>
      <c r="BU347" s="46">
        <f>'Filter-old'!Q446</f>
        <v>5.0090368201872142</v>
      </c>
      <c r="BV347" s="62">
        <f>'Filter-new'!Q446</f>
        <v>5.6188295346260384</v>
      </c>
      <c r="BW347" s="62"/>
      <c r="BX347" s="62"/>
      <c r="BY347" s="62"/>
      <c r="BZ347" s="62"/>
      <c r="CA347" s="46">
        <f>'Filter-old'!R446</f>
        <v>0</v>
      </c>
      <c r="CB347" s="62">
        <f>'Filter-new'!R446</f>
        <v>0</v>
      </c>
      <c r="CC347" s="57"/>
      <c r="CD347" s="58"/>
      <c r="CE347" s="57"/>
      <c r="CF347" s="57"/>
      <c r="CG347" s="169">
        <f t="shared" si="52"/>
        <v>31.068284412621008</v>
      </c>
    </row>
    <row r="348" spans="1:85" hidden="1" x14ac:dyDescent="0.2">
      <c r="A348">
        <v>0</v>
      </c>
      <c r="B348" s="59">
        <v>39234</v>
      </c>
      <c r="C348" s="59">
        <f>'Filter-new'!C80</f>
        <v>39234</v>
      </c>
      <c r="D348" s="60">
        <f t="shared" si="50"/>
        <v>2007</v>
      </c>
      <c r="E348" s="60"/>
      <c r="F348" s="60"/>
      <c r="G348" s="36">
        <f t="shared" si="51"/>
        <v>2.5033471744009583</v>
      </c>
      <c r="H348" s="36">
        <f t="shared" si="53"/>
        <v>-31.493841099269179</v>
      </c>
      <c r="I348" s="36"/>
      <c r="J348" s="41"/>
      <c r="K348" s="46">
        <f>'Filter-old'!E447</f>
        <v>40.651824588498457</v>
      </c>
      <c r="L348" s="62">
        <f>'Filter-new'!E447</f>
        <v>48.180644241778324</v>
      </c>
      <c r="M348" s="62"/>
      <c r="N348" s="62"/>
      <c r="O348" s="429"/>
      <c r="P348" s="62"/>
      <c r="Q348" s="46">
        <f>'Filter-old'!H447</f>
        <v>-34.834531374869655</v>
      </c>
      <c r="R348" s="62">
        <f>'Filter-new'!H447</f>
        <v>-76.92415103532278</v>
      </c>
      <c r="S348" s="62"/>
      <c r="T348" s="62"/>
      <c r="U348" s="445"/>
      <c r="V348" s="62"/>
      <c r="W348" s="46">
        <f>'Filter-old'!J447</f>
        <v>0</v>
      </c>
      <c r="X348" s="62">
        <f>'Filter-new'!J447</f>
        <v>0</v>
      </c>
      <c r="Y348" s="62"/>
      <c r="Z348" s="62"/>
      <c r="AA348" s="46">
        <f>'Filter-old'!F447</f>
        <v>0</v>
      </c>
      <c r="AB348" s="62">
        <f>'Filter-new'!F447</f>
        <v>0</v>
      </c>
      <c r="AC348" s="62"/>
      <c r="AD348" s="62"/>
      <c r="AE348" s="46">
        <f>'Filter-old'!P447</f>
        <v>0</v>
      </c>
      <c r="AF348" s="62">
        <f>'Filter-new'!P447</f>
        <v>0</v>
      </c>
      <c r="AG348" s="62"/>
      <c r="AH348" s="62"/>
      <c r="AI348" s="46">
        <f>'Filter-old'!L447</f>
        <v>0</v>
      </c>
      <c r="AJ348" s="62">
        <f>'Filter-new'!L447</f>
        <v>0</v>
      </c>
      <c r="AK348" s="62"/>
      <c r="AL348" s="62"/>
      <c r="AM348" s="62"/>
      <c r="AN348" s="62"/>
      <c r="AO348" s="46">
        <f>'Filter-old'!G447</f>
        <v>0</v>
      </c>
      <c r="AP348" s="62">
        <f>'Filter-new'!G447</f>
        <v>0</v>
      </c>
      <c r="AQ348" s="62"/>
      <c r="AR348" s="62"/>
      <c r="AS348" s="46"/>
      <c r="AT348" s="62"/>
      <c r="AU348" s="62"/>
      <c r="AV348" s="62"/>
      <c r="AW348" s="46">
        <f>'Filter-old'!I447</f>
        <v>-8.3876320677484255</v>
      </c>
      <c r="AX348" s="62">
        <f>'Filter-new'!I447</f>
        <v>-8.9959805115712559</v>
      </c>
      <c r="AY348" s="62"/>
      <c r="AZ348" s="62"/>
      <c r="BA348" s="62"/>
      <c r="BB348" s="62"/>
      <c r="BC348" s="46">
        <f>'Filter-old'!K447</f>
        <v>0</v>
      </c>
      <c r="BD348" s="62">
        <f>'Filter-new'!K447</f>
        <v>0</v>
      </c>
      <c r="BE348" s="62"/>
      <c r="BF348" s="62"/>
      <c r="BG348" s="46">
        <f>'Filter-old'!M447</f>
        <v>0</v>
      </c>
      <c r="BH348" s="62"/>
      <c r="BI348" s="62"/>
      <c r="BJ348" s="62">
        <f>'Filter-new'!M447</f>
        <v>0</v>
      </c>
      <c r="BK348" s="62"/>
      <c r="BL348" s="62"/>
      <c r="BM348" s="62"/>
      <c r="BN348" s="406">
        <f>'Filter-new'!N447</f>
        <v>0</v>
      </c>
      <c r="BO348" s="62"/>
      <c r="BP348" s="62"/>
      <c r="BQ348" s="46">
        <f>'Filter-old'!O447</f>
        <v>0</v>
      </c>
      <c r="BR348" s="62">
        <f>'Filter-new'!O447</f>
        <v>0</v>
      </c>
      <c r="BS348" s="62"/>
      <c r="BT348" s="62"/>
      <c r="BU348" s="46">
        <f>'Filter-old'!Q447</f>
        <v>5.0736860285205827</v>
      </c>
      <c r="BV348" s="62">
        <f>'Filter-new'!Q447</f>
        <v>6.2456462058465299</v>
      </c>
      <c r="BW348" s="62"/>
      <c r="BX348" s="62"/>
      <c r="BY348" s="62"/>
      <c r="BZ348" s="62"/>
      <c r="CA348" s="46">
        <f>'Filter-old'!R447</f>
        <v>0</v>
      </c>
      <c r="CB348" s="62">
        <f>'Filter-new'!R447</f>
        <v>0</v>
      </c>
      <c r="CC348" s="57"/>
      <c r="CD348" s="58"/>
      <c r="CE348" s="57"/>
      <c r="CF348" s="57"/>
      <c r="CG348" s="169">
        <f t="shared" si="52"/>
        <v>33.99718827367014</v>
      </c>
    </row>
    <row r="349" spans="1:85" hidden="1" x14ac:dyDescent="0.2">
      <c r="A349">
        <v>0</v>
      </c>
      <c r="B349" s="59">
        <v>39264</v>
      </c>
      <c r="C349" s="59">
        <f>'Filter-new'!C81</f>
        <v>39264</v>
      </c>
      <c r="D349" s="60">
        <f t="shared" si="50"/>
        <v>2007</v>
      </c>
      <c r="E349" s="60"/>
      <c r="F349" s="60"/>
      <c r="G349" s="36">
        <f t="shared" si="51"/>
        <v>9.1572111983950073</v>
      </c>
      <c r="H349" s="36">
        <f t="shared" si="53"/>
        <v>-39.603430907039716</v>
      </c>
      <c r="I349" s="36"/>
      <c r="J349" s="41"/>
      <c r="K349" s="46">
        <f>'Filter-old'!E448</f>
        <v>52.981396143468025</v>
      </c>
      <c r="L349" s="62">
        <f>'Filter-new'!E448</f>
        <v>63.155172847472933</v>
      </c>
      <c r="M349" s="62"/>
      <c r="N349" s="62"/>
      <c r="O349" s="429"/>
      <c r="P349" s="62"/>
      <c r="Q349" s="46">
        <f>'Filter-old'!H448</f>
        <v>-38.883044843600906</v>
      </c>
      <c r="R349" s="62">
        <f>'Filter-new'!H448</f>
        <v>-97.996916967509037</v>
      </c>
      <c r="S349" s="62"/>
      <c r="T349" s="62"/>
      <c r="U349" s="445"/>
      <c r="V349" s="62"/>
      <c r="W349" s="46">
        <f>'Filter-old'!J448</f>
        <v>0</v>
      </c>
      <c r="X349" s="62">
        <f>'Filter-new'!J448</f>
        <v>0</v>
      </c>
      <c r="Y349" s="62"/>
      <c r="Z349" s="62"/>
      <c r="AA349" s="46">
        <f>'Filter-old'!F448</f>
        <v>0</v>
      </c>
      <c r="AB349" s="62">
        <f>'Filter-new'!F448</f>
        <v>0</v>
      </c>
      <c r="AC349" s="62"/>
      <c r="AD349" s="62"/>
      <c r="AE349" s="46">
        <f>'Filter-old'!P448</f>
        <v>0</v>
      </c>
      <c r="AF349" s="62">
        <f>'Filter-new'!P448</f>
        <v>0</v>
      </c>
      <c r="AG349" s="62"/>
      <c r="AH349" s="62"/>
      <c r="AI349" s="46">
        <f>'Filter-old'!L448</f>
        <v>0</v>
      </c>
      <c r="AJ349" s="62">
        <f>'Filter-new'!L448</f>
        <v>-0.47322021660649816</v>
      </c>
      <c r="AK349" s="62"/>
      <c r="AL349" s="62"/>
      <c r="AM349" s="62"/>
      <c r="AN349" s="62"/>
      <c r="AO349" s="46">
        <f>'Filter-old'!G448</f>
        <v>0</v>
      </c>
      <c r="AP349" s="62">
        <f>'Filter-new'!G448</f>
        <v>0</v>
      </c>
      <c r="AQ349" s="62"/>
      <c r="AR349" s="62"/>
      <c r="AS349" s="46"/>
      <c r="AT349" s="62"/>
      <c r="AU349" s="62"/>
      <c r="AV349" s="62"/>
      <c r="AW349" s="46">
        <f>'Filter-old'!I448</f>
        <v>-11.93412326492426</v>
      </c>
      <c r="AX349" s="62">
        <f>'Filter-new'!I448</f>
        <v>-11.893682310469314</v>
      </c>
      <c r="AY349" s="62"/>
      <c r="AZ349" s="62"/>
      <c r="BA349" s="62"/>
      <c r="BB349" s="62"/>
      <c r="BC349" s="46">
        <f>'Filter-old'!K448</f>
        <v>0</v>
      </c>
      <c r="BD349" s="62">
        <f>'Filter-new'!K448</f>
        <v>0</v>
      </c>
      <c r="BE349" s="62"/>
      <c r="BF349" s="62"/>
      <c r="BG349" s="46">
        <f>'Filter-old'!M448</f>
        <v>0</v>
      </c>
      <c r="BH349" s="62"/>
      <c r="BI349" s="62"/>
      <c r="BJ349" s="62">
        <f>'Filter-new'!M448</f>
        <v>0</v>
      </c>
      <c r="BK349" s="62"/>
      <c r="BL349" s="62"/>
      <c r="BM349" s="62"/>
      <c r="BN349" s="406">
        <f>'Filter-new'!N448</f>
        <v>0</v>
      </c>
      <c r="BO349" s="62"/>
      <c r="BP349" s="62"/>
      <c r="BQ349" s="46">
        <f>'Filter-old'!O448</f>
        <v>0</v>
      </c>
      <c r="BR349" s="62">
        <f>'Filter-new'!O448</f>
        <v>0</v>
      </c>
      <c r="BS349" s="62"/>
      <c r="BT349" s="62"/>
      <c r="BU349" s="46">
        <f>'Filter-old'!Q448</f>
        <v>6.9929831634521484</v>
      </c>
      <c r="BV349" s="62">
        <f>'Filter-new'!Q448</f>
        <v>7.6052157400722047</v>
      </c>
      <c r="BW349" s="62"/>
      <c r="BX349" s="62"/>
      <c r="BY349" s="62"/>
      <c r="BZ349" s="62"/>
      <c r="CA349" s="46">
        <f>'Filter-old'!R448</f>
        <v>0</v>
      </c>
      <c r="CB349" s="62">
        <f>'Filter-new'!R448</f>
        <v>0</v>
      </c>
      <c r="CC349" s="57"/>
      <c r="CD349" s="58"/>
      <c r="CE349" s="57"/>
      <c r="CF349" s="57"/>
      <c r="CG349" s="169">
        <f t="shared" si="52"/>
        <v>48.760642105434727</v>
      </c>
    </row>
    <row r="350" spans="1:85" hidden="1" x14ac:dyDescent="0.2">
      <c r="A350">
        <v>0</v>
      </c>
      <c r="B350" s="59">
        <v>39295</v>
      </c>
      <c r="C350" s="59">
        <f>'Filter-new'!C82</f>
        <v>39295</v>
      </c>
      <c r="D350" s="60">
        <f t="shared" si="50"/>
        <v>2007</v>
      </c>
      <c r="E350" s="60"/>
      <c r="F350" s="60"/>
      <c r="G350" s="36">
        <f t="shared" si="51"/>
        <v>10.320437743822787</v>
      </c>
      <c r="H350" s="36">
        <f t="shared" si="53"/>
        <v>-43.009509140011893</v>
      </c>
      <c r="I350" s="36"/>
      <c r="J350" s="41"/>
      <c r="K350" s="46">
        <f>'Filter-old'!E449</f>
        <v>57.051564587291786</v>
      </c>
      <c r="L350" s="62">
        <f>'Filter-new'!E449</f>
        <v>68.859527510404291</v>
      </c>
      <c r="M350" s="62"/>
      <c r="N350" s="62"/>
      <c r="O350" s="429"/>
      <c r="P350" s="62"/>
      <c r="Q350" s="46">
        <f>'Filter-old'!H449</f>
        <v>-41.731481623427662</v>
      </c>
      <c r="R350" s="62">
        <f>'Filter-new'!H449</f>
        <v>-106.94731985731273</v>
      </c>
      <c r="S350" s="62"/>
      <c r="T350" s="62"/>
      <c r="U350" s="445"/>
      <c r="V350" s="62"/>
      <c r="W350" s="46">
        <f>'Filter-old'!J449</f>
        <v>0</v>
      </c>
      <c r="X350" s="62">
        <f>'Filter-new'!J449</f>
        <v>0</v>
      </c>
      <c r="Y350" s="62"/>
      <c r="Z350" s="62"/>
      <c r="AA350" s="46">
        <f>'Filter-old'!F449</f>
        <v>0</v>
      </c>
      <c r="AB350" s="62">
        <f>'Filter-new'!F449</f>
        <v>0</v>
      </c>
      <c r="AC350" s="62"/>
      <c r="AD350" s="62"/>
      <c r="AE350" s="46">
        <f>'Filter-old'!P449</f>
        <v>0</v>
      </c>
      <c r="AF350" s="62">
        <f>'Filter-new'!P449</f>
        <v>0</v>
      </c>
      <c r="AG350" s="62"/>
      <c r="AH350" s="62"/>
      <c r="AI350" s="46">
        <f>'Filter-old'!L449</f>
        <v>0</v>
      </c>
      <c r="AJ350" s="62">
        <f>'Filter-new'!L449</f>
        <v>-0.52962901307966714</v>
      </c>
      <c r="AK350" s="62"/>
      <c r="AL350" s="62"/>
      <c r="AM350" s="62"/>
      <c r="AN350" s="62"/>
      <c r="AO350" s="46">
        <f>'Filter-old'!G449</f>
        <v>0</v>
      </c>
      <c r="AP350" s="62">
        <f>'Filter-new'!G449</f>
        <v>0</v>
      </c>
      <c r="AQ350" s="62"/>
      <c r="AR350" s="62"/>
      <c r="AS350" s="46"/>
      <c r="AT350" s="62"/>
      <c r="AU350" s="62"/>
      <c r="AV350" s="62"/>
      <c r="AW350" s="46">
        <f>'Filter-old'!I449</f>
        <v>-12.908270762701456</v>
      </c>
      <c r="AX350" s="62">
        <f>'Filter-new'!I449</f>
        <v>-13.035612366230678</v>
      </c>
      <c r="AY350" s="62"/>
      <c r="AZ350" s="62"/>
      <c r="BA350" s="62"/>
      <c r="BB350" s="62"/>
      <c r="BC350" s="46">
        <f>'Filter-old'!K449</f>
        <v>0</v>
      </c>
      <c r="BD350" s="62">
        <f>'Filter-new'!K449</f>
        <v>0</v>
      </c>
      <c r="BE350" s="62"/>
      <c r="BF350" s="62"/>
      <c r="BG350" s="46">
        <f>'Filter-old'!M449</f>
        <v>0</v>
      </c>
      <c r="BH350" s="62"/>
      <c r="BI350" s="62"/>
      <c r="BJ350" s="62">
        <f>'Filter-new'!M449</f>
        <v>0</v>
      </c>
      <c r="BK350" s="62"/>
      <c r="BL350" s="62"/>
      <c r="BM350" s="62"/>
      <c r="BN350" s="406">
        <f>'Filter-new'!N449</f>
        <v>0</v>
      </c>
      <c r="BO350" s="62"/>
      <c r="BP350" s="62"/>
      <c r="BQ350" s="46">
        <f>'Filter-old'!O449</f>
        <v>0</v>
      </c>
      <c r="BR350" s="62">
        <f>'Filter-new'!O449</f>
        <v>0</v>
      </c>
      <c r="BS350" s="62"/>
      <c r="BT350" s="62"/>
      <c r="BU350" s="46">
        <f>'Filter-old'!Q449</f>
        <v>7.9086255426601184</v>
      </c>
      <c r="BV350" s="62">
        <f>'Filter-new'!Q449</f>
        <v>8.6435245862068992</v>
      </c>
      <c r="BW350" s="62"/>
      <c r="BX350" s="62"/>
      <c r="BY350" s="62"/>
      <c r="BZ350" s="62"/>
      <c r="CA350" s="46">
        <f>'Filter-old'!R449</f>
        <v>0</v>
      </c>
      <c r="CB350" s="62">
        <f>'Filter-new'!R449</f>
        <v>0</v>
      </c>
      <c r="CC350" s="57"/>
      <c r="CD350" s="58"/>
      <c r="CE350" s="57"/>
      <c r="CF350" s="57"/>
      <c r="CG350" s="169">
        <f t="shared" si="52"/>
        <v>53.32994688383468</v>
      </c>
    </row>
    <row r="351" spans="1:85" hidden="1" x14ac:dyDescent="0.2">
      <c r="A351">
        <v>0</v>
      </c>
      <c r="B351" s="59">
        <v>39326</v>
      </c>
      <c r="C351" s="59">
        <f>'Filter-new'!C83</f>
        <v>39326</v>
      </c>
      <c r="D351" s="60">
        <f t="shared" si="50"/>
        <v>2007</v>
      </c>
      <c r="E351" s="60"/>
      <c r="F351" s="60"/>
      <c r="G351" s="36">
        <f t="shared" si="51"/>
        <v>6.2045663006490059E-2</v>
      </c>
      <c r="H351" s="36">
        <f t="shared" si="53"/>
        <v>-24.968286106961454</v>
      </c>
      <c r="I351" s="36"/>
      <c r="J351" s="41"/>
      <c r="K351" s="46">
        <f>'Filter-old'!E450</f>
        <v>32.419949828212168</v>
      </c>
      <c r="L351" s="62">
        <f>'Filter-new'!E450</f>
        <v>33.273760979982079</v>
      </c>
      <c r="M351" s="62"/>
      <c r="N351" s="62"/>
      <c r="O351" s="429"/>
      <c r="P351" s="62"/>
      <c r="Q351" s="46">
        <f>'Filter-old'!H450</f>
        <v>-29.660035707559018</v>
      </c>
      <c r="R351" s="62">
        <f>'Filter-new'!H450</f>
        <v>-55.747805198685391</v>
      </c>
      <c r="S351" s="62"/>
      <c r="T351" s="62"/>
      <c r="U351" s="445"/>
      <c r="V351" s="62"/>
      <c r="W351" s="46">
        <f>'Filter-old'!J450</f>
        <v>0</v>
      </c>
      <c r="X351" s="62">
        <f>'Filter-new'!J450</f>
        <v>0</v>
      </c>
      <c r="Y351" s="62"/>
      <c r="Z351" s="62"/>
      <c r="AA351" s="46">
        <f>'Filter-old'!F450</f>
        <v>0</v>
      </c>
      <c r="AB351" s="62">
        <f>'Filter-new'!F450</f>
        <v>0</v>
      </c>
      <c r="AC351" s="62"/>
      <c r="AD351" s="62"/>
      <c r="AE351" s="46">
        <f>'Filter-old'!P450</f>
        <v>0</v>
      </c>
      <c r="AF351" s="62">
        <f>'Filter-new'!P450</f>
        <v>0</v>
      </c>
      <c r="AG351" s="62"/>
      <c r="AH351" s="62"/>
      <c r="AI351" s="46">
        <f>'Filter-old'!L450</f>
        <v>0</v>
      </c>
      <c r="AJ351" s="62">
        <f>'Filter-new'!L450</f>
        <v>0</v>
      </c>
      <c r="AK351" s="62"/>
      <c r="AL351" s="62"/>
      <c r="AM351" s="62"/>
      <c r="AN351" s="62"/>
      <c r="AO351" s="46">
        <f>'Filter-old'!G450</f>
        <v>0</v>
      </c>
      <c r="AP351" s="62">
        <f>'Filter-new'!G450</f>
        <v>0</v>
      </c>
      <c r="AQ351" s="62"/>
      <c r="AR351" s="62"/>
      <c r="AS351" s="46"/>
      <c r="AT351" s="62"/>
      <c r="AU351" s="62"/>
      <c r="AV351" s="62"/>
      <c r="AW351" s="46">
        <f>'Filter-old'!I450</f>
        <v>-6.6852412087303019</v>
      </c>
      <c r="AX351" s="62">
        <f>'Filter-new'!I450</f>
        <v>-6.2829997012249779</v>
      </c>
      <c r="AY351" s="62"/>
      <c r="AZ351" s="62"/>
      <c r="BA351" s="62"/>
      <c r="BB351" s="62"/>
      <c r="BC351" s="46">
        <f>'Filter-old'!K450</f>
        <v>0</v>
      </c>
      <c r="BD351" s="62">
        <f>'Filter-new'!K450</f>
        <v>0</v>
      </c>
      <c r="BE351" s="62"/>
      <c r="BF351" s="62"/>
      <c r="BG351" s="46">
        <f>'Filter-old'!M450</f>
        <v>0</v>
      </c>
      <c r="BH351" s="62"/>
      <c r="BI351" s="62"/>
      <c r="BJ351" s="62">
        <f>'Filter-new'!M450</f>
        <v>0</v>
      </c>
      <c r="BK351" s="62"/>
      <c r="BL351" s="62"/>
      <c r="BM351" s="62"/>
      <c r="BN351" s="406">
        <f>'Filter-new'!N450</f>
        <v>0</v>
      </c>
      <c r="BO351" s="62"/>
      <c r="BP351" s="62"/>
      <c r="BQ351" s="46">
        <f>'Filter-old'!O450</f>
        <v>0</v>
      </c>
      <c r="BR351" s="62">
        <f>'Filter-new'!O450</f>
        <v>0</v>
      </c>
      <c r="BS351" s="62"/>
      <c r="BT351" s="62"/>
      <c r="BU351" s="46">
        <f>'Filter-old'!Q450</f>
        <v>3.9873727510836421</v>
      </c>
      <c r="BV351" s="62">
        <f>'Filter-new'!Q450</f>
        <v>3.7887578129668356</v>
      </c>
      <c r="BW351" s="62"/>
      <c r="BX351" s="62"/>
      <c r="BY351" s="62"/>
      <c r="BZ351" s="62"/>
      <c r="CA351" s="46">
        <f>'Filter-old'!R450</f>
        <v>0</v>
      </c>
      <c r="CB351" s="62">
        <f>'Filter-new'!R450</f>
        <v>0</v>
      </c>
      <c r="CC351" s="57"/>
      <c r="CD351" s="58"/>
      <c r="CE351" s="57"/>
      <c r="CF351" s="57"/>
      <c r="CG351" s="169">
        <f t="shared" si="52"/>
        <v>25.030331769967944</v>
      </c>
    </row>
    <row r="352" spans="1:85" hidden="1" x14ac:dyDescent="0.2">
      <c r="A352">
        <v>0</v>
      </c>
      <c r="B352" s="59">
        <v>39356</v>
      </c>
      <c r="C352" s="59">
        <f>'Filter-new'!C84</f>
        <v>39356</v>
      </c>
      <c r="D352" s="60">
        <f t="shared" si="50"/>
        <v>2007</v>
      </c>
      <c r="E352" s="60"/>
      <c r="F352" s="60"/>
      <c r="G352" s="36">
        <f t="shared" si="51"/>
        <v>-6.3097525338659919</v>
      </c>
      <c r="H352" s="36">
        <f t="shared" si="53"/>
        <v>-32.032337722419925</v>
      </c>
      <c r="I352" s="36"/>
      <c r="J352" s="41"/>
      <c r="K352" s="46">
        <f>'Filter-old'!E451</f>
        <v>37.658427549936349</v>
      </c>
      <c r="L352" s="62">
        <f>'Filter-new'!E451</f>
        <v>41.695974673784107</v>
      </c>
      <c r="M352" s="62"/>
      <c r="N352" s="62"/>
      <c r="O352" s="429"/>
      <c r="P352" s="62"/>
      <c r="Q352" s="46">
        <f>'Filter-old'!H451</f>
        <v>-40.657730954900352</v>
      </c>
      <c r="R352" s="62">
        <f>'Filter-new'!H451</f>
        <v>-70.676517200474493</v>
      </c>
      <c r="S352" s="62"/>
      <c r="T352" s="62"/>
      <c r="U352" s="445"/>
      <c r="V352" s="62"/>
      <c r="W352" s="46">
        <f>'Filter-old'!J451</f>
        <v>0</v>
      </c>
      <c r="X352" s="62">
        <f>'Filter-new'!J451</f>
        <v>0</v>
      </c>
      <c r="Y352" s="62"/>
      <c r="Z352" s="62"/>
      <c r="AA352" s="46">
        <f>'Filter-old'!F451</f>
        <v>0</v>
      </c>
      <c r="AB352" s="62">
        <f>'Filter-new'!F451</f>
        <v>0</v>
      </c>
      <c r="AC352" s="62"/>
      <c r="AD352" s="62"/>
      <c r="AE352" s="46">
        <f>'Filter-old'!P451</f>
        <v>0</v>
      </c>
      <c r="AF352" s="62">
        <f>'Filter-new'!P451</f>
        <v>0</v>
      </c>
      <c r="AG352" s="62"/>
      <c r="AH352" s="62"/>
      <c r="AI352" s="46">
        <f>'Filter-old'!L451</f>
        <v>0</v>
      </c>
      <c r="AJ352" s="62">
        <f>'Filter-new'!L451</f>
        <v>0</v>
      </c>
      <c r="AK352" s="62"/>
      <c r="AL352" s="62"/>
      <c r="AM352" s="62"/>
      <c r="AN352" s="62"/>
      <c r="AO352" s="46">
        <f>'Filter-old'!G451</f>
        <v>0</v>
      </c>
      <c r="AP352" s="62">
        <f>'Filter-new'!G451</f>
        <v>0</v>
      </c>
      <c r="AQ352" s="62"/>
      <c r="AR352" s="62"/>
      <c r="AS352" s="46"/>
      <c r="AT352" s="62"/>
      <c r="AU352" s="62"/>
      <c r="AV352" s="62"/>
      <c r="AW352" s="46">
        <f>'Filter-old'!I451</f>
        <v>-7.7641196310371541</v>
      </c>
      <c r="AX352" s="62">
        <f>'Filter-new'!I451</f>
        <v>-7.9204033214709373</v>
      </c>
      <c r="AY352" s="62"/>
      <c r="AZ352" s="62"/>
      <c r="BA352" s="62"/>
      <c r="BB352" s="62"/>
      <c r="BC352" s="46">
        <f>'Filter-old'!K451</f>
        <v>0</v>
      </c>
      <c r="BD352" s="62">
        <f>'Filter-new'!K451</f>
        <v>0</v>
      </c>
      <c r="BE352" s="62"/>
      <c r="BF352" s="62"/>
      <c r="BG352" s="46">
        <f>'Filter-old'!M451</f>
        <v>0</v>
      </c>
      <c r="BH352" s="62"/>
      <c r="BI352" s="62"/>
      <c r="BJ352" s="62">
        <f>'Filter-new'!M451</f>
        <v>0</v>
      </c>
      <c r="BK352" s="62"/>
      <c r="BL352" s="62"/>
      <c r="BM352" s="62"/>
      <c r="BN352" s="406">
        <f>'Filter-new'!N451</f>
        <v>0</v>
      </c>
      <c r="BO352" s="62"/>
      <c r="BP352" s="62"/>
      <c r="BQ352" s="46">
        <f>'Filter-old'!O451</f>
        <v>0</v>
      </c>
      <c r="BR352" s="62">
        <f>'Filter-new'!O451</f>
        <v>0</v>
      </c>
      <c r="BS352" s="62"/>
      <c r="BT352" s="62"/>
      <c r="BU352" s="46">
        <f>'Filter-old'!Q451</f>
        <v>4.4536705021351652</v>
      </c>
      <c r="BV352" s="62">
        <f>'Filter-new'!Q451</f>
        <v>4.8686081257413996</v>
      </c>
      <c r="BW352" s="62"/>
      <c r="BX352" s="62"/>
      <c r="BY352" s="62"/>
      <c r="BZ352" s="62"/>
      <c r="CA352" s="46">
        <f>'Filter-old'!R451</f>
        <v>0</v>
      </c>
      <c r="CB352" s="62">
        <f>'Filter-new'!R451</f>
        <v>0</v>
      </c>
      <c r="CC352" s="57"/>
      <c r="CD352" s="58"/>
      <c r="CE352" s="57"/>
      <c r="CF352" s="57"/>
      <c r="CG352" s="169">
        <f t="shared" si="52"/>
        <v>25.722585188553932</v>
      </c>
    </row>
    <row r="353" spans="1:85" hidden="1" x14ac:dyDescent="0.2">
      <c r="A353">
        <v>0</v>
      </c>
      <c r="B353" s="59">
        <v>39387</v>
      </c>
      <c r="C353" s="59">
        <f>'Filter-new'!C85</f>
        <v>39387</v>
      </c>
      <c r="D353" s="60">
        <f t="shared" si="50"/>
        <v>2007</v>
      </c>
      <c r="E353" s="60"/>
      <c r="F353" s="60"/>
      <c r="G353" s="36">
        <f t="shared" si="51"/>
        <v>-9.6414013874705216</v>
      </c>
      <c r="H353" s="36">
        <f t="shared" si="53"/>
        <v>-28.080803703745751</v>
      </c>
      <c r="I353" s="36"/>
      <c r="J353" s="41"/>
      <c r="K353" s="46">
        <f>'Filter-old'!E452</f>
        <v>33.179412295309277</v>
      </c>
      <c r="L353" s="62">
        <f>'Filter-new'!E452</f>
        <v>35.878622290011343</v>
      </c>
      <c r="M353" s="62"/>
      <c r="N353" s="62"/>
      <c r="O353" s="429"/>
      <c r="P353" s="62"/>
      <c r="Q353" s="46">
        <f>'Filter-old'!H452</f>
        <v>-39.87992355659587</v>
      </c>
      <c r="R353" s="62">
        <f>'Filter-new'!H452</f>
        <v>-61.359091940976164</v>
      </c>
      <c r="S353" s="62"/>
      <c r="T353" s="62"/>
      <c r="U353" s="445"/>
      <c r="V353" s="62"/>
      <c r="W353" s="46">
        <f>'Filter-old'!J452</f>
        <v>0</v>
      </c>
      <c r="X353" s="62">
        <f>'Filter-new'!J452</f>
        <v>0</v>
      </c>
      <c r="Y353" s="62"/>
      <c r="Z353" s="62"/>
      <c r="AA353" s="46">
        <f>'Filter-old'!F452</f>
        <v>0</v>
      </c>
      <c r="AB353" s="62">
        <f>'Filter-new'!F452</f>
        <v>0</v>
      </c>
      <c r="AC353" s="62"/>
      <c r="AD353" s="62"/>
      <c r="AE353" s="46">
        <f>'Filter-old'!P452</f>
        <v>0</v>
      </c>
      <c r="AF353" s="62">
        <f>'Filter-new'!P452</f>
        <v>0</v>
      </c>
      <c r="AG353" s="62"/>
      <c r="AH353" s="62"/>
      <c r="AI353" s="46">
        <f>'Filter-old'!L452</f>
        <v>0</v>
      </c>
      <c r="AJ353" s="62">
        <f>'Filter-new'!L452</f>
        <v>0</v>
      </c>
      <c r="AK353" s="62"/>
      <c r="AL353" s="62"/>
      <c r="AM353" s="62"/>
      <c r="AN353" s="62"/>
      <c r="AO353" s="46">
        <f>'Filter-old'!G452</f>
        <v>0</v>
      </c>
      <c r="AP353" s="62">
        <f>'Filter-new'!G452</f>
        <v>0</v>
      </c>
      <c r="AQ353" s="62"/>
      <c r="AR353" s="62"/>
      <c r="AS353" s="46"/>
      <c r="AT353" s="62"/>
      <c r="AU353" s="62"/>
      <c r="AV353" s="62"/>
      <c r="AW353" s="46">
        <f>'Filter-old'!I452</f>
        <v>-6.8656944946730833</v>
      </c>
      <c r="AX353" s="62">
        <f>'Filter-new'!I452</f>
        <v>-6.8482406356413161</v>
      </c>
      <c r="AY353" s="62"/>
      <c r="AZ353" s="62"/>
      <c r="BA353" s="62"/>
      <c r="BB353" s="62"/>
      <c r="BC353" s="46">
        <f>'Filter-old'!K452</f>
        <v>0</v>
      </c>
      <c r="BD353" s="62">
        <f>'Filter-new'!K452</f>
        <v>0</v>
      </c>
      <c r="BE353" s="62"/>
      <c r="BF353" s="62"/>
      <c r="BG353" s="46">
        <f>'Filter-old'!M452</f>
        <v>0</v>
      </c>
      <c r="BH353" s="62"/>
      <c r="BI353" s="62"/>
      <c r="BJ353" s="62">
        <f>'Filter-new'!M452</f>
        <v>0</v>
      </c>
      <c r="BK353" s="62"/>
      <c r="BL353" s="62"/>
      <c r="BM353" s="62"/>
      <c r="BN353" s="406">
        <f>'Filter-new'!N452</f>
        <v>0</v>
      </c>
      <c r="BO353" s="62"/>
      <c r="BP353" s="62"/>
      <c r="BQ353" s="46">
        <f>'Filter-old'!O452</f>
        <v>0</v>
      </c>
      <c r="BR353" s="62">
        <f>'Filter-new'!O452</f>
        <v>0</v>
      </c>
      <c r="BS353" s="62"/>
      <c r="BT353" s="62"/>
      <c r="BU353" s="46">
        <f>'Filter-old'!Q452</f>
        <v>3.9248043684891543</v>
      </c>
      <c r="BV353" s="62">
        <f>'Filter-new'!Q452</f>
        <v>4.247906582860387</v>
      </c>
      <c r="BW353" s="62"/>
      <c r="BX353" s="62"/>
      <c r="BY353" s="62"/>
      <c r="BZ353" s="62"/>
      <c r="CA353" s="46">
        <f>'Filter-old'!R452</f>
        <v>0</v>
      </c>
      <c r="CB353" s="62">
        <f>'Filter-new'!R452</f>
        <v>0</v>
      </c>
      <c r="CC353" s="57"/>
      <c r="CD353" s="58"/>
      <c r="CE353" s="57"/>
      <c r="CF353" s="57"/>
      <c r="CG353" s="169">
        <f t="shared" si="52"/>
        <v>18.439402316275228</v>
      </c>
    </row>
    <row r="354" spans="1:85" hidden="1" x14ac:dyDescent="0.2">
      <c r="A354">
        <v>0</v>
      </c>
      <c r="B354" s="59">
        <v>39417</v>
      </c>
      <c r="C354" s="59">
        <f>'Filter-new'!C86</f>
        <v>39417</v>
      </c>
      <c r="D354" s="60">
        <f t="shared" si="50"/>
        <v>2007</v>
      </c>
      <c r="E354" s="60"/>
      <c r="F354" s="60"/>
      <c r="G354" s="36">
        <f t="shared" si="51"/>
        <v>-9.1922274041356804</v>
      </c>
      <c r="H354" s="36">
        <f t="shared" si="53"/>
        <v>-25.478295033542409</v>
      </c>
      <c r="I354" s="36"/>
      <c r="J354" s="41"/>
      <c r="K354" s="46">
        <f>'Filter-old'!E453</f>
        <v>30.518571496415081</v>
      </c>
      <c r="L354" s="62">
        <f>'Filter-new'!E453</f>
        <v>32.511355260430868</v>
      </c>
      <c r="M354" s="62"/>
      <c r="N354" s="62"/>
      <c r="O354" s="429"/>
      <c r="P354" s="62"/>
      <c r="Q354" s="46">
        <f>'Filter-old'!H453</f>
        <v>-36.982182269230059</v>
      </c>
      <c r="R354" s="62">
        <f>'Filter-new'!H453</f>
        <v>-55.634447777474776</v>
      </c>
      <c r="S354" s="62"/>
      <c r="T354" s="62"/>
      <c r="U354" s="445"/>
      <c r="V354" s="62"/>
      <c r="W354" s="46">
        <f>'Filter-old'!J453</f>
        <v>0</v>
      </c>
      <c r="X354" s="62">
        <f>'Filter-new'!J453</f>
        <v>0</v>
      </c>
      <c r="Y354" s="62"/>
      <c r="Z354" s="62"/>
      <c r="AA354" s="46">
        <f>'Filter-old'!F453</f>
        <v>0</v>
      </c>
      <c r="AB354" s="62">
        <f>'Filter-new'!F453</f>
        <v>0</v>
      </c>
      <c r="AC354" s="62"/>
      <c r="AD354" s="62"/>
      <c r="AE354" s="46">
        <f>'Filter-old'!P453</f>
        <v>0</v>
      </c>
      <c r="AF354" s="62">
        <f>'Filter-new'!P453</f>
        <v>0</v>
      </c>
      <c r="AG354" s="62"/>
      <c r="AH354" s="62"/>
      <c r="AI354" s="46">
        <f>'Filter-old'!L453</f>
        <v>0</v>
      </c>
      <c r="AJ354" s="62">
        <f>'Filter-new'!L453</f>
        <v>0</v>
      </c>
      <c r="AK354" s="62"/>
      <c r="AL354" s="62"/>
      <c r="AM354" s="62"/>
      <c r="AN354" s="62"/>
      <c r="AO354" s="46">
        <f>'Filter-old'!G453</f>
        <v>0</v>
      </c>
      <c r="AP354" s="62">
        <f>'Filter-new'!G453</f>
        <v>0</v>
      </c>
      <c r="AQ354" s="62"/>
      <c r="AR354" s="62"/>
      <c r="AS354" s="46"/>
      <c r="AT354" s="62"/>
      <c r="AU354" s="62"/>
      <c r="AV354" s="62"/>
      <c r="AW354" s="46">
        <f>'Filter-old'!I453</f>
        <v>-6.3395198928975613</v>
      </c>
      <c r="AX354" s="62">
        <f>'Filter-new'!I453</f>
        <v>-6.2372511589855471</v>
      </c>
      <c r="AY354" s="62"/>
      <c r="AZ354" s="62"/>
      <c r="BA354" s="62"/>
      <c r="BB354" s="62"/>
      <c r="BC354" s="46">
        <f>'Filter-old'!K453</f>
        <v>0</v>
      </c>
      <c r="BD354" s="62">
        <f>'Filter-new'!K453</f>
        <v>0</v>
      </c>
      <c r="BE354" s="62"/>
      <c r="BF354" s="62"/>
      <c r="BG354" s="46">
        <f>'Filter-old'!M453</f>
        <v>0</v>
      </c>
      <c r="BH354" s="62"/>
      <c r="BI354" s="62"/>
      <c r="BJ354" s="62">
        <f>'Filter-new'!M453</f>
        <v>0</v>
      </c>
      <c r="BK354" s="62"/>
      <c r="BL354" s="62"/>
      <c r="BM354" s="62"/>
      <c r="BN354" s="406">
        <f>'Filter-new'!N453</f>
        <v>0</v>
      </c>
      <c r="BO354" s="62"/>
      <c r="BP354" s="62"/>
      <c r="BQ354" s="46">
        <f>'Filter-old'!O453</f>
        <v>0</v>
      </c>
      <c r="BR354" s="62">
        <f>'Filter-new'!O453</f>
        <v>0</v>
      </c>
      <c r="BS354" s="62"/>
      <c r="BT354" s="62"/>
      <c r="BU354" s="46">
        <f>'Filter-old'!Q453</f>
        <v>3.6109032615768579</v>
      </c>
      <c r="BV354" s="62">
        <f>'Filter-new'!Q453</f>
        <v>3.8820486424870468</v>
      </c>
      <c r="BW354" s="62"/>
      <c r="BX354" s="62"/>
      <c r="BY354" s="62"/>
      <c r="BZ354" s="62"/>
      <c r="CA354" s="46">
        <f>'Filter-old'!R453</f>
        <v>0</v>
      </c>
      <c r="CB354" s="62">
        <f>'Filter-new'!R453</f>
        <v>0</v>
      </c>
      <c r="CC354" s="57"/>
      <c r="CD354" s="58"/>
      <c r="CE354" s="57"/>
      <c r="CF354" s="57"/>
      <c r="CG354" s="169">
        <f t="shared" si="52"/>
        <v>16.28606762940673</v>
      </c>
    </row>
    <row r="355" spans="1:85" hidden="1" x14ac:dyDescent="0.2">
      <c r="A355">
        <v>0</v>
      </c>
      <c r="B355" s="59">
        <v>39448</v>
      </c>
      <c r="C355" s="59">
        <f>'Filter-new'!C87</f>
        <v>39448</v>
      </c>
      <c r="D355" s="60">
        <f t="shared" si="50"/>
        <v>2008</v>
      </c>
      <c r="E355" s="60"/>
      <c r="F355" s="60"/>
      <c r="G355" s="36">
        <f t="shared" si="51"/>
        <v>-8.80301614628614</v>
      </c>
      <c r="H355" s="36">
        <f t="shared" si="53"/>
        <v>-12.182240056718431</v>
      </c>
      <c r="I355" s="36"/>
      <c r="J355" s="41"/>
      <c r="K355" s="46">
        <f>'Filter-old'!E454</f>
        <v>5.0504656091618605</v>
      </c>
      <c r="L355" s="62">
        <f>'Filter-new'!E454</f>
        <v>25.938815222147202</v>
      </c>
      <c r="M355" s="62"/>
      <c r="N355" s="62"/>
      <c r="O355" s="429"/>
      <c r="P355" s="62"/>
      <c r="Q355" s="46">
        <f>'Filter-old'!H454</f>
        <v>-10.932853797977476</v>
      </c>
      <c r="R355" s="62">
        <f>'Filter-new'!H454</f>
        <v>-35.853517353139772</v>
      </c>
      <c r="S355" s="62"/>
      <c r="T355" s="62"/>
      <c r="U355" s="445"/>
      <c r="V355" s="62"/>
      <c r="W355" s="46">
        <f>'Filter-old'!J454</f>
        <v>0</v>
      </c>
      <c r="X355" s="62">
        <f>'Filter-new'!J454</f>
        <v>0</v>
      </c>
      <c r="Y355" s="62"/>
      <c r="Z355" s="62"/>
      <c r="AA355" s="46">
        <f>'Filter-old'!F454</f>
        <v>0</v>
      </c>
      <c r="AB355" s="62">
        <f>'Filter-new'!F454</f>
        <v>0</v>
      </c>
      <c r="AC355" s="62"/>
      <c r="AD355" s="62"/>
      <c r="AE355" s="46">
        <f>'Filter-old'!P454</f>
        <v>0</v>
      </c>
      <c r="AF355" s="62">
        <f>'Filter-new'!P454</f>
        <v>0</v>
      </c>
      <c r="AG355" s="62"/>
      <c r="AH355" s="62"/>
      <c r="AI355" s="46">
        <f>'Filter-old'!L454</f>
        <v>0</v>
      </c>
      <c r="AJ355" s="62">
        <f>'Filter-new'!L454</f>
        <v>0</v>
      </c>
      <c r="AK355" s="62"/>
      <c r="AL355" s="62"/>
      <c r="AM355" s="62"/>
      <c r="AN355" s="62"/>
      <c r="AO355" s="46">
        <f>'Filter-old'!G454</f>
        <v>0</v>
      </c>
      <c r="AP355" s="62">
        <f>'Filter-new'!G454</f>
        <v>0</v>
      </c>
      <c r="AQ355" s="62"/>
      <c r="AR355" s="62"/>
      <c r="AS355" s="46"/>
      <c r="AT355" s="62"/>
      <c r="AU355" s="62"/>
      <c r="AV355" s="62"/>
      <c r="AW355" s="46">
        <f>'Filter-old'!I454</f>
        <v>-7.9197701638497264</v>
      </c>
      <c r="AX355" s="62">
        <f>'Filter-new'!I454</f>
        <v>-7.04</v>
      </c>
      <c r="AY355" s="62"/>
      <c r="AZ355" s="62"/>
      <c r="BA355" s="62"/>
      <c r="BB355" s="62"/>
      <c r="BC355" s="46">
        <f>'Filter-old'!K454</f>
        <v>0</v>
      </c>
      <c r="BD355" s="62">
        <f>'Filter-new'!K454</f>
        <v>0</v>
      </c>
      <c r="BE355" s="62"/>
      <c r="BF355" s="62"/>
      <c r="BG355" s="46">
        <f>'Filter-old'!M454</f>
        <v>0</v>
      </c>
      <c r="BH355" s="62"/>
      <c r="BI355" s="62"/>
      <c r="BJ355" s="62">
        <f>'Filter-new'!M454</f>
        <v>0</v>
      </c>
      <c r="BK355" s="62"/>
      <c r="BL355" s="62"/>
      <c r="BM355" s="62"/>
      <c r="BN355" s="406">
        <f>'Filter-new'!N454</f>
        <v>0</v>
      </c>
      <c r="BO355" s="62"/>
      <c r="BP355" s="62"/>
      <c r="BQ355" s="46">
        <f>'Filter-old'!O454</f>
        <v>0</v>
      </c>
      <c r="BR355" s="62">
        <f>'Filter-new'!O454</f>
        <v>0</v>
      </c>
      <c r="BS355" s="62"/>
      <c r="BT355" s="62"/>
      <c r="BU355" s="46">
        <f>'Filter-old'!Q454</f>
        <v>4.9991422063791999</v>
      </c>
      <c r="BV355" s="62">
        <f>'Filter-new'!Q454</f>
        <v>4.7724620742741379</v>
      </c>
      <c r="BW355" s="62"/>
      <c r="BX355" s="62"/>
      <c r="BY355" s="62"/>
      <c r="BZ355" s="62"/>
      <c r="CA355" s="46">
        <f>'Filter-old'!R454</f>
        <v>0</v>
      </c>
      <c r="CB355" s="62">
        <f>'Filter-new'!R454</f>
        <v>0</v>
      </c>
      <c r="CC355" s="57"/>
      <c r="CD355" s="58"/>
      <c r="CE355" s="57"/>
      <c r="CF355" s="57"/>
      <c r="CG355" s="169">
        <f t="shared" si="52"/>
        <v>3.379223910432291</v>
      </c>
    </row>
    <row r="356" spans="1:85" hidden="1" x14ac:dyDescent="0.2">
      <c r="A356">
        <v>0</v>
      </c>
      <c r="B356" s="59">
        <v>39479</v>
      </c>
      <c r="C356" s="59">
        <f>'Filter-new'!C88</f>
        <v>39479</v>
      </c>
      <c r="D356" s="60">
        <f t="shared" si="50"/>
        <v>2008</v>
      </c>
      <c r="E356" s="60"/>
      <c r="F356" s="60"/>
      <c r="G356" s="36">
        <f t="shared" si="51"/>
        <v>-8.846971748731832</v>
      </c>
      <c r="H356" s="36">
        <f t="shared" si="53"/>
        <v>-10.968118201014676</v>
      </c>
      <c r="I356" s="36"/>
      <c r="J356" s="41"/>
      <c r="K356" s="46">
        <f>'Filter-old'!E455</f>
        <v>4.885887757562962</v>
      </c>
      <c r="L356" s="62">
        <f>'Filter-new'!E455</f>
        <v>23.671545865898807</v>
      </c>
      <c r="M356" s="62"/>
      <c r="N356" s="62"/>
      <c r="O356" s="429"/>
      <c r="P356" s="62"/>
      <c r="Q356" s="46">
        <f>'Filter-old'!H455</f>
        <v>-10.892429322067681</v>
      </c>
      <c r="R356" s="62">
        <f>'Filter-new'!H455</f>
        <v>-32.779004524886879</v>
      </c>
      <c r="S356" s="62"/>
      <c r="T356" s="62"/>
      <c r="U356" s="445"/>
      <c r="V356" s="62"/>
      <c r="W356" s="46">
        <f>'Filter-old'!J455</f>
        <v>0</v>
      </c>
      <c r="X356" s="62">
        <f>'Filter-new'!J455</f>
        <v>0</v>
      </c>
      <c r="Y356" s="62"/>
      <c r="Z356" s="62"/>
      <c r="AA356" s="46">
        <f>'Filter-old'!F455</f>
        <v>0</v>
      </c>
      <c r="AB356" s="62">
        <f>'Filter-new'!F455</f>
        <v>0</v>
      </c>
      <c r="AC356" s="62"/>
      <c r="AD356" s="62"/>
      <c r="AE356" s="46">
        <f>'Filter-old'!P455</f>
        <v>0</v>
      </c>
      <c r="AF356" s="62">
        <f>'Filter-new'!P455</f>
        <v>0</v>
      </c>
      <c r="AG356" s="62"/>
      <c r="AH356" s="62"/>
      <c r="AI356" s="46">
        <f>'Filter-old'!L455</f>
        <v>0</v>
      </c>
      <c r="AJ356" s="62">
        <f>'Filter-new'!L455</f>
        <v>0</v>
      </c>
      <c r="AK356" s="62"/>
      <c r="AL356" s="62"/>
      <c r="AM356" s="62"/>
      <c r="AN356" s="62"/>
      <c r="AO356" s="46">
        <f>'Filter-old'!G455</f>
        <v>0</v>
      </c>
      <c r="AP356" s="62">
        <f>'Filter-new'!G455</f>
        <v>0</v>
      </c>
      <c r="AQ356" s="62"/>
      <c r="AR356" s="62"/>
      <c r="AS356" s="46"/>
      <c r="AT356" s="62"/>
      <c r="AU356" s="62"/>
      <c r="AV356" s="62"/>
      <c r="AW356" s="46">
        <f>'Filter-old'!I455</f>
        <v>-7.6762588035967374</v>
      </c>
      <c r="AX356" s="62">
        <f>'Filter-new'!I455</f>
        <v>-6.450020567667627</v>
      </c>
      <c r="AY356" s="62"/>
      <c r="AZ356" s="62"/>
      <c r="BA356" s="62"/>
      <c r="BB356" s="62"/>
      <c r="BC356" s="46">
        <f>'Filter-old'!K455</f>
        <v>0</v>
      </c>
      <c r="BD356" s="62">
        <f>'Filter-new'!K455</f>
        <v>0</v>
      </c>
      <c r="BE356" s="62"/>
      <c r="BF356" s="62"/>
      <c r="BG356" s="46">
        <f>'Filter-old'!M455</f>
        <v>0</v>
      </c>
      <c r="BH356" s="62"/>
      <c r="BI356" s="62"/>
      <c r="BJ356" s="62">
        <f>'Filter-new'!M455</f>
        <v>0</v>
      </c>
      <c r="BK356" s="62"/>
      <c r="BL356" s="62"/>
      <c r="BM356" s="62"/>
      <c r="BN356" s="406">
        <f>'Filter-new'!N455</f>
        <v>0</v>
      </c>
      <c r="BO356" s="62"/>
      <c r="BP356" s="62"/>
      <c r="BQ356" s="46">
        <f>'Filter-old'!O455</f>
        <v>0</v>
      </c>
      <c r="BR356" s="62">
        <f>'Filter-new'!O455</f>
        <v>0</v>
      </c>
      <c r="BS356" s="62"/>
      <c r="BT356" s="62"/>
      <c r="BU356" s="46">
        <f>'Filter-old'!Q455</f>
        <v>4.8358286193696243</v>
      </c>
      <c r="BV356" s="62">
        <f>'Filter-new'!Q455</f>
        <v>4.5893610256410247</v>
      </c>
      <c r="BW356" s="62"/>
      <c r="BX356" s="62"/>
      <c r="BY356" s="62"/>
      <c r="BZ356" s="62"/>
      <c r="CA356" s="46">
        <f>'Filter-old'!R455</f>
        <v>0</v>
      </c>
      <c r="CB356" s="62">
        <f>'Filter-new'!R455</f>
        <v>0</v>
      </c>
      <c r="CC356" s="57"/>
      <c r="CD356" s="58"/>
      <c r="CE356" s="57"/>
      <c r="CF356" s="57"/>
      <c r="CG356" s="169">
        <f t="shared" si="52"/>
        <v>2.1211464522828436</v>
      </c>
    </row>
    <row r="357" spans="1:85" hidden="1" x14ac:dyDescent="0.2">
      <c r="A357">
        <v>0</v>
      </c>
      <c r="B357" s="59">
        <v>39508</v>
      </c>
      <c r="C357" s="59">
        <f>'Filter-new'!C89</f>
        <v>39508</v>
      </c>
      <c r="D357" s="60">
        <f t="shared" si="50"/>
        <v>2008</v>
      </c>
      <c r="E357" s="60"/>
      <c r="F357" s="60"/>
      <c r="G357" s="36">
        <f t="shared" si="51"/>
        <v>-9.0248939012195315</v>
      </c>
      <c r="H357" s="36">
        <f t="shared" si="53"/>
        <v>-12.62489077065263</v>
      </c>
      <c r="I357" s="36"/>
      <c r="J357" s="41"/>
      <c r="K357" s="46">
        <f>'Filter-old'!E456</f>
        <v>4.3791335061521748</v>
      </c>
      <c r="L357" s="62">
        <f>'Filter-new'!E456</f>
        <v>24.45195848144462</v>
      </c>
      <c r="M357" s="62"/>
      <c r="N357" s="62"/>
      <c r="O357" s="429"/>
      <c r="P357" s="62"/>
      <c r="Q357" s="46">
        <f>'Filter-old'!H456</f>
        <v>-10.576195151724466</v>
      </c>
      <c r="R357" s="62">
        <f>'Filter-new'!H456</f>
        <v>-35.072800796246263</v>
      </c>
      <c r="S357" s="62"/>
      <c r="T357" s="62"/>
      <c r="U357" s="445"/>
      <c r="V357" s="62"/>
      <c r="W357" s="46">
        <f>'Filter-old'!J456</f>
        <v>0</v>
      </c>
      <c r="X357" s="62">
        <f>'Filter-new'!J456</f>
        <v>0</v>
      </c>
      <c r="Y357" s="62"/>
      <c r="Z357" s="62"/>
      <c r="AA357" s="46">
        <f>'Filter-old'!F456</f>
        <v>0</v>
      </c>
      <c r="AB357" s="62">
        <f>'Filter-new'!F456</f>
        <v>0</v>
      </c>
      <c r="AC357" s="62"/>
      <c r="AD357" s="62"/>
      <c r="AE357" s="46">
        <f>'Filter-old'!P456</f>
        <v>0</v>
      </c>
      <c r="AF357" s="62">
        <f>'Filter-new'!P456</f>
        <v>0</v>
      </c>
      <c r="AG357" s="62"/>
      <c r="AH357" s="62"/>
      <c r="AI357" s="46">
        <f>'Filter-old'!L456</f>
        <v>0</v>
      </c>
      <c r="AJ357" s="62">
        <f>'Filter-new'!L456</f>
        <v>0</v>
      </c>
      <c r="AK357" s="62"/>
      <c r="AL357" s="62"/>
      <c r="AM357" s="62"/>
      <c r="AN357" s="62"/>
      <c r="AO357" s="46">
        <f>'Filter-old'!G456</f>
        <v>0</v>
      </c>
      <c r="AP357" s="62">
        <f>'Filter-new'!G456</f>
        <v>0</v>
      </c>
      <c r="AQ357" s="62"/>
      <c r="AR357" s="62"/>
      <c r="AS357" s="46"/>
      <c r="AT357" s="62"/>
      <c r="AU357" s="62"/>
      <c r="AV357" s="62"/>
      <c r="AW357" s="46">
        <f>'Filter-old'!I456</f>
        <v>-7.1243359077267536</v>
      </c>
      <c r="AX357" s="62">
        <f>'Filter-new'!I456</f>
        <v>-6.6980236030143594</v>
      </c>
      <c r="AY357" s="62"/>
      <c r="AZ357" s="62"/>
      <c r="BA357" s="62"/>
      <c r="BB357" s="62"/>
      <c r="BC357" s="46">
        <f>'Filter-old'!K456</f>
        <v>0</v>
      </c>
      <c r="BD357" s="62">
        <f>'Filter-new'!K456</f>
        <v>0</v>
      </c>
      <c r="BE357" s="62"/>
      <c r="BF357" s="62"/>
      <c r="BG357" s="46">
        <f>'Filter-old'!M456</f>
        <v>0</v>
      </c>
      <c r="BH357" s="62"/>
      <c r="BI357" s="62"/>
      <c r="BJ357" s="62">
        <f>'Filter-new'!M456</f>
        <v>0</v>
      </c>
      <c r="BK357" s="62"/>
      <c r="BL357" s="62"/>
      <c r="BM357" s="62"/>
      <c r="BN357" s="406">
        <f>'Filter-new'!N456</f>
        <v>0</v>
      </c>
      <c r="BO357" s="62"/>
      <c r="BP357" s="62"/>
      <c r="BQ357" s="46">
        <f>'Filter-old'!O456</f>
        <v>0</v>
      </c>
      <c r="BR357" s="62">
        <f>'Filter-new'!O456</f>
        <v>0</v>
      </c>
      <c r="BS357" s="62"/>
      <c r="BT357" s="62"/>
      <c r="BU357" s="46">
        <f>'Filter-old'!Q456</f>
        <v>4.2965036520795143</v>
      </c>
      <c r="BV357" s="62">
        <f>'Filter-new'!Q456</f>
        <v>4.6939751471633722</v>
      </c>
      <c r="BW357" s="62"/>
      <c r="BX357" s="62"/>
      <c r="BY357" s="62"/>
      <c r="BZ357" s="62"/>
      <c r="CA357" s="46">
        <f>'Filter-old'!R456</f>
        <v>0</v>
      </c>
      <c r="CB357" s="62">
        <f>'Filter-new'!R456</f>
        <v>0</v>
      </c>
      <c r="CC357" s="57"/>
      <c r="CD357" s="58"/>
      <c r="CE357" s="57"/>
      <c r="CF357" s="57"/>
      <c r="CG357" s="169">
        <f t="shared" si="52"/>
        <v>3.5999968694330988</v>
      </c>
    </row>
    <row r="358" spans="1:85" hidden="1" x14ac:dyDescent="0.2">
      <c r="A358">
        <v>0</v>
      </c>
      <c r="B358" s="59">
        <v>39539</v>
      </c>
      <c r="C358" s="59">
        <f>'Filter-new'!C90</f>
        <v>39539</v>
      </c>
      <c r="D358" s="60">
        <f t="shared" si="50"/>
        <v>2008</v>
      </c>
      <c r="E358" s="60"/>
      <c r="F358" s="60"/>
      <c r="G358" s="36">
        <f t="shared" si="51"/>
        <v>-9.7314919639186535</v>
      </c>
      <c r="H358" s="36">
        <f t="shared" si="53"/>
        <v>-14.528752257541651</v>
      </c>
      <c r="I358" s="36"/>
      <c r="J358" s="41"/>
      <c r="K358" s="46">
        <f>'Filter-old'!E457</f>
        <v>4.8399701749849271</v>
      </c>
      <c r="L358" s="62">
        <f>'Filter-new'!E457</f>
        <v>27.485000234128769</v>
      </c>
      <c r="M358" s="62"/>
      <c r="N358" s="62"/>
      <c r="O358" s="429"/>
      <c r="P358" s="62"/>
      <c r="Q358" s="46">
        <f>'Filter-old'!H457</f>
        <v>-11.281074720750517</v>
      </c>
      <c r="R358" s="62">
        <f>'Filter-new'!H457</f>
        <v>-39.382476361999103</v>
      </c>
      <c r="S358" s="62"/>
      <c r="T358" s="62"/>
      <c r="U358" s="445"/>
      <c r="V358" s="62"/>
      <c r="W358" s="46">
        <f>'Filter-old'!J457</f>
        <v>0</v>
      </c>
      <c r="X358" s="62">
        <f>'Filter-new'!J457</f>
        <v>0</v>
      </c>
      <c r="Y358" s="62"/>
      <c r="Z358" s="62"/>
      <c r="AA358" s="46">
        <f>'Filter-old'!F457</f>
        <v>0</v>
      </c>
      <c r="AB358" s="62">
        <f>'Filter-new'!F457</f>
        <v>0</v>
      </c>
      <c r="AC358" s="62"/>
      <c r="AD358" s="62"/>
      <c r="AE358" s="46">
        <f>'Filter-old'!P457</f>
        <v>0</v>
      </c>
      <c r="AF358" s="62">
        <f>'Filter-new'!P457</f>
        <v>0</v>
      </c>
      <c r="AG358" s="62"/>
      <c r="AH358" s="62"/>
      <c r="AI358" s="46">
        <f>'Filter-old'!L457</f>
        <v>0</v>
      </c>
      <c r="AJ358" s="62">
        <f>'Filter-new'!L457</f>
        <v>0</v>
      </c>
      <c r="AK358" s="62"/>
      <c r="AL358" s="62"/>
      <c r="AM358" s="62"/>
      <c r="AN358" s="62"/>
      <c r="AO358" s="46">
        <f>'Filter-old'!G457</f>
        <v>0</v>
      </c>
      <c r="AP358" s="62">
        <f>'Filter-new'!G457</f>
        <v>0</v>
      </c>
      <c r="AQ358" s="62"/>
      <c r="AR358" s="62"/>
      <c r="AS358" s="46"/>
      <c r="AT358" s="62"/>
      <c r="AU358" s="62"/>
      <c r="AV358" s="62"/>
      <c r="AW358" s="46">
        <f>'Filter-old'!I457</f>
        <v>-7.8331340141832309</v>
      </c>
      <c r="AX358" s="62">
        <f>'Filter-new'!I457</f>
        <v>-7.570403722047125</v>
      </c>
      <c r="AY358" s="62"/>
      <c r="AZ358" s="62"/>
      <c r="BA358" s="62"/>
      <c r="BB358" s="62"/>
      <c r="BC358" s="46">
        <f>'Filter-old'!K457</f>
        <v>0</v>
      </c>
      <c r="BD358" s="62">
        <f>'Filter-new'!K457</f>
        <v>0</v>
      </c>
      <c r="BE358" s="62"/>
      <c r="BF358" s="62"/>
      <c r="BG358" s="46">
        <f>'Filter-old'!M457</f>
        <v>0</v>
      </c>
      <c r="BH358" s="62"/>
      <c r="BI358" s="62"/>
      <c r="BJ358" s="62">
        <f>'Filter-new'!M457</f>
        <v>0</v>
      </c>
      <c r="BK358" s="62"/>
      <c r="BL358" s="62"/>
      <c r="BM358" s="62"/>
      <c r="BN358" s="406">
        <f>'Filter-new'!N457</f>
        <v>0</v>
      </c>
      <c r="BO358" s="62"/>
      <c r="BP358" s="62"/>
      <c r="BQ358" s="46">
        <f>'Filter-old'!O457</f>
        <v>0</v>
      </c>
      <c r="BR358" s="62">
        <f>'Filter-new'!O457</f>
        <v>0</v>
      </c>
      <c r="BS358" s="62"/>
      <c r="BT358" s="62"/>
      <c r="BU358" s="46">
        <f>'Filter-old'!Q457</f>
        <v>4.5427465960301658</v>
      </c>
      <c r="BV358" s="62">
        <f>'Filter-new'!Q457</f>
        <v>4.9391275923758071</v>
      </c>
      <c r="BW358" s="62"/>
      <c r="BX358" s="62"/>
      <c r="BY358" s="62"/>
      <c r="BZ358" s="62"/>
      <c r="CA358" s="46">
        <f>'Filter-old'!R457</f>
        <v>0</v>
      </c>
      <c r="CB358" s="62">
        <f>'Filter-new'!R457</f>
        <v>0</v>
      </c>
      <c r="CC358" s="57"/>
      <c r="CD358" s="58"/>
      <c r="CE358" s="57"/>
      <c r="CF358" s="57"/>
      <c r="CG358" s="169">
        <f t="shared" si="52"/>
        <v>4.7972602936229976</v>
      </c>
    </row>
    <row r="359" spans="1:85" hidden="1" x14ac:dyDescent="0.2">
      <c r="A359">
        <v>0</v>
      </c>
      <c r="B359" s="59">
        <v>39569</v>
      </c>
      <c r="C359" s="59">
        <f>'Filter-new'!C91</f>
        <v>39569</v>
      </c>
      <c r="D359" s="60">
        <f t="shared" si="50"/>
        <v>2008</v>
      </c>
      <c r="E359" s="60"/>
      <c r="F359" s="60"/>
      <c r="G359" s="36">
        <f t="shared" si="51"/>
        <v>-6.1251890326095761</v>
      </c>
      <c r="H359" s="36">
        <f t="shared" si="53"/>
        <v>-12.822988185780858</v>
      </c>
      <c r="I359" s="36"/>
      <c r="J359" s="41"/>
      <c r="K359" s="46">
        <f>'Filter-old'!E458</f>
        <v>5.4142010013516817</v>
      </c>
      <c r="L359" s="62">
        <f>'Filter-new'!E458</f>
        <v>28.519721238539006</v>
      </c>
      <c r="M359" s="62"/>
      <c r="N359" s="62"/>
      <c r="O359" s="429"/>
      <c r="P359" s="62"/>
      <c r="Q359" s="46">
        <f>'Filter-old'!H458</f>
        <v>-8.1775147859815132</v>
      </c>
      <c r="R359" s="62">
        <f>'Filter-new'!H458</f>
        <v>-38.58793085825944</v>
      </c>
      <c r="S359" s="62"/>
      <c r="T359" s="62"/>
      <c r="U359" s="445"/>
      <c r="V359" s="62"/>
      <c r="W359" s="46">
        <f>'Filter-old'!J458</f>
        <v>0</v>
      </c>
      <c r="X359" s="62">
        <f>'Filter-new'!J458</f>
        <v>0</v>
      </c>
      <c r="Y359" s="62"/>
      <c r="Z359" s="62"/>
      <c r="AA359" s="46">
        <f>'Filter-old'!F458</f>
        <v>0</v>
      </c>
      <c r="AB359" s="62">
        <f>'Filter-new'!F458</f>
        <v>0</v>
      </c>
      <c r="AC359" s="62"/>
      <c r="AD359" s="62"/>
      <c r="AE359" s="46">
        <f>'Filter-old'!P458</f>
        <v>0</v>
      </c>
      <c r="AF359" s="62">
        <f>'Filter-new'!P458</f>
        <v>0</v>
      </c>
      <c r="AG359" s="62"/>
      <c r="AH359" s="62"/>
      <c r="AI359" s="46">
        <f>'Filter-old'!L458</f>
        <v>0</v>
      </c>
      <c r="AJ359" s="62">
        <f>'Filter-new'!L458</f>
        <v>0</v>
      </c>
      <c r="AK359" s="62"/>
      <c r="AL359" s="62"/>
      <c r="AM359" s="62"/>
      <c r="AN359" s="62"/>
      <c r="AO359" s="46">
        <f>'Filter-old'!G458</f>
        <v>0</v>
      </c>
      <c r="AP359" s="62">
        <f>'Filter-new'!G458</f>
        <v>0</v>
      </c>
      <c r="AQ359" s="62"/>
      <c r="AR359" s="62"/>
      <c r="AS359" s="46"/>
      <c r="AT359" s="62"/>
      <c r="AU359" s="62"/>
      <c r="AV359" s="62"/>
      <c r="AW359" s="46">
        <f>'Filter-old'!I458</f>
        <v>-7.7984625001875614</v>
      </c>
      <c r="AX359" s="62">
        <f>'Filter-new'!I458</f>
        <v>-7.9088531489553588</v>
      </c>
      <c r="AY359" s="62"/>
      <c r="AZ359" s="62"/>
      <c r="BA359" s="62"/>
      <c r="BB359" s="62"/>
      <c r="BC359" s="46">
        <f>'Filter-old'!K458</f>
        <v>0</v>
      </c>
      <c r="BD359" s="62">
        <f>'Filter-new'!K458</f>
        <v>0</v>
      </c>
      <c r="BE359" s="62"/>
      <c r="BF359" s="62"/>
      <c r="BG359" s="46">
        <f>'Filter-old'!M458</f>
        <v>0</v>
      </c>
      <c r="BH359" s="62"/>
      <c r="BI359" s="62"/>
      <c r="BJ359" s="62">
        <f>'Filter-new'!M458</f>
        <v>0</v>
      </c>
      <c r="BK359" s="62"/>
      <c r="BL359" s="62"/>
      <c r="BM359" s="62"/>
      <c r="BN359" s="406">
        <f>'Filter-new'!N458</f>
        <v>0</v>
      </c>
      <c r="BO359" s="62"/>
      <c r="BP359" s="62"/>
      <c r="BQ359" s="46">
        <f>'Filter-old'!O458</f>
        <v>0</v>
      </c>
      <c r="BR359" s="62">
        <f>'Filter-new'!O458</f>
        <v>0</v>
      </c>
      <c r="BS359" s="62"/>
      <c r="BT359" s="62"/>
      <c r="BU359" s="46">
        <f>'Filter-old'!Q458</f>
        <v>4.4365872522078167</v>
      </c>
      <c r="BV359" s="62">
        <f>'Filter-new'!Q458</f>
        <v>5.1540745828949355</v>
      </c>
      <c r="BW359" s="62"/>
      <c r="BX359" s="62"/>
      <c r="BY359" s="62"/>
      <c r="BZ359" s="62"/>
      <c r="CA359" s="46">
        <f>'Filter-old'!R458</f>
        <v>0</v>
      </c>
      <c r="CB359" s="62">
        <f>'Filter-new'!R458</f>
        <v>0</v>
      </c>
      <c r="CC359" s="57"/>
      <c r="CD359" s="58"/>
      <c r="CE359" s="57"/>
      <c r="CF359" s="57"/>
      <c r="CG359" s="169">
        <f t="shared" si="52"/>
        <v>6.6977991531712817</v>
      </c>
    </row>
    <row r="360" spans="1:85" hidden="1" x14ac:dyDescent="0.2">
      <c r="A360">
        <v>0</v>
      </c>
      <c r="B360" s="59">
        <v>39600</v>
      </c>
      <c r="C360" s="59">
        <f>'Filter-new'!C92</f>
        <v>39600</v>
      </c>
      <c r="D360" s="60">
        <f t="shared" si="50"/>
        <v>2008</v>
      </c>
      <c r="E360" s="60"/>
      <c r="F360" s="60"/>
      <c r="G360" s="36">
        <f t="shared" si="51"/>
        <v>-4.5852141534340172</v>
      </c>
      <c r="H360" s="36">
        <f t="shared" si="53"/>
        <v>-13.063258212107687</v>
      </c>
      <c r="I360" s="36"/>
      <c r="J360" s="41"/>
      <c r="K360" s="46">
        <f>'Filter-old'!E459</f>
        <v>5.0451843597839945</v>
      </c>
      <c r="L360" s="62">
        <f>'Filter-new'!E459</f>
        <v>32.232946160940067</v>
      </c>
      <c r="M360" s="62"/>
      <c r="N360" s="62"/>
      <c r="O360" s="429"/>
      <c r="P360" s="62"/>
      <c r="Q360" s="46">
        <f>'Filter-old'!H459</f>
        <v>-5.9983801182802772</v>
      </c>
      <c r="R360" s="62">
        <f>'Filter-new'!H459</f>
        <v>-42.185966979027228</v>
      </c>
      <c r="S360" s="62"/>
      <c r="T360" s="62"/>
      <c r="U360" s="445"/>
      <c r="V360" s="62"/>
      <c r="W360" s="46">
        <f>'Filter-old'!J459</f>
        <v>0</v>
      </c>
      <c r="X360" s="62">
        <f>'Filter-new'!J459</f>
        <v>0</v>
      </c>
      <c r="Y360" s="62"/>
      <c r="Z360" s="62"/>
      <c r="AA360" s="46">
        <f>'Filter-old'!F459</f>
        <v>0</v>
      </c>
      <c r="AB360" s="62">
        <f>'Filter-new'!F459</f>
        <v>0</v>
      </c>
      <c r="AC360" s="62"/>
      <c r="AD360" s="62"/>
      <c r="AE360" s="46">
        <f>'Filter-old'!P459</f>
        <v>0</v>
      </c>
      <c r="AF360" s="62">
        <f>'Filter-new'!P459</f>
        <v>0</v>
      </c>
      <c r="AG360" s="62"/>
      <c r="AH360" s="62"/>
      <c r="AI360" s="46">
        <f>'Filter-old'!L459</f>
        <v>0</v>
      </c>
      <c r="AJ360" s="62">
        <f>'Filter-new'!L459</f>
        <v>0</v>
      </c>
      <c r="AK360" s="62"/>
      <c r="AL360" s="62"/>
      <c r="AM360" s="62"/>
      <c r="AN360" s="62"/>
      <c r="AO360" s="46">
        <f>'Filter-old'!G459</f>
        <v>0</v>
      </c>
      <c r="AP360" s="62">
        <f>'Filter-new'!G459</f>
        <v>0</v>
      </c>
      <c r="AQ360" s="62"/>
      <c r="AR360" s="62"/>
      <c r="AS360" s="46"/>
      <c r="AT360" s="62"/>
      <c r="AU360" s="62"/>
      <c r="AV360" s="62"/>
      <c r="AW360" s="46">
        <f>'Filter-old'!I459</f>
        <v>-8.366505976892066</v>
      </c>
      <c r="AX360" s="62">
        <f>'Filter-new'!I459</f>
        <v>-9.0034805890227574</v>
      </c>
      <c r="AY360" s="62"/>
      <c r="AZ360" s="62"/>
      <c r="BA360" s="62"/>
      <c r="BB360" s="62"/>
      <c r="BC360" s="46">
        <f>'Filter-old'!K459</f>
        <v>0</v>
      </c>
      <c r="BD360" s="62">
        <f>'Filter-new'!K459</f>
        <v>0</v>
      </c>
      <c r="BE360" s="62"/>
      <c r="BF360" s="62"/>
      <c r="BG360" s="46">
        <f>'Filter-old'!M459</f>
        <v>0</v>
      </c>
      <c r="BH360" s="62"/>
      <c r="BI360" s="62"/>
      <c r="BJ360" s="62">
        <f>'Filter-new'!M459</f>
        <v>0</v>
      </c>
      <c r="BK360" s="62"/>
      <c r="BL360" s="62"/>
      <c r="BM360" s="62"/>
      <c r="BN360" s="406">
        <f>'Filter-new'!N459</f>
        <v>0</v>
      </c>
      <c r="BO360" s="62"/>
      <c r="BP360" s="62"/>
      <c r="BQ360" s="46">
        <f>'Filter-old'!O459</f>
        <v>0</v>
      </c>
      <c r="BR360" s="62">
        <f>'Filter-new'!O459</f>
        <v>0</v>
      </c>
      <c r="BS360" s="62"/>
      <c r="BT360" s="62"/>
      <c r="BU360" s="46">
        <f>'Filter-old'!Q459</f>
        <v>4.7344875819543324</v>
      </c>
      <c r="BV360" s="62">
        <f>'Filter-new'!Q459</f>
        <v>5.8932431950022321</v>
      </c>
      <c r="BW360" s="62"/>
      <c r="BX360" s="62"/>
      <c r="BY360" s="62"/>
      <c r="BZ360" s="62"/>
      <c r="CA360" s="46">
        <f>'Filter-old'!R459</f>
        <v>0</v>
      </c>
      <c r="CB360" s="62">
        <f>'Filter-new'!R459</f>
        <v>0</v>
      </c>
      <c r="CC360" s="57"/>
      <c r="CD360" s="58"/>
      <c r="CE360" s="57"/>
      <c r="CF360" s="57"/>
      <c r="CG360" s="169">
        <f t="shared" si="52"/>
        <v>8.4780440586736709</v>
      </c>
    </row>
    <row r="361" spans="1:85" hidden="1" x14ac:dyDescent="0.2">
      <c r="A361">
        <v>0</v>
      </c>
      <c r="B361" s="59">
        <v>39630</v>
      </c>
      <c r="C361" s="59">
        <f>'Filter-new'!C93</f>
        <v>39630</v>
      </c>
      <c r="D361" s="60">
        <f t="shared" si="50"/>
        <v>2008</v>
      </c>
      <c r="E361" s="60"/>
      <c r="F361" s="60"/>
      <c r="G361" s="36">
        <f t="shared" si="51"/>
        <v>-3.1601806824143486</v>
      </c>
      <c r="H361" s="36">
        <f t="shared" si="53"/>
        <v>-16.595273946200209</v>
      </c>
      <c r="I361" s="36"/>
      <c r="J361" s="41"/>
      <c r="K361" s="46">
        <f>'Filter-old'!E460</f>
        <v>6.8686535374202098</v>
      </c>
      <c r="L361" s="62">
        <f>'Filter-new'!E460</f>
        <v>45.8578001999118</v>
      </c>
      <c r="M361" s="62"/>
      <c r="N361" s="62"/>
      <c r="O361" s="429"/>
      <c r="P361" s="62"/>
      <c r="Q361" s="46">
        <f>'Filter-old'!H460</f>
        <v>-4.415111350152725</v>
      </c>
      <c r="R361" s="62">
        <f>'Filter-new'!H460</f>
        <v>-56.620723798324271</v>
      </c>
      <c r="S361" s="62"/>
      <c r="T361" s="62"/>
      <c r="U361" s="445"/>
      <c r="V361" s="62"/>
      <c r="W361" s="46">
        <f>'Filter-old'!J460</f>
        <v>0</v>
      </c>
      <c r="X361" s="62">
        <f>'Filter-new'!J460</f>
        <v>0</v>
      </c>
      <c r="Y361" s="62"/>
      <c r="Z361" s="62"/>
      <c r="AA361" s="46">
        <f>'Filter-old'!F460</f>
        <v>0</v>
      </c>
      <c r="AB361" s="62">
        <f>'Filter-new'!F460</f>
        <v>0</v>
      </c>
      <c r="AC361" s="62"/>
      <c r="AD361" s="62"/>
      <c r="AE361" s="46">
        <f>'Filter-old'!P460</f>
        <v>0</v>
      </c>
      <c r="AF361" s="62">
        <f>'Filter-new'!P460</f>
        <v>0</v>
      </c>
      <c r="AG361" s="62"/>
      <c r="AH361" s="62"/>
      <c r="AI361" s="46">
        <f>'Filter-old'!L460</f>
        <v>0</v>
      </c>
      <c r="AJ361" s="62">
        <f>'Filter-new'!L460</f>
        <v>-0.519695428487432</v>
      </c>
      <c r="AK361" s="62"/>
      <c r="AL361" s="62"/>
      <c r="AM361" s="62"/>
      <c r="AN361" s="62"/>
      <c r="AO361" s="46">
        <f>'Filter-old'!G460</f>
        <v>0</v>
      </c>
      <c r="AP361" s="62">
        <f>'Filter-new'!G460</f>
        <v>0</v>
      </c>
      <c r="AQ361" s="62"/>
      <c r="AR361" s="62"/>
      <c r="AS361" s="46"/>
      <c r="AT361" s="62"/>
      <c r="AU361" s="62"/>
      <c r="AV361" s="62"/>
      <c r="AW361" s="46">
        <f>'Filter-old'!I460</f>
        <v>-12.42468429986098</v>
      </c>
      <c r="AX361" s="62">
        <f>'Filter-new'!I460</f>
        <v>-12.927708363957077</v>
      </c>
      <c r="AY361" s="62"/>
      <c r="AZ361" s="62"/>
      <c r="BA361" s="62"/>
      <c r="BB361" s="62"/>
      <c r="BC361" s="46">
        <f>'Filter-old'!K460</f>
        <v>0</v>
      </c>
      <c r="BD361" s="62">
        <f>'Filter-new'!K460</f>
        <v>0</v>
      </c>
      <c r="BE361" s="62"/>
      <c r="BF361" s="62"/>
      <c r="BG361" s="46">
        <f>'Filter-old'!M460</f>
        <v>0</v>
      </c>
      <c r="BH361" s="62"/>
      <c r="BI361" s="62"/>
      <c r="BJ361" s="62">
        <f>'Filter-new'!M460</f>
        <v>0</v>
      </c>
      <c r="BK361" s="62"/>
      <c r="BL361" s="62"/>
      <c r="BM361" s="62"/>
      <c r="BN361" s="406">
        <f>'Filter-new'!N460</f>
        <v>0</v>
      </c>
      <c r="BO361" s="62"/>
      <c r="BP361" s="62"/>
      <c r="BQ361" s="46">
        <f>'Filter-old'!O460</f>
        <v>0</v>
      </c>
      <c r="BR361" s="62">
        <f>'Filter-new'!O460</f>
        <v>0</v>
      </c>
      <c r="BS361" s="62"/>
      <c r="BT361" s="62"/>
      <c r="BU361" s="46">
        <f>'Filter-old'!Q460</f>
        <v>6.8109614301791455</v>
      </c>
      <c r="BV361" s="62">
        <f>'Filter-new'!Q460</f>
        <v>7.6150534446567688</v>
      </c>
      <c r="BW361" s="62"/>
      <c r="BX361" s="62"/>
      <c r="BY361" s="62"/>
      <c r="BZ361" s="62"/>
      <c r="CA361" s="46">
        <f>'Filter-old'!R460</f>
        <v>0</v>
      </c>
      <c r="CB361" s="62">
        <f>'Filter-new'!R460</f>
        <v>0</v>
      </c>
      <c r="CC361" s="57"/>
      <c r="CD361" s="58"/>
      <c r="CE361" s="57"/>
      <c r="CF361" s="57"/>
      <c r="CG361" s="169">
        <f t="shared" si="52"/>
        <v>13.435093263785859</v>
      </c>
    </row>
    <row r="362" spans="1:85" hidden="1" x14ac:dyDescent="0.2">
      <c r="A362">
        <v>0</v>
      </c>
      <c r="B362" s="59">
        <v>39661</v>
      </c>
      <c r="C362" s="59">
        <f>'Filter-new'!C94</f>
        <v>39661</v>
      </c>
      <c r="D362" s="60">
        <f t="shared" si="50"/>
        <v>2008</v>
      </c>
      <c r="E362" s="60"/>
      <c r="F362" s="60"/>
      <c r="G362" s="36">
        <f t="shared" si="51"/>
        <v>-2.3989523415823815</v>
      </c>
      <c r="H362" s="36">
        <f t="shared" si="53"/>
        <v>-14.744530657562095</v>
      </c>
      <c r="I362" s="36"/>
      <c r="J362" s="41"/>
      <c r="K362" s="46">
        <f>'Filter-old'!E461</f>
        <v>6.4479426020141748</v>
      </c>
      <c r="L362" s="62">
        <f>'Filter-new'!E461</f>
        <v>42.468514014237982</v>
      </c>
      <c r="M362" s="62"/>
      <c r="N362" s="62"/>
      <c r="O362" s="429"/>
      <c r="P362" s="62"/>
      <c r="Q362" s="46">
        <f>'Filter-old'!H461</f>
        <v>-3.8468524192611517</v>
      </c>
      <c r="R362" s="62">
        <f>'Filter-new'!H461</f>
        <v>-52.224446317012919</v>
      </c>
      <c r="S362" s="62"/>
      <c r="T362" s="62"/>
      <c r="U362" s="445"/>
      <c r="V362" s="62"/>
      <c r="W362" s="46">
        <f>'Filter-old'!J461</f>
        <v>0</v>
      </c>
      <c r="X362" s="62">
        <f>'Filter-new'!J461</f>
        <v>0</v>
      </c>
      <c r="Y362" s="62"/>
      <c r="Z362" s="62"/>
      <c r="AA362" s="46">
        <f>'Filter-old'!F461</f>
        <v>0</v>
      </c>
      <c r="AB362" s="62">
        <f>'Filter-new'!F461</f>
        <v>0</v>
      </c>
      <c r="AC362" s="62"/>
      <c r="AD362" s="62"/>
      <c r="AE362" s="46">
        <f>'Filter-old'!P461</f>
        <v>0</v>
      </c>
      <c r="AF362" s="62">
        <f>'Filter-new'!P461</f>
        <v>0</v>
      </c>
      <c r="AG362" s="62"/>
      <c r="AH362" s="62"/>
      <c r="AI362" s="46">
        <f>'Filter-old'!L461</f>
        <v>0</v>
      </c>
      <c r="AJ362" s="62">
        <f>'Filter-new'!L461</f>
        <v>-0.49362661630103155</v>
      </c>
      <c r="AK362" s="62"/>
      <c r="AL362" s="62"/>
      <c r="AM362" s="62"/>
      <c r="AN362" s="62"/>
      <c r="AO362" s="46">
        <f>'Filter-old'!G461</f>
        <v>0</v>
      </c>
      <c r="AP362" s="62">
        <f>'Filter-new'!G461</f>
        <v>0</v>
      </c>
      <c r="AQ362" s="62"/>
      <c r="AR362" s="62"/>
      <c r="AS362" s="46"/>
      <c r="AT362" s="62"/>
      <c r="AU362" s="62"/>
      <c r="AV362" s="62"/>
      <c r="AW362" s="46">
        <f>'Filter-old'!I461</f>
        <v>-11.714647938327719</v>
      </c>
      <c r="AX362" s="62">
        <f>'Filter-new'!I461</f>
        <v>-12.035565886967891</v>
      </c>
      <c r="AY362" s="62"/>
      <c r="AZ362" s="62"/>
      <c r="BA362" s="62"/>
      <c r="BB362" s="62"/>
      <c r="BC362" s="46">
        <f>'Filter-old'!K461</f>
        <v>0</v>
      </c>
      <c r="BD362" s="62">
        <f>'Filter-new'!K461</f>
        <v>0</v>
      </c>
      <c r="BE362" s="62"/>
      <c r="BF362" s="62"/>
      <c r="BG362" s="46">
        <f>'Filter-old'!M461</f>
        <v>0</v>
      </c>
      <c r="BH362" s="62"/>
      <c r="BI362" s="62"/>
      <c r="BJ362" s="62">
        <f>'Filter-new'!M461</f>
        <v>0</v>
      </c>
      <c r="BK362" s="62"/>
      <c r="BL362" s="62"/>
      <c r="BM362" s="62"/>
      <c r="BN362" s="406">
        <f>'Filter-new'!N461</f>
        <v>0</v>
      </c>
      <c r="BO362" s="62"/>
      <c r="BP362" s="62"/>
      <c r="BQ362" s="46">
        <f>'Filter-old'!O461</f>
        <v>0</v>
      </c>
      <c r="BR362" s="62">
        <f>'Filter-new'!O461</f>
        <v>0</v>
      </c>
      <c r="BS362" s="62"/>
      <c r="BT362" s="62"/>
      <c r="BU362" s="46">
        <f>'Filter-old'!Q461</f>
        <v>6.7146054139923148</v>
      </c>
      <c r="BV362" s="62">
        <f>'Filter-new'!Q461</f>
        <v>7.5405941484817669</v>
      </c>
      <c r="BW362" s="62"/>
      <c r="BX362" s="62"/>
      <c r="BY362" s="62"/>
      <c r="BZ362" s="62"/>
      <c r="CA362" s="46">
        <f>'Filter-old'!R461</f>
        <v>0</v>
      </c>
      <c r="CB362" s="62">
        <f>'Filter-new'!R461</f>
        <v>0</v>
      </c>
      <c r="CC362" s="57"/>
      <c r="CD362" s="58"/>
      <c r="CE362" s="57"/>
      <c r="CF362" s="57"/>
      <c r="CG362" s="169">
        <f t="shared" si="52"/>
        <v>12.345578315979713</v>
      </c>
    </row>
    <row r="363" spans="1:85" hidden="1" x14ac:dyDescent="0.2">
      <c r="A363">
        <v>0</v>
      </c>
      <c r="B363" s="59">
        <v>39692</v>
      </c>
      <c r="C363" s="59">
        <f>'Filter-new'!C95</f>
        <v>39692</v>
      </c>
      <c r="D363" s="60">
        <f t="shared" si="50"/>
        <v>2008</v>
      </c>
      <c r="E363" s="60"/>
      <c r="F363" s="60"/>
      <c r="G363" s="36">
        <f t="shared" si="51"/>
        <v>1.1867947273416721</v>
      </c>
      <c r="H363" s="36">
        <f t="shared" si="53"/>
        <v>-4.7654702934734994</v>
      </c>
      <c r="I363" s="36"/>
      <c r="J363" s="41"/>
      <c r="K363" s="46">
        <f>'Filter-old'!E462</f>
        <v>4.4240759986971829</v>
      </c>
      <c r="L363" s="62">
        <f>'Filter-new'!E462</f>
        <v>22.911084993429693</v>
      </c>
      <c r="M363" s="62"/>
      <c r="N363" s="62"/>
      <c r="O363" s="429"/>
      <c r="P363" s="62"/>
      <c r="Q363" s="46">
        <f>'Filter-old'!H462</f>
        <v>0</v>
      </c>
      <c r="R363" s="62">
        <f>'Filter-new'!H462</f>
        <v>-25.147262374069204</v>
      </c>
      <c r="S363" s="62"/>
      <c r="T363" s="62"/>
      <c r="U363" s="445"/>
      <c r="V363" s="62"/>
      <c r="W363" s="46">
        <f>'Filter-old'!J462</f>
        <v>0</v>
      </c>
      <c r="X363" s="62">
        <f>'Filter-new'!J462</f>
        <v>0</v>
      </c>
      <c r="Y363" s="62"/>
      <c r="Z363" s="62"/>
      <c r="AA363" s="46">
        <f>'Filter-old'!F462</f>
        <v>0</v>
      </c>
      <c r="AB363" s="62">
        <f>'Filter-new'!F462</f>
        <v>0</v>
      </c>
      <c r="AC363" s="62"/>
      <c r="AD363" s="62"/>
      <c r="AE363" s="46">
        <f>'Filter-old'!P462</f>
        <v>0</v>
      </c>
      <c r="AF363" s="62">
        <f>'Filter-new'!P462</f>
        <v>0</v>
      </c>
      <c r="AG363" s="62"/>
      <c r="AH363" s="62"/>
      <c r="AI363" s="46">
        <f>'Filter-old'!L462</f>
        <v>0</v>
      </c>
      <c r="AJ363" s="62">
        <f>'Filter-new'!L462</f>
        <v>0</v>
      </c>
      <c r="AK363" s="62"/>
      <c r="AL363" s="62"/>
      <c r="AM363" s="62"/>
      <c r="AN363" s="62"/>
      <c r="AO363" s="46">
        <f>'Filter-old'!G462</f>
        <v>0</v>
      </c>
      <c r="AP363" s="62">
        <f>'Filter-new'!G462</f>
        <v>0</v>
      </c>
      <c r="AQ363" s="62"/>
      <c r="AR363" s="62"/>
      <c r="AS363" s="46"/>
      <c r="AT363" s="62"/>
      <c r="AU363" s="62"/>
      <c r="AV363" s="62"/>
      <c r="AW363" s="46">
        <f>'Filter-old'!I462</f>
        <v>-7.3312226927321724</v>
      </c>
      <c r="AX363" s="62">
        <f>'Filter-new'!I462</f>
        <v>-6.4707840560665781</v>
      </c>
      <c r="AY363" s="62"/>
      <c r="AZ363" s="62"/>
      <c r="BA363" s="62"/>
      <c r="BB363" s="62"/>
      <c r="BC363" s="46">
        <f>'Filter-old'!K462</f>
        <v>0</v>
      </c>
      <c r="BD363" s="62">
        <f>'Filter-new'!K462</f>
        <v>0</v>
      </c>
      <c r="BE363" s="62"/>
      <c r="BF363" s="62"/>
      <c r="BG363" s="46">
        <f>'Filter-old'!M462</f>
        <v>0</v>
      </c>
      <c r="BH363" s="62"/>
      <c r="BI363" s="62"/>
      <c r="BJ363" s="62">
        <f>'Filter-new'!M462</f>
        <v>0</v>
      </c>
      <c r="BK363" s="62"/>
      <c r="BL363" s="62"/>
      <c r="BM363" s="62"/>
      <c r="BN363" s="406">
        <f>'Filter-new'!N462</f>
        <v>0</v>
      </c>
      <c r="BO363" s="62"/>
      <c r="BP363" s="62"/>
      <c r="BQ363" s="46">
        <f>'Filter-old'!O462</f>
        <v>0</v>
      </c>
      <c r="BR363" s="62">
        <f>'Filter-new'!O462</f>
        <v>0</v>
      </c>
      <c r="BS363" s="62"/>
      <c r="BT363" s="62"/>
      <c r="BU363" s="46">
        <f>'Filter-old'!Q462</f>
        <v>4.0939414213766616</v>
      </c>
      <c r="BV363" s="62">
        <f>'Filter-new'!Q462</f>
        <v>3.9414911432325885</v>
      </c>
      <c r="BW363" s="62"/>
      <c r="BX363" s="62"/>
      <c r="BY363" s="62"/>
      <c r="BZ363" s="62"/>
      <c r="CA363" s="46">
        <f>'Filter-old'!R462</f>
        <v>0</v>
      </c>
      <c r="CB363" s="62">
        <f>'Filter-new'!R462</f>
        <v>0</v>
      </c>
      <c r="CC363" s="57"/>
      <c r="CD363" s="58"/>
      <c r="CE363" s="57"/>
      <c r="CF363" s="57"/>
      <c r="CG363" s="169">
        <f t="shared" si="52"/>
        <v>5.9522650208151715</v>
      </c>
    </row>
    <row r="364" spans="1:85" hidden="1" x14ac:dyDescent="0.2">
      <c r="A364">
        <v>0</v>
      </c>
      <c r="B364" s="59">
        <v>39722</v>
      </c>
      <c r="C364" s="59">
        <f>'Filter-new'!C96</f>
        <v>39722</v>
      </c>
      <c r="D364" s="60">
        <f t="shared" si="50"/>
        <v>2008</v>
      </c>
      <c r="E364" s="60"/>
      <c r="F364" s="60"/>
      <c r="G364" s="36">
        <f t="shared" si="51"/>
        <v>1.0853029559806755</v>
      </c>
      <c r="H364" s="36">
        <f t="shared" si="53"/>
        <v>-5.8066175851572774</v>
      </c>
      <c r="I364" s="36"/>
      <c r="J364" s="41"/>
      <c r="K364" s="46">
        <f>'Filter-old'!E463</f>
        <v>4.6514646509877</v>
      </c>
      <c r="L364" s="62">
        <f>'Filter-new'!E463</f>
        <v>26.618895677634434</v>
      </c>
      <c r="M364" s="62"/>
      <c r="N364" s="62"/>
      <c r="O364" s="429"/>
      <c r="P364" s="62"/>
      <c r="Q364" s="46">
        <f>'Filter-old'!H463</f>
        <v>0</v>
      </c>
      <c r="R364" s="62">
        <f>'Filter-new'!H463</f>
        <v>-29.476271923467174</v>
      </c>
      <c r="S364" s="62"/>
      <c r="T364" s="62"/>
      <c r="U364" s="445"/>
      <c r="V364" s="62"/>
      <c r="W364" s="46">
        <f>'Filter-old'!J463</f>
        <v>0</v>
      </c>
      <c r="X364" s="62">
        <f>'Filter-new'!J463</f>
        <v>0</v>
      </c>
      <c r="Y364" s="62"/>
      <c r="Z364" s="62"/>
      <c r="AA364" s="46">
        <f>'Filter-old'!F463</f>
        <v>0</v>
      </c>
      <c r="AB364" s="62">
        <f>'Filter-new'!F463</f>
        <v>0</v>
      </c>
      <c r="AC364" s="62"/>
      <c r="AD364" s="62"/>
      <c r="AE364" s="46">
        <f>'Filter-old'!P463</f>
        <v>0</v>
      </c>
      <c r="AF364" s="62">
        <f>'Filter-new'!P463</f>
        <v>0</v>
      </c>
      <c r="AG364" s="62"/>
      <c r="AH364" s="62"/>
      <c r="AI364" s="46">
        <f>'Filter-old'!L463</f>
        <v>0</v>
      </c>
      <c r="AJ364" s="62">
        <f>'Filter-new'!L463</f>
        <v>0</v>
      </c>
      <c r="AK364" s="62"/>
      <c r="AL364" s="62"/>
      <c r="AM364" s="62"/>
      <c r="AN364" s="62"/>
      <c r="AO364" s="46">
        <f>'Filter-old'!G463</f>
        <v>0</v>
      </c>
      <c r="AP364" s="62">
        <f>'Filter-new'!G463</f>
        <v>0</v>
      </c>
      <c r="AQ364" s="62"/>
      <c r="AR364" s="62"/>
      <c r="AS364" s="46"/>
      <c r="AT364" s="62"/>
      <c r="AU364" s="62"/>
      <c r="AV364" s="62"/>
      <c r="AW364" s="46">
        <f>'Filter-old'!I463</f>
        <v>-7.7061719214886937</v>
      </c>
      <c r="AX364" s="62">
        <f>'Filter-new'!I463</f>
        <v>-7.5690969705754441</v>
      </c>
      <c r="AY364" s="62"/>
      <c r="AZ364" s="62"/>
      <c r="BA364" s="62"/>
      <c r="BB364" s="62"/>
      <c r="BC364" s="46">
        <f>'Filter-old'!K463</f>
        <v>0</v>
      </c>
      <c r="BD364" s="62">
        <f>'Filter-new'!K463</f>
        <v>0</v>
      </c>
      <c r="BE364" s="62"/>
      <c r="BF364" s="62"/>
      <c r="BG364" s="46">
        <f>'Filter-old'!M463</f>
        <v>0</v>
      </c>
      <c r="BH364" s="62"/>
      <c r="BI364" s="62"/>
      <c r="BJ364" s="62">
        <f>'Filter-new'!M463</f>
        <v>0</v>
      </c>
      <c r="BK364" s="62"/>
      <c r="BL364" s="62"/>
      <c r="BM364" s="62"/>
      <c r="BN364" s="406">
        <f>'Filter-new'!N463</f>
        <v>0</v>
      </c>
      <c r="BO364" s="62"/>
      <c r="BP364" s="62"/>
      <c r="BQ364" s="46">
        <f>'Filter-old'!O463</f>
        <v>0</v>
      </c>
      <c r="BR364" s="62">
        <f>'Filter-new'!O463</f>
        <v>0</v>
      </c>
      <c r="BS364" s="62"/>
      <c r="BT364" s="62"/>
      <c r="BU364" s="46">
        <f>'Filter-old'!Q463</f>
        <v>4.1400102264816692</v>
      </c>
      <c r="BV364" s="62">
        <f>'Filter-new'!Q463</f>
        <v>4.619855631250906</v>
      </c>
      <c r="BW364" s="62"/>
      <c r="BX364" s="62"/>
      <c r="BY364" s="62"/>
      <c r="BZ364" s="62"/>
      <c r="CA364" s="46">
        <f>'Filter-old'!R463</f>
        <v>0</v>
      </c>
      <c r="CB364" s="62">
        <f>'Filter-new'!R463</f>
        <v>0</v>
      </c>
      <c r="CC364" s="57"/>
      <c r="CD364" s="58"/>
      <c r="CE364" s="57"/>
      <c r="CF364" s="57"/>
      <c r="CG364" s="169">
        <f t="shared" si="52"/>
        <v>6.8919205411379529</v>
      </c>
    </row>
    <row r="365" spans="1:85" hidden="1" x14ac:dyDescent="0.2">
      <c r="A365">
        <v>0</v>
      </c>
      <c r="B365" s="59">
        <v>39753</v>
      </c>
      <c r="C365" s="59">
        <f>'Filter-new'!C97</f>
        <v>39753</v>
      </c>
      <c r="D365" s="60">
        <f t="shared" si="50"/>
        <v>2008</v>
      </c>
      <c r="E365" s="60"/>
      <c r="F365" s="60"/>
      <c r="G365" s="36">
        <f t="shared" si="51"/>
        <v>0.84434435220320392</v>
      </c>
      <c r="H365" s="36">
        <f t="shared" si="53"/>
        <v>-4.8783149554352327</v>
      </c>
      <c r="I365" s="36"/>
      <c r="J365" s="41"/>
      <c r="K365" s="46">
        <f>'Filter-old'!E464</f>
        <v>3.710057267922652</v>
      </c>
      <c r="L365" s="62">
        <f>'Filter-new'!E464</f>
        <v>21.331812244897957</v>
      </c>
      <c r="M365" s="62"/>
      <c r="N365" s="62"/>
      <c r="O365" s="429"/>
      <c r="P365" s="62"/>
      <c r="Q365" s="46">
        <f>'Filter-old'!H464</f>
        <v>0</v>
      </c>
      <c r="R365" s="62">
        <f>'Filter-new'!H464</f>
        <v>-23.761210606691652</v>
      </c>
      <c r="S365" s="62"/>
      <c r="T365" s="62"/>
      <c r="U365" s="445"/>
      <c r="V365" s="62"/>
      <c r="W365" s="46">
        <f>'Filter-old'!J464</f>
        <v>0</v>
      </c>
      <c r="X365" s="62">
        <f>'Filter-new'!J464</f>
        <v>0</v>
      </c>
      <c r="Y365" s="62"/>
      <c r="Z365" s="62"/>
      <c r="AA365" s="46">
        <f>'Filter-old'!F464</f>
        <v>0</v>
      </c>
      <c r="AB365" s="62">
        <f>'Filter-new'!F464</f>
        <v>0</v>
      </c>
      <c r="AC365" s="62"/>
      <c r="AD365" s="62"/>
      <c r="AE365" s="46">
        <f>'Filter-old'!P464</f>
        <v>0</v>
      </c>
      <c r="AF365" s="62">
        <f>'Filter-new'!P464</f>
        <v>0</v>
      </c>
      <c r="AG365" s="62"/>
      <c r="AH365" s="62"/>
      <c r="AI365" s="46">
        <f>'Filter-old'!L464</f>
        <v>0</v>
      </c>
      <c r="AJ365" s="62">
        <f>'Filter-new'!L464</f>
        <v>0</v>
      </c>
      <c r="AK365" s="62"/>
      <c r="AL365" s="62"/>
      <c r="AM365" s="62"/>
      <c r="AN365" s="62"/>
      <c r="AO365" s="46">
        <f>'Filter-old'!G464</f>
        <v>0</v>
      </c>
      <c r="AP365" s="62">
        <f>'Filter-new'!G464</f>
        <v>0</v>
      </c>
      <c r="AQ365" s="62"/>
      <c r="AR365" s="62"/>
      <c r="AS365" s="46"/>
      <c r="AT365" s="62"/>
      <c r="AU365" s="62"/>
      <c r="AV365" s="62"/>
      <c r="AW365" s="46">
        <f>'Filter-old'!I464</f>
        <v>-6.168368381495708</v>
      </c>
      <c r="AX365" s="62">
        <f>'Filter-new'!I464</f>
        <v>-6.0985700402610021</v>
      </c>
      <c r="AY365" s="62"/>
      <c r="AZ365" s="62"/>
      <c r="BA365" s="62"/>
      <c r="BB365" s="62"/>
      <c r="BC365" s="46">
        <f>'Filter-old'!K464</f>
        <v>0</v>
      </c>
      <c r="BD365" s="62">
        <f>'Filter-new'!K464</f>
        <v>0</v>
      </c>
      <c r="BE365" s="62"/>
      <c r="BF365" s="62"/>
      <c r="BG365" s="46">
        <f>'Filter-old'!M464</f>
        <v>0</v>
      </c>
      <c r="BH365" s="62"/>
      <c r="BI365" s="62"/>
      <c r="BJ365" s="62">
        <f>'Filter-new'!M464</f>
        <v>0</v>
      </c>
      <c r="BK365" s="62"/>
      <c r="BL365" s="62"/>
      <c r="BM365" s="62"/>
      <c r="BN365" s="406">
        <f>'Filter-new'!N464</f>
        <v>0</v>
      </c>
      <c r="BO365" s="62"/>
      <c r="BP365" s="62"/>
      <c r="BQ365" s="46">
        <f>'Filter-old'!O464</f>
        <v>0</v>
      </c>
      <c r="BR365" s="62">
        <f>'Filter-new'!O464</f>
        <v>0</v>
      </c>
      <c r="BS365" s="62"/>
      <c r="BT365" s="62"/>
      <c r="BU365" s="46">
        <f>'Filter-old'!Q464</f>
        <v>3.3026554657762599</v>
      </c>
      <c r="BV365" s="62">
        <f>'Filter-new'!Q464</f>
        <v>3.6496534466194643</v>
      </c>
      <c r="BW365" s="62"/>
      <c r="BX365" s="62"/>
      <c r="BY365" s="62"/>
      <c r="BZ365" s="62"/>
      <c r="CA365" s="46">
        <f>'Filter-old'!R464</f>
        <v>0</v>
      </c>
      <c r="CB365" s="62">
        <f>'Filter-new'!R464</f>
        <v>0</v>
      </c>
      <c r="CC365" s="57"/>
      <c r="CD365" s="58"/>
      <c r="CE365" s="57"/>
      <c r="CF365" s="57"/>
      <c r="CG365" s="169">
        <f t="shared" si="52"/>
        <v>5.7226593076384367</v>
      </c>
    </row>
    <row r="366" spans="1:85" hidden="1" x14ac:dyDescent="0.2">
      <c r="A366">
        <v>0</v>
      </c>
      <c r="B366" s="59">
        <v>39783</v>
      </c>
      <c r="C366" s="59">
        <f>'Filter-new'!C98</f>
        <v>39783</v>
      </c>
      <c r="D366" s="60">
        <f t="shared" si="50"/>
        <v>2008</v>
      </c>
      <c r="E366" s="60"/>
      <c r="F366" s="60"/>
      <c r="G366" s="36">
        <f t="shared" si="51"/>
        <v>0.91990518422516887</v>
      </c>
      <c r="H366" s="36">
        <f t="shared" si="53"/>
        <v>-5.6854058058485819</v>
      </c>
      <c r="I366" s="36"/>
      <c r="J366" s="41"/>
      <c r="K366" s="46">
        <f>'Filter-old'!E465</f>
        <v>4.1512255503146331</v>
      </c>
      <c r="L366" s="62">
        <f>'Filter-new'!E465</f>
        <v>23.909657460275067</v>
      </c>
      <c r="M366" s="62"/>
      <c r="N366" s="62"/>
      <c r="O366" s="429"/>
      <c r="P366" s="62"/>
      <c r="Q366" s="46">
        <f>'Filter-old'!H465</f>
        <v>0</v>
      </c>
      <c r="R366" s="62">
        <f>'Filter-new'!H465</f>
        <v>-26.781893443717454</v>
      </c>
      <c r="S366" s="62"/>
      <c r="T366" s="62"/>
      <c r="U366" s="445"/>
      <c r="V366" s="62"/>
      <c r="W366" s="46">
        <f>'Filter-old'!J465</f>
        <v>0</v>
      </c>
      <c r="X366" s="62">
        <f>'Filter-new'!J465</f>
        <v>0</v>
      </c>
      <c r="Y366" s="62"/>
      <c r="Z366" s="62"/>
      <c r="AA366" s="46">
        <f>'Filter-old'!F465</f>
        <v>0</v>
      </c>
      <c r="AB366" s="62">
        <f>'Filter-new'!F465</f>
        <v>0</v>
      </c>
      <c r="AC366" s="62"/>
      <c r="AD366" s="62"/>
      <c r="AE366" s="46">
        <f>'Filter-old'!P465</f>
        <v>0</v>
      </c>
      <c r="AF366" s="62">
        <f>'Filter-new'!P465</f>
        <v>0</v>
      </c>
      <c r="AG366" s="62"/>
      <c r="AH366" s="62"/>
      <c r="AI366" s="46">
        <f>'Filter-old'!L465</f>
        <v>0</v>
      </c>
      <c r="AJ366" s="62">
        <f>'Filter-new'!L465</f>
        <v>0</v>
      </c>
      <c r="AK366" s="62"/>
      <c r="AL366" s="62"/>
      <c r="AM366" s="62"/>
      <c r="AN366" s="62"/>
      <c r="AO366" s="46">
        <f>'Filter-old'!G465</f>
        <v>0</v>
      </c>
      <c r="AP366" s="62">
        <f>'Filter-new'!G465</f>
        <v>0</v>
      </c>
      <c r="AQ366" s="62"/>
      <c r="AR366" s="62"/>
      <c r="AS366" s="46"/>
      <c r="AT366" s="62"/>
      <c r="AU366" s="62"/>
      <c r="AV366" s="62"/>
      <c r="AW366" s="46">
        <f>'Filter-old'!I465</f>
        <v>-6.927755681051087</v>
      </c>
      <c r="AX366" s="62">
        <f>'Filter-new'!I465</f>
        <v>-6.8717318734143413</v>
      </c>
      <c r="AY366" s="62"/>
      <c r="AZ366" s="62"/>
      <c r="BA366" s="62"/>
      <c r="BB366" s="62"/>
      <c r="BC366" s="46">
        <f>'Filter-old'!K465</f>
        <v>0</v>
      </c>
      <c r="BD366" s="62">
        <f>'Filter-new'!K465</f>
        <v>0</v>
      </c>
      <c r="BE366" s="62"/>
      <c r="BF366" s="62"/>
      <c r="BG366" s="46">
        <f>'Filter-old'!M465</f>
        <v>0</v>
      </c>
      <c r="BH366" s="62"/>
      <c r="BI366" s="62"/>
      <c r="BJ366" s="62">
        <f>'Filter-new'!M465</f>
        <v>0</v>
      </c>
      <c r="BK366" s="62"/>
      <c r="BL366" s="62"/>
      <c r="BM366" s="62"/>
      <c r="BN366" s="406">
        <f>'Filter-new'!N465</f>
        <v>0</v>
      </c>
      <c r="BO366" s="62"/>
      <c r="BP366" s="62"/>
      <c r="BQ366" s="46">
        <f>'Filter-old'!O465</f>
        <v>0</v>
      </c>
      <c r="BR366" s="62">
        <f>'Filter-new'!O465</f>
        <v>0</v>
      </c>
      <c r="BS366" s="62"/>
      <c r="BT366" s="62"/>
      <c r="BU366" s="46">
        <f>'Filter-old'!Q465</f>
        <v>3.6964353149616227</v>
      </c>
      <c r="BV366" s="62">
        <f>'Filter-new'!Q465</f>
        <v>4.0585620510081455</v>
      </c>
      <c r="BW366" s="62"/>
      <c r="BX366" s="62"/>
      <c r="BY366" s="62"/>
      <c r="BZ366" s="62"/>
      <c r="CA366" s="46">
        <f>'Filter-old'!R465</f>
        <v>0</v>
      </c>
      <c r="CB366" s="62">
        <f>'Filter-new'!R465</f>
        <v>0</v>
      </c>
      <c r="CC366" s="57"/>
      <c r="CD366" s="58"/>
      <c r="CE366" s="57"/>
      <c r="CF366" s="57"/>
      <c r="CG366" s="169">
        <f t="shared" si="52"/>
        <v>6.6053109900737503</v>
      </c>
    </row>
    <row r="367" spans="1:85" hidden="1" x14ac:dyDescent="0.2">
      <c r="A367">
        <v>0</v>
      </c>
      <c r="B367" s="59">
        <v>39814</v>
      </c>
      <c r="C367" s="59">
        <f>'Filter-new'!C99</f>
        <v>39814</v>
      </c>
      <c r="D367" s="60">
        <f t="shared" si="50"/>
        <v>2009</v>
      </c>
      <c r="E367" s="60"/>
      <c r="F367" s="60"/>
      <c r="G367" s="36">
        <f t="shared" si="51"/>
        <v>-16.645076444392618</v>
      </c>
      <c r="H367" s="36">
        <f t="shared" si="53"/>
        <v>-50.047612994051555</v>
      </c>
      <c r="I367" s="36"/>
      <c r="J367" s="41"/>
      <c r="K367" s="46">
        <f>'Filter-old'!E466</f>
        <v>0</v>
      </c>
      <c r="L367" s="62">
        <f>'Filter-new'!E466</f>
        <v>-9.694203555849306</v>
      </c>
      <c r="M367" s="62"/>
      <c r="N367" s="62"/>
      <c r="O367" s="429"/>
      <c r="P367" s="62"/>
      <c r="Q367" s="46">
        <f>'Filter-old'!H466</f>
        <v>-16.256307519000508</v>
      </c>
      <c r="R367" s="62">
        <f>'Filter-new'!H466</f>
        <v>-39.97356245869134</v>
      </c>
      <c r="S367" s="62"/>
      <c r="T367" s="62"/>
      <c r="U367" s="445"/>
      <c r="V367" s="62"/>
      <c r="W367" s="46">
        <f>'Filter-old'!J466</f>
        <v>0</v>
      </c>
      <c r="X367" s="62">
        <f>'Filter-new'!J466</f>
        <v>0</v>
      </c>
      <c r="Y367" s="62"/>
      <c r="Z367" s="62"/>
      <c r="AA367" s="46">
        <f>'Filter-old'!F466</f>
        <v>0</v>
      </c>
      <c r="AB367" s="62">
        <f>'Filter-new'!F466</f>
        <v>0</v>
      </c>
      <c r="AC367" s="62"/>
      <c r="AD367" s="62"/>
      <c r="AE367" s="46">
        <f>'Filter-old'!P466</f>
        <v>0</v>
      </c>
      <c r="AF367" s="62">
        <f>'Filter-new'!P466</f>
        <v>0</v>
      </c>
      <c r="AG367" s="62"/>
      <c r="AH367" s="62"/>
      <c r="AI367" s="46">
        <f>'Filter-old'!L466</f>
        <v>0</v>
      </c>
      <c r="AJ367" s="62">
        <f>'Filter-new'!L466</f>
        <v>0</v>
      </c>
      <c r="AK367" s="62"/>
      <c r="AL367" s="62"/>
      <c r="AM367" s="62"/>
      <c r="AN367" s="62"/>
      <c r="AO367" s="46">
        <f>'Filter-old'!G466</f>
        <v>0</v>
      </c>
      <c r="AP367" s="62">
        <f>'Filter-new'!G466</f>
        <v>0</v>
      </c>
      <c r="AQ367" s="62"/>
      <c r="AR367" s="62"/>
      <c r="AS367" s="46"/>
      <c r="AT367" s="62"/>
      <c r="AU367" s="62"/>
      <c r="AV367" s="62"/>
      <c r="AW367" s="46">
        <f>'Filter-old'!I466</f>
        <v>0</v>
      </c>
      <c r="AX367" s="62">
        <f>'Filter-new'!I466</f>
        <v>0</v>
      </c>
      <c r="AY367" s="62"/>
      <c r="AZ367" s="62"/>
      <c r="BA367" s="62"/>
      <c r="BB367" s="62"/>
      <c r="BC367" s="46">
        <f>'Filter-old'!K466</f>
        <v>0</v>
      </c>
      <c r="BD367" s="62">
        <f>'Filter-new'!K466</f>
        <v>0</v>
      </c>
      <c r="BE367" s="62"/>
      <c r="BF367" s="62"/>
      <c r="BG367" s="46">
        <f>'Filter-old'!M466</f>
        <v>0</v>
      </c>
      <c r="BH367" s="62"/>
      <c r="BI367" s="62"/>
      <c r="BJ367" s="62">
        <f>'Filter-new'!M466</f>
        <v>0</v>
      </c>
      <c r="BK367" s="62"/>
      <c r="BL367" s="62"/>
      <c r="BM367" s="62"/>
      <c r="BN367" s="406">
        <f>'Filter-new'!N466</f>
        <v>0</v>
      </c>
      <c r="BO367" s="62"/>
      <c r="BP367" s="62"/>
      <c r="BQ367" s="46">
        <f>'Filter-old'!O466</f>
        <v>0</v>
      </c>
      <c r="BR367" s="62">
        <f>'Filter-new'!O466</f>
        <v>0</v>
      </c>
      <c r="BS367" s="62"/>
      <c r="BT367" s="62"/>
      <c r="BU367" s="46">
        <f>'Filter-old'!Q466</f>
        <v>-0.38876892539210928</v>
      </c>
      <c r="BV367" s="62">
        <f>'Filter-new'!Q466</f>
        <v>-0.37984697951090551</v>
      </c>
      <c r="BW367" s="62"/>
      <c r="BX367" s="62"/>
      <c r="BY367" s="62"/>
      <c r="BZ367" s="62"/>
      <c r="CA367" s="46">
        <f>'Filter-old'!R466</f>
        <v>0</v>
      </c>
      <c r="CB367" s="62">
        <f>'Filter-new'!R466</f>
        <v>0</v>
      </c>
      <c r="CC367" s="57"/>
      <c r="CD367" s="58"/>
      <c r="CE367" s="57"/>
      <c r="CF367" s="57"/>
      <c r="CG367" s="169">
        <f t="shared" si="52"/>
        <v>33.402536549658933</v>
      </c>
    </row>
    <row r="368" spans="1:85" hidden="1" x14ac:dyDescent="0.2">
      <c r="A368">
        <v>0</v>
      </c>
      <c r="B368" s="59">
        <v>39845</v>
      </c>
      <c r="C368" s="59">
        <f>'Filter-new'!C100</f>
        <v>39845</v>
      </c>
      <c r="D368" s="60">
        <f t="shared" si="50"/>
        <v>2009</v>
      </c>
      <c r="E368" s="60"/>
      <c r="F368" s="60"/>
      <c r="G368" s="36">
        <f t="shared" si="51"/>
        <v>-16.525197048945223</v>
      </c>
      <c r="H368" s="36">
        <f t="shared" si="53"/>
        <v>-45.61822374077552</v>
      </c>
      <c r="I368" s="36"/>
      <c r="J368" s="41"/>
      <c r="K368" s="46">
        <f>'Filter-old'!E467</f>
        <v>0</v>
      </c>
      <c r="L368" s="62">
        <f>'Filter-new'!E467</f>
        <v>-8.822870833221522</v>
      </c>
      <c r="M368" s="62"/>
      <c r="N368" s="62"/>
      <c r="O368" s="429"/>
      <c r="P368" s="62"/>
      <c r="Q368" s="46">
        <f>'Filter-old'!H467</f>
        <v>-16.149971927804355</v>
      </c>
      <c r="R368" s="62">
        <f>'Filter-new'!H467</f>
        <v>-36.439554541795246</v>
      </c>
      <c r="S368" s="62"/>
      <c r="T368" s="62"/>
      <c r="U368" s="445"/>
      <c r="V368" s="62"/>
      <c r="W368" s="46">
        <f>'Filter-old'!J467</f>
        <v>0</v>
      </c>
      <c r="X368" s="62">
        <f>'Filter-new'!J467</f>
        <v>0</v>
      </c>
      <c r="Y368" s="62"/>
      <c r="Z368" s="62"/>
      <c r="AA368" s="46">
        <f>'Filter-old'!F467</f>
        <v>0</v>
      </c>
      <c r="AB368" s="62">
        <f>'Filter-new'!F467</f>
        <v>0</v>
      </c>
      <c r="AC368" s="62"/>
      <c r="AD368" s="62"/>
      <c r="AE368" s="46">
        <f>'Filter-old'!P467</f>
        <v>0</v>
      </c>
      <c r="AF368" s="62">
        <f>'Filter-new'!P467</f>
        <v>0</v>
      </c>
      <c r="AG368" s="62"/>
      <c r="AH368" s="62"/>
      <c r="AI368" s="46">
        <f>'Filter-old'!L467</f>
        <v>0</v>
      </c>
      <c r="AJ368" s="62">
        <f>'Filter-new'!L467</f>
        <v>0</v>
      </c>
      <c r="AK368" s="62"/>
      <c r="AL368" s="62"/>
      <c r="AM368" s="62"/>
      <c r="AN368" s="62"/>
      <c r="AO368" s="46">
        <f>'Filter-old'!G467</f>
        <v>0</v>
      </c>
      <c r="AP368" s="62">
        <f>'Filter-new'!G467</f>
        <v>0</v>
      </c>
      <c r="AQ368" s="62"/>
      <c r="AR368" s="62"/>
      <c r="AS368" s="46"/>
      <c r="AT368" s="62"/>
      <c r="AU368" s="62"/>
      <c r="AV368" s="62"/>
      <c r="AW368" s="46">
        <f>'Filter-old'!I467</f>
        <v>0</v>
      </c>
      <c r="AX368" s="62">
        <f>'Filter-new'!I467</f>
        <v>0</v>
      </c>
      <c r="AY368" s="62"/>
      <c r="AZ368" s="62"/>
      <c r="BA368" s="62"/>
      <c r="BB368" s="62"/>
      <c r="BC368" s="46">
        <f>'Filter-old'!K467</f>
        <v>0</v>
      </c>
      <c r="BD368" s="62">
        <f>'Filter-new'!K467</f>
        <v>0</v>
      </c>
      <c r="BE368" s="62"/>
      <c r="BF368" s="62"/>
      <c r="BG368" s="46">
        <f>'Filter-old'!M467</f>
        <v>0</v>
      </c>
      <c r="BH368" s="62"/>
      <c r="BI368" s="62"/>
      <c r="BJ368" s="62">
        <f>'Filter-new'!M467</f>
        <v>0</v>
      </c>
      <c r="BK368" s="62"/>
      <c r="BL368" s="62"/>
      <c r="BM368" s="62"/>
      <c r="BN368" s="406">
        <f>'Filter-new'!N467</f>
        <v>0</v>
      </c>
      <c r="BO368" s="62"/>
      <c r="BP368" s="62"/>
      <c r="BQ368" s="46">
        <f>'Filter-old'!O467</f>
        <v>0</v>
      </c>
      <c r="BR368" s="62">
        <f>'Filter-new'!O467</f>
        <v>0</v>
      </c>
      <c r="BS368" s="62"/>
      <c r="BT368" s="62"/>
      <c r="BU368" s="46">
        <f>'Filter-old'!Q467</f>
        <v>-0.37522512114086837</v>
      </c>
      <c r="BV368" s="62">
        <f>'Filter-new'!Q467</f>
        <v>-0.3557983657587549</v>
      </c>
      <c r="BW368" s="62"/>
      <c r="BX368" s="62"/>
      <c r="BY368" s="62"/>
      <c r="BZ368" s="62"/>
      <c r="CA368" s="46">
        <f>'Filter-old'!R467</f>
        <v>0</v>
      </c>
      <c r="CB368" s="62">
        <f>'Filter-new'!R467</f>
        <v>0</v>
      </c>
      <c r="CC368" s="57"/>
      <c r="CD368" s="58"/>
      <c r="CE368" s="57"/>
      <c r="CF368" s="57"/>
      <c r="CG368" s="169">
        <f t="shared" si="52"/>
        <v>29.093026691830296</v>
      </c>
    </row>
    <row r="369" spans="1:85" hidden="1" x14ac:dyDescent="0.2">
      <c r="A369">
        <v>0</v>
      </c>
      <c r="B369" s="59">
        <v>39873</v>
      </c>
      <c r="C369" s="59">
        <f>'Filter-new'!C101</f>
        <v>39873</v>
      </c>
      <c r="D369" s="60">
        <f t="shared" si="50"/>
        <v>2009</v>
      </c>
      <c r="E369" s="60"/>
      <c r="F369" s="60"/>
      <c r="G369" s="36">
        <f t="shared" si="51"/>
        <v>-15.727011097849173</v>
      </c>
      <c r="H369" s="36">
        <f t="shared" si="53"/>
        <v>-49.286383184206876</v>
      </c>
      <c r="I369" s="36"/>
      <c r="J369" s="41"/>
      <c r="K369" s="46">
        <f>'Filter-old'!E468</f>
        <v>0</v>
      </c>
      <c r="L369" s="62">
        <f>'Filter-new'!E468</f>
        <v>-9.5120472626164343</v>
      </c>
      <c r="M369" s="62"/>
      <c r="N369" s="62"/>
      <c r="O369" s="429"/>
      <c r="P369" s="62"/>
      <c r="Q369" s="46">
        <f>'Filter-old'!H468</f>
        <v>-15.359769347192001</v>
      </c>
      <c r="R369" s="62">
        <f>'Filter-new'!H468</f>
        <v>-39.374280550535246</v>
      </c>
      <c r="S369" s="62"/>
      <c r="T369" s="62"/>
      <c r="U369" s="445"/>
      <c r="V369" s="62"/>
      <c r="W369" s="46">
        <f>'Filter-old'!J468</f>
        <v>0</v>
      </c>
      <c r="X369" s="62">
        <f>'Filter-new'!J468</f>
        <v>0</v>
      </c>
      <c r="Y369" s="62"/>
      <c r="Z369" s="62"/>
      <c r="AA369" s="46">
        <f>'Filter-old'!F468</f>
        <v>0</v>
      </c>
      <c r="AB369" s="62">
        <f>'Filter-new'!F468</f>
        <v>0</v>
      </c>
      <c r="AC369" s="62"/>
      <c r="AD369" s="62"/>
      <c r="AE369" s="46">
        <f>'Filter-old'!P468</f>
        <v>0</v>
      </c>
      <c r="AF369" s="62">
        <f>'Filter-new'!P468</f>
        <v>0</v>
      </c>
      <c r="AG369" s="62"/>
      <c r="AH369" s="62"/>
      <c r="AI369" s="46">
        <f>'Filter-old'!L468</f>
        <v>0</v>
      </c>
      <c r="AJ369" s="62">
        <f>'Filter-new'!L468</f>
        <v>0</v>
      </c>
      <c r="AK369" s="62"/>
      <c r="AL369" s="62"/>
      <c r="AM369" s="62"/>
      <c r="AN369" s="62"/>
      <c r="AO369" s="46">
        <f>'Filter-old'!G468</f>
        <v>0</v>
      </c>
      <c r="AP369" s="62">
        <f>'Filter-new'!G468</f>
        <v>0</v>
      </c>
      <c r="AQ369" s="62"/>
      <c r="AR369" s="62"/>
      <c r="AS369" s="46"/>
      <c r="AT369" s="62"/>
      <c r="AU369" s="62"/>
      <c r="AV369" s="62"/>
      <c r="AW369" s="46">
        <f>'Filter-old'!I468</f>
        <v>0</v>
      </c>
      <c r="AX369" s="62">
        <f>'Filter-new'!I468</f>
        <v>0</v>
      </c>
      <c r="AY369" s="62"/>
      <c r="AZ369" s="62"/>
      <c r="BA369" s="62"/>
      <c r="BB369" s="62"/>
      <c r="BC369" s="46">
        <f>'Filter-old'!K468</f>
        <v>0</v>
      </c>
      <c r="BD369" s="62">
        <f>'Filter-new'!K468</f>
        <v>0</v>
      </c>
      <c r="BE369" s="62"/>
      <c r="BF369" s="62"/>
      <c r="BG369" s="46">
        <f>'Filter-old'!M468</f>
        <v>0</v>
      </c>
      <c r="BH369" s="62"/>
      <c r="BI369" s="62"/>
      <c r="BJ369" s="62">
        <f>'Filter-new'!M468</f>
        <v>0</v>
      </c>
      <c r="BK369" s="62"/>
      <c r="BL369" s="62"/>
      <c r="BM369" s="62"/>
      <c r="BN369" s="406">
        <f>'Filter-new'!N468</f>
        <v>0</v>
      </c>
      <c r="BO369" s="62"/>
      <c r="BP369" s="62"/>
      <c r="BQ369" s="46">
        <f>'Filter-old'!O468</f>
        <v>0</v>
      </c>
      <c r="BR369" s="62">
        <f>'Filter-new'!O468</f>
        <v>0</v>
      </c>
      <c r="BS369" s="62"/>
      <c r="BT369" s="62"/>
      <c r="BU369" s="46">
        <f>'Filter-old'!Q468</f>
        <v>-0.36724175065717202</v>
      </c>
      <c r="BV369" s="62">
        <f>'Filter-new'!Q468</f>
        <v>-0.40005537105519262</v>
      </c>
      <c r="BW369" s="62"/>
      <c r="BX369" s="62"/>
      <c r="BY369" s="62"/>
      <c r="BZ369" s="62"/>
      <c r="CA369" s="46">
        <f>'Filter-old'!R468</f>
        <v>0</v>
      </c>
      <c r="CB369" s="62">
        <f>'Filter-new'!R468</f>
        <v>0</v>
      </c>
      <c r="CC369" s="57"/>
      <c r="CD369" s="58"/>
      <c r="CE369" s="57"/>
      <c r="CF369" s="57"/>
      <c r="CG369" s="169">
        <f t="shared" si="52"/>
        <v>33.559372086357705</v>
      </c>
    </row>
    <row r="370" spans="1:85" hidden="1" x14ac:dyDescent="0.2">
      <c r="A370">
        <v>0</v>
      </c>
      <c r="B370" s="59">
        <v>39904</v>
      </c>
      <c r="C370" s="59">
        <f>'Filter-new'!C102</f>
        <v>39904</v>
      </c>
      <c r="D370" s="60">
        <f t="shared" si="50"/>
        <v>2009</v>
      </c>
      <c r="E370" s="60"/>
      <c r="F370" s="60"/>
      <c r="G370" s="36">
        <f t="shared" si="51"/>
        <v>-16.654576781333272</v>
      </c>
      <c r="H370" s="36">
        <f t="shared" si="53"/>
        <v>-51.015766095266009</v>
      </c>
      <c r="I370" s="36"/>
      <c r="J370" s="41"/>
      <c r="K370" s="46">
        <f>'Filter-old'!E469</f>
        <v>0</v>
      </c>
      <c r="L370" s="62">
        <f>'Filter-new'!E469</f>
        <v>-9.7744390737212363</v>
      </c>
      <c r="M370" s="62"/>
      <c r="N370" s="62"/>
      <c r="O370" s="429"/>
      <c r="P370" s="62"/>
      <c r="Q370" s="46">
        <f>'Filter-old'!H469</f>
        <v>-16.073728475139369</v>
      </c>
      <c r="R370" s="62">
        <f>'Filter-new'!H469</f>
        <v>-40.611812985490253</v>
      </c>
      <c r="S370" s="62"/>
      <c r="T370" s="62"/>
      <c r="U370" s="445"/>
      <c r="V370" s="62"/>
      <c r="W370" s="46">
        <f>'Filter-old'!J469</f>
        <v>0</v>
      </c>
      <c r="X370" s="62">
        <f>'Filter-new'!J469</f>
        <v>0</v>
      </c>
      <c r="Y370" s="62"/>
      <c r="Z370" s="62"/>
      <c r="AA370" s="46">
        <f>'Filter-old'!F469</f>
        <v>0</v>
      </c>
      <c r="AB370" s="62">
        <f>'Filter-new'!F469</f>
        <v>0</v>
      </c>
      <c r="AC370" s="62"/>
      <c r="AD370" s="62"/>
      <c r="AE370" s="46">
        <f>'Filter-old'!P469</f>
        <v>0</v>
      </c>
      <c r="AF370" s="62">
        <f>'Filter-new'!P469</f>
        <v>0</v>
      </c>
      <c r="AG370" s="62"/>
      <c r="AH370" s="62"/>
      <c r="AI370" s="46">
        <f>'Filter-old'!L469</f>
        <v>0</v>
      </c>
      <c r="AJ370" s="62">
        <f>'Filter-new'!L469</f>
        <v>0</v>
      </c>
      <c r="AK370" s="62"/>
      <c r="AL370" s="62"/>
      <c r="AM370" s="62"/>
      <c r="AN370" s="62"/>
      <c r="AO370" s="46">
        <f>'Filter-old'!G469</f>
        <v>0</v>
      </c>
      <c r="AP370" s="62">
        <f>'Filter-new'!G469</f>
        <v>0</v>
      </c>
      <c r="AQ370" s="62"/>
      <c r="AR370" s="62"/>
      <c r="AS370" s="46"/>
      <c r="AT370" s="62"/>
      <c r="AU370" s="62"/>
      <c r="AV370" s="62"/>
      <c r="AW370" s="46">
        <f>'Filter-old'!I469</f>
        <v>0</v>
      </c>
      <c r="AX370" s="62">
        <f>'Filter-new'!I469</f>
        <v>0</v>
      </c>
      <c r="AY370" s="62"/>
      <c r="AZ370" s="62"/>
      <c r="BA370" s="62"/>
      <c r="BB370" s="62"/>
      <c r="BC370" s="46">
        <f>'Filter-old'!K469</f>
        <v>0</v>
      </c>
      <c r="BD370" s="62">
        <f>'Filter-new'!K469</f>
        <v>0</v>
      </c>
      <c r="BE370" s="62"/>
      <c r="BF370" s="62"/>
      <c r="BG370" s="46">
        <f>'Filter-old'!M469</f>
        <v>0</v>
      </c>
      <c r="BH370" s="62"/>
      <c r="BI370" s="62"/>
      <c r="BJ370" s="62">
        <f>'Filter-new'!M469</f>
        <v>0</v>
      </c>
      <c r="BK370" s="62"/>
      <c r="BL370" s="62"/>
      <c r="BM370" s="62"/>
      <c r="BN370" s="406">
        <f>'Filter-new'!N469</f>
        <v>0</v>
      </c>
      <c r="BO370" s="62"/>
      <c r="BP370" s="62"/>
      <c r="BQ370" s="46">
        <f>'Filter-old'!O469</f>
        <v>0</v>
      </c>
      <c r="BR370" s="62">
        <f>'Filter-new'!O469</f>
        <v>0</v>
      </c>
      <c r="BS370" s="62"/>
      <c r="BT370" s="62"/>
      <c r="BU370" s="46">
        <f>'Filter-old'!Q469</f>
        <v>-0.58084830619390282</v>
      </c>
      <c r="BV370" s="62">
        <f>'Filter-new'!Q469</f>
        <v>-0.6295140360545215</v>
      </c>
      <c r="BW370" s="62"/>
      <c r="BX370" s="62"/>
      <c r="BY370" s="62"/>
      <c r="BZ370" s="62"/>
      <c r="CA370" s="46">
        <f>'Filter-old'!R469</f>
        <v>0</v>
      </c>
      <c r="CB370" s="62">
        <f>'Filter-new'!R469</f>
        <v>0</v>
      </c>
      <c r="CC370" s="57"/>
      <c r="CD370" s="58"/>
      <c r="CE370" s="57"/>
      <c r="CF370" s="57"/>
      <c r="CG370" s="169">
        <f t="shared" si="52"/>
        <v>34.361189313932741</v>
      </c>
    </row>
    <row r="371" spans="1:85" hidden="1" x14ac:dyDescent="0.2">
      <c r="A371">
        <v>0</v>
      </c>
      <c r="B371" s="59">
        <v>39934</v>
      </c>
      <c r="C371" s="59">
        <f>'Filter-new'!C103</f>
        <v>39934</v>
      </c>
      <c r="D371" s="60">
        <f t="shared" si="50"/>
        <v>2009</v>
      </c>
      <c r="E371" s="60"/>
      <c r="F371" s="60"/>
      <c r="G371" s="36">
        <f t="shared" si="51"/>
        <v>-15.473687038982783</v>
      </c>
      <c r="H371" s="36">
        <f t="shared" si="53"/>
        <v>-53.495021276089837</v>
      </c>
      <c r="I371" s="36"/>
      <c r="J371" s="41"/>
      <c r="K371" s="46">
        <f>'Filter-old'!E470</f>
        <v>0</v>
      </c>
      <c r="L371" s="62">
        <f>'Filter-new'!E470</f>
        <v>-10.137311158080141</v>
      </c>
      <c r="M371" s="62"/>
      <c r="N371" s="62"/>
      <c r="O371" s="429"/>
      <c r="P371" s="62"/>
      <c r="Q371" s="46">
        <f>'Filter-old'!H470</f>
        <v>-14.933427094812656</v>
      </c>
      <c r="R371" s="62">
        <f>'Filter-new'!H470</f>
        <v>-42.723029502421845</v>
      </c>
      <c r="S371" s="62"/>
      <c r="T371" s="62"/>
      <c r="U371" s="445"/>
      <c r="V371" s="62"/>
      <c r="W371" s="46">
        <f>'Filter-old'!J470</f>
        <v>0</v>
      </c>
      <c r="X371" s="62">
        <f>'Filter-new'!J470</f>
        <v>0</v>
      </c>
      <c r="Y371" s="62"/>
      <c r="Z371" s="62"/>
      <c r="AA371" s="46">
        <f>'Filter-old'!F470</f>
        <v>0</v>
      </c>
      <c r="AB371" s="62">
        <f>'Filter-new'!F470</f>
        <v>0</v>
      </c>
      <c r="AC371" s="62"/>
      <c r="AD371" s="62"/>
      <c r="AE371" s="46">
        <f>'Filter-old'!P470</f>
        <v>0</v>
      </c>
      <c r="AF371" s="62">
        <f>'Filter-new'!P470</f>
        <v>0</v>
      </c>
      <c r="AG371" s="62"/>
      <c r="AH371" s="62"/>
      <c r="AI371" s="46">
        <f>'Filter-old'!L470</f>
        <v>0</v>
      </c>
      <c r="AJ371" s="62">
        <f>'Filter-new'!L470</f>
        <v>0</v>
      </c>
      <c r="AK371" s="62"/>
      <c r="AL371" s="62"/>
      <c r="AM371" s="62"/>
      <c r="AN371" s="62"/>
      <c r="AO371" s="46">
        <f>'Filter-old'!G470</f>
        <v>0</v>
      </c>
      <c r="AP371" s="62">
        <f>'Filter-new'!G470</f>
        <v>0</v>
      </c>
      <c r="AQ371" s="62"/>
      <c r="AR371" s="62"/>
      <c r="AS371" s="46"/>
      <c r="AT371" s="62"/>
      <c r="AU371" s="62"/>
      <c r="AV371" s="62"/>
      <c r="AW371" s="46">
        <f>'Filter-old'!I470</f>
        <v>0</v>
      </c>
      <c r="AX371" s="62">
        <f>'Filter-new'!I470</f>
        <v>0</v>
      </c>
      <c r="AY371" s="62"/>
      <c r="AZ371" s="62"/>
      <c r="BA371" s="62"/>
      <c r="BB371" s="62"/>
      <c r="BC371" s="46">
        <f>'Filter-old'!K470</f>
        <v>0</v>
      </c>
      <c r="BD371" s="62">
        <f>'Filter-new'!K470</f>
        <v>0</v>
      </c>
      <c r="BE371" s="62"/>
      <c r="BF371" s="62"/>
      <c r="BG371" s="46">
        <f>'Filter-old'!M470</f>
        <v>0</v>
      </c>
      <c r="BH371" s="62"/>
      <c r="BI371" s="62"/>
      <c r="BJ371" s="62">
        <f>'Filter-new'!M470</f>
        <v>0</v>
      </c>
      <c r="BK371" s="62"/>
      <c r="BL371" s="62"/>
      <c r="BM371" s="62"/>
      <c r="BN371" s="406">
        <f>'Filter-new'!N470</f>
        <v>0</v>
      </c>
      <c r="BO371" s="62"/>
      <c r="BP371" s="62"/>
      <c r="BQ371" s="46">
        <f>'Filter-old'!O470</f>
        <v>0</v>
      </c>
      <c r="BR371" s="62">
        <f>'Filter-new'!O470</f>
        <v>0</v>
      </c>
      <c r="BS371" s="62"/>
      <c r="BT371" s="62"/>
      <c r="BU371" s="46">
        <f>'Filter-old'!Q470</f>
        <v>-0.5402599441701279</v>
      </c>
      <c r="BV371" s="62">
        <f>'Filter-new'!Q470</f>
        <v>-0.63468061558784672</v>
      </c>
      <c r="BW371" s="62"/>
      <c r="BX371" s="62"/>
      <c r="BY371" s="62"/>
      <c r="BZ371" s="62"/>
      <c r="CA371" s="46">
        <f>'Filter-old'!R470</f>
        <v>0</v>
      </c>
      <c r="CB371" s="62">
        <f>'Filter-new'!R470</f>
        <v>0</v>
      </c>
      <c r="CC371" s="57"/>
      <c r="CD371" s="58"/>
      <c r="CE371" s="57"/>
      <c r="CF371" s="57"/>
      <c r="CG371" s="169">
        <f t="shared" si="52"/>
        <v>38.021334237107055</v>
      </c>
    </row>
    <row r="372" spans="1:85" hidden="1" x14ac:dyDescent="0.2">
      <c r="A372">
        <v>0</v>
      </c>
      <c r="B372" s="59">
        <v>39965</v>
      </c>
      <c r="C372" s="59">
        <f>'Filter-new'!C104</f>
        <v>39965</v>
      </c>
      <c r="D372" s="60">
        <f t="shared" si="50"/>
        <v>2009</v>
      </c>
      <c r="E372" s="60"/>
      <c r="F372" s="60"/>
      <c r="G372" s="36">
        <f t="shared" ref="G372:G390" si="54">SUM(K372,AA372,AO372,Q372,AW372,W372,BC372,AI372,BG372,BQ372,AE372,BU372,CA372)</f>
        <v>-16.053578707432663</v>
      </c>
      <c r="H372" s="36">
        <f t="shared" si="53"/>
        <v>-70.011868949585931</v>
      </c>
      <c r="I372" s="36"/>
      <c r="J372" s="41"/>
      <c r="K372" s="46">
        <f>'Filter-old'!E471</f>
        <v>0</v>
      </c>
      <c r="L372" s="62">
        <f>'Filter-new'!E471</f>
        <v>-13.115934912102279</v>
      </c>
      <c r="M372" s="62"/>
      <c r="N372" s="62"/>
      <c r="O372" s="429"/>
      <c r="P372" s="62"/>
      <c r="Q372" s="46">
        <f>'Filter-old'!H471</f>
        <v>-15.158519392542047</v>
      </c>
      <c r="R372" s="62">
        <f>'Filter-new'!H471</f>
        <v>-55.768705506319911</v>
      </c>
      <c r="S372" s="62"/>
      <c r="T372" s="62"/>
      <c r="U372" s="445"/>
      <c r="V372" s="62"/>
      <c r="W372" s="46">
        <f>'Filter-old'!J471</f>
        <v>0</v>
      </c>
      <c r="X372" s="62">
        <f>'Filter-new'!J471</f>
        <v>0</v>
      </c>
      <c r="Y372" s="62"/>
      <c r="Z372" s="62"/>
      <c r="AA372" s="46">
        <f>'Filter-old'!F471</f>
        <v>0</v>
      </c>
      <c r="AB372" s="62">
        <f>'Filter-new'!F471</f>
        <v>0</v>
      </c>
      <c r="AC372" s="62"/>
      <c r="AD372" s="62"/>
      <c r="AE372" s="46">
        <f>'Filter-old'!P471</f>
        <v>0</v>
      </c>
      <c r="AF372" s="62">
        <f>'Filter-new'!P471</f>
        <v>0</v>
      </c>
      <c r="AG372" s="62"/>
      <c r="AH372" s="62"/>
      <c r="AI372" s="46">
        <f>'Filter-old'!L471</f>
        <v>0</v>
      </c>
      <c r="AJ372" s="62">
        <f>'Filter-new'!L471</f>
        <v>0</v>
      </c>
      <c r="AK372" s="62"/>
      <c r="AL372" s="62"/>
      <c r="AM372" s="62"/>
      <c r="AN372" s="62"/>
      <c r="AO372" s="46">
        <f>'Filter-old'!G471</f>
        <v>0</v>
      </c>
      <c r="AP372" s="62">
        <f>'Filter-new'!G471</f>
        <v>0</v>
      </c>
      <c r="AQ372" s="62"/>
      <c r="AR372" s="62"/>
      <c r="AS372" s="46"/>
      <c r="AT372" s="62"/>
      <c r="AU372" s="62"/>
      <c r="AV372" s="62"/>
      <c r="AW372" s="46">
        <f>'Filter-old'!I471</f>
        <v>0</v>
      </c>
      <c r="AX372" s="62">
        <f>'Filter-new'!I471</f>
        <v>0</v>
      </c>
      <c r="AY372" s="62"/>
      <c r="AZ372" s="62"/>
      <c r="BA372" s="62"/>
      <c r="BB372" s="62"/>
      <c r="BC372" s="46">
        <f>'Filter-old'!K471</f>
        <v>0</v>
      </c>
      <c r="BD372" s="62">
        <f>'Filter-new'!K471</f>
        <v>0</v>
      </c>
      <c r="BE372" s="62"/>
      <c r="BF372" s="62"/>
      <c r="BG372" s="46">
        <f>'Filter-old'!M471</f>
        <v>0</v>
      </c>
      <c r="BH372" s="62"/>
      <c r="BI372" s="62"/>
      <c r="BJ372" s="62">
        <f>'Filter-new'!M471</f>
        <v>0</v>
      </c>
      <c r="BK372" s="62"/>
      <c r="BL372" s="62"/>
      <c r="BM372" s="62"/>
      <c r="BN372" s="406">
        <f>'Filter-new'!N471</f>
        <v>0</v>
      </c>
      <c r="BO372" s="62"/>
      <c r="BP372" s="62"/>
      <c r="BQ372" s="46">
        <f>'Filter-old'!O471</f>
        <v>0</v>
      </c>
      <c r="BR372" s="62">
        <f>'Filter-new'!O471</f>
        <v>0</v>
      </c>
      <c r="BS372" s="62"/>
      <c r="BT372" s="62"/>
      <c r="BU372" s="46">
        <f>'Filter-old'!Q471</f>
        <v>-0.8950593148906173</v>
      </c>
      <c r="BV372" s="62">
        <f>'Filter-new'!Q471</f>
        <v>-1.1272285311637369</v>
      </c>
      <c r="BW372" s="62"/>
      <c r="BX372" s="62"/>
      <c r="BY372" s="62"/>
      <c r="BZ372" s="62"/>
      <c r="CA372" s="46">
        <f>'Filter-old'!R471</f>
        <v>0</v>
      </c>
      <c r="CB372" s="62">
        <f>'Filter-new'!R471</f>
        <v>0</v>
      </c>
      <c r="CC372" s="57"/>
      <c r="CD372" s="58"/>
      <c r="CE372" s="57"/>
      <c r="CF372" s="57"/>
      <c r="CG372" s="169">
        <f t="shared" ref="CG372:CG390" si="55">G372-H372</f>
        <v>53.958290242153268</v>
      </c>
    </row>
    <row r="373" spans="1:85" hidden="1" x14ac:dyDescent="0.2">
      <c r="A373">
        <v>0</v>
      </c>
      <c r="B373" s="59">
        <v>39995</v>
      </c>
      <c r="C373" s="59">
        <f>'Filter-new'!C105</f>
        <v>39995</v>
      </c>
      <c r="D373" s="60">
        <f t="shared" si="50"/>
        <v>2009</v>
      </c>
      <c r="E373" s="60"/>
      <c r="F373" s="60"/>
      <c r="G373" s="36">
        <f t="shared" si="54"/>
        <v>-18.376017202431413</v>
      </c>
      <c r="H373" s="36">
        <f t="shared" si="53"/>
        <v>-97.620749701278186</v>
      </c>
      <c r="I373" s="36"/>
      <c r="J373" s="41"/>
      <c r="K373" s="46">
        <f>'Filter-old'!E472</f>
        <v>0</v>
      </c>
      <c r="L373" s="62">
        <f>'Filter-new'!E472</f>
        <v>-18.447634664656043</v>
      </c>
      <c r="M373" s="62"/>
      <c r="N373" s="62"/>
      <c r="O373" s="429"/>
      <c r="P373" s="62"/>
      <c r="Q373" s="46">
        <f>'Filter-old'!H472</f>
        <v>-18.376017202431413</v>
      </c>
      <c r="R373" s="62">
        <f>'Filter-new'!H472</f>
        <v>-79.17311503662215</v>
      </c>
      <c r="S373" s="62"/>
      <c r="T373" s="62"/>
      <c r="U373" s="445"/>
      <c r="V373" s="62"/>
      <c r="W373" s="46">
        <f>'Filter-old'!J472</f>
        <v>0</v>
      </c>
      <c r="X373" s="62">
        <f>'Filter-new'!J472</f>
        <v>0</v>
      </c>
      <c r="Y373" s="62"/>
      <c r="Z373" s="62"/>
      <c r="AA373" s="46">
        <f>'Filter-old'!F472</f>
        <v>0</v>
      </c>
      <c r="AB373" s="62">
        <f>'Filter-new'!F472</f>
        <v>0</v>
      </c>
      <c r="AC373" s="62"/>
      <c r="AD373" s="62"/>
      <c r="AE373" s="46">
        <f>'Filter-old'!P472</f>
        <v>0</v>
      </c>
      <c r="AF373" s="62">
        <f>'Filter-new'!P472</f>
        <v>0</v>
      </c>
      <c r="AG373" s="62"/>
      <c r="AH373" s="62"/>
      <c r="AI373" s="46">
        <f>'Filter-old'!L472</f>
        <v>0</v>
      </c>
      <c r="AJ373" s="62">
        <f>'Filter-new'!L472</f>
        <v>0</v>
      </c>
      <c r="AK373" s="62"/>
      <c r="AL373" s="62"/>
      <c r="AM373" s="62"/>
      <c r="AN373" s="62"/>
      <c r="AO373" s="46">
        <f>'Filter-old'!G472</f>
        <v>0</v>
      </c>
      <c r="AP373" s="62">
        <f>'Filter-new'!G472</f>
        <v>0</v>
      </c>
      <c r="AQ373" s="62"/>
      <c r="AR373" s="62"/>
      <c r="AS373" s="46"/>
      <c r="AT373" s="62"/>
      <c r="AU373" s="62"/>
      <c r="AV373" s="62"/>
      <c r="AW373" s="46">
        <f>'Filter-old'!I472</f>
        <v>0</v>
      </c>
      <c r="AX373" s="62">
        <f>'Filter-new'!I472</f>
        <v>0</v>
      </c>
      <c r="AY373" s="62"/>
      <c r="AZ373" s="62"/>
      <c r="BA373" s="62"/>
      <c r="BB373" s="62"/>
      <c r="BC373" s="46">
        <f>'Filter-old'!K472</f>
        <v>0</v>
      </c>
      <c r="BD373" s="62">
        <f>'Filter-new'!K472</f>
        <v>0</v>
      </c>
      <c r="BE373" s="62"/>
      <c r="BF373" s="62"/>
      <c r="BG373" s="46">
        <f>'Filter-old'!M472</f>
        <v>0</v>
      </c>
      <c r="BH373" s="62"/>
      <c r="BI373" s="62"/>
      <c r="BJ373" s="62">
        <f>'Filter-new'!M472</f>
        <v>0</v>
      </c>
      <c r="BK373" s="62"/>
      <c r="BL373" s="62"/>
      <c r="BM373" s="62"/>
      <c r="BN373" s="406">
        <f>'Filter-new'!N472</f>
        <v>0</v>
      </c>
      <c r="BO373" s="62"/>
      <c r="BP373" s="62"/>
      <c r="BQ373" s="46">
        <f>'Filter-old'!O472</f>
        <v>0</v>
      </c>
      <c r="BR373" s="62">
        <f>'Filter-new'!O472</f>
        <v>0</v>
      </c>
      <c r="BS373" s="62"/>
      <c r="BT373" s="62"/>
      <c r="BU373" s="46">
        <f>'Filter-old'!Q472</f>
        <v>0</v>
      </c>
      <c r="BV373" s="62">
        <f>'Filter-new'!Q472</f>
        <v>0</v>
      </c>
      <c r="BW373" s="62"/>
      <c r="BX373" s="62"/>
      <c r="BY373" s="62"/>
      <c r="BZ373" s="62"/>
      <c r="CA373" s="46">
        <f>'Filter-old'!R472</f>
        <v>0</v>
      </c>
      <c r="CB373" s="62">
        <f>'Filter-new'!R472</f>
        <v>0</v>
      </c>
      <c r="CC373" s="57"/>
      <c r="CD373" s="58"/>
      <c r="CE373" s="57"/>
      <c r="CF373" s="57"/>
      <c r="CG373" s="169">
        <f t="shared" si="55"/>
        <v>79.244732498846773</v>
      </c>
    </row>
    <row r="374" spans="1:85" hidden="1" x14ac:dyDescent="0.2">
      <c r="A374">
        <v>0</v>
      </c>
      <c r="B374" s="59">
        <v>40026</v>
      </c>
      <c r="C374" s="59">
        <f>'Filter-new'!C106</f>
        <v>40026</v>
      </c>
      <c r="D374" s="60">
        <f t="shared" si="50"/>
        <v>2009</v>
      </c>
      <c r="E374" s="60"/>
      <c r="F374" s="60"/>
      <c r="G374" s="36">
        <f t="shared" si="54"/>
        <v>-16.593952755811742</v>
      </c>
      <c r="H374" s="36">
        <f t="shared" si="53"/>
        <v>-86.616213091012355</v>
      </c>
      <c r="I374" s="36"/>
      <c r="J374" s="41"/>
      <c r="K374" s="46">
        <f>'Filter-old'!E473</f>
        <v>0</v>
      </c>
      <c r="L374" s="62">
        <f>'Filter-new'!E473</f>
        <v>-16.30810575039046</v>
      </c>
      <c r="M374" s="62"/>
      <c r="N374" s="62"/>
      <c r="O374" s="429"/>
      <c r="P374" s="62"/>
      <c r="Q374" s="46">
        <f>'Filter-old'!H473</f>
        <v>-16.593952755811742</v>
      </c>
      <c r="R374" s="62">
        <f>'Filter-new'!H473</f>
        <v>-70.308107340621888</v>
      </c>
      <c r="S374" s="62"/>
      <c r="T374" s="62"/>
      <c r="U374" s="445"/>
      <c r="V374" s="62"/>
      <c r="W374" s="46">
        <f>'Filter-old'!J473</f>
        <v>0</v>
      </c>
      <c r="X374" s="62">
        <f>'Filter-new'!J473</f>
        <v>0</v>
      </c>
      <c r="Y374" s="62"/>
      <c r="Z374" s="62"/>
      <c r="AA374" s="46">
        <f>'Filter-old'!F473</f>
        <v>0</v>
      </c>
      <c r="AB374" s="62">
        <f>'Filter-new'!F473</f>
        <v>0</v>
      </c>
      <c r="AC374" s="62"/>
      <c r="AD374" s="62"/>
      <c r="AE374" s="46">
        <f>'Filter-old'!P473</f>
        <v>0</v>
      </c>
      <c r="AF374" s="62">
        <f>'Filter-new'!P473</f>
        <v>0</v>
      </c>
      <c r="AG374" s="62"/>
      <c r="AH374" s="62"/>
      <c r="AI374" s="46">
        <f>'Filter-old'!L473</f>
        <v>0</v>
      </c>
      <c r="AJ374" s="62">
        <f>'Filter-new'!L473</f>
        <v>0</v>
      </c>
      <c r="AK374" s="62"/>
      <c r="AL374" s="62"/>
      <c r="AM374" s="62"/>
      <c r="AN374" s="62"/>
      <c r="AO374" s="46">
        <f>'Filter-old'!G473</f>
        <v>0</v>
      </c>
      <c r="AP374" s="62">
        <f>'Filter-new'!G473</f>
        <v>0</v>
      </c>
      <c r="AQ374" s="62"/>
      <c r="AR374" s="62"/>
      <c r="AS374" s="46"/>
      <c r="AT374" s="62"/>
      <c r="AU374" s="62"/>
      <c r="AV374" s="62"/>
      <c r="AW374" s="46">
        <f>'Filter-old'!I473</f>
        <v>0</v>
      </c>
      <c r="AX374" s="62">
        <f>'Filter-new'!I473</f>
        <v>0</v>
      </c>
      <c r="AY374" s="62"/>
      <c r="AZ374" s="62"/>
      <c r="BA374" s="62"/>
      <c r="BB374" s="62"/>
      <c r="BC374" s="46">
        <f>'Filter-old'!K473</f>
        <v>0</v>
      </c>
      <c r="BD374" s="62">
        <f>'Filter-new'!K473</f>
        <v>0</v>
      </c>
      <c r="BE374" s="62"/>
      <c r="BF374" s="62"/>
      <c r="BG374" s="46">
        <f>'Filter-old'!M473</f>
        <v>0</v>
      </c>
      <c r="BH374" s="62"/>
      <c r="BI374" s="62"/>
      <c r="BJ374" s="62">
        <f>'Filter-new'!M473</f>
        <v>0</v>
      </c>
      <c r="BK374" s="62"/>
      <c r="BL374" s="62"/>
      <c r="BM374" s="62"/>
      <c r="BN374" s="406">
        <f>'Filter-new'!N473</f>
        <v>0</v>
      </c>
      <c r="BO374" s="62"/>
      <c r="BP374" s="62"/>
      <c r="BQ374" s="46">
        <f>'Filter-old'!O473</f>
        <v>0</v>
      </c>
      <c r="BR374" s="62">
        <f>'Filter-new'!O473</f>
        <v>0</v>
      </c>
      <c r="BS374" s="62"/>
      <c r="BT374" s="62"/>
      <c r="BU374" s="46">
        <f>'Filter-old'!Q473</f>
        <v>0</v>
      </c>
      <c r="BV374" s="62">
        <f>'Filter-new'!Q473</f>
        <v>0</v>
      </c>
      <c r="BW374" s="62"/>
      <c r="BX374" s="62"/>
      <c r="BY374" s="62"/>
      <c r="BZ374" s="62"/>
      <c r="CA374" s="46">
        <f>'Filter-old'!R473</f>
        <v>0</v>
      </c>
      <c r="CB374" s="62">
        <f>'Filter-new'!R473</f>
        <v>0</v>
      </c>
      <c r="CC374" s="57"/>
      <c r="CD374" s="58"/>
      <c r="CE374" s="57"/>
      <c r="CF374" s="57"/>
      <c r="CG374" s="169">
        <f t="shared" si="55"/>
        <v>70.022260335200613</v>
      </c>
    </row>
    <row r="375" spans="1:85" hidden="1" x14ac:dyDescent="0.2">
      <c r="A375">
        <v>0</v>
      </c>
      <c r="B375" s="59">
        <v>40057</v>
      </c>
      <c r="C375" s="59">
        <f>'Filter-new'!C107</f>
        <v>40057</v>
      </c>
      <c r="D375" s="60">
        <f t="shared" si="50"/>
        <v>2009</v>
      </c>
      <c r="E375" s="60"/>
      <c r="F375" s="60"/>
      <c r="G375" s="36">
        <f t="shared" si="54"/>
        <v>-12.927100483216536</v>
      </c>
      <c r="H375" s="36">
        <f t="shared" ref="H375:H390" si="56">SUM(L375,AB375,AP375,R375,AX375,X375,BD375,AJ375,BJ375,BR375,AF375,BV375,CB375,BN375)</f>
        <v>-46.987691667855614</v>
      </c>
      <c r="I375" s="36"/>
      <c r="J375" s="41"/>
      <c r="K375" s="46">
        <f>'Filter-old'!E474</f>
        <v>0</v>
      </c>
      <c r="L375" s="62">
        <f>'Filter-new'!E474</f>
        <v>-8.8479285062063067</v>
      </c>
      <c r="M375" s="62"/>
      <c r="N375" s="62"/>
      <c r="O375" s="429"/>
      <c r="P375" s="62"/>
      <c r="Q375" s="46">
        <f>'Filter-old'!H474</f>
        <v>-12.927100483216536</v>
      </c>
      <c r="R375" s="62">
        <f>'Filter-new'!H474</f>
        <v>-38.139763161649306</v>
      </c>
      <c r="S375" s="62"/>
      <c r="T375" s="62"/>
      <c r="U375" s="445"/>
      <c r="V375" s="62"/>
      <c r="W375" s="46">
        <f>'Filter-old'!J474</f>
        <v>0</v>
      </c>
      <c r="X375" s="62">
        <f>'Filter-new'!J474</f>
        <v>0</v>
      </c>
      <c r="Y375" s="62"/>
      <c r="Z375" s="62"/>
      <c r="AA375" s="46">
        <f>'Filter-old'!F474</f>
        <v>0</v>
      </c>
      <c r="AB375" s="62">
        <f>'Filter-new'!F474</f>
        <v>0</v>
      </c>
      <c r="AC375" s="62"/>
      <c r="AD375" s="62"/>
      <c r="AE375" s="46">
        <f>'Filter-old'!P474</f>
        <v>0</v>
      </c>
      <c r="AF375" s="62">
        <f>'Filter-new'!P474</f>
        <v>0</v>
      </c>
      <c r="AG375" s="62"/>
      <c r="AH375" s="62"/>
      <c r="AI375" s="46">
        <f>'Filter-old'!L474</f>
        <v>0</v>
      </c>
      <c r="AJ375" s="62">
        <f>'Filter-new'!L474</f>
        <v>0</v>
      </c>
      <c r="AK375" s="62"/>
      <c r="AL375" s="62"/>
      <c r="AM375" s="62"/>
      <c r="AN375" s="62"/>
      <c r="AO375" s="46">
        <f>'Filter-old'!G474</f>
        <v>0</v>
      </c>
      <c r="AP375" s="62">
        <f>'Filter-new'!G474</f>
        <v>0</v>
      </c>
      <c r="AQ375" s="62"/>
      <c r="AR375" s="62"/>
      <c r="AS375" s="46"/>
      <c r="AT375" s="62"/>
      <c r="AU375" s="62"/>
      <c r="AV375" s="62"/>
      <c r="AW375" s="46">
        <f>'Filter-old'!I474</f>
        <v>0</v>
      </c>
      <c r="AX375" s="62">
        <f>'Filter-new'!I474</f>
        <v>0</v>
      </c>
      <c r="AY375" s="62"/>
      <c r="AZ375" s="62"/>
      <c r="BA375" s="62"/>
      <c r="BB375" s="62"/>
      <c r="BC375" s="46">
        <f>'Filter-old'!K474</f>
        <v>0</v>
      </c>
      <c r="BD375" s="62">
        <f>'Filter-new'!K474</f>
        <v>0</v>
      </c>
      <c r="BE375" s="62"/>
      <c r="BF375" s="62"/>
      <c r="BG375" s="46">
        <f>'Filter-old'!M474</f>
        <v>0</v>
      </c>
      <c r="BH375" s="62"/>
      <c r="BI375" s="62"/>
      <c r="BJ375" s="62">
        <f>'Filter-new'!M474</f>
        <v>0</v>
      </c>
      <c r="BK375" s="62"/>
      <c r="BL375" s="62"/>
      <c r="BM375" s="62"/>
      <c r="BN375" s="406">
        <f>'Filter-new'!N474</f>
        <v>0</v>
      </c>
      <c r="BO375" s="62"/>
      <c r="BP375" s="62"/>
      <c r="BQ375" s="46">
        <f>'Filter-old'!O474</f>
        <v>0</v>
      </c>
      <c r="BR375" s="62">
        <f>'Filter-new'!O474</f>
        <v>0</v>
      </c>
      <c r="BS375" s="62"/>
      <c r="BT375" s="62"/>
      <c r="BU375" s="46">
        <f>'Filter-old'!Q474</f>
        <v>0</v>
      </c>
      <c r="BV375" s="62">
        <f>'Filter-new'!Q474</f>
        <v>0</v>
      </c>
      <c r="BW375" s="62"/>
      <c r="BX375" s="62"/>
      <c r="BY375" s="62"/>
      <c r="BZ375" s="62"/>
      <c r="CA375" s="46">
        <f>'Filter-old'!R474</f>
        <v>0</v>
      </c>
      <c r="CB375" s="62">
        <f>'Filter-new'!R474</f>
        <v>0</v>
      </c>
      <c r="CC375" s="57"/>
      <c r="CD375" s="58"/>
      <c r="CE375" s="57"/>
      <c r="CF375" s="57"/>
      <c r="CG375" s="169">
        <f t="shared" si="55"/>
        <v>34.06059118463908</v>
      </c>
    </row>
    <row r="376" spans="1:85" hidden="1" x14ac:dyDescent="0.2">
      <c r="A376">
        <v>0</v>
      </c>
      <c r="B376" s="59">
        <v>40087</v>
      </c>
      <c r="C376" s="59">
        <f>'Filter-new'!C108</f>
        <v>40087</v>
      </c>
      <c r="D376" s="60">
        <f t="shared" si="50"/>
        <v>2009</v>
      </c>
      <c r="E376" s="60"/>
      <c r="F376" s="60"/>
      <c r="G376" s="36">
        <f t="shared" si="54"/>
        <v>-15.150015852903945</v>
      </c>
      <c r="H376" s="36">
        <f t="shared" si="56"/>
        <v>-51.183833630825887</v>
      </c>
      <c r="I376" s="36"/>
      <c r="J376" s="41"/>
      <c r="K376" s="46">
        <f>'Filter-old'!E475</f>
        <v>0</v>
      </c>
      <c r="L376" s="62">
        <f>'Filter-new'!E475</f>
        <v>-9.5811136988241934</v>
      </c>
      <c r="M376" s="62"/>
      <c r="N376" s="62"/>
      <c r="O376" s="429"/>
      <c r="P376" s="62"/>
      <c r="Q376" s="46">
        <f>'Filter-old'!H475</f>
        <v>-15.150015852903945</v>
      </c>
      <c r="R376" s="62">
        <f>'Filter-new'!H475</f>
        <v>-41.602719932001698</v>
      </c>
      <c r="S376" s="62"/>
      <c r="T376" s="62"/>
      <c r="U376" s="445"/>
      <c r="V376" s="62"/>
      <c r="W376" s="46">
        <f>'Filter-old'!J475</f>
        <v>0</v>
      </c>
      <c r="X376" s="62">
        <f>'Filter-new'!J475</f>
        <v>0</v>
      </c>
      <c r="Y376" s="62"/>
      <c r="Z376" s="62"/>
      <c r="AA376" s="46">
        <f>'Filter-old'!F475</f>
        <v>0</v>
      </c>
      <c r="AB376" s="62">
        <f>'Filter-new'!F475</f>
        <v>0</v>
      </c>
      <c r="AC376" s="62"/>
      <c r="AD376" s="62"/>
      <c r="AE376" s="46">
        <f>'Filter-old'!P475</f>
        <v>0</v>
      </c>
      <c r="AF376" s="62">
        <f>'Filter-new'!P475</f>
        <v>0</v>
      </c>
      <c r="AG376" s="62"/>
      <c r="AH376" s="62"/>
      <c r="AI376" s="46">
        <f>'Filter-old'!L475</f>
        <v>0</v>
      </c>
      <c r="AJ376" s="62">
        <f>'Filter-new'!L475</f>
        <v>0</v>
      </c>
      <c r="AK376" s="62"/>
      <c r="AL376" s="62"/>
      <c r="AM376" s="62"/>
      <c r="AN376" s="62"/>
      <c r="AO376" s="46">
        <f>'Filter-old'!G475</f>
        <v>0</v>
      </c>
      <c r="AP376" s="62">
        <f>'Filter-new'!G475</f>
        <v>0</v>
      </c>
      <c r="AQ376" s="62"/>
      <c r="AR376" s="62"/>
      <c r="AS376" s="46"/>
      <c r="AT376" s="62"/>
      <c r="AU376" s="62"/>
      <c r="AV376" s="62"/>
      <c r="AW376" s="46">
        <f>'Filter-old'!I475</f>
        <v>0</v>
      </c>
      <c r="AX376" s="62">
        <f>'Filter-new'!I475</f>
        <v>0</v>
      </c>
      <c r="AY376" s="62"/>
      <c r="AZ376" s="62"/>
      <c r="BA376" s="62"/>
      <c r="BB376" s="62"/>
      <c r="BC376" s="46">
        <f>'Filter-old'!K475</f>
        <v>0</v>
      </c>
      <c r="BD376" s="62">
        <f>'Filter-new'!K475</f>
        <v>0</v>
      </c>
      <c r="BE376" s="62"/>
      <c r="BF376" s="62"/>
      <c r="BG376" s="46">
        <f>'Filter-old'!M475</f>
        <v>0</v>
      </c>
      <c r="BH376" s="62"/>
      <c r="BI376" s="62"/>
      <c r="BJ376" s="62">
        <f>'Filter-new'!M475</f>
        <v>0</v>
      </c>
      <c r="BK376" s="62"/>
      <c r="BL376" s="62"/>
      <c r="BM376" s="62"/>
      <c r="BN376" s="406">
        <f>'Filter-new'!N475</f>
        <v>0</v>
      </c>
      <c r="BO376" s="62"/>
      <c r="BP376" s="62"/>
      <c r="BQ376" s="46">
        <f>'Filter-old'!O475</f>
        <v>0</v>
      </c>
      <c r="BR376" s="62">
        <f>'Filter-new'!O475</f>
        <v>0</v>
      </c>
      <c r="BS376" s="62"/>
      <c r="BT376" s="62"/>
      <c r="BU376" s="46">
        <f>'Filter-old'!Q475</f>
        <v>0</v>
      </c>
      <c r="BV376" s="62">
        <f>'Filter-new'!Q475</f>
        <v>0</v>
      </c>
      <c r="BW376" s="62"/>
      <c r="BX376" s="62"/>
      <c r="BY376" s="62"/>
      <c r="BZ376" s="62"/>
      <c r="CA376" s="46">
        <f>'Filter-old'!R475</f>
        <v>0</v>
      </c>
      <c r="CB376" s="62">
        <f>'Filter-new'!R475</f>
        <v>0</v>
      </c>
      <c r="CC376" s="57"/>
      <c r="CD376" s="58"/>
      <c r="CE376" s="57"/>
      <c r="CF376" s="57"/>
      <c r="CG376" s="169">
        <f t="shared" si="55"/>
        <v>36.033817777921939</v>
      </c>
    </row>
    <row r="377" spans="1:85" hidden="1" x14ac:dyDescent="0.2">
      <c r="A377">
        <v>0</v>
      </c>
      <c r="B377" s="59">
        <v>40118</v>
      </c>
      <c r="C377" s="59">
        <f>'Filter-new'!C109</f>
        <v>40118</v>
      </c>
      <c r="D377" s="60">
        <f t="shared" si="50"/>
        <v>2009</v>
      </c>
      <c r="E377" s="60"/>
      <c r="F377" s="60"/>
      <c r="G377" s="36">
        <f t="shared" si="54"/>
        <v>-14.648779125347632</v>
      </c>
      <c r="H377" s="36">
        <f t="shared" si="56"/>
        <v>-43.486497156050532</v>
      </c>
      <c r="I377" s="36"/>
      <c r="J377" s="41"/>
      <c r="K377" s="46">
        <f>'Filter-old'!E476</f>
        <v>0</v>
      </c>
      <c r="L377" s="62">
        <f>'Filter-new'!E476</f>
        <v>-8.1139587885372801</v>
      </c>
      <c r="M377" s="62"/>
      <c r="N377" s="62"/>
      <c r="O377" s="429"/>
      <c r="P377" s="62"/>
      <c r="Q377" s="46">
        <f>'Filter-old'!H476</f>
        <v>-14.648779125347632</v>
      </c>
      <c r="R377" s="62">
        <f>'Filter-new'!H476</f>
        <v>-35.372538367513251</v>
      </c>
      <c r="S377" s="62"/>
      <c r="T377" s="62"/>
      <c r="U377" s="445"/>
      <c r="V377" s="62"/>
      <c r="W377" s="46">
        <f>'Filter-old'!J476</f>
        <v>0</v>
      </c>
      <c r="X377" s="62">
        <f>'Filter-new'!J476</f>
        <v>0</v>
      </c>
      <c r="Y377" s="62"/>
      <c r="Z377" s="62"/>
      <c r="AA377" s="46">
        <f>'Filter-old'!F476</f>
        <v>0</v>
      </c>
      <c r="AB377" s="62">
        <f>'Filter-new'!F476</f>
        <v>0</v>
      </c>
      <c r="AC377" s="62"/>
      <c r="AD377" s="62"/>
      <c r="AE377" s="46">
        <f>'Filter-old'!P476</f>
        <v>0</v>
      </c>
      <c r="AF377" s="62">
        <f>'Filter-new'!P476</f>
        <v>0</v>
      </c>
      <c r="AG377" s="62"/>
      <c r="AH377" s="62"/>
      <c r="AI377" s="46">
        <f>'Filter-old'!L476</f>
        <v>0</v>
      </c>
      <c r="AJ377" s="62">
        <f>'Filter-new'!L476</f>
        <v>0</v>
      </c>
      <c r="AK377" s="62"/>
      <c r="AL377" s="62"/>
      <c r="AM377" s="62"/>
      <c r="AN377" s="62"/>
      <c r="AO377" s="46">
        <f>'Filter-old'!G476</f>
        <v>0</v>
      </c>
      <c r="AP377" s="62">
        <f>'Filter-new'!G476</f>
        <v>0</v>
      </c>
      <c r="AQ377" s="62"/>
      <c r="AR377" s="62"/>
      <c r="AS377" s="46"/>
      <c r="AT377" s="62"/>
      <c r="AU377" s="62"/>
      <c r="AV377" s="62"/>
      <c r="AW377" s="46">
        <f>'Filter-old'!I476</f>
        <v>0</v>
      </c>
      <c r="AX377" s="62">
        <f>'Filter-new'!I476</f>
        <v>0</v>
      </c>
      <c r="AY377" s="62"/>
      <c r="AZ377" s="62"/>
      <c r="BA377" s="62"/>
      <c r="BB377" s="62"/>
      <c r="BC377" s="46">
        <f>'Filter-old'!K476</f>
        <v>0</v>
      </c>
      <c r="BD377" s="62">
        <f>'Filter-new'!K476</f>
        <v>0</v>
      </c>
      <c r="BE377" s="62"/>
      <c r="BF377" s="62"/>
      <c r="BG377" s="46">
        <f>'Filter-old'!M476</f>
        <v>0</v>
      </c>
      <c r="BH377" s="62"/>
      <c r="BI377" s="62"/>
      <c r="BJ377" s="62">
        <f>'Filter-new'!M476</f>
        <v>0</v>
      </c>
      <c r="BK377" s="62"/>
      <c r="BL377" s="62"/>
      <c r="BM377" s="62"/>
      <c r="BN377" s="406">
        <f>'Filter-new'!N476</f>
        <v>0</v>
      </c>
      <c r="BO377" s="62"/>
      <c r="BP377" s="62"/>
      <c r="BQ377" s="46">
        <f>'Filter-old'!O476</f>
        <v>0</v>
      </c>
      <c r="BR377" s="62">
        <f>'Filter-new'!O476</f>
        <v>0</v>
      </c>
      <c r="BS377" s="62"/>
      <c r="BT377" s="62"/>
      <c r="BU377" s="46">
        <f>'Filter-old'!Q476</f>
        <v>0</v>
      </c>
      <c r="BV377" s="62">
        <f>'Filter-new'!Q476</f>
        <v>0</v>
      </c>
      <c r="BW377" s="62"/>
      <c r="BX377" s="62"/>
      <c r="BY377" s="62"/>
      <c r="BZ377" s="62"/>
      <c r="CA377" s="46">
        <f>'Filter-old'!R476</f>
        <v>0</v>
      </c>
      <c r="CB377" s="62">
        <f>'Filter-new'!R476</f>
        <v>0</v>
      </c>
      <c r="CC377" s="57"/>
      <c r="CD377" s="58"/>
      <c r="CE377" s="57"/>
      <c r="CF377" s="57"/>
      <c r="CG377" s="169">
        <f t="shared" si="55"/>
        <v>28.837718030702902</v>
      </c>
    </row>
    <row r="378" spans="1:85" hidden="1" x14ac:dyDescent="0.2">
      <c r="A378">
        <v>0</v>
      </c>
      <c r="B378" s="59">
        <v>40148</v>
      </c>
      <c r="C378" s="59">
        <f>'Filter-new'!C110</f>
        <v>40148</v>
      </c>
      <c r="D378" s="60">
        <f t="shared" si="50"/>
        <v>2009</v>
      </c>
      <c r="E378" s="60"/>
      <c r="F378" s="60"/>
      <c r="G378" s="36">
        <f t="shared" si="54"/>
        <v>-15.819594903917777</v>
      </c>
      <c r="H378" s="36">
        <f t="shared" si="56"/>
        <v>-47.868360156883249</v>
      </c>
      <c r="I378" s="36"/>
      <c r="J378" s="41"/>
      <c r="K378" s="46">
        <f>'Filter-old'!E477</f>
        <v>0</v>
      </c>
      <c r="L378" s="62">
        <f>'Filter-new'!E477</f>
        <v>-8.880989258726629</v>
      </c>
      <c r="M378" s="62"/>
      <c r="N378" s="62"/>
      <c r="O378" s="429"/>
      <c r="P378" s="62"/>
      <c r="Q378" s="46">
        <f>'Filter-old'!H477</f>
        <v>-15.819594903917777</v>
      </c>
      <c r="R378" s="62">
        <f>'Filter-new'!H477</f>
        <v>-38.98737089815662</v>
      </c>
      <c r="S378" s="62"/>
      <c r="T378" s="62"/>
      <c r="U378" s="445"/>
      <c r="V378" s="62"/>
      <c r="W378" s="46">
        <f>'Filter-old'!J477</f>
        <v>0</v>
      </c>
      <c r="X378" s="62">
        <f>'Filter-new'!J477</f>
        <v>0</v>
      </c>
      <c r="Y378" s="62"/>
      <c r="Z378" s="62"/>
      <c r="AA378" s="46">
        <f>'Filter-old'!F477</f>
        <v>0</v>
      </c>
      <c r="AB378" s="62">
        <f>'Filter-new'!F477</f>
        <v>0</v>
      </c>
      <c r="AC378" s="62"/>
      <c r="AD378" s="62"/>
      <c r="AE378" s="46">
        <f>'Filter-old'!P477</f>
        <v>0</v>
      </c>
      <c r="AF378" s="62">
        <f>'Filter-new'!P477</f>
        <v>0</v>
      </c>
      <c r="AG378" s="62"/>
      <c r="AH378" s="62"/>
      <c r="AI378" s="46">
        <f>'Filter-old'!L477</f>
        <v>0</v>
      </c>
      <c r="AJ378" s="62">
        <f>'Filter-new'!L477</f>
        <v>0</v>
      </c>
      <c r="AK378" s="62"/>
      <c r="AL378" s="62"/>
      <c r="AM378" s="62"/>
      <c r="AN378" s="62"/>
      <c r="AO378" s="46">
        <f>'Filter-old'!G477</f>
        <v>0</v>
      </c>
      <c r="AP378" s="62">
        <f>'Filter-new'!G477</f>
        <v>0</v>
      </c>
      <c r="AQ378" s="62"/>
      <c r="AR378" s="62"/>
      <c r="AS378" s="46"/>
      <c r="AT378" s="62"/>
      <c r="AU378" s="62"/>
      <c r="AV378" s="62"/>
      <c r="AW378" s="46">
        <f>'Filter-old'!I477</f>
        <v>0</v>
      </c>
      <c r="AX378" s="62">
        <f>'Filter-new'!I477</f>
        <v>0</v>
      </c>
      <c r="AY378" s="62"/>
      <c r="AZ378" s="62"/>
      <c r="BA378" s="62"/>
      <c r="BB378" s="62"/>
      <c r="BC378" s="46">
        <f>'Filter-old'!K477</f>
        <v>0</v>
      </c>
      <c r="BD378" s="62">
        <f>'Filter-new'!K477</f>
        <v>0</v>
      </c>
      <c r="BE378" s="62"/>
      <c r="BF378" s="62"/>
      <c r="BG378" s="46">
        <f>'Filter-old'!M477</f>
        <v>0</v>
      </c>
      <c r="BH378" s="62"/>
      <c r="BI378" s="62"/>
      <c r="BJ378" s="62">
        <f>'Filter-new'!M477</f>
        <v>0</v>
      </c>
      <c r="BK378" s="62"/>
      <c r="BL378" s="62"/>
      <c r="BM378" s="62"/>
      <c r="BN378" s="406">
        <f>'Filter-new'!N477</f>
        <v>0</v>
      </c>
      <c r="BO378" s="62"/>
      <c r="BP378" s="62"/>
      <c r="BQ378" s="46">
        <f>'Filter-old'!O477</f>
        <v>0</v>
      </c>
      <c r="BR378" s="62">
        <f>'Filter-new'!O477</f>
        <v>0</v>
      </c>
      <c r="BS378" s="62"/>
      <c r="BT378" s="62"/>
      <c r="BU378" s="46">
        <f>'Filter-old'!Q477</f>
        <v>0</v>
      </c>
      <c r="BV378" s="62">
        <f>'Filter-new'!Q477</f>
        <v>0</v>
      </c>
      <c r="BW378" s="62"/>
      <c r="BX378" s="62"/>
      <c r="BY378" s="62"/>
      <c r="BZ378" s="62"/>
      <c r="CA378" s="46">
        <f>'Filter-old'!R477</f>
        <v>0</v>
      </c>
      <c r="CB378" s="62">
        <f>'Filter-new'!R477</f>
        <v>0</v>
      </c>
      <c r="CC378" s="57"/>
      <c r="CD378" s="58"/>
      <c r="CE378" s="57"/>
      <c r="CF378" s="57"/>
      <c r="CG378" s="169">
        <f t="shared" si="55"/>
        <v>32.048765252965474</v>
      </c>
    </row>
    <row r="379" spans="1:85" hidden="1" x14ac:dyDescent="0.2">
      <c r="A379">
        <v>0</v>
      </c>
      <c r="B379" s="59">
        <v>40179</v>
      </c>
      <c r="C379" s="59">
        <f>'Filter-new'!C111</f>
        <v>40179</v>
      </c>
      <c r="D379" s="60">
        <f t="shared" si="50"/>
        <v>2010</v>
      </c>
      <c r="E379" s="60"/>
      <c r="F379" s="60"/>
      <c r="G379" s="36">
        <f t="shared" si="54"/>
        <v>-30.837888883470796</v>
      </c>
      <c r="H379" s="36">
        <f t="shared" si="56"/>
        <v>-16.251602801294503</v>
      </c>
      <c r="I379" s="36"/>
      <c r="J379" s="41"/>
      <c r="K379" s="46">
        <f>'Filter-old'!E478</f>
        <v>0</v>
      </c>
      <c r="L379" s="62">
        <f>'Filter-new'!E478</f>
        <v>8.4619247067961165</v>
      </c>
      <c r="M379" s="62"/>
      <c r="N379" s="62"/>
      <c r="O379" s="429"/>
      <c r="P379" s="62"/>
      <c r="Q379" s="46">
        <f>'Filter-old'!H478</f>
        <v>-30.837888883470796</v>
      </c>
      <c r="R379" s="62">
        <f>'Filter-new'!H478</f>
        <v>-24.713527508090618</v>
      </c>
      <c r="S379" s="62"/>
      <c r="T379" s="62"/>
      <c r="U379" s="445"/>
      <c r="V379" s="62"/>
      <c r="W379" s="46">
        <f>'Filter-old'!J478</f>
        <v>0</v>
      </c>
      <c r="X379" s="62">
        <f>'Filter-new'!J478</f>
        <v>0</v>
      </c>
      <c r="Y379" s="62"/>
      <c r="Z379" s="62"/>
      <c r="AA379" s="46">
        <f>'Filter-old'!F478</f>
        <v>0</v>
      </c>
      <c r="AB379" s="62">
        <f>'Filter-new'!F478</f>
        <v>0</v>
      </c>
      <c r="AC379" s="62"/>
      <c r="AD379" s="62"/>
      <c r="AE379" s="46">
        <f>'Filter-old'!P478</f>
        <v>0</v>
      </c>
      <c r="AF379" s="62">
        <f>'Filter-new'!P478</f>
        <v>0</v>
      </c>
      <c r="AG379" s="62"/>
      <c r="AH379" s="62"/>
      <c r="AI379" s="46">
        <f>'Filter-old'!L478</f>
        <v>0</v>
      </c>
      <c r="AJ379" s="62">
        <f>'Filter-new'!L478</f>
        <v>0</v>
      </c>
      <c r="AK379" s="62"/>
      <c r="AL379" s="62"/>
      <c r="AM379" s="62"/>
      <c r="AN379" s="62"/>
      <c r="AO379" s="46">
        <f>'Filter-old'!G478</f>
        <v>0</v>
      </c>
      <c r="AP379" s="62">
        <f>'Filter-new'!G478</f>
        <v>0</v>
      </c>
      <c r="AQ379" s="62"/>
      <c r="AR379" s="62"/>
      <c r="AS379" s="46"/>
      <c r="AT379" s="62"/>
      <c r="AU379" s="62"/>
      <c r="AV379" s="62"/>
      <c r="AW379" s="46">
        <f>'Filter-old'!I478</f>
        <v>0</v>
      </c>
      <c r="AX379" s="62">
        <f>'Filter-new'!I478</f>
        <v>0</v>
      </c>
      <c r="AY379" s="62"/>
      <c r="AZ379" s="62"/>
      <c r="BA379" s="62"/>
      <c r="BB379" s="62"/>
      <c r="BC379" s="46">
        <f>'Filter-old'!K478</f>
        <v>0</v>
      </c>
      <c r="BD379" s="62">
        <f>'Filter-new'!K478</f>
        <v>0</v>
      </c>
      <c r="BE379" s="62"/>
      <c r="BF379" s="62"/>
      <c r="BG379" s="46">
        <f>'Filter-old'!M478</f>
        <v>0</v>
      </c>
      <c r="BH379" s="62"/>
      <c r="BI379" s="62"/>
      <c r="BJ379" s="62">
        <f>'Filter-new'!M478</f>
        <v>0</v>
      </c>
      <c r="BK379" s="62"/>
      <c r="BL379" s="62"/>
      <c r="BM379" s="62"/>
      <c r="BN379" s="406">
        <f>'Filter-new'!N478</f>
        <v>0</v>
      </c>
      <c r="BO379" s="62"/>
      <c r="BP379" s="62"/>
      <c r="BQ379" s="46">
        <f>'Filter-old'!O478</f>
        <v>0</v>
      </c>
      <c r="BR379" s="62">
        <f>'Filter-new'!O478</f>
        <v>0</v>
      </c>
      <c r="BS379" s="62"/>
      <c r="BT379" s="62"/>
      <c r="BU379" s="46">
        <f>'Filter-old'!Q478</f>
        <v>0</v>
      </c>
      <c r="BV379" s="62">
        <f>'Filter-new'!Q478</f>
        <v>0</v>
      </c>
      <c r="BW379" s="62"/>
      <c r="BX379" s="62"/>
      <c r="BY379" s="62"/>
      <c r="BZ379" s="62"/>
      <c r="CA379" s="46">
        <f>'Filter-old'!R478</f>
        <v>0</v>
      </c>
      <c r="CB379" s="62">
        <f>'Filter-new'!R478</f>
        <v>0</v>
      </c>
      <c r="CC379" s="57"/>
      <c r="CD379" s="58"/>
      <c r="CE379" s="57"/>
      <c r="CF379" s="57"/>
      <c r="CG379" s="169">
        <f t="shared" si="55"/>
        <v>-14.586286082176294</v>
      </c>
    </row>
    <row r="380" spans="1:85" hidden="1" x14ac:dyDescent="0.2">
      <c r="A380">
        <v>0</v>
      </c>
      <c r="B380" s="59">
        <v>40210</v>
      </c>
      <c r="C380" s="59">
        <f>'Filter-new'!C112</f>
        <v>40210</v>
      </c>
      <c r="D380" s="60">
        <f t="shared" si="50"/>
        <v>2010</v>
      </c>
      <c r="E380" s="60"/>
      <c r="F380" s="60"/>
      <c r="G380" s="36">
        <f t="shared" si="54"/>
        <v>-32.148616916530727</v>
      </c>
      <c r="H380" s="36">
        <f t="shared" si="56"/>
        <v>-16.218910513595162</v>
      </c>
      <c r="I380" s="36"/>
      <c r="J380" s="41"/>
      <c r="K380" s="46">
        <f>'Filter-old'!E479</f>
        <v>0</v>
      </c>
      <c r="L380" s="62">
        <f>'Filter-new'!E479</f>
        <v>8.3958274346512543</v>
      </c>
      <c r="M380" s="62"/>
      <c r="N380" s="62"/>
      <c r="O380" s="429"/>
      <c r="P380" s="62"/>
      <c r="Q380" s="46">
        <f>'Filter-old'!H479</f>
        <v>-32.148616916530727</v>
      </c>
      <c r="R380" s="62">
        <f>'Filter-new'!H479</f>
        <v>-24.614737948246418</v>
      </c>
      <c r="S380" s="62"/>
      <c r="T380" s="62"/>
      <c r="U380" s="445"/>
      <c r="V380" s="62"/>
      <c r="W380" s="46">
        <f>'Filter-old'!J479</f>
        <v>0</v>
      </c>
      <c r="X380" s="62">
        <f>'Filter-new'!J479</f>
        <v>0</v>
      </c>
      <c r="Y380" s="62"/>
      <c r="Z380" s="62"/>
      <c r="AA380" s="46">
        <f>'Filter-old'!F479</f>
        <v>0</v>
      </c>
      <c r="AB380" s="62">
        <f>'Filter-new'!F479</f>
        <v>0</v>
      </c>
      <c r="AC380" s="62"/>
      <c r="AD380" s="62"/>
      <c r="AE380" s="46">
        <f>'Filter-old'!P479</f>
        <v>0</v>
      </c>
      <c r="AF380" s="62">
        <f>'Filter-new'!P479</f>
        <v>0</v>
      </c>
      <c r="AG380" s="62"/>
      <c r="AH380" s="62"/>
      <c r="AI380" s="46">
        <f>'Filter-old'!L479</f>
        <v>0</v>
      </c>
      <c r="AJ380" s="62">
        <f>'Filter-new'!L479</f>
        <v>0</v>
      </c>
      <c r="AK380" s="62"/>
      <c r="AL380" s="62"/>
      <c r="AM380" s="62"/>
      <c r="AN380" s="62"/>
      <c r="AO380" s="46">
        <f>'Filter-old'!G479</f>
        <v>0</v>
      </c>
      <c r="AP380" s="62">
        <f>'Filter-new'!G479</f>
        <v>0</v>
      </c>
      <c r="AQ380" s="62"/>
      <c r="AR380" s="62"/>
      <c r="AS380" s="46"/>
      <c r="AT380" s="62"/>
      <c r="AU380" s="62"/>
      <c r="AV380" s="62"/>
      <c r="AW380" s="46">
        <f>'Filter-old'!I479</f>
        <v>0</v>
      </c>
      <c r="AX380" s="62">
        <f>'Filter-new'!I479</f>
        <v>0</v>
      </c>
      <c r="AY380" s="62"/>
      <c r="AZ380" s="62"/>
      <c r="BA380" s="62"/>
      <c r="BB380" s="62"/>
      <c r="BC380" s="46">
        <f>'Filter-old'!K479</f>
        <v>0</v>
      </c>
      <c r="BD380" s="62">
        <f>'Filter-new'!K479</f>
        <v>0</v>
      </c>
      <c r="BE380" s="62"/>
      <c r="BF380" s="62"/>
      <c r="BG380" s="46">
        <f>'Filter-old'!M479</f>
        <v>0</v>
      </c>
      <c r="BH380" s="62"/>
      <c r="BI380" s="62"/>
      <c r="BJ380" s="62">
        <f>'Filter-new'!M479</f>
        <v>0</v>
      </c>
      <c r="BK380" s="62"/>
      <c r="BL380" s="62"/>
      <c r="BM380" s="62"/>
      <c r="BN380" s="406">
        <f>'Filter-new'!N479</f>
        <v>0</v>
      </c>
      <c r="BO380" s="62"/>
      <c r="BP380" s="62"/>
      <c r="BQ380" s="46">
        <f>'Filter-old'!O479</f>
        <v>0</v>
      </c>
      <c r="BR380" s="62">
        <f>'Filter-new'!O479</f>
        <v>0</v>
      </c>
      <c r="BS380" s="62"/>
      <c r="BT380" s="62"/>
      <c r="BU380" s="46">
        <f>'Filter-old'!Q479</f>
        <v>0</v>
      </c>
      <c r="BV380" s="62">
        <f>'Filter-new'!Q479</f>
        <v>0</v>
      </c>
      <c r="BW380" s="62"/>
      <c r="BX380" s="62"/>
      <c r="BY380" s="62"/>
      <c r="BZ380" s="62"/>
      <c r="CA380" s="46">
        <f>'Filter-old'!R479</f>
        <v>0</v>
      </c>
      <c r="CB380" s="62">
        <f>'Filter-new'!R479</f>
        <v>0</v>
      </c>
      <c r="CC380" s="57"/>
      <c r="CD380" s="58"/>
      <c r="CE380" s="57"/>
      <c r="CF380" s="57"/>
      <c r="CG380" s="169">
        <f t="shared" si="55"/>
        <v>-15.929706402935565</v>
      </c>
    </row>
    <row r="381" spans="1:85" hidden="1" x14ac:dyDescent="0.2">
      <c r="A381">
        <v>0</v>
      </c>
      <c r="B381" s="59">
        <v>40238</v>
      </c>
      <c r="C381" s="59">
        <f>'Filter-new'!C113</f>
        <v>40238</v>
      </c>
      <c r="D381" s="60">
        <f t="shared" si="50"/>
        <v>2010</v>
      </c>
      <c r="E381" s="60"/>
      <c r="F381" s="60"/>
      <c r="G381" s="36">
        <f t="shared" si="54"/>
        <v>-32.019514964350279</v>
      </c>
      <c r="H381" s="36">
        <f t="shared" si="56"/>
        <v>-18.434600282877739</v>
      </c>
      <c r="I381" s="36"/>
      <c r="J381" s="41"/>
      <c r="K381" s="46">
        <f>'Filter-old'!E480</f>
        <v>0</v>
      </c>
      <c r="L381" s="62">
        <f>'Filter-new'!E480</f>
        <v>9.5019698245614048</v>
      </c>
      <c r="M381" s="62"/>
      <c r="N381" s="62"/>
      <c r="O381" s="429"/>
      <c r="P381" s="62"/>
      <c r="Q381" s="46">
        <f>'Filter-old'!H480</f>
        <v>-32.019514964350279</v>
      </c>
      <c r="R381" s="62">
        <f>'Filter-new'!H480</f>
        <v>-27.936570107439142</v>
      </c>
      <c r="S381" s="62"/>
      <c r="T381" s="62"/>
      <c r="U381" s="445"/>
      <c r="V381" s="62"/>
      <c r="W381" s="46">
        <f>'Filter-old'!J480</f>
        <v>0</v>
      </c>
      <c r="X381" s="62">
        <f>'Filter-new'!J480</f>
        <v>0</v>
      </c>
      <c r="Y381" s="62"/>
      <c r="Z381" s="62"/>
      <c r="AA381" s="46">
        <f>'Filter-old'!F480</f>
        <v>0</v>
      </c>
      <c r="AB381" s="62">
        <f>'Filter-new'!F480</f>
        <v>0</v>
      </c>
      <c r="AC381" s="62"/>
      <c r="AD381" s="62"/>
      <c r="AE381" s="46">
        <f>'Filter-old'!P480</f>
        <v>0</v>
      </c>
      <c r="AF381" s="62">
        <f>'Filter-new'!P480</f>
        <v>0</v>
      </c>
      <c r="AG381" s="62"/>
      <c r="AH381" s="62"/>
      <c r="AI381" s="46">
        <f>'Filter-old'!L480</f>
        <v>0</v>
      </c>
      <c r="AJ381" s="62">
        <f>'Filter-new'!L480</f>
        <v>0</v>
      </c>
      <c r="AK381" s="62"/>
      <c r="AL381" s="62"/>
      <c r="AM381" s="62"/>
      <c r="AN381" s="62"/>
      <c r="AO381" s="46">
        <f>'Filter-old'!G480</f>
        <v>0</v>
      </c>
      <c r="AP381" s="62">
        <f>'Filter-new'!G480</f>
        <v>0</v>
      </c>
      <c r="AQ381" s="62"/>
      <c r="AR381" s="62"/>
      <c r="AS381" s="46"/>
      <c r="AT381" s="62"/>
      <c r="AU381" s="62"/>
      <c r="AV381" s="62"/>
      <c r="AW381" s="46">
        <f>'Filter-old'!I480</f>
        <v>0</v>
      </c>
      <c r="AX381" s="62">
        <f>'Filter-new'!I480</f>
        <v>0</v>
      </c>
      <c r="AY381" s="62"/>
      <c r="AZ381" s="62"/>
      <c r="BA381" s="62"/>
      <c r="BB381" s="62"/>
      <c r="BC381" s="46">
        <f>'Filter-old'!K480</f>
        <v>0</v>
      </c>
      <c r="BD381" s="62">
        <f>'Filter-new'!K480</f>
        <v>0</v>
      </c>
      <c r="BE381" s="62"/>
      <c r="BF381" s="62"/>
      <c r="BG381" s="46">
        <f>'Filter-old'!M480</f>
        <v>0</v>
      </c>
      <c r="BH381" s="62"/>
      <c r="BI381" s="62"/>
      <c r="BJ381" s="62">
        <f>'Filter-new'!M480</f>
        <v>0</v>
      </c>
      <c r="BK381" s="62"/>
      <c r="BL381" s="62"/>
      <c r="BM381" s="62"/>
      <c r="BN381" s="406">
        <f>'Filter-new'!N480</f>
        <v>0</v>
      </c>
      <c r="BO381" s="62"/>
      <c r="BP381" s="62"/>
      <c r="BQ381" s="46">
        <f>'Filter-old'!O480</f>
        <v>0</v>
      </c>
      <c r="BR381" s="62">
        <f>'Filter-new'!O480</f>
        <v>0</v>
      </c>
      <c r="BS381" s="62"/>
      <c r="BT381" s="62"/>
      <c r="BU381" s="46">
        <f>'Filter-old'!Q480</f>
        <v>0</v>
      </c>
      <c r="BV381" s="62">
        <f>'Filter-new'!Q480</f>
        <v>0</v>
      </c>
      <c r="BW381" s="62"/>
      <c r="BX381" s="62"/>
      <c r="BY381" s="62"/>
      <c r="BZ381" s="62"/>
      <c r="CA381" s="46">
        <f>'Filter-old'!R480</f>
        <v>0</v>
      </c>
      <c r="CB381" s="62">
        <f>'Filter-new'!R480</f>
        <v>0</v>
      </c>
      <c r="CC381" s="57"/>
      <c r="CD381" s="58"/>
      <c r="CE381" s="57"/>
      <c r="CF381" s="57"/>
      <c r="CG381" s="169">
        <f t="shared" si="55"/>
        <v>-13.58491468147254</v>
      </c>
    </row>
    <row r="382" spans="1:85" hidden="1" x14ac:dyDescent="0.2">
      <c r="A382">
        <v>0</v>
      </c>
      <c r="B382" s="59">
        <v>40269</v>
      </c>
      <c r="C382" s="59">
        <f>'Filter-new'!C114</f>
        <v>40269</v>
      </c>
      <c r="D382" s="60">
        <f t="shared" si="50"/>
        <v>2010</v>
      </c>
      <c r="E382" s="60"/>
      <c r="F382" s="60"/>
      <c r="G382" s="36">
        <f t="shared" si="54"/>
        <v>-32.026389793113424</v>
      </c>
      <c r="H382" s="36">
        <f t="shared" si="56"/>
        <v>-18.589032490333668</v>
      </c>
      <c r="I382" s="36"/>
      <c r="J382" s="41"/>
      <c r="K382" s="46">
        <f>'Filter-old'!E481</f>
        <v>0</v>
      </c>
      <c r="L382" s="62">
        <f>'Filter-new'!E481</f>
        <v>9.5084614234569678</v>
      </c>
      <c r="M382" s="62"/>
      <c r="N382" s="62"/>
      <c r="O382" s="429"/>
      <c r="P382" s="62"/>
      <c r="Q382" s="46">
        <f>'Filter-old'!H481</f>
        <v>-32.026389793113424</v>
      </c>
      <c r="R382" s="62">
        <f>'Filter-new'!H481</f>
        <v>-28.097493913790636</v>
      </c>
      <c r="S382" s="62"/>
      <c r="T382" s="62"/>
      <c r="U382" s="445"/>
      <c r="V382" s="62"/>
      <c r="W382" s="46">
        <f>'Filter-old'!J481</f>
        <v>0</v>
      </c>
      <c r="X382" s="62">
        <f>'Filter-new'!J481</f>
        <v>0</v>
      </c>
      <c r="Y382" s="62"/>
      <c r="Z382" s="62"/>
      <c r="AA382" s="46">
        <f>'Filter-old'!F481</f>
        <v>0</v>
      </c>
      <c r="AB382" s="62">
        <f>'Filter-new'!F481</f>
        <v>0</v>
      </c>
      <c r="AC382" s="62"/>
      <c r="AD382" s="62"/>
      <c r="AE382" s="46">
        <f>'Filter-old'!P481</f>
        <v>0</v>
      </c>
      <c r="AF382" s="62">
        <f>'Filter-new'!P481</f>
        <v>0</v>
      </c>
      <c r="AG382" s="62"/>
      <c r="AH382" s="62"/>
      <c r="AI382" s="46">
        <f>'Filter-old'!L481</f>
        <v>0</v>
      </c>
      <c r="AJ382" s="62">
        <f>'Filter-new'!L481</f>
        <v>0</v>
      </c>
      <c r="AK382" s="62"/>
      <c r="AL382" s="62"/>
      <c r="AM382" s="62"/>
      <c r="AN382" s="62"/>
      <c r="AO382" s="46">
        <f>'Filter-old'!G481</f>
        <v>0</v>
      </c>
      <c r="AP382" s="62">
        <f>'Filter-new'!G481</f>
        <v>0</v>
      </c>
      <c r="AQ382" s="62"/>
      <c r="AR382" s="62"/>
      <c r="AS382" s="46"/>
      <c r="AT382" s="62"/>
      <c r="AU382" s="62"/>
      <c r="AV382" s="62"/>
      <c r="AW382" s="46">
        <f>'Filter-old'!I481</f>
        <v>0</v>
      </c>
      <c r="AX382" s="62">
        <f>'Filter-new'!I481</f>
        <v>0</v>
      </c>
      <c r="AY382" s="62"/>
      <c r="AZ382" s="62"/>
      <c r="BA382" s="62"/>
      <c r="BB382" s="62"/>
      <c r="BC382" s="46">
        <f>'Filter-old'!K481</f>
        <v>0</v>
      </c>
      <c r="BD382" s="62">
        <f>'Filter-new'!K481</f>
        <v>0</v>
      </c>
      <c r="BE382" s="62"/>
      <c r="BF382" s="62"/>
      <c r="BG382" s="46">
        <f>'Filter-old'!M481</f>
        <v>0</v>
      </c>
      <c r="BH382" s="62"/>
      <c r="BI382" s="62"/>
      <c r="BJ382" s="62">
        <f>'Filter-new'!M481</f>
        <v>0</v>
      </c>
      <c r="BK382" s="62"/>
      <c r="BL382" s="62"/>
      <c r="BM382" s="62"/>
      <c r="BN382" s="406">
        <f>'Filter-new'!N481</f>
        <v>0</v>
      </c>
      <c r="BO382" s="62"/>
      <c r="BP382" s="62"/>
      <c r="BQ382" s="46">
        <f>'Filter-old'!O481</f>
        <v>0</v>
      </c>
      <c r="BR382" s="62">
        <f>'Filter-new'!O481</f>
        <v>0</v>
      </c>
      <c r="BS382" s="62"/>
      <c r="BT382" s="62"/>
      <c r="BU382" s="46">
        <f>'Filter-old'!Q481</f>
        <v>0</v>
      </c>
      <c r="BV382" s="62">
        <f>'Filter-new'!Q481</f>
        <v>0</v>
      </c>
      <c r="BW382" s="62"/>
      <c r="BX382" s="62"/>
      <c r="BY382" s="62"/>
      <c r="BZ382" s="62"/>
      <c r="CA382" s="46">
        <f>'Filter-old'!R481</f>
        <v>0</v>
      </c>
      <c r="CB382" s="62">
        <f>'Filter-new'!R481</f>
        <v>0</v>
      </c>
      <c r="CC382" s="57"/>
      <c r="CD382" s="58"/>
      <c r="CE382" s="57"/>
      <c r="CF382" s="57"/>
      <c r="CG382" s="169">
        <f t="shared" si="55"/>
        <v>-13.437357302779755</v>
      </c>
    </row>
    <row r="383" spans="1:85" hidden="1" x14ac:dyDescent="0.2">
      <c r="A383">
        <v>0</v>
      </c>
      <c r="B383" s="59">
        <v>40299</v>
      </c>
      <c r="C383" s="59">
        <f>'Filter-new'!C115</f>
        <v>40299</v>
      </c>
      <c r="D383" s="60">
        <f t="shared" si="50"/>
        <v>2010</v>
      </c>
      <c r="E383" s="60"/>
      <c r="F383" s="60"/>
      <c r="G383" s="36">
        <f t="shared" si="54"/>
        <v>-29.745398795250615</v>
      </c>
      <c r="H383" s="36">
        <f t="shared" si="56"/>
        <v>-18.996951294994982</v>
      </c>
      <c r="I383" s="36"/>
      <c r="J383" s="41"/>
      <c r="K383" s="46">
        <f>'Filter-old'!E482</f>
        <v>0</v>
      </c>
      <c r="L383" s="62">
        <f>'Filter-new'!E482</f>
        <v>9.5382559328839811</v>
      </c>
      <c r="M383" s="62"/>
      <c r="N383" s="62"/>
      <c r="O383" s="429"/>
      <c r="P383" s="62"/>
      <c r="Q383" s="46">
        <f>'Filter-old'!H482</f>
        <v>-29.745398795250615</v>
      </c>
      <c r="R383" s="62">
        <f>'Filter-new'!H482</f>
        <v>-28.535207227878963</v>
      </c>
      <c r="S383" s="62"/>
      <c r="T383" s="62"/>
      <c r="U383" s="445"/>
      <c r="V383" s="62"/>
      <c r="W383" s="46">
        <f>'Filter-old'!J482</f>
        <v>0</v>
      </c>
      <c r="X383" s="62">
        <f>'Filter-new'!J482</f>
        <v>0</v>
      </c>
      <c r="Y383" s="62"/>
      <c r="Z383" s="62"/>
      <c r="AA383" s="46">
        <f>'Filter-old'!F482</f>
        <v>0</v>
      </c>
      <c r="AB383" s="62">
        <f>'Filter-new'!F482</f>
        <v>0</v>
      </c>
      <c r="AC383" s="62"/>
      <c r="AD383" s="62"/>
      <c r="AE383" s="46">
        <f>'Filter-old'!P482</f>
        <v>0</v>
      </c>
      <c r="AF383" s="62">
        <f>'Filter-new'!P482</f>
        <v>0</v>
      </c>
      <c r="AG383" s="62"/>
      <c r="AH383" s="62"/>
      <c r="AI383" s="46">
        <f>'Filter-old'!L482</f>
        <v>0</v>
      </c>
      <c r="AJ383" s="62">
        <f>'Filter-new'!L482</f>
        <v>0</v>
      </c>
      <c r="AK383" s="62"/>
      <c r="AL383" s="62"/>
      <c r="AM383" s="62"/>
      <c r="AN383" s="62"/>
      <c r="AO383" s="46">
        <f>'Filter-old'!G482</f>
        <v>0</v>
      </c>
      <c r="AP383" s="62">
        <f>'Filter-new'!G482</f>
        <v>0</v>
      </c>
      <c r="AQ383" s="62"/>
      <c r="AR383" s="62"/>
      <c r="AS383" s="46"/>
      <c r="AT383" s="62"/>
      <c r="AU383" s="62"/>
      <c r="AV383" s="62"/>
      <c r="AW383" s="46">
        <f>'Filter-old'!I482</f>
        <v>0</v>
      </c>
      <c r="AX383" s="62">
        <f>'Filter-new'!I482</f>
        <v>0</v>
      </c>
      <c r="AY383" s="62"/>
      <c r="AZ383" s="62"/>
      <c r="BA383" s="62"/>
      <c r="BB383" s="62"/>
      <c r="BC383" s="46">
        <f>'Filter-old'!K482</f>
        <v>0</v>
      </c>
      <c r="BD383" s="62">
        <f>'Filter-new'!K482</f>
        <v>0</v>
      </c>
      <c r="BE383" s="62"/>
      <c r="BF383" s="62"/>
      <c r="BG383" s="46">
        <f>'Filter-old'!M482</f>
        <v>0</v>
      </c>
      <c r="BH383" s="62"/>
      <c r="BI383" s="62"/>
      <c r="BJ383" s="62">
        <f>'Filter-new'!M482</f>
        <v>0</v>
      </c>
      <c r="BK383" s="62"/>
      <c r="BL383" s="62"/>
      <c r="BM383" s="62"/>
      <c r="BN383" s="406">
        <f>'Filter-new'!N482</f>
        <v>0</v>
      </c>
      <c r="BO383" s="62"/>
      <c r="BP383" s="62"/>
      <c r="BQ383" s="46">
        <f>'Filter-old'!O482</f>
        <v>0</v>
      </c>
      <c r="BR383" s="62">
        <f>'Filter-new'!O482</f>
        <v>0</v>
      </c>
      <c r="BS383" s="62"/>
      <c r="BT383" s="62"/>
      <c r="BU383" s="46">
        <f>'Filter-old'!Q482</f>
        <v>0</v>
      </c>
      <c r="BV383" s="62">
        <f>'Filter-new'!Q482</f>
        <v>0</v>
      </c>
      <c r="BW383" s="62"/>
      <c r="BX383" s="62"/>
      <c r="BY383" s="62"/>
      <c r="BZ383" s="62"/>
      <c r="CA383" s="46">
        <f>'Filter-old'!R482</f>
        <v>0</v>
      </c>
      <c r="CB383" s="62">
        <f>'Filter-new'!R482</f>
        <v>0</v>
      </c>
      <c r="CC383" s="57"/>
      <c r="CD383" s="58"/>
      <c r="CE383" s="57"/>
      <c r="CF383" s="57"/>
      <c r="CG383" s="169">
        <f t="shared" si="55"/>
        <v>-10.748447500255633</v>
      </c>
    </row>
    <row r="384" spans="1:85" hidden="1" x14ac:dyDescent="0.2">
      <c r="A384">
        <v>0</v>
      </c>
      <c r="B384" s="59">
        <v>40330</v>
      </c>
      <c r="C384" s="59">
        <f>'Filter-new'!C116</f>
        <v>40330</v>
      </c>
      <c r="D384" s="60">
        <f t="shared" si="50"/>
        <v>2010</v>
      </c>
      <c r="E384" s="60"/>
      <c r="F384" s="60"/>
      <c r="G384" s="36">
        <f t="shared" si="54"/>
        <v>-30.659974821650355</v>
      </c>
      <c r="H384" s="36">
        <f t="shared" si="56"/>
        <v>-24.796634246769845</v>
      </c>
      <c r="I384" s="36"/>
      <c r="J384" s="41"/>
      <c r="K384" s="46">
        <f>'Filter-old'!E483</f>
        <v>0</v>
      </c>
      <c r="L384" s="62">
        <f>'Filter-new'!E483</f>
        <v>12.287562828340196</v>
      </c>
      <c r="M384" s="62"/>
      <c r="N384" s="62"/>
      <c r="O384" s="429"/>
      <c r="P384" s="62"/>
      <c r="Q384" s="46">
        <f>'Filter-old'!H483</f>
        <v>-30.659974821650355</v>
      </c>
      <c r="R384" s="62">
        <f>'Filter-new'!H483</f>
        <v>-37.08419707511004</v>
      </c>
      <c r="S384" s="62"/>
      <c r="T384" s="62"/>
      <c r="U384" s="445"/>
      <c r="V384" s="62"/>
      <c r="W384" s="46">
        <f>'Filter-old'!J483</f>
        <v>0</v>
      </c>
      <c r="X384" s="62">
        <f>'Filter-new'!J483</f>
        <v>0</v>
      </c>
      <c r="Y384" s="62"/>
      <c r="Z384" s="62"/>
      <c r="AA384" s="46">
        <f>'Filter-old'!F483</f>
        <v>0</v>
      </c>
      <c r="AB384" s="62">
        <f>'Filter-new'!F483</f>
        <v>0</v>
      </c>
      <c r="AC384" s="62"/>
      <c r="AD384" s="62"/>
      <c r="AE384" s="46">
        <f>'Filter-old'!P483</f>
        <v>0</v>
      </c>
      <c r="AF384" s="62">
        <f>'Filter-new'!P483</f>
        <v>0</v>
      </c>
      <c r="AG384" s="62"/>
      <c r="AH384" s="62"/>
      <c r="AI384" s="46">
        <f>'Filter-old'!L483</f>
        <v>0</v>
      </c>
      <c r="AJ384" s="62">
        <f>'Filter-new'!L483</f>
        <v>0</v>
      </c>
      <c r="AK384" s="62"/>
      <c r="AL384" s="62"/>
      <c r="AM384" s="62"/>
      <c r="AN384" s="62"/>
      <c r="AO384" s="46">
        <f>'Filter-old'!G483</f>
        <v>0</v>
      </c>
      <c r="AP384" s="62">
        <f>'Filter-new'!G483</f>
        <v>0</v>
      </c>
      <c r="AQ384" s="62"/>
      <c r="AR384" s="62"/>
      <c r="AS384" s="46"/>
      <c r="AT384" s="62"/>
      <c r="AU384" s="62"/>
      <c r="AV384" s="62"/>
      <c r="AW384" s="46">
        <f>'Filter-old'!I483</f>
        <v>0</v>
      </c>
      <c r="AX384" s="62">
        <f>'Filter-new'!I483</f>
        <v>0</v>
      </c>
      <c r="AY384" s="62"/>
      <c r="AZ384" s="62"/>
      <c r="BA384" s="62"/>
      <c r="BB384" s="62"/>
      <c r="BC384" s="46">
        <f>'Filter-old'!K483</f>
        <v>0</v>
      </c>
      <c r="BD384" s="62">
        <f>'Filter-new'!K483</f>
        <v>0</v>
      </c>
      <c r="BE384" s="62"/>
      <c r="BF384" s="62"/>
      <c r="BG384" s="46">
        <f>'Filter-old'!M483</f>
        <v>0</v>
      </c>
      <c r="BH384" s="62"/>
      <c r="BI384" s="62"/>
      <c r="BJ384" s="62">
        <f>'Filter-new'!M483</f>
        <v>0</v>
      </c>
      <c r="BK384" s="62"/>
      <c r="BL384" s="62"/>
      <c r="BM384" s="62"/>
      <c r="BN384" s="406">
        <f>'Filter-new'!N483</f>
        <v>0</v>
      </c>
      <c r="BO384" s="62"/>
      <c r="BP384" s="62"/>
      <c r="BQ384" s="46">
        <f>'Filter-old'!O483</f>
        <v>0</v>
      </c>
      <c r="BR384" s="62">
        <f>'Filter-new'!O483</f>
        <v>0</v>
      </c>
      <c r="BS384" s="62"/>
      <c r="BT384" s="62"/>
      <c r="BU384" s="46">
        <f>'Filter-old'!Q483</f>
        <v>0</v>
      </c>
      <c r="BV384" s="62">
        <f>'Filter-new'!Q483</f>
        <v>0</v>
      </c>
      <c r="BW384" s="62"/>
      <c r="BX384" s="62"/>
      <c r="BY384" s="62"/>
      <c r="BZ384" s="62"/>
      <c r="CA384" s="46">
        <f>'Filter-old'!R483</f>
        <v>0</v>
      </c>
      <c r="CB384" s="62">
        <f>'Filter-new'!R483</f>
        <v>0</v>
      </c>
      <c r="CC384" s="57"/>
      <c r="CD384" s="58"/>
      <c r="CE384" s="57"/>
      <c r="CF384" s="57"/>
      <c r="CG384" s="169">
        <f t="shared" si="55"/>
        <v>-5.8633405748805103</v>
      </c>
    </row>
    <row r="385" spans="1:85" hidden="1" x14ac:dyDescent="0.2">
      <c r="A385">
        <v>0</v>
      </c>
      <c r="B385" s="59">
        <v>40360</v>
      </c>
      <c r="C385" s="59">
        <f>'Filter-new'!C117</f>
        <v>40360</v>
      </c>
      <c r="D385" s="60">
        <f t="shared" si="50"/>
        <v>2010</v>
      </c>
      <c r="E385" s="60"/>
      <c r="F385" s="60"/>
      <c r="G385" s="36">
        <f t="shared" si="54"/>
        <v>-34.615857599431813</v>
      </c>
      <c r="H385" s="36">
        <f t="shared" si="56"/>
        <v>-32.903474505124237</v>
      </c>
      <c r="I385" s="36"/>
      <c r="J385" s="41"/>
      <c r="K385" s="46">
        <f>'Filter-old'!E484</f>
        <v>0</v>
      </c>
      <c r="L385" s="62">
        <f>'Filter-new'!E484</f>
        <v>16.060164411062757</v>
      </c>
      <c r="M385" s="62"/>
      <c r="N385" s="62"/>
      <c r="O385" s="429"/>
      <c r="P385" s="62"/>
      <c r="Q385" s="46">
        <f>'Filter-old'!H484</f>
        <v>-34.615857599431813</v>
      </c>
      <c r="R385" s="62">
        <f>'Filter-new'!H484</f>
        <v>-48.963638916186994</v>
      </c>
      <c r="S385" s="62"/>
      <c r="T385" s="62"/>
      <c r="U385" s="445"/>
      <c r="V385" s="62"/>
      <c r="W385" s="46">
        <f>'Filter-old'!J484</f>
        <v>0</v>
      </c>
      <c r="X385" s="62">
        <f>'Filter-new'!J484</f>
        <v>0</v>
      </c>
      <c r="Y385" s="62"/>
      <c r="Z385" s="62"/>
      <c r="AA385" s="46">
        <f>'Filter-old'!F484</f>
        <v>0</v>
      </c>
      <c r="AB385" s="62">
        <f>'Filter-new'!F484</f>
        <v>0</v>
      </c>
      <c r="AC385" s="62"/>
      <c r="AD385" s="62"/>
      <c r="AE385" s="46">
        <f>'Filter-old'!P484</f>
        <v>0</v>
      </c>
      <c r="AF385" s="62">
        <f>'Filter-new'!P484</f>
        <v>0</v>
      </c>
      <c r="AG385" s="62"/>
      <c r="AH385" s="62"/>
      <c r="AI385" s="46">
        <f>'Filter-old'!L484</f>
        <v>0</v>
      </c>
      <c r="AJ385" s="62">
        <f>'Filter-new'!L484</f>
        <v>0</v>
      </c>
      <c r="AK385" s="62"/>
      <c r="AL385" s="62"/>
      <c r="AM385" s="62"/>
      <c r="AN385" s="62"/>
      <c r="AO385" s="46">
        <f>'Filter-old'!G484</f>
        <v>0</v>
      </c>
      <c r="AP385" s="62">
        <f>'Filter-new'!G484</f>
        <v>0</v>
      </c>
      <c r="AQ385" s="62"/>
      <c r="AR385" s="62"/>
      <c r="AS385" s="46"/>
      <c r="AT385" s="62"/>
      <c r="AU385" s="62"/>
      <c r="AV385" s="62"/>
      <c r="AW385" s="46">
        <f>'Filter-old'!I484</f>
        <v>0</v>
      </c>
      <c r="AX385" s="62">
        <f>'Filter-new'!I484</f>
        <v>0</v>
      </c>
      <c r="AY385" s="62"/>
      <c r="AZ385" s="62"/>
      <c r="BA385" s="62"/>
      <c r="BB385" s="62"/>
      <c r="BC385" s="46">
        <f>'Filter-old'!K484</f>
        <v>0</v>
      </c>
      <c r="BD385" s="62">
        <f>'Filter-new'!K484</f>
        <v>0</v>
      </c>
      <c r="BE385" s="62"/>
      <c r="BF385" s="62"/>
      <c r="BG385" s="46">
        <f>'Filter-old'!M484</f>
        <v>0</v>
      </c>
      <c r="BH385" s="62"/>
      <c r="BI385" s="62"/>
      <c r="BJ385" s="62">
        <f>'Filter-new'!M484</f>
        <v>0</v>
      </c>
      <c r="BK385" s="62"/>
      <c r="BL385" s="62"/>
      <c r="BM385" s="62"/>
      <c r="BN385" s="406">
        <f>'Filter-new'!N484</f>
        <v>0</v>
      </c>
      <c r="BO385" s="62"/>
      <c r="BP385" s="62"/>
      <c r="BQ385" s="46">
        <f>'Filter-old'!O484</f>
        <v>0</v>
      </c>
      <c r="BR385" s="62">
        <f>'Filter-new'!O484</f>
        <v>0</v>
      </c>
      <c r="BS385" s="62"/>
      <c r="BT385" s="62"/>
      <c r="BU385" s="46">
        <f>'Filter-old'!Q484</f>
        <v>0</v>
      </c>
      <c r="BV385" s="62">
        <f>'Filter-new'!Q484</f>
        <v>0</v>
      </c>
      <c r="BW385" s="62"/>
      <c r="BX385" s="62"/>
      <c r="BY385" s="62"/>
      <c r="BZ385" s="62"/>
      <c r="CA385" s="46">
        <f>'Filter-old'!R484</f>
        <v>0</v>
      </c>
      <c r="CB385" s="62">
        <f>'Filter-new'!R484</f>
        <v>0</v>
      </c>
      <c r="CC385" s="57"/>
      <c r="CD385" s="58"/>
      <c r="CE385" s="57"/>
      <c r="CF385" s="57"/>
      <c r="CG385" s="169">
        <f t="shared" si="55"/>
        <v>-1.712383094307576</v>
      </c>
    </row>
    <row r="386" spans="1:85" hidden="1" x14ac:dyDescent="0.2">
      <c r="A386">
        <v>0</v>
      </c>
      <c r="B386" s="59">
        <v>40391</v>
      </c>
      <c r="C386" s="59">
        <f>'Filter-new'!C118</f>
        <v>40391</v>
      </c>
      <c r="D386" s="60">
        <f t="shared" si="50"/>
        <v>2010</v>
      </c>
      <c r="E386" s="60"/>
      <c r="F386" s="60"/>
      <c r="G386" s="36">
        <f t="shared" si="54"/>
        <v>-35.872891140212836</v>
      </c>
      <c r="H386" s="36">
        <f t="shared" si="56"/>
        <v>-34.183376259891716</v>
      </c>
      <c r="I386" s="36"/>
      <c r="J386" s="41"/>
      <c r="K386" s="46">
        <f>'Filter-old'!E485</f>
        <v>0</v>
      </c>
      <c r="L386" s="62">
        <f>'Filter-new'!E485</f>
        <v>16.551928474246839</v>
      </c>
      <c r="M386" s="62"/>
      <c r="N386" s="62"/>
      <c r="O386" s="429"/>
      <c r="P386" s="62"/>
      <c r="Q386" s="46">
        <f>'Filter-old'!H485</f>
        <v>-35.872891140212836</v>
      </c>
      <c r="R386" s="62">
        <f>'Filter-new'!H485</f>
        <v>-50.735304734138552</v>
      </c>
      <c r="S386" s="62"/>
      <c r="T386" s="62"/>
      <c r="U386" s="445"/>
      <c r="V386" s="62"/>
      <c r="W386" s="46">
        <f>'Filter-old'!J485</f>
        <v>0</v>
      </c>
      <c r="X386" s="62">
        <f>'Filter-new'!J485</f>
        <v>0</v>
      </c>
      <c r="Y386" s="62"/>
      <c r="Z386" s="62"/>
      <c r="AA386" s="46">
        <f>'Filter-old'!F485</f>
        <v>0</v>
      </c>
      <c r="AB386" s="62">
        <f>'Filter-new'!F485</f>
        <v>0</v>
      </c>
      <c r="AC386" s="62"/>
      <c r="AD386" s="62"/>
      <c r="AE386" s="46">
        <f>'Filter-old'!P485</f>
        <v>0</v>
      </c>
      <c r="AF386" s="62">
        <f>'Filter-new'!P485</f>
        <v>0</v>
      </c>
      <c r="AG386" s="62"/>
      <c r="AH386" s="62"/>
      <c r="AI386" s="46">
        <f>'Filter-old'!L485</f>
        <v>0</v>
      </c>
      <c r="AJ386" s="62">
        <f>'Filter-new'!L485</f>
        <v>0</v>
      </c>
      <c r="AK386" s="62"/>
      <c r="AL386" s="62"/>
      <c r="AM386" s="62"/>
      <c r="AN386" s="62"/>
      <c r="AO386" s="46">
        <f>'Filter-old'!G485</f>
        <v>0</v>
      </c>
      <c r="AP386" s="62">
        <f>'Filter-new'!G485</f>
        <v>0</v>
      </c>
      <c r="AQ386" s="62"/>
      <c r="AR386" s="62"/>
      <c r="AS386" s="46"/>
      <c r="AT386" s="62"/>
      <c r="AU386" s="62"/>
      <c r="AV386" s="62"/>
      <c r="AW386" s="46">
        <f>'Filter-old'!I485</f>
        <v>0</v>
      </c>
      <c r="AX386" s="62">
        <f>'Filter-new'!I485</f>
        <v>0</v>
      </c>
      <c r="AY386" s="62"/>
      <c r="AZ386" s="62"/>
      <c r="BA386" s="62"/>
      <c r="BB386" s="62"/>
      <c r="BC386" s="46">
        <f>'Filter-old'!K485</f>
        <v>0</v>
      </c>
      <c r="BD386" s="62">
        <f>'Filter-new'!K485</f>
        <v>0</v>
      </c>
      <c r="BE386" s="62"/>
      <c r="BF386" s="62"/>
      <c r="BG386" s="46">
        <f>'Filter-old'!M485</f>
        <v>0</v>
      </c>
      <c r="BH386" s="62"/>
      <c r="BI386" s="62"/>
      <c r="BJ386" s="62">
        <f>'Filter-new'!M485</f>
        <v>0</v>
      </c>
      <c r="BK386" s="62"/>
      <c r="BL386" s="62"/>
      <c r="BM386" s="62"/>
      <c r="BN386" s="406">
        <f>'Filter-new'!N485</f>
        <v>0</v>
      </c>
      <c r="BO386" s="62"/>
      <c r="BP386" s="62"/>
      <c r="BQ386" s="46">
        <f>'Filter-old'!O485</f>
        <v>0</v>
      </c>
      <c r="BR386" s="62">
        <f>'Filter-new'!O485</f>
        <v>0</v>
      </c>
      <c r="BS386" s="62"/>
      <c r="BT386" s="62"/>
      <c r="BU386" s="46">
        <f>'Filter-old'!Q485</f>
        <v>0</v>
      </c>
      <c r="BV386" s="62">
        <f>'Filter-new'!Q485</f>
        <v>0</v>
      </c>
      <c r="BW386" s="62"/>
      <c r="BX386" s="62"/>
      <c r="BY386" s="62"/>
      <c r="BZ386" s="62"/>
      <c r="CA386" s="46">
        <f>'Filter-old'!R485</f>
        <v>0</v>
      </c>
      <c r="CB386" s="62">
        <f>'Filter-new'!R485</f>
        <v>0</v>
      </c>
      <c r="CC386" s="57"/>
      <c r="CD386" s="58"/>
      <c r="CE386" s="57"/>
      <c r="CF386" s="57"/>
      <c r="CG386" s="169">
        <f t="shared" si="55"/>
        <v>-1.68951488032112</v>
      </c>
    </row>
    <row r="387" spans="1:85" hidden="1" x14ac:dyDescent="0.2">
      <c r="A387">
        <v>0</v>
      </c>
      <c r="B387" s="59">
        <v>40422</v>
      </c>
      <c r="C387" s="59">
        <f>'Filter-new'!C119</f>
        <v>40422</v>
      </c>
      <c r="D387" s="60">
        <f t="shared" si="50"/>
        <v>2010</v>
      </c>
      <c r="E387" s="60"/>
      <c r="F387" s="60"/>
      <c r="G387" s="36">
        <f t="shared" si="54"/>
        <v>-25.823127452511518</v>
      </c>
      <c r="H387" s="36">
        <f t="shared" si="56"/>
        <v>-17.350822834426005</v>
      </c>
      <c r="I387" s="36"/>
      <c r="J387" s="41"/>
      <c r="K387" s="46">
        <f>'Filter-old'!E486</f>
        <v>0</v>
      </c>
      <c r="L387" s="62">
        <f>'Filter-new'!E486</f>
        <v>8.4080835681406061</v>
      </c>
      <c r="M387" s="62"/>
      <c r="N387" s="62"/>
      <c r="O387" s="429"/>
      <c r="P387" s="62"/>
      <c r="Q387" s="46">
        <f>'Filter-old'!H486</f>
        <v>-25.823127452511518</v>
      </c>
      <c r="R387" s="62">
        <f>'Filter-new'!H486</f>
        <v>-25.758906402566609</v>
      </c>
      <c r="S387" s="62"/>
      <c r="T387" s="62"/>
      <c r="U387" s="445"/>
      <c r="V387" s="62"/>
      <c r="W387" s="46">
        <f>'Filter-old'!J486</f>
        <v>0</v>
      </c>
      <c r="X387" s="62">
        <f>'Filter-new'!J486</f>
        <v>0</v>
      </c>
      <c r="Y387" s="62"/>
      <c r="Z387" s="62"/>
      <c r="AA387" s="46">
        <f>'Filter-old'!F486</f>
        <v>0</v>
      </c>
      <c r="AB387" s="62">
        <f>'Filter-new'!F486</f>
        <v>0</v>
      </c>
      <c r="AC387" s="62"/>
      <c r="AD387" s="62"/>
      <c r="AE387" s="46">
        <f>'Filter-old'!P486</f>
        <v>0</v>
      </c>
      <c r="AF387" s="62">
        <f>'Filter-new'!P486</f>
        <v>0</v>
      </c>
      <c r="AG387" s="62"/>
      <c r="AH387" s="62"/>
      <c r="AI387" s="46">
        <f>'Filter-old'!L486</f>
        <v>0</v>
      </c>
      <c r="AJ387" s="62">
        <f>'Filter-new'!L486</f>
        <v>0</v>
      </c>
      <c r="AK387" s="62"/>
      <c r="AL387" s="62"/>
      <c r="AM387" s="62"/>
      <c r="AN387" s="62"/>
      <c r="AO387" s="46">
        <f>'Filter-old'!G486</f>
        <v>0</v>
      </c>
      <c r="AP387" s="62">
        <f>'Filter-new'!G486</f>
        <v>0</v>
      </c>
      <c r="AQ387" s="62"/>
      <c r="AR387" s="62"/>
      <c r="AS387" s="46"/>
      <c r="AT387" s="62"/>
      <c r="AU387" s="62"/>
      <c r="AV387" s="62"/>
      <c r="AW387" s="46">
        <f>'Filter-old'!I486</f>
        <v>0</v>
      </c>
      <c r="AX387" s="62">
        <f>'Filter-new'!I486</f>
        <v>0</v>
      </c>
      <c r="AY387" s="62"/>
      <c r="AZ387" s="62"/>
      <c r="BA387" s="62"/>
      <c r="BB387" s="62"/>
      <c r="BC387" s="46">
        <f>'Filter-old'!K486</f>
        <v>0</v>
      </c>
      <c r="BD387" s="62">
        <f>'Filter-new'!K486</f>
        <v>0</v>
      </c>
      <c r="BE387" s="62"/>
      <c r="BF387" s="62"/>
      <c r="BG387" s="46">
        <f>'Filter-old'!M486</f>
        <v>0</v>
      </c>
      <c r="BH387" s="62"/>
      <c r="BI387" s="62"/>
      <c r="BJ387" s="62">
        <f>'Filter-new'!M486</f>
        <v>0</v>
      </c>
      <c r="BK387" s="62"/>
      <c r="BL387" s="62"/>
      <c r="BM387" s="62"/>
      <c r="BN387" s="406">
        <f>'Filter-new'!N486</f>
        <v>0</v>
      </c>
      <c r="BO387" s="62"/>
      <c r="BP387" s="62"/>
      <c r="BQ387" s="46">
        <f>'Filter-old'!O486</f>
        <v>0</v>
      </c>
      <c r="BR387" s="62">
        <f>'Filter-new'!O486</f>
        <v>0</v>
      </c>
      <c r="BS387" s="62"/>
      <c r="BT387" s="62"/>
      <c r="BU387" s="46">
        <f>'Filter-old'!Q486</f>
        <v>0</v>
      </c>
      <c r="BV387" s="62">
        <f>'Filter-new'!Q486</f>
        <v>0</v>
      </c>
      <c r="BW387" s="62"/>
      <c r="BX387" s="62"/>
      <c r="BY387" s="62"/>
      <c r="BZ387" s="62"/>
      <c r="CA387" s="46">
        <f>'Filter-old'!R486</f>
        <v>0</v>
      </c>
      <c r="CB387" s="62">
        <f>'Filter-new'!R486</f>
        <v>0</v>
      </c>
      <c r="CC387" s="57"/>
      <c r="CD387" s="58"/>
      <c r="CE387" s="57"/>
      <c r="CF387" s="57"/>
      <c r="CG387" s="169">
        <f t="shared" si="55"/>
        <v>-8.4723046180855128</v>
      </c>
    </row>
    <row r="388" spans="1:85" hidden="1" x14ac:dyDescent="0.2">
      <c r="A388">
        <v>0</v>
      </c>
      <c r="B388" s="59">
        <v>40452</v>
      </c>
      <c r="C388" s="59">
        <f>'Filter-new'!C120</f>
        <v>40452</v>
      </c>
      <c r="D388" s="60">
        <f t="shared" si="50"/>
        <v>2010</v>
      </c>
      <c r="E388" s="60"/>
      <c r="F388" s="60"/>
      <c r="G388" s="36">
        <f t="shared" si="54"/>
        <v>-28.840809136026678</v>
      </c>
      <c r="H388" s="36">
        <f t="shared" si="56"/>
        <v>-17.962431140047094</v>
      </c>
      <c r="I388" s="36"/>
      <c r="J388" s="41"/>
      <c r="K388" s="46">
        <f>'Filter-old'!E487</f>
        <v>0</v>
      </c>
      <c r="L388" s="62">
        <f>'Filter-new'!E487</f>
        <v>8.6141030059565029</v>
      </c>
      <c r="M388" s="62"/>
      <c r="N388" s="62"/>
      <c r="O388" s="429"/>
      <c r="P388" s="62"/>
      <c r="Q388" s="46">
        <f>'Filter-old'!H487</f>
        <v>-28.840809136026678</v>
      </c>
      <c r="R388" s="62">
        <f>'Filter-new'!H487</f>
        <v>-26.576534146003599</v>
      </c>
      <c r="S388" s="62"/>
      <c r="T388" s="62"/>
      <c r="U388" s="445"/>
      <c r="V388" s="62"/>
      <c r="W388" s="46">
        <f>'Filter-old'!J487</f>
        <v>0</v>
      </c>
      <c r="X388" s="62">
        <f>'Filter-new'!J487</f>
        <v>0</v>
      </c>
      <c r="Y388" s="62"/>
      <c r="Z388" s="62"/>
      <c r="AA388" s="46">
        <f>'Filter-old'!F487</f>
        <v>0</v>
      </c>
      <c r="AB388" s="62">
        <f>'Filter-new'!F487</f>
        <v>0</v>
      </c>
      <c r="AC388" s="62"/>
      <c r="AD388" s="62"/>
      <c r="AE388" s="46">
        <f>'Filter-old'!P487</f>
        <v>0</v>
      </c>
      <c r="AF388" s="62">
        <f>'Filter-new'!P487</f>
        <v>0</v>
      </c>
      <c r="AG388" s="62"/>
      <c r="AH388" s="62"/>
      <c r="AI388" s="46">
        <f>'Filter-old'!L487</f>
        <v>0</v>
      </c>
      <c r="AJ388" s="62">
        <f>'Filter-new'!L487</f>
        <v>0</v>
      </c>
      <c r="AK388" s="62"/>
      <c r="AL388" s="62"/>
      <c r="AM388" s="62"/>
      <c r="AN388" s="62"/>
      <c r="AO388" s="46">
        <f>'Filter-old'!G487</f>
        <v>0</v>
      </c>
      <c r="AP388" s="62">
        <f>'Filter-new'!G487</f>
        <v>0</v>
      </c>
      <c r="AQ388" s="62"/>
      <c r="AR388" s="62"/>
      <c r="AS388" s="46"/>
      <c r="AT388" s="62"/>
      <c r="AU388" s="62"/>
      <c r="AV388" s="62"/>
      <c r="AW388" s="46">
        <f>'Filter-old'!I487</f>
        <v>0</v>
      </c>
      <c r="AX388" s="62">
        <f>'Filter-new'!I487</f>
        <v>0</v>
      </c>
      <c r="AY388" s="62"/>
      <c r="AZ388" s="62"/>
      <c r="BA388" s="62"/>
      <c r="BB388" s="62"/>
      <c r="BC388" s="46">
        <f>'Filter-old'!K487</f>
        <v>0</v>
      </c>
      <c r="BD388" s="62">
        <f>'Filter-new'!K487</f>
        <v>0</v>
      </c>
      <c r="BE388" s="62"/>
      <c r="BF388" s="62"/>
      <c r="BG388" s="46">
        <f>'Filter-old'!M487</f>
        <v>0</v>
      </c>
      <c r="BH388" s="62"/>
      <c r="BI388" s="62"/>
      <c r="BJ388" s="62">
        <f>'Filter-new'!M487</f>
        <v>0</v>
      </c>
      <c r="BK388" s="62"/>
      <c r="BL388" s="62"/>
      <c r="BM388" s="62"/>
      <c r="BN388" s="406">
        <f>'Filter-new'!N487</f>
        <v>0</v>
      </c>
      <c r="BO388" s="62"/>
      <c r="BP388" s="62"/>
      <c r="BQ388" s="46">
        <f>'Filter-old'!O487</f>
        <v>0</v>
      </c>
      <c r="BR388" s="62">
        <f>'Filter-new'!O487</f>
        <v>0</v>
      </c>
      <c r="BS388" s="62"/>
      <c r="BT388" s="62"/>
      <c r="BU388" s="46">
        <f>'Filter-old'!Q487</f>
        <v>0</v>
      </c>
      <c r="BV388" s="62">
        <f>'Filter-new'!Q487</f>
        <v>0</v>
      </c>
      <c r="BW388" s="62"/>
      <c r="BX388" s="62"/>
      <c r="BY388" s="62"/>
      <c r="BZ388" s="62"/>
      <c r="CA388" s="46">
        <f>'Filter-old'!R487</f>
        <v>0</v>
      </c>
      <c r="CB388" s="62">
        <f>'Filter-new'!R487</f>
        <v>0</v>
      </c>
      <c r="CC388" s="57"/>
      <c r="CD388" s="58"/>
      <c r="CE388" s="57"/>
      <c r="CF388" s="57"/>
      <c r="CG388" s="169">
        <f t="shared" si="55"/>
        <v>-10.878377995979584</v>
      </c>
    </row>
    <row r="389" spans="1:85" hidden="1" x14ac:dyDescent="0.2">
      <c r="A389">
        <v>0</v>
      </c>
      <c r="B389" s="59">
        <v>40483</v>
      </c>
      <c r="C389" s="59">
        <f>'Filter-new'!C121</f>
        <v>40483</v>
      </c>
      <c r="D389" s="60">
        <f t="shared" si="50"/>
        <v>2010</v>
      </c>
      <c r="E389" s="60"/>
      <c r="F389" s="60"/>
      <c r="G389" s="36">
        <f t="shared" si="54"/>
        <v>-30.653364612210186</v>
      </c>
      <c r="H389" s="36">
        <f t="shared" si="56"/>
        <v>-17.193449352651871</v>
      </c>
      <c r="I389" s="36"/>
      <c r="J389" s="41"/>
      <c r="K389" s="46">
        <f>'Filter-old'!E488</f>
        <v>0</v>
      </c>
      <c r="L389" s="62">
        <f>'Filter-new'!E488</f>
        <v>8.1840862049714218</v>
      </c>
      <c r="M389" s="62"/>
      <c r="N389" s="62"/>
      <c r="O389" s="429"/>
      <c r="P389" s="62"/>
      <c r="Q389" s="46">
        <f>'Filter-old'!H488</f>
        <v>-30.653364612210186</v>
      </c>
      <c r="R389" s="62">
        <f>'Filter-new'!H488</f>
        <v>-25.377535557623293</v>
      </c>
      <c r="S389" s="62"/>
      <c r="T389" s="62"/>
      <c r="U389" s="445"/>
      <c r="V389" s="62"/>
      <c r="W389" s="46">
        <f>'Filter-old'!J488</f>
        <v>0</v>
      </c>
      <c r="X389" s="62">
        <f>'Filter-new'!J488</f>
        <v>0</v>
      </c>
      <c r="Y389" s="62"/>
      <c r="Z389" s="62"/>
      <c r="AA389" s="46">
        <f>'Filter-old'!F488</f>
        <v>0</v>
      </c>
      <c r="AB389" s="62">
        <f>'Filter-new'!F488</f>
        <v>0</v>
      </c>
      <c r="AC389" s="62"/>
      <c r="AD389" s="62"/>
      <c r="AE389" s="46">
        <f>'Filter-old'!P488</f>
        <v>0</v>
      </c>
      <c r="AF389" s="62">
        <f>'Filter-new'!P488</f>
        <v>0</v>
      </c>
      <c r="AG389" s="62"/>
      <c r="AH389" s="62"/>
      <c r="AI389" s="46">
        <f>'Filter-old'!L488</f>
        <v>0</v>
      </c>
      <c r="AJ389" s="62">
        <f>'Filter-new'!L488</f>
        <v>0</v>
      </c>
      <c r="AK389" s="62"/>
      <c r="AL389" s="62"/>
      <c r="AM389" s="62"/>
      <c r="AN389" s="62"/>
      <c r="AO389" s="46">
        <f>'Filter-old'!G488</f>
        <v>0</v>
      </c>
      <c r="AP389" s="62">
        <f>'Filter-new'!G488</f>
        <v>0</v>
      </c>
      <c r="AQ389" s="62"/>
      <c r="AR389" s="62"/>
      <c r="AS389" s="46"/>
      <c r="AT389" s="62"/>
      <c r="AU389" s="62"/>
      <c r="AV389" s="62"/>
      <c r="AW389" s="46">
        <f>'Filter-old'!I488</f>
        <v>0</v>
      </c>
      <c r="AX389" s="62">
        <f>'Filter-new'!I488</f>
        <v>0</v>
      </c>
      <c r="AY389" s="62"/>
      <c r="AZ389" s="62"/>
      <c r="BA389" s="62"/>
      <c r="BB389" s="62"/>
      <c r="BC389" s="46">
        <f>'Filter-old'!K488</f>
        <v>0</v>
      </c>
      <c r="BD389" s="62">
        <f>'Filter-new'!K488</f>
        <v>0</v>
      </c>
      <c r="BE389" s="62"/>
      <c r="BF389" s="62"/>
      <c r="BG389" s="46">
        <f>'Filter-old'!M488</f>
        <v>0</v>
      </c>
      <c r="BH389" s="62"/>
      <c r="BI389" s="62"/>
      <c r="BJ389" s="62">
        <f>'Filter-new'!M488</f>
        <v>0</v>
      </c>
      <c r="BK389" s="62"/>
      <c r="BL389" s="62"/>
      <c r="BM389" s="62"/>
      <c r="BN389" s="406">
        <f>'Filter-new'!N488</f>
        <v>0</v>
      </c>
      <c r="BO389" s="62"/>
      <c r="BP389" s="62"/>
      <c r="BQ389" s="46">
        <f>'Filter-old'!O488</f>
        <v>0</v>
      </c>
      <c r="BR389" s="62">
        <f>'Filter-new'!O488</f>
        <v>0</v>
      </c>
      <c r="BS389" s="62"/>
      <c r="BT389" s="62"/>
      <c r="BU389" s="46">
        <f>'Filter-old'!Q488</f>
        <v>0</v>
      </c>
      <c r="BV389" s="62">
        <f>'Filter-new'!Q488</f>
        <v>0</v>
      </c>
      <c r="BW389" s="62"/>
      <c r="BX389" s="62"/>
      <c r="BY389" s="62"/>
      <c r="BZ389" s="62"/>
      <c r="CA389" s="46">
        <f>'Filter-old'!R488</f>
        <v>0</v>
      </c>
      <c r="CB389" s="62">
        <f>'Filter-new'!R488</f>
        <v>0</v>
      </c>
      <c r="CC389" s="57"/>
      <c r="CD389" s="58"/>
      <c r="CE389" s="57"/>
      <c r="CF389" s="57"/>
      <c r="CG389" s="169">
        <f t="shared" si="55"/>
        <v>-13.459915259558315</v>
      </c>
    </row>
    <row r="390" spans="1:85" hidden="1" x14ac:dyDescent="0.2">
      <c r="A390">
        <v>0</v>
      </c>
      <c r="B390" s="59">
        <v>40513</v>
      </c>
      <c r="C390" s="59">
        <f>'Filter-new'!C122</f>
        <v>40513</v>
      </c>
      <c r="D390" s="60">
        <f t="shared" si="50"/>
        <v>2010</v>
      </c>
      <c r="E390" s="60"/>
      <c r="F390" s="60"/>
      <c r="G390" s="36">
        <f t="shared" si="54"/>
        <v>-32.971097159785273</v>
      </c>
      <c r="H390" s="36">
        <f t="shared" si="56"/>
        <v>-18.090182766039192</v>
      </c>
      <c r="I390" s="36"/>
      <c r="J390" s="41"/>
      <c r="K390" s="46">
        <f>'Filter-old'!E489</f>
        <v>0</v>
      </c>
      <c r="L390" s="62">
        <f>'Filter-new'!E489</f>
        <v>8.5449305647329989</v>
      </c>
      <c r="M390" s="62"/>
      <c r="N390" s="62"/>
      <c r="O390" s="429"/>
      <c r="P390" s="62"/>
      <c r="Q390" s="46">
        <f>'Filter-old'!H489</f>
        <v>-32.971097159785273</v>
      </c>
      <c r="R390" s="62">
        <f>'Filter-new'!H489</f>
        <v>-26.635113330772189</v>
      </c>
      <c r="S390" s="62"/>
      <c r="T390" s="62"/>
      <c r="U390" s="445"/>
      <c r="V390" s="62"/>
      <c r="W390" s="46">
        <f>'Filter-old'!J489</f>
        <v>0</v>
      </c>
      <c r="X390" s="62">
        <f>'Filter-new'!J489</f>
        <v>0</v>
      </c>
      <c r="Y390" s="62"/>
      <c r="Z390" s="62"/>
      <c r="AA390" s="46">
        <f>'Filter-old'!F489</f>
        <v>0</v>
      </c>
      <c r="AB390" s="62">
        <f>'Filter-new'!F489</f>
        <v>0</v>
      </c>
      <c r="AC390" s="62"/>
      <c r="AD390" s="62"/>
      <c r="AE390" s="46">
        <f>'Filter-old'!P489</f>
        <v>0</v>
      </c>
      <c r="AF390" s="62">
        <f>'Filter-new'!P489</f>
        <v>0</v>
      </c>
      <c r="AG390" s="62"/>
      <c r="AH390" s="62"/>
      <c r="AI390" s="46">
        <f>'Filter-old'!L489</f>
        <v>0</v>
      </c>
      <c r="AJ390" s="62">
        <f>'Filter-new'!L489</f>
        <v>0</v>
      </c>
      <c r="AK390" s="62"/>
      <c r="AL390" s="62"/>
      <c r="AM390" s="62"/>
      <c r="AN390" s="62"/>
      <c r="AO390" s="46">
        <f>'Filter-old'!G489</f>
        <v>0</v>
      </c>
      <c r="AP390" s="62">
        <f>'Filter-new'!G489</f>
        <v>0</v>
      </c>
      <c r="AQ390" s="62"/>
      <c r="AR390" s="62"/>
      <c r="AS390" s="46"/>
      <c r="AT390" s="62"/>
      <c r="AU390" s="62"/>
      <c r="AV390" s="62"/>
      <c r="AW390" s="46">
        <f>'Filter-old'!I489</f>
        <v>0</v>
      </c>
      <c r="AX390" s="62">
        <f>'Filter-new'!I489</f>
        <v>0</v>
      </c>
      <c r="AY390" s="62"/>
      <c r="AZ390" s="62"/>
      <c r="BA390" s="62"/>
      <c r="BB390" s="62"/>
      <c r="BC390" s="46">
        <f>'Filter-old'!K489</f>
        <v>0</v>
      </c>
      <c r="BD390" s="62">
        <f>'Filter-new'!K489</f>
        <v>0</v>
      </c>
      <c r="BE390" s="62"/>
      <c r="BF390" s="62"/>
      <c r="BG390" s="46">
        <f>'Filter-old'!M489</f>
        <v>0</v>
      </c>
      <c r="BH390" s="62"/>
      <c r="BI390" s="62"/>
      <c r="BJ390" s="62">
        <f>'Filter-new'!M489</f>
        <v>0</v>
      </c>
      <c r="BK390" s="62"/>
      <c r="BL390" s="62"/>
      <c r="BM390" s="62"/>
      <c r="BN390" s="406">
        <f>'Filter-new'!N489</f>
        <v>0</v>
      </c>
      <c r="BO390" s="62"/>
      <c r="BP390" s="62"/>
      <c r="BQ390" s="46">
        <f>'Filter-old'!O489</f>
        <v>0</v>
      </c>
      <c r="BR390" s="62">
        <f>'Filter-new'!O489</f>
        <v>0</v>
      </c>
      <c r="BS390" s="62"/>
      <c r="BT390" s="62"/>
      <c r="BU390" s="46">
        <f>'Filter-old'!Q489</f>
        <v>0</v>
      </c>
      <c r="BV390" s="62">
        <f>'Filter-new'!Q489</f>
        <v>0</v>
      </c>
      <c r="BW390" s="62"/>
      <c r="BX390" s="62"/>
      <c r="BY390" s="62"/>
      <c r="BZ390" s="62"/>
      <c r="CA390" s="46">
        <f>'Filter-old'!R489</f>
        <v>0</v>
      </c>
      <c r="CB390" s="62">
        <f>'Filter-new'!R489</f>
        <v>0</v>
      </c>
      <c r="CC390" s="57"/>
      <c r="CD390" s="58"/>
      <c r="CE390" s="57"/>
      <c r="CF390" s="57"/>
      <c r="CG390" s="169">
        <f t="shared" si="55"/>
        <v>-14.880914393746082</v>
      </c>
    </row>
    <row r="391" spans="1:85" hidden="1" x14ac:dyDescent="0.2">
      <c r="A391">
        <v>0</v>
      </c>
      <c r="B391" s="59"/>
      <c r="C391" s="59"/>
      <c r="D391" s="63"/>
      <c r="E391" s="63"/>
      <c r="F391" s="63"/>
      <c r="G391" s="36"/>
      <c r="H391" s="36"/>
      <c r="I391" s="36"/>
      <c r="J391" s="41"/>
      <c r="K391" s="46"/>
      <c r="L391" s="62"/>
      <c r="M391" s="62"/>
      <c r="N391" s="62"/>
      <c r="O391" s="429"/>
      <c r="P391" s="62"/>
      <c r="Q391" s="46"/>
      <c r="R391" s="62"/>
      <c r="S391" s="62"/>
      <c r="T391" s="62"/>
      <c r="U391" s="445"/>
      <c r="V391" s="62"/>
      <c r="W391" s="46"/>
      <c r="X391" s="62"/>
      <c r="Y391" s="62"/>
      <c r="Z391" s="62"/>
      <c r="AA391" s="46"/>
      <c r="AB391" s="62"/>
      <c r="AC391" s="62"/>
      <c r="AD391" s="62"/>
      <c r="AE391" s="46"/>
      <c r="AF391" s="62"/>
      <c r="AG391" s="62"/>
      <c r="AH391" s="62"/>
      <c r="AI391" s="46"/>
      <c r="AJ391" s="62"/>
      <c r="AK391" s="62"/>
      <c r="AL391" s="62"/>
      <c r="AM391" s="62"/>
      <c r="AN391" s="62"/>
      <c r="AO391" s="46"/>
      <c r="AP391" s="62"/>
      <c r="AQ391" s="62"/>
      <c r="AR391" s="62"/>
      <c r="AS391" s="46"/>
      <c r="AT391" s="62"/>
      <c r="AU391" s="62"/>
      <c r="AV391" s="62"/>
      <c r="AW391" s="46"/>
      <c r="AX391" s="62"/>
      <c r="AY391" s="62"/>
      <c r="AZ391" s="62"/>
      <c r="BA391" s="62"/>
      <c r="BB391" s="62"/>
      <c r="BC391" s="46"/>
      <c r="BD391" s="62"/>
      <c r="BE391" s="62"/>
      <c r="BF391" s="62"/>
      <c r="BG391" s="46"/>
      <c r="BH391" s="62"/>
      <c r="BI391" s="62"/>
      <c r="BJ391" s="62"/>
      <c r="BK391" s="62"/>
      <c r="BL391" s="62"/>
      <c r="BM391" s="62"/>
      <c r="BN391" s="406"/>
      <c r="BO391" s="62"/>
      <c r="BP391" s="62"/>
      <c r="BQ391" s="46"/>
      <c r="BR391" s="62"/>
      <c r="BS391" s="62"/>
      <c r="BT391" s="62"/>
      <c r="BU391" s="46"/>
      <c r="BV391" s="62"/>
      <c r="BW391" s="62"/>
      <c r="BX391" s="62"/>
      <c r="BY391" s="62"/>
      <c r="BZ391" s="62"/>
      <c r="CA391" s="46"/>
      <c r="CB391" s="62"/>
      <c r="CC391" s="57"/>
      <c r="CD391" s="58"/>
      <c r="CE391" s="57"/>
      <c r="CF391" s="57"/>
      <c r="CG391" s="4"/>
    </row>
    <row r="392" spans="1:85" s="5" customFormat="1" x14ac:dyDescent="0.2">
      <c r="A392" s="5">
        <v>1</v>
      </c>
      <c r="B392" s="71" t="s">
        <v>71</v>
      </c>
      <c r="C392" s="71" t="s">
        <v>71</v>
      </c>
      <c r="D392" s="73"/>
      <c r="E392" s="73"/>
      <c r="F392" s="73"/>
      <c r="G392" s="39"/>
      <c r="H392" s="39"/>
      <c r="I392" s="39"/>
      <c r="J392" s="43"/>
      <c r="K392" s="43"/>
      <c r="L392" s="180"/>
      <c r="M392" s="67"/>
      <c r="N392" s="67"/>
      <c r="O392" s="275"/>
      <c r="P392" s="67"/>
      <c r="Q392" s="43"/>
      <c r="R392" s="180"/>
      <c r="S392" s="67"/>
      <c r="T392" s="67"/>
      <c r="U392" s="454"/>
      <c r="V392" s="67"/>
      <c r="W392" s="43"/>
      <c r="X392" s="180"/>
      <c r="Y392" s="67"/>
      <c r="Z392" s="67"/>
      <c r="AA392" s="43"/>
      <c r="AB392" s="180"/>
      <c r="AC392" s="67"/>
      <c r="AD392" s="67"/>
      <c r="AE392" s="43"/>
      <c r="AF392" s="180"/>
      <c r="AG392" s="67"/>
      <c r="AH392" s="67"/>
      <c r="AI392" s="43"/>
      <c r="AJ392" s="180"/>
      <c r="AK392" s="67"/>
      <c r="AL392" s="67"/>
      <c r="AM392" s="67"/>
      <c r="AN392" s="67"/>
      <c r="AO392" s="43"/>
      <c r="AP392" s="180"/>
      <c r="AQ392" s="67"/>
      <c r="AR392" s="67"/>
      <c r="AS392" s="43"/>
      <c r="AT392" s="180"/>
      <c r="AU392" s="67"/>
      <c r="AV392" s="67"/>
      <c r="AW392" s="43"/>
      <c r="AX392" s="394"/>
      <c r="AY392" s="67"/>
      <c r="AZ392" s="67"/>
      <c r="BA392" s="67"/>
      <c r="BB392" s="396"/>
      <c r="BC392" s="73"/>
      <c r="BD392" s="180"/>
      <c r="BE392" s="67"/>
      <c r="BF392" s="67"/>
      <c r="BG392" s="73"/>
      <c r="BH392" s="73"/>
      <c r="BI392" s="523"/>
      <c r="BJ392" s="67"/>
      <c r="BK392" s="67"/>
      <c r="BL392" s="67"/>
      <c r="BM392" s="67"/>
      <c r="BN392" s="529"/>
      <c r="BO392" s="67"/>
      <c r="BP392" s="67"/>
      <c r="BQ392" s="43"/>
      <c r="BR392" s="180"/>
      <c r="BS392" s="67"/>
      <c r="BT392" s="67"/>
      <c r="BU392" s="43"/>
      <c r="BV392" s="180"/>
      <c r="BW392" s="67"/>
      <c r="BX392" s="67"/>
      <c r="BY392" s="67"/>
      <c r="BZ392" s="67"/>
      <c r="CA392" s="43"/>
      <c r="CB392" s="43"/>
      <c r="CC392" s="73"/>
      <c r="CD392" s="73"/>
      <c r="CE392" s="73"/>
      <c r="CF392" s="68"/>
      <c r="CG392" s="30"/>
    </row>
    <row r="393" spans="1:85" x14ac:dyDescent="0.2">
      <c r="A393">
        <v>1</v>
      </c>
      <c r="B393" s="92" t="s">
        <v>56</v>
      </c>
      <c r="C393" s="92" t="s">
        <v>56</v>
      </c>
      <c r="D393" s="63"/>
      <c r="E393" s="63"/>
      <c r="F393" s="63"/>
      <c r="G393" s="36">
        <f>SUMIF($D$276:$D$390,"2001",G$276:G$390)</f>
        <v>616.37526046844278</v>
      </c>
      <c r="H393" s="36" t="e">
        <f>SUMIF($D$276:$D$390,"2001",H$276:H$390)</f>
        <v>#VALUE!</v>
      </c>
      <c r="I393" s="36"/>
      <c r="J393" s="41"/>
      <c r="K393" s="36">
        <f>SUMIF($D$276:$D$390,"2001",K$276:K$390)</f>
        <v>1148.3525994426136</v>
      </c>
      <c r="L393" s="36">
        <f>SUMIF($D$276:$D$390,"2001",L$276:L$390)</f>
        <v>413.47789291882572</v>
      </c>
      <c r="M393" s="61"/>
      <c r="N393" s="61"/>
      <c r="O393" s="271"/>
      <c r="P393" s="61"/>
      <c r="Q393" s="36">
        <f>SUMIF($D$276:$D$390,"2001",Q$276:Q$390)</f>
        <v>-348.57852303361091</v>
      </c>
      <c r="R393" s="36">
        <f>SUMIF($D$276:$D$390,"2001",R$276:R$390)</f>
        <v>53.737094607560941</v>
      </c>
      <c r="S393" s="61"/>
      <c r="T393" s="61"/>
      <c r="U393" s="445"/>
      <c r="V393" s="61"/>
      <c r="W393" s="36">
        <f>SUMIF($D$276:$D$390,"2001",W$276:W$390)</f>
        <v>154.414617651968</v>
      </c>
      <c r="X393" s="36">
        <f>SUMIF($D$276:$D$390,"2001",X$276:X$390)</f>
        <v>0</v>
      </c>
      <c r="Y393" s="61"/>
      <c r="Z393" s="61"/>
      <c r="AA393" s="36">
        <f>SUMIF($D$276:$D$390,"2001",AA$276:AA$390)</f>
        <v>0</v>
      </c>
      <c r="AB393" s="36">
        <f>SUMIF($D$276:$D$390,"2001",AB$276:AB$390)</f>
        <v>0</v>
      </c>
      <c r="AC393" s="61"/>
      <c r="AD393" s="61"/>
      <c r="AE393" s="36">
        <f>SUMIF($D$276:$D$390,"2001",AE$276:AE$390)</f>
        <v>0</v>
      </c>
      <c r="AF393" s="36">
        <f>SUMIF($D$276:$D$390,"2001",AF$276:AF$390)</f>
        <v>0</v>
      </c>
      <c r="AG393" s="61"/>
      <c r="AH393" s="61"/>
      <c r="AI393" s="36">
        <f>SUMIF($D$276:$D$390,"2001",AI$276:AI$390)</f>
        <v>0</v>
      </c>
      <c r="AJ393" s="36">
        <f>SUMIF($D$276:$D$390,"2001",AJ$276:AJ$390)</f>
        <v>0</v>
      </c>
      <c r="AK393" s="61"/>
      <c r="AL393" s="61"/>
      <c r="AM393" s="61"/>
      <c r="AN393" s="61"/>
      <c r="AO393" s="36">
        <f>SUMIF($D$276:$D$390,"2001",AO$276:AO$390)</f>
        <v>0</v>
      </c>
      <c r="AP393" s="36">
        <f>SUMIF($D$276:$D$390,"2001",AP$276:AP$390)</f>
        <v>0</v>
      </c>
      <c r="AQ393" s="61"/>
      <c r="AR393" s="61"/>
      <c r="AS393" s="36"/>
      <c r="AT393" s="36" t="e">
        <f t="shared" ref="AT393:AT402" si="57">AX393+BD393+BJ393+BR393+BV393+CB393+BN393</f>
        <v>#VALUE!</v>
      </c>
      <c r="AU393" s="61"/>
      <c r="AV393" s="61"/>
      <c r="AW393" s="36">
        <f>SUMIF($D$276:$D$390,"2001",AW$276:AW$390)</f>
        <v>15.485885438073698</v>
      </c>
      <c r="AX393" s="385">
        <f>SUMIF($D$276:$D$390,"2001",AX$276:AX$390)</f>
        <v>13.704663212435236</v>
      </c>
      <c r="AY393" s="61"/>
      <c r="AZ393" s="61"/>
      <c r="BA393" s="61"/>
      <c r="BB393" s="388"/>
      <c r="BC393" s="69">
        <f>SUMIF($D$276:$D$390,"2001",BC$276:BC$390)</f>
        <v>0</v>
      </c>
      <c r="BD393" s="36">
        <f>SUMIF($D$276:$D$390,"2001",BD$276:BD$390)</f>
        <v>92.530224525043195</v>
      </c>
      <c r="BE393" s="61"/>
      <c r="BF393" s="61"/>
      <c r="BG393" s="69">
        <f>SUMIF($D$276:$D$390,"2001",BG$276:BG$390)</f>
        <v>0</v>
      </c>
      <c r="BH393" s="69"/>
      <c r="BI393" s="517"/>
      <c r="BJ393" s="69" t="e">
        <f>SUMIF($D$276:$D$390,"2001",BJ$276:BJ$390)</f>
        <v>#VALUE!</v>
      </c>
      <c r="BK393" s="61"/>
      <c r="BL393" s="61"/>
      <c r="BM393" s="61"/>
      <c r="BN393" s="404">
        <v>0</v>
      </c>
      <c r="BO393" s="61"/>
      <c r="BP393" s="61"/>
      <c r="BQ393" s="36">
        <f>SUMIF($D$276:$D$390,"2001",BQ$276:BQ$390)</f>
        <v>0</v>
      </c>
      <c r="BR393" s="36">
        <f>SUMIF($D$276:$D$390,"2001",BR$276:BR$390)</f>
        <v>13.497409326424872</v>
      </c>
      <c r="BS393" s="61"/>
      <c r="BT393" s="61"/>
      <c r="BU393" s="36">
        <f>SUMIF($D$276:$D$390,"2001",BU$276:BU$390)</f>
        <v>-324.1923077740048</v>
      </c>
      <c r="BV393" s="36">
        <f>SUMIF($D$276:$D$390,"2001",BV$276:BV$390)</f>
        <v>0</v>
      </c>
      <c r="BW393" s="61"/>
      <c r="BX393" s="61"/>
      <c r="BY393" s="61"/>
      <c r="BZ393" s="61"/>
      <c r="CA393" s="36">
        <f>SUMIF($D$276:$D$390,"2001",CA$276:CA$390)</f>
        <v>-29.10701125659682</v>
      </c>
      <c r="CB393" s="36">
        <f>SUMIF($D$276:$D$390,"2001",CB$276:CB$390)</f>
        <v>29.05008635578584</v>
      </c>
      <c r="CC393" s="61"/>
      <c r="CD393" s="57"/>
      <c r="CE393" s="57"/>
      <c r="CF393" s="58"/>
      <c r="CG393" s="4"/>
    </row>
    <row r="394" spans="1:85" s="35" customFormat="1" x14ac:dyDescent="0.2">
      <c r="A394" s="35">
        <v>1</v>
      </c>
      <c r="B394" s="94" t="s">
        <v>57</v>
      </c>
      <c r="C394" s="94" t="s">
        <v>57</v>
      </c>
      <c r="D394" s="64"/>
      <c r="E394" s="64"/>
      <c r="F394" s="64"/>
      <c r="G394" s="37">
        <f>SUMIF($D$276:$D$390,"2002",G$276:G$390)</f>
        <v>-3011.4710459115236</v>
      </c>
      <c r="H394" s="37">
        <f>SUMIF($D$276:$D$390,"2002",H$276:H$390)</f>
        <v>2487.2934189823782</v>
      </c>
      <c r="I394" s="37"/>
      <c r="J394" s="42"/>
      <c r="K394" s="37">
        <f>SUMIF($D$276:$D$390,"2002",K$276:K$390)</f>
        <v>-1564.6489937589852</v>
      </c>
      <c r="L394" s="37">
        <f>SUMIF($D$276:$D$390,"2002",L$276:L$390)</f>
        <v>-7658.8468341624712</v>
      </c>
      <c r="M394" s="65"/>
      <c r="N394" s="65"/>
      <c r="O394" s="272"/>
      <c r="P394" s="65"/>
      <c r="Q394" s="37">
        <f>SUMIF($D$276:$D$390,"2002",Q$276:Q$390)</f>
        <v>-2323.4521545095172</v>
      </c>
      <c r="R394" s="37">
        <f>SUMIF($D$276:$D$390,"2002",R$276:R$390)</f>
        <v>-592.6718458235805</v>
      </c>
      <c r="S394" s="65"/>
      <c r="T394" s="65"/>
      <c r="U394" s="451"/>
      <c r="V394" s="65"/>
      <c r="W394" s="37">
        <f>SUMIF($D$276:$D$390,"2002",W$276:W$390)</f>
        <v>0</v>
      </c>
      <c r="X394" s="37">
        <f>SUMIF($D$276:$D$390,"2002",X$276:X$390)</f>
        <v>0</v>
      </c>
      <c r="Y394" s="65"/>
      <c r="Z394" s="65"/>
      <c r="AA394" s="37">
        <f>SUMIF($D$276:$D$390,"2002",AA$276:AA$390)</f>
        <v>0</v>
      </c>
      <c r="AB394" s="37">
        <f>SUMIF($D$276:$D$390,"2002",AB$276:AB$390)</f>
        <v>0</v>
      </c>
      <c r="AC394" s="65"/>
      <c r="AD394" s="65"/>
      <c r="AE394" s="37">
        <f>SUMIF($D$276:$D$390,"2002",AE$276:AE$390)</f>
        <v>0</v>
      </c>
      <c r="AF394" s="37">
        <f>SUMIF($D$276:$D$390,"2002",AF$276:AF$390)</f>
        <v>-94.56229179736566</v>
      </c>
      <c r="AG394" s="65"/>
      <c r="AH394" s="65"/>
      <c r="AI394" s="37">
        <f>SUMIF($D$276:$D$390,"2002",AI$276:AI$390)</f>
        <v>0</v>
      </c>
      <c r="AJ394" s="37">
        <f>SUMIF($D$276:$D$390,"2002",AJ$276:AJ$390)</f>
        <v>134.35178627781033</v>
      </c>
      <c r="AK394" s="65"/>
      <c r="AL394" s="65"/>
      <c r="AM394" s="65"/>
      <c r="AN394" s="65"/>
      <c r="AO394" s="37">
        <f>SUMIF($D$276:$D$390,"2002",AO$276:AO$390)</f>
        <v>183.06347997849306</v>
      </c>
      <c r="AP394" s="37">
        <f>SUMIF($D$276:$D$390,"2002",AP$276:AP$390)</f>
        <v>0</v>
      </c>
      <c r="AQ394" s="65"/>
      <c r="AR394" s="65"/>
      <c r="AS394" s="37"/>
      <c r="AT394" s="37">
        <f t="shared" si="57"/>
        <v>10699.022604487986</v>
      </c>
      <c r="AU394" s="65"/>
      <c r="AV394" s="65"/>
      <c r="AW394" s="37">
        <f>SUMIF($D$276:$D$390,"2002",AW$276:AW$390)</f>
        <v>292.75306372537545</v>
      </c>
      <c r="AX394" s="386">
        <f>SUMIF($D$276:$D$390,"2002",AX$276:AX$390)</f>
        <v>-892.97451662913591</v>
      </c>
      <c r="AY394" s="65"/>
      <c r="AZ394" s="65"/>
      <c r="BA394" s="65"/>
      <c r="BB394" s="390"/>
      <c r="BC394" s="70">
        <f>SUMIF($D$276:$D$390,"2002",BC$276:BC$390)</f>
        <v>-62.963332336114775</v>
      </c>
      <c r="BD394" s="37">
        <f>SUMIF($D$276:$D$390,"2002",BD$276:BD$390)</f>
        <v>1601.0003055398008</v>
      </c>
      <c r="BE394" s="65"/>
      <c r="BF394" s="65"/>
      <c r="BG394" s="70">
        <f>SUMIF($D$276:$D$390,"2002",BG$276:BG$390)</f>
        <v>0</v>
      </c>
      <c r="BH394" s="70"/>
      <c r="BI394" s="518"/>
      <c r="BJ394" s="70">
        <f>SUMIF($D$276:$D$390,"2002",BJ$276:BJ$390)</f>
        <v>5221.5244725578668</v>
      </c>
      <c r="BK394" s="65"/>
      <c r="BL394" s="65"/>
      <c r="BM394" s="65"/>
      <c r="BN394" s="526">
        <f>SUMIF($D$276:$D$390,"2002",BN$276:BN$390)</f>
        <v>3181.9928237301629</v>
      </c>
      <c r="BO394" s="65"/>
      <c r="BP394" s="65"/>
      <c r="BQ394" s="37">
        <f>SUMIF($D$276:$D$390,"2002",BQ$276:BQ$390)</f>
        <v>0</v>
      </c>
      <c r="BR394" s="37">
        <f>SUMIF($D$276:$D$390,"2002",BR$276:BR$390)</f>
        <v>1554.0165517452813</v>
      </c>
      <c r="BS394" s="65"/>
      <c r="BT394" s="65"/>
      <c r="BU394" s="37">
        <f>SUMIF($D$276:$D$390,"2002",BU$276:BU$390)</f>
        <v>781.08528694803272</v>
      </c>
      <c r="BV394" s="37">
        <f>SUMIF($D$276:$D$390,"2002",BV$276:BV$390)</f>
        <v>-35.979783589567411</v>
      </c>
      <c r="BW394" s="65"/>
      <c r="BX394" s="65"/>
      <c r="BY394" s="65"/>
      <c r="BZ394" s="65"/>
      <c r="CA394" s="37">
        <f>SUMIF($D$276:$D$390,"2002",CA$276:CA$390)</f>
        <v>-317.30839595880792</v>
      </c>
      <c r="CB394" s="37">
        <f>SUMIF($D$276:$D$390,"2002",CB$276:CB$390)</f>
        <v>69.442751133577389</v>
      </c>
      <c r="CC394" s="65"/>
      <c r="CD394" s="221"/>
      <c r="CE394" s="221"/>
      <c r="CF394" s="66"/>
      <c r="CG394" s="34"/>
    </row>
    <row r="395" spans="1:85" x14ac:dyDescent="0.2">
      <c r="A395">
        <v>1</v>
      </c>
      <c r="B395" s="92" t="s">
        <v>58</v>
      </c>
      <c r="C395" s="92" t="s">
        <v>58</v>
      </c>
      <c r="D395" s="63"/>
      <c r="E395" s="63"/>
      <c r="F395" s="63"/>
      <c r="G395" s="36">
        <f>SUMIF($D$276:$D$390,"2003",G$276:G$390)</f>
        <v>-2598.6726233987993</v>
      </c>
      <c r="H395" s="36">
        <f>SUMIF($D$276:$D$390,"2003",H$276:H$390)</f>
        <v>-2898.8803352136174</v>
      </c>
      <c r="I395" s="36"/>
      <c r="J395" s="41"/>
      <c r="K395" s="36">
        <f>SUMIF($D$276:$D$390,"2003",K$276:K$390)</f>
        <v>-1493.2632466220728</v>
      </c>
      <c r="L395" s="36">
        <f>SUMIF($D$276:$D$390,"2003",L$276:L$390)</f>
        <v>-2175.1405729952926</v>
      </c>
      <c r="M395" s="61"/>
      <c r="N395" s="61"/>
      <c r="O395" s="271"/>
      <c r="P395" s="61"/>
      <c r="Q395" s="36">
        <f>SUMIF($D$276:$D$390,"2003",Q$276:Q$390)</f>
        <v>-2015.7845199511789</v>
      </c>
      <c r="R395" s="36">
        <f>SUMIF($D$276:$D$390,"2003",R$276:R$390)</f>
        <v>-3282.7400097923032</v>
      </c>
      <c r="S395" s="61"/>
      <c r="T395" s="61"/>
      <c r="U395" s="445"/>
      <c r="V395" s="61"/>
      <c r="W395" s="36">
        <f>SUMIF($D$276:$D$390,"2003",W$276:W$390)</f>
        <v>0</v>
      </c>
      <c r="X395" s="36">
        <f>SUMIF($D$276:$D$390,"2003",X$276:X$390)</f>
        <v>0</v>
      </c>
      <c r="Y395" s="61"/>
      <c r="Z395" s="61"/>
      <c r="AA395" s="36">
        <f>SUMIF($D$276:$D$390,"2003",AA$276:AA$390)</f>
        <v>0</v>
      </c>
      <c r="AB395" s="36">
        <f>SUMIF($D$276:$D$390,"2003",AB$276:AB$390)</f>
        <v>0</v>
      </c>
      <c r="AC395" s="61"/>
      <c r="AD395" s="61"/>
      <c r="AE395" s="36">
        <f>SUMIF($D$276:$D$390,"2003",AE$276:AE$390)</f>
        <v>0</v>
      </c>
      <c r="AF395" s="36">
        <f>SUMIF($D$276:$D$390,"2003",AF$276:AF$390)</f>
        <v>0</v>
      </c>
      <c r="AG395" s="61"/>
      <c r="AH395" s="61"/>
      <c r="AI395" s="36">
        <f>SUMIF($D$276:$D$390,"2003",AI$276:AI$390)</f>
        <v>0</v>
      </c>
      <c r="AJ395" s="36">
        <f>SUMIF($D$276:$D$390,"2003",AJ$276:AJ$390)</f>
        <v>120.59458202324399</v>
      </c>
      <c r="AK395" s="61"/>
      <c r="AL395" s="61"/>
      <c r="AM395" s="61"/>
      <c r="AN395" s="61"/>
      <c r="AO395" s="36">
        <f>SUMIF($D$276:$D$390,"2003",AO$276:AO$390)</f>
        <v>0</v>
      </c>
      <c r="AP395" s="36">
        <f>SUMIF($D$276:$D$390,"2003",AP$276:AP$390)</f>
        <v>0</v>
      </c>
      <c r="AQ395" s="61"/>
      <c r="AR395" s="61"/>
      <c r="AS395" s="36"/>
      <c r="AT395" s="36">
        <f t="shared" si="57"/>
        <v>2438.4056655507343</v>
      </c>
      <c r="AU395" s="61"/>
      <c r="AV395" s="61"/>
      <c r="AW395" s="36">
        <f>SUMIF($D$276:$D$390,"2003",AW$276:AW$390)</f>
        <v>0</v>
      </c>
      <c r="AX395" s="385">
        <f>SUMIF($D$276:$D$390,"2003",AX$276:AX$390)</f>
        <v>51.205414520568112</v>
      </c>
      <c r="AY395" s="61"/>
      <c r="AZ395" s="61"/>
      <c r="BA395" s="61"/>
      <c r="BB395" s="388"/>
      <c r="BC395" s="69">
        <f>SUMIF($D$276:$D$390,"2003",BC$276:BC$390)</f>
        <v>0</v>
      </c>
      <c r="BD395" s="36">
        <f>SUMIF($D$276:$D$390,"2003",BD$276:BD$390)</f>
        <v>-315.82354650623301</v>
      </c>
      <c r="BE395" s="61"/>
      <c r="BF395" s="61"/>
      <c r="BG395" s="69">
        <f>SUMIF($D$276:$D$390,"2003",BG$276:BG$390)</f>
        <v>0</v>
      </c>
      <c r="BH395" s="69"/>
      <c r="BI395" s="517"/>
      <c r="BJ395" s="69">
        <f>SUMIF($D$276:$D$390,"2003",BJ$276:BJ$390)</f>
        <v>988.22404595940384</v>
      </c>
      <c r="BK395" s="61"/>
      <c r="BL395" s="61"/>
      <c r="BM395" s="61"/>
      <c r="BN395" s="404">
        <f>SUMIF($D$276:$D$390,"2003",BN$276:BN$390)</f>
        <v>0</v>
      </c>
      <c r="BO395" s="61"/>
      <c r="BP395" s="61"/>
      <c r="BQ395" s="36">
        <f>SUMIF($D$276:$D$390,"2003",BQ$276:BQ$390)</f>
        <v>0</v>
      </c>
      <c r="BR395" s="36">
        <f>SUMIF($D$276:$D$390,"2003",BR$276:BR$390)</f>
        <v>335.17354312235574</v>
      </c>
      <c r="BS395" s="61"/>
      <c r="BT395" s="61"/>
      <c r="BU395" s="36">
        <f>SUMIF($D$276:$D$390,"2003",BU$276:BU$390)</f>
        <v>1127.2647365737989</v>
      </c>
      <c r="BV395" s="36">
        <f>SUMIF($D$276:$D$390,"2003",BV$276:BV$390)</f>
        <v>273.69569026291407</v>
      </c>
      <c r="BW395" s="61"/>
      <c r="BX395" s="61"/>
      <c r="BY395" s="61"/>
      <c r="BZ395" s="61"/>
      <c r="CA395" s="36">
        <f>SUMIF($D$276:$D$390,"2003",CA$276:CA$390)</f>
        <v>-216.88959339934647</v>
      </c>
      <c r="CB395" s="36">
        <f>SUMIF($D$276:$D$390,"2003",CB$276:CB$390)</f>
        <v>1105.9305181917255</v>
      </c>
      <c r="CC395" s="61"/>
      <c r="CD395" s="57"/>
      <c r="CE395" s="57"/>
      <c r="CF395" s="58"/>
      <c r="CG395" s="4"/>
    </row>
    <row r="396" spans="1:85" s="35" customFormat="1" x14ac:dyDescent="0.2">
      <c r="A396" s="35">
        <v>1</v>
      </c>
      <c r="B396" s="94" t="s">
        <v>59</v>
      </c>
      <c r="C396" s="94" t="s">
        <v>59</v>
      </c>
      <c r="D396" s="64"/>
      <c r="E396" s="64"/>
      <c r="F396" s="64"/>
      <c r="G396" s="37">
        <f>SUMIF($D$276:$D$390,"2004",G$276:G$390)</f>
        <v>165.22653149658098</v>
      </c>
      <c r="H396" s="37">
        <f>SUMIF($D$276:$D$390,"2004",H$276:H$390)</f>
        <v>781.54455084671167</v>
      </c>
      <c r="I396" s="37"/>
      <c r="J396" s="42"/>
      <c r="K396" s="37">
        <f>SUMIF($D$276:$D$390,"2004",K$276:K$390)</f>
        <v>-474.17520966377361</v>
      </c>
      <c r="L396" s="37">
        <f>SUMIF($D$276:$D$390,"2004",L$276:L$390)</f>
        <v>-248.66380348164881</v>
      </c>
      <c r="M396" s="65"/>
      <c r="N396" s="65"/>
      <c r="O396" s="272"/>
      <c r="P396" s="65"/>
      <c r="Q396" s="37">
        <f>SUMIF($D$276:$D$390,"2004",Q$276:Q$390)</f>
        <v>0</v>
      </c>
      <c r="R396" s="37">
        <f>SUMIF($D$276:$D$390,"2004",R$276:R$390)</f>
        <v>0</v>
      </c>
      <c r="S396" s="65"/>
      <c r="T396" s="65"/>
      <c r="U396" s="451"/>
      <c r="V396" s="65"/>
      <c r="W396" s="37">
        <f>SUMIF($D$276:$D$390,"2004",W$276:W$390)</f>
        <v>0</v>
      </c>
      <c r="X396" s="37">
        <f>SUMIF($D$276:$D$390,"2004",X$276:X$390)</f>
        <v>0</v>
      </c>
      <c r="Y396" s="65"/>
      <c r="Z396" s="65"/>
      <c r="AA396" s="37">
        <f>SUMIF($D$276:$D$390,"2004",AA$276:AA$390)</f>
        <v>0</v>
      </c>
      <c r="AB396" s="37">
        <f>SUMIF($D$276:$D$390,"2004",AB$276:AB$390)</f>
        <v>0</v>
      </c>
      <c r="AC396" s="65"/>
      <c r="AD396" s="65"/>
      <c r="AE396" s="37">
        <f>SUMIF($D$276:$D$390,"2004",AE$276:AE$390)</f>
        <v>0</v>
      </c>
      <c r="AF396" s="37">
        <f>SUMIF($D$276:$D$390,"2004",AF$276:AF$390)</f>
        <v>0</v>
      </c>
      <c r="AG396" s="65"/>
      <c r="AH396" s="65"/>
      <c r="AI396" s="37">
        <f>SUMIF($D$276:$D$390,"2004",AI$276:AI$390)</f>
        <v>0</v>
      </c>
      <c r="AJ396" s="37">
        <f>SUMIF($D$276:$D$390,"2004",AJ$276:AJ$390)</f>
        <v>-0.99845583295066564</v>
      </c>
      <c r="AK396" s="65"/>
      <c r="AL396" s="65"/>
      <c r="AM396" s="65"/>
      <c r="AN396" s="65"/>
      <c r="AO396" s="37">
        <f>SUMIF($D$276:$D$390,"2004",AO$276:AO$390)</f>
        <v>0</v>
      </c>
      <c r="AP396" s="37">
        <f>SUMIF($D$276:$D$390,"2004",AP$276:AP$390)</f>
        <v>0</v>
      </c>
      <c r="AQ396" s="65"/>
      <c r="AR396" s="65"/>
      <c r="AS396" s="37"/>
      <c r="AT396" s="37">
        <f t="shared" si="57"/>
        <v>1031.2068101613113</v>
      </c>
      <c r="AU396" s="65"/>
      <c r="AV396" s="65"/>
      <c r="AW396" s="37">
        <f>SUMIF($D$276:$D$390,"2004",AW$276:AW$390)</f>
        <v>200.01026421977676</v>
      </c>
      <c r="AX396" s="386">
        <f>SUMIF($D$276:$D$390,"2004",AX$276:AX$390)</f>
        <v>404.06869880856357</v>
      </c>
      <c r="AY396" s="65"/>
      <c r="AZ396" s="65"/>
      <c r="BA396" s="65"/>
      <c r="BB396" s="390"/>
      <c r="BC396" s="70">
        <f>SUMIF($D$276:$D$390,"2004",BC$276:BC$390)</f>
        <v>0</v>
      </c>
      <c r="BD396" s="37">
        <f>SUMIF($D$276:$D$390,"2004",BD$276:BD$390)</f>
        <v>0</v>
      </c>
      <c r="BE396" s="65"/>
      <c r="BF396" s="65"/>
      <c r="BG396" s="70">
        <f>SUMIF($D$276:$D$390,"2004",BG$276:BG$390)</f>
        <v>0</v>
      </c>
      <c r="BH396" s="70"/>
      <c r="BI396" s="518"/>
      <c r="BJ396" s="70">
        <f>SUMIF($D$276:$D$390,"2004",BJ$276:BJ$390)</f>
        <v>-221.83768698352264</v>
      </c>
      <c r="BK396" s="65"/>
      <c r="BL396" s="65"/>
      <c r="BM396" s="65"/>
      <c r="BN396" s="526">
        <f>SUMIF($D$276:$D$390,"2004",BN$276:BN$390)</f>
        <v>0</v>
      </c>
      <c r="BO396" s="65"/>
      <c r="BP396" s="65"/>
      <c r="BQ396" s="37">
        <f>SUMIF($D$276:$D$390,"2004",BQ$276:BQ$390)</f>
        <v>0</v>
      </c>
      <c r="BR396" s="37">
        <f>SUMIF($D$276:$D$390,"2004",BR$276:BR$390)</f>
        <v>0</v>
      </c>
      <c r="BS396" s="65"/>
      <c r="BT396" s="65"/>
      <c r="BU396" s="37">
        <f>SUMIF($D$276:$D$390,"2004",BU$276:BU$390)</f>
        <v>439.39147694057783</v>
      </c>
      <c r="BV396" s="37">
        <f>SUMIF($D$276:$D$390,"2004",BV$276:BV$390)</f>
        <v>-198.27262168602616</v>
      </c>
      <c r="BW396" s="65"/>
      <c r="BX396" s="65"/>
      <c r="BY396" s="65"/>
      <c r="BZ396" s="65"/>
      <c r="CA396" s="37">
        <f>SUMIF($D$276:$D$390,"2004",CA$276:CA$390)</f>
        <v>0</v>
      </c>
      <c r="CB396" s="37">
        <f>SUMIF($D$276:$D$390,"2004",CB$276:CB$390)</f>
        <v>1047.2484200222966</v>
      </c>
      <c r="CC396" s="65"/>
      <c r="CD396" s="221"/>
      <c r="CE396" s="221"/>
      <c r="CF396" s="66"/>
      <c r="CG396" s="34"/>
    </row>
    <row r="397" spans="1:85" x14ac:dyDescent="0.2">
      <c r="A397">
        <v>1</v>
      </c>
      <c r="B397" s="92" t="s">
        <v>60</v>
      </c>
      <c r="C397" s="92" t="s">
        <v>60</v>
      </c>
      <c r="D397" s="63"/>
      <c r="E397" s="63"/>
      <c r="F397" s="63"/>
      <c r="G397" s="36">
        <f>SUMIF($D$276:$D$390,"2005",G$276:G$390)</f>
        <v>1514.1404681253978</v>
      </c>
      <c r="H397" s="36">
        <f>SUMIF($D$276:$D$390,"2005",H$276:H$390)</f>
        <v>253.28030262520437</v>
      </c>
      <c r="I397" s="36"/>
      <c r="J397" s="41"/>
      <c r="K397" s="36">
        <f>SUMIF($D$276:$D$390,"2005",K$276:K$390)</f>
        <v>777.41803664802069</v>
      </c>
      <c r="L397" s="36">
        <f>SUMIF($D$276:$D$390,"2005",L$276:L$390)</f>
        <v>-281.14975384647124</v>
      </c>
      <c r="M397" s="61"/>
      <c r="N397" s="61"/>
      <c r="O397" s="271"/>
      <c r="P397" s="61"/>
      <c r="Q397" s="36">
        <f>SUMIF($D$276:$D$390,"2005",Q$276:Q$390)</f>
        <v>185.88397303549579</v>
      </c>
      <c r="R397" s="36">
        <f>SUMIF($D$276:$D$390,"2005",R$276:R$390)</f>
        <v>-191.00855381294329</v>
      </c>
      <c r="S397" s="61"/>
      <c r="T397" s="61"/>
      <c r="U397" s="445"/>
      <c r="V397" s="61"/>
      <c r="W397" s="36">
        <f>SUMIF($D$276:$D$390,"2005",W$276:W$390)</f>
        <v>0</v>
      </c>
      <c r="X397" s="36">
        <f>SUMIF($D$276:$D$390,"2005",X$276:X$390)</f>
        <v>0</v>
      </c>
      <c r="Y397" s="61"/>
      <c r="Z397" s="61"/>
      <c r="AA397" s="36">
        <f>SUMIF($D$276:$D$390,"2005",AA$276:AA$390)</f>
        <v>0</v>
      </c>
      <c r="AB397" s="36">
        <f>SUMIF($D$276:$D$390,"2005",AB$276:AB$390)</f>
        <v>0</v>
      </c>
      <c r="AC397" s="61"/>
      <c r="AD397" s="61"/>
      <c r="AE397" s="36">
        <f>SUMIF($D$276:$D$390,"2005",AE$276:AE$390)</f>
        <v>0</v>
      </c>
      <c r="AF397" s="36">
        <f>SUMIF($D$276:$D$390,"2005",AF$276:AF$390)</f>
        <v>0</v>
      </c>
      <c r="AG397" s="61"/>
      <c r="AH397" s="61"/>
      <c r="AI397" s="36">
        <f>SUMIF($D$276:$D$390,"2005",AI$276:AI$390)</f>
        <v>0</v>
      </c>
      <c r="AJ397" s="36">
        <f>SUMIF($D$276:$D$390,"2005",AJ$276:AJ$390)</f>
        <v>-0.95431444111282204</v>
      </c>
      <c r="AK397" s="61"/>
      <c r="AL397" s="61"/>
      <c r="AM397" s="61"/>
      <c r="AN397" s="61"/>
      <c r="AO397" s="36">
        <f>SUMIF($D$276:$D$390,"2005",AO$276:AO$390)</f>
        <v>0</v>
      </c>
      <c r="AP397" s="36">
        <f>SUMIF($D$276:$D$390,"2005",AP$276:AP$390)</f>
        <v>0</v>
      </c>
      <c r="AQ397" s="61"/>
      <c r="AR397" s="61"/>
      <c r="AS397" s="36"/>
      <c r="AT397" s="36">
        <f t="shared" si="57"/>
        <v>726.39292472573175</v>
      </c>
      <c r="AU397" s="61"/>
      <c r="AV397" s="61"/>
      <c r="AW397" s="36">
        <f>SUMIF($D$276:$D$390,"2005",AW$276:AW$390)</f>
        <v>-297.34927225725215</v>
      </c>
      <c r="AX397" s="385">
        <f>SUMIF($D$276:$D$390,"2005",AX$276:AX$390)</f>
        <v>98.76839721852447</v>
      </c>
      <c r="AY397" s="61"/>
      <c r="AZ397" s="61"/>
      <c r="BA397" s="61"/>
      <c r="BB397" s="388"/>
      <c r="BC397" s="69">
        <f>SUMIF($D$276:$D$390,"2005",BC$276:BC$390)</f>
        <v>0</v>
      </c>
      <c r="BD397" s="36">
        <f>SUMIF($D$276:$D$390,"2005",BD$276:BD$390)</f>
        <v>0</v>
      </c>
      <c r="BE397" s="61"/>
      <c r="BF397" s="61"/>
      <c r="BG397" s="69">
        <f>SUMIF($D$276:$D$390,"2005",BG$276:BG$390)</f>
        <v>0</v>
      </c>
      <c r="BH397" s="69"/>
      <c r="BI397" s="517"/>
      <c r="BJ397" s="69">
        <f>SUMIF($D$276:$D$390,"2005",BJ$276:BJ$390)</f>
        <v>0</v>
      </c>
      <c r="BK397" s="61"/>
      <c r="BL397" s="61"/>
      <c r="BM397" s="61"/>
      <c r="BN397" s="404">
        <f>SUMIF($D$276:$D$390,"2005",BN$276:BN$390)</f>
        <v>0</v>
      </c>
      <c r="BO397" s="61"/>
      <c r="BP397" s="61"/>
      <c r="BQ397" s="36">
        <f>SUMIF($D$276:$D$390,"2005",BQ$276:BQ$390)</f>
        <v>0</v>
      </c>
      <c r="BR397" s="36">
        <f>SUMIF($D$276:$D$390,"2005",BR$276:BR$390)</f>
        <v>0</v>
      </c>
      <c r="BS397" s="61"/>
      <c r="BT397" s="61"/>
      <c r="BU397" s="36">
        <f>SUMIF($D$276:$D$390,"2005",BU$276:BU$390)</f>
        <v>848.18773069913345</v>
      </c>
      <c r="BV397" s="36">
        <f>SUMIF($D$276:$D$390,"2005",BV$276:BV$390)</f>
        <v>412.84057155035362</v>
      </c>
      <c r="BW397" s="61"/>
      <c r="BX397" s="61"/>
      <c r="BY397" s="61"/>
      <c r="BZ397" s="61"/>
      <c r="CA397" s="36">
        <f>SUMIF($D$276:$D$390,"2005",CA$276:CA$390)</f>
        <v>0</v>
      </c>
      <c r="CB397" s="36">
        <f>SUMIF($D$276:$D$390,"2005",CB$276:CB$390)</f>
        <v>214.78395595685367</v>
      </c>
      <c r="CC397" s="61"/>
      <c r="CD397" s="57"/>
      <c r="CE397" s="57"/>
      <c r="CF397" s="58"/>
      <c r="CG397" s="4"/>
    </row>
    <row r="398" spans="1:85" s="35" customFormat="1" x14ac:dyDescent="0.2">
      <c r="A398" s="35">
        <v>1</v>
      </c>
      <c r="B398" s="94" t="s">
        <v>61</v>
      </c>
      <c r="C398" s="94" t="s">
        <v>61</v>
      </c>
      <c r="D398" s="64"/>
      <c r="E398" s="64"/>
      <c r="F398" s="64"/>
      <c r="G398" s="37">
        <f>SUMIF($D$276:$D$390,"2006",G$276:G$390)</f>
        <v>-95.609997809956937</v>
      </c>
      <c r="H398" s="37">
        <f>SUMIF($D$276:$D$390,"2006",H$276:H$390)</f>
        <v>-677.15931204975618</v>
      </c>
      <c r="I398" s="37"/>
      <c r="J398" s="42"/>
      <c r="K398" s="37">
        <f>SUMIF($D$276:$D$390,"2006",K$276:K$390)</f>
        <v>-80.566561570002037</v>
      </c>
      <c r="L398" s="37">
        <f>SUMIF($D$276:$D$390,"2006",L$276:L$390)</f>
        <v>73.736659511385156</v>
      </c>
      <c r="M398" s="65"/>
      <c r="N398" s="65"/>
      <c r="O398" s="272"/>
      <c r="P398" s="65"/>
      <c r="Q398" s="37">
        <f>SUMIF($D$276:$D$390,"2006",Q$276:Q$390)</f>
        <v>-282.34751077595513</v>
      </c>
      <c r="R398" s="37">
        <f>SUMIF($D$276:$D$390,"2006",R$276:R$390)</f>
        <v>-1041.0298716243706</v>
      </c>
      <c r="S398" s="65"/>
      <c r="T398" s="65"/>
      <c r="U398" s="451"/>
      <c r="V398" s="65"/>
      <c r="W398" s="37">
        <f>SUMIF($D$276:$D$390,"2006",W$276:W$390)</f>
        <v>0</v>
      </c>
      <c r="X398" s="37">
        <f>SUMIF($D$276:$D$390,"2006",X$276:X$390)</f>
        <v>0</v>
      </c>
      <c r="Y398" s="65"/>
      <c r="Z398" s="65"/>
      <c r="AA398" s="37">
        <f>SUMIF($D$276:$D$390,"2006",AA$276:AA$390)</f>
        <v>0</v>
      </c>
      <c r="AB398" s="37">
        <f>SUMIF($D$276:$D$390,"2006",AB$276:AB$390)</f>
        <v>0</v>
      </c>
      <c r="AC398" s="65"/>
      <c r="AD398" s="65"/>
      <c r="AE398" s="37">
        <f>SUMIF($D$276:$D$390,"2006",AE$276:AE$390)</f>
        <v>0</v>
      </c>
      <c r="AF398" s="37">
        <f>SUMIF($D$276:$D$390,"2006",AF$276:AF$390)</f>
        <v>0</v>
      </c>
      <c r="AG398" s="65"/>
      <c r="AH398" s="65"/>
      <c r="AI398" s="37">
        <f>SUMIF($D$276:$D$390,"2006",AI$276:AI$390)</f>
        <v>0</v>
      </c>
      <c r="AJ398" s="37">
        <f>SUMIF($D$276:$D$390,"2006",AJ$276:AJ$390)</f>
        <v>-0.99901921408846606</v>
      </c>
      <c r="AK398" s="65"/>
      <c r="AL398" s="65"/>
      <c r="AM398" s="65"/>
      <c r="AN398" s="65"/>
      <c r="AO398" s="37">
        <f>SUMIF($D$276:$D$390,"2006",AO$276:AO$390)</f>
        <v>0</v>
      </c>
      <c r="AP398" s="37">
        <f>SUMIF($D$276:$D$390,"2006",AP$276:AP$390)</f>
        <v>0</v>
      </c>
      <c r="AQ398" s="65"/>
      <c r="AR398" s="65"/>
      <c r="AS398" s="37"/>
      <c r="AT398" s="37">
        <f t="shared" si="57"/>
        <v>291.1329192773178</v>
      </c>
      <c r="AU398" s="65"/>
      <c r="AV398" s="65"/>
      <c r="AW398" s="37">
        <f>SUMIF($D$276:$D$390,"2006",AW$276:AW$390)</f>
        <v>-98.914393314279735</v>
      </c>
      <c r="AX398" s="386">
        <f>SUMIF($D$276:$D$390,"2006",AX$276:AX$390)</f>
        <v>-97.785043477164407</v>
      </c>
      <c r="AY398" s="65"/>
      <c r="AZ398" s="65"/>
      <c r="BA398" s="65"/>
      <c r="BB398" s="390"/>
      <c r="BC398" s="70">
        <f>SUMIF($D$276:$D$390,"2006",BC$276:BC$390)</f>
        <v>0</v>
      </c>
      <c r="BD398" s="37">
        <f>SUMIF($D$276:$D$390,"2006",BD$276:BD$390)</f>
        <v>0</v>
      </c>
      <c r="BE398" s="65"/>
      <c r="BF398" s="65"/>
      <c r="BG398" s="70">
        <f>SUMIF($D$276:$D$390,"2006",BG$276:BG$390)</f>
        <v>0</v>
      </c>
      <c r="BH398" s="70"/>
      <c r="BI398" s="518"/>
      <c r="BJ398" s="70">
        <f>SUMIF($D$276:$D$390,"2006",BJ$276:BJ$390)</f>
        <v>0</v>
      </c>
      <c r="BK398" s="65"/>
      <c r="BL398" s="65"/>
      <c r="BM398" s="65"/>
      <c r="BN398" s="526">
        <f>SUMIF($D$276:$D$390,"2006",BN$276:BN$390)</f>
        <v>0</v>
      </c>
      <c r="BO398" s="65"/>
      <c r="BP398" s="65"/>
      <c r="BQ398" s="37">
        <f>SUMIF($D$276:$D$390,"2006",BQ$276:BQ$390)</f>
        <v>0</v>
      </c>
      <c r="BR398" s="37">
        <f>SUMIF($D$276:$D$390,"2006",BR$276:BR$390)</f>
        <v>0</v>
      </c>
      <c r="BS398" s="65"/>
      <c r="BT398" s="65"/>
      <c r="BU398" s="37">
        <f>SUMIF($D$276:$D$390,"2006",BU$276:BU$390)</f>
        <v>366.21846785027992</v>
      </c>
      <c r="BV398" s="37">
        <f>SUMIF($D$276:$D$390,"2006",BV$276:BV$390)</f>
        <v>388.91796275448218</v>
      </c>
      <c r="BW398" s="65"/>
      <c r="BX398" s="65"/>
      <c r="BY398" s="65"/>
      <c r="BZ398" s="65"/>
      <c r="CA398" s="37">
        <f>SUMIF($D$276:$D$390,"2006",CA$276:CA$390)</f>
        <v>0</v>
      </c>
      <c r="CB398" s="37">
        <f>SUMIF($D$276:$D$390,"2006",CB$276:CB$390)</f>
        <v>0</v>
      </c>
      <c r="CC398" s="65"/>
      <c r="CD398" s="221"/>
      <c r="CE398" s="221"/>
      <c r="CF398" s="66"/>
      <c r="CG398" s="34"/>
    </row>
    <row r="399" spans="1:85" x14ac:dyDescent="0.2">
      <c r="A399">
        <v>1</v>
      </c>
      <c r="B399" s="92" t="s">
        <v>62</v>
      </c>
      <c r="C399" s="92" t="s">
        <v>62</v>
      </c>
      <c r="D399" s="63"/>
      <c r="E399" s="63"/>
      <c r="F399" s="63"/>
      <c r="G399" s="36">
        <f>SUMIF($D$276:$D$390,"2007",G$276:G$390)</f>
        <v>-29.474331893341088</v>
      </c>
      <c r="H399" s="36">
        <f>SUMIF($D$276:$D$390,"2007",H$276:H$390)</f>
        <v>-363.25506107903146</v>
      </c>
      <c r="I399" s="36"/>
      <c r="J399" s="41"/>
      <c r="K399" s="36">
        <f>SUMIF($D$276:$D$390,"2007",K$276:K$390)</f>
        <v>483.62452986365787</v>
      </c>
      <c r="L399" s="36">
        <f>SUMIF($D$276:$D$390,"2007",L$276:L$390)</f>
        <v>522.03081105292506</v>
      </c>
      <c r="M399" s="61"/>
      <c r="N399" s="61"/>
      <c r="O399" s="271"/>
      <c r="P399" s="61"/>
      <c r="Q399" s="36">
        <f>SUMIF($D$276:$D$390,"2007",Q$276:Q$390)</f>
        <v>-474.38142875625846</v>
      </c>
      <c r="R399" s="36">
        <f>SUMIF($D$276:$D$390,"2007",R$276:R$390)</f>
        <v>-851.32711310214177</v>
      </c>
      <c r="S399" s="61"/>
      <c r="T399" s="61"/>
      <c r="U399" s="445"/>
      <c r="V399" s="61"/>
      <c r="W399" s="36">
        <f>SUMIF($D$276:$D$390,"2007",W$276:W$390)</f>
        <v>0</v>
      </c>
      <c r="X399" s="36">
        <f>SUMIF($D$276:$D$390,"2007",X$276:X$390)</f>
        <v>0</v>
      </c>
      <c r="Y399" s="61"/>
      <c r="Z399" s="61"/>
      <c r="AA399" s="36">
        <f>SUMIF($D$276:$D$390,"2007",AA$276:AA$390)</f>
        <v>0</v>
      </c>
      <c r="AB399" s="36">
        <f>SUMIF($D$276:$D$390,"2007",AB$276:AB$390)</f>
        <v>0</v>
      </c>
      <c r="AC399" s="61"/>
      <c r="AD399" s="61"/>
      <c r="AE399" s="36">
        <f>SUMIF($D$276:$D$390,"2007",AE$276:AE$390)</f>
        <v>0</v>
      </c>
      <c r="AF399" s="36">
        <f>SUMIF($D$276:$D$390,"2007",AF$276:AF$390)</f>
        <v>0</v>
      </c>
      <c r="AG399" s="61"/>
      <c r="AH399" s="61"/>
      <c r="AI399" s="36">
        <f>SUMIF($D$276:$D$390,"2007",AI$276:AI$390)</f>
        <v>0</v>
      </c>
      <c r="AJ399" s="36">
        <f>SUMIF($D$276:$D$390,"2007",AJ$276:AJ$390)</f>
        <v>-1.0028492296861653</v>
      </c>
      <c r="AK399" s="61"/>
      <c r="AL399" s="61"/>
      <c r="AM399" s="61"/>
      <c r="AN399" s="61"/>
      <c r="AO399" s="36">
        <f>SUMIF($D$276:$D$390,"2007",AO$276:AO$390)</f>
        <v>0</v>
      </c>
      <c r="AP399" s="36">
        <f>SUMIF($D$276:$D$390,"2007",AP$276:AP$390)</f>
        <v>0</v>
      </c>
      <c r="AQ399" s="61"/>
      <c r="AR399" s="61"/>
      <c r="AS399" s="36"/>
      <c r="AT399" s="36">
        <f t="shared" si="57"/>
        <v>-32.955909800128566</v>
      </c>
      <c r="AU399" s="61"/>
      <c r="AV399" s="61"/>
      <c r="AW399" s="36">
        <f>SUMIF($D$276:$D$390,"2007",AW$276:AW$390)</f>
        <v>-99.530802370981604</v>
      </c>
      <c r="AX399" s="385">
        <f>SUMIF($D$276:$D$390,"2007",AX$276:AX$390)</f>
        <v>-97.640477582625536</v>
      </c>
      <c r="AY399" s="61"/>
      <c r="AZ399" s="61"/>
      <c r="BA399" s="61"/>
      <c r="BB399" s="388"/>
      <c r="BC399" s="69">
        <f>SUMIF($D$276:$D$390,"2007",BC$276:BC$390)</f>
        <v>0</v>
      </c>
      <c r="BD399" s="36">
        <f>SUMIF($D$276:$D$390,"2007",BD$276:BD$390)</f>
        <v>0</v>
      </c>
      <c r="BE399" s="61"/>
      <c r="BF399" s="61"/>
      <c r="BG399" s="69">
        <f>SUMIF($D$276:$D$390,"2007",BG$276:BG$390)</f>
        <v>0</v>
      </c>
      <c r="BH399" s="69"/>
      <c r="BI399" s="517"/>
      <c r="BJ399" s="69">
        <f>SUMIF($D$276:$D$390,"2007",BJ$276:BJ$390)</f>
        <v>0</v>
      </c>
      <c r="BK399" s="61"/>
      <c r="BL399" s="61"/>
      <c r="BM399" s="61"/>
      <c r="BN399" s="404">
        <f>SUMIF($D$276:$D$390,"2007",BN$276:BN$390)</f>
        <v>0</v>
      </c>
      <c r="BO399" s="61"/>
      <c r="BP399" s="61"/>
      <c r="BQ399" s="36">
        <f>SUMIF($D$276:$D$390,"2007",BQ$276:BQ$390)</f>
        <v>0</v>
      </c>
      <c r="BR399" s="36">
        <f>SUMIF($D$276:$D$390,"2007",BR$276:BR$390)</f>
        <v>0</v>
      </c>
      <c r="BS399" s="61"/>
      <c r="BT399" s="61"/>
      <c r="BU399" s="36">
        <f>SUMIF($D$276:$D$390,"2007",BU$276:BU$390)</f>
        <v>60.813369370241077</v>
      </c>
      <c r="BV399" s="36">
        <f>SUMIF($D$276:$D$390,"2007",BV$276:BV$390)</f>
        <v>64.68456778249697</v>
      </c>
      <c r="BW399" s="61"/>
      <c r="BX399" s="61"/>
      <c r="BY399" s="61"/>
      <c r="BZ399" s="61"/>
      <c r="CA399" s="36">
        <f>SUMIF($D$276:$D$390,"2007",CA$276:CA$390)</f>
        <v>0</v>
      </c>
      <c r="CB399" s="36">
        <f>SUMIF($D$276:$D$390,"2007",CB$276:CB$390)</f>
        <v>0</v>
      </c>
      <c r="CC399" s="61"/>
      <c r="CD399" s="57"/>
      <c r="CE399" s="57"/>
      <c r="CF399" s="58"/>
      <c r="CG399" s="4"/>
    </row>
    <row r="400" spans="1:85" s="35" customFormat="1" x14ac:dyDescent="0.2">
      <c r="A400" s="35">
        <v>1</v>
      </c>
      <c r="B400" s="94" t="s">
        <v>63</v>
      </c>
      <c r="C400" s="94" t="s">
        <v>63</v>
      </c>
      <c r="D400" s="64"/>
      <c r="E400" s="64"/>
      <c r="F400" s="64"/>
      <c r="G400" s="37">
        <f>SUMIF($D$276:$D$390,"2008",G$276:G$390)</f>
        <v>-48.639562750445762</v>
      </c>
      <c r="H400" s="37">
        <f>SUMIF($D$276:$D$390,"2008",H$276:H$390)</f>
        <v>-128.66586092749282</v>
      </c>
      <c r="I400" s="37"/>
      <c r="J400" s="42"/>
      <c r="K400" s="37">
        <f>SUMIF($D$276:$D$390,"2008",K$276:K$390)</f>
        <v>59.868262016354151</v>
      </c>
      <c r="L400" s="37">
        <f>SUMIF($D$276:$D$390,"2008",L$276:L$390)</f>
        <v>345.39775179348538</v>
      </c>
      <c r="M400" s="65"/>
      <c r="N400" s="65"/>
      <c r="O400" s="272"/>
      <c r="P400" s="65"/>
      <c r="Q400" s="37">
        <f>SUMIF($D$276:$D$390,"2008",Q$276:Q$390)</f>
        <v>-66.120411666195807</v>
      </c>
      <c r="R400" s="37">
        <f>SUMIF($D$276:$D$390,"2008",R$276:R$390)</f>
        <v>-437.87350533684133</v>
      </c>
      <c r="S400" s="65"/>
      <c r="T400" s="65"/>
      <c r="U400" s="451"/>
      <c r="V400" s="65"/>
      <c r="W400" s="37">
        <f>SUMIF($D$276:$D$390,"2008",W$276:W$390)</f>
        <v>0</v>
      </c>
      <c r="X400" s="37">
        <f>SUMIF($D$276:$D$390,"2008",X$276:X$390)</f>
        <v>0</v>
      </c>
      <c r="Y400" s="65"/>
      <c r="Z400" s="65"/>
      <c r="AA400" s="37">
        <f>SUMIF($D$276:$D$390,"2008",AA$276:AA$390)</f>
        <v>0</v>
      </c>
      <c r="AB400" s="37">
        <f>SUMIF($D$276:$D$390,"2008",AB$276:AB$390)</f>
        <v>0</v>
      </c>
      <c r="AC400" s="65"/>
      <c r="AD400" s="65"/>
      <c r="AE400" s="37">
        <f>SUMIF($D$276:$D$390,"2008",AE$276:AE$390)</f>
        <v>0</v>
      </c>
      <c r="AF400" s="37">
        <f>SUMIF($D$276:$D$390,"2008",AF$276:AF$390)</f>
        <v>0</v>
      </c>
      <c r="AG400" s="65"/>
      <c r="AH400" s="65"/>
      <c r="AI400" s="37">
        <f>SUMIF($D$276:$D$390,"2008",AI$276:AI$390)</f>
        <v>0</v>
      </c>
      <c r="AJ400" s="37">
        <f>SUMIF($D$276:$D$390,"2008",AJ$276:AJ$390)</f>
        <v>-1.0133220447884637</v>
      </c>
      <c r="AK400" s="65"/>
      <c r="AL400" s="65"/>
      <c r="AM400" s="65"/>
      <c r="AN400" s="65"/>
      <c r="AO400" s="37">
        <f>SUMIF($D$276:$D$390,"2008",AO$276:AO$390)</f>
        <v>0</v>
      </c>
      <c r="AP400" s="37">
        <f>SUMIF($D$276:$D$390,"2008",AP$276:AP$390)</f>
        <v>0</v>
      </c>
      <c r="AQ400" s="65"/>
      <c r="AR400" s="65"/>
      <c r="AS400" s="37"/>
      <c r="AT400" s="37">
        <f t="shared" si="57"/>
        <v>-35.176785339348406</v>
      </c>
      <c r="AU400" s="65"/>
      <c r="AV400" s="65"/>
      <c r="AW400" s="37">
        <f>SUMIF($D$276:$D$390,"2008",AW$276:AW$390)</f>
        <v>-98.991318281392424</v>
      </c>
      <c r="AX400" s="386">
        <f>SUMIF($D$276:$D$390,"2008",AX$276:AX$390)</f>
        <v>-96.644238821949557</v>
      </c>
      <c r="AY400" s="65"/>
      <c r="AZ400" s="65"/>
      <c r="BA400" s="65"/>
      <c r="BB400" s="390"/>
      <c r="BC400" s="70">
        <f>SUMIF($D$276:$D$390,"2008",BC$276:BC$390)</f>
        <v>0</v>
      </c>
      <c r="BD400" s="37">
        <f>SUMIF($D$276:$D$390,"2008",BD$276:BD$390)</f>
        <v>0</v>
      </c>
      <c r="BE400" s="65"/>
      <c r="BF400" s="65"/>
      <c r="BG400" s="70">
        <f>SUMIF($D$276:$D$390,"2008",BG$276:BG$390)</f>
        <v>0</v>
      </c>
      <c r="BH400" s="70"/>
      <c r="BI400" s="518"/>
      <c r="BJ400" s="70">
        <f>SUMIF($D$276:$D$390,"2008",BJ$276:BJ$390)</f>
        <v>0</v>
      </c>
      <c r="BK400" s="65"/>
      <c r="BL400" s="65"/>
      <c r="BM400" s="65"/>
      <c r="BN400" s="526">
        <f>SUMIF($D$276:$D$390,"2008",BN$276:BN$390)</f>
        <v>0</v>
      </c>
      <c r="BO400" s="65"/>
      <c r="BP400" s="65"/>
      <c r="BQ400" s="37">
        <f>SUMIF($D$276:$D$390,"2008",BQ$276:BQ$390)</f>
        <v>0</v>
      </c>
      <c r="BR400" s="37">
        <f>SUMIF($D$276:$D$390,"2008",BR$276:BR$390)</f>
        <v>0</v>
      </c>
      <c r="BS400" s="65"/>
      <c r="BT400" s="65"/>
      <c r="BU400" s="37">
        <f>SUMIF($D$276:$D$390,"2008",BU$276:BU$390)</f>
        <v>56.603905180788338</v>
      </c>
      <c r="BV400" s="37">
        <f>SUMIF($D$276:$D$390,"2008",BV$276:BV$390)</f>
        <v>61.467453482601151</v>
      </c>
      <c r="BW400" s="65"/>
      <c r="BX400" s="65"/>
      <c r="BY400" s="65"/>
      <c r="BZ400" s="65"/>
      <c r="CA400" s="37">
        <f>SUMIF($D$276:$D$390,"2008",CA$276:CA$390)</f>
        <v>0</v>
      </c>
      <c r="CB400" s="37">
        <f>SUMIF($D$276:$D$390,"2008",CB$276:CB$390)</f>
        <v>0</v>
      </c>
      <c r="CC400" s="65"/>
      <c r="CD400" s="221"/>
      <c r="CE400" s="221"/>
      <c r="CF400" s="66"/>
      <c r="CG400" s="34"/>
    </row>
    <row r="401" spans="1:100" x14ac:dyDescent="0.2">
      <c r="A401">
        <v>1</v>
      </c>
      <c r="B401" s="92" t="s">
        <v>64</v>
      </c>
      <c r="C401" s="92" t="s">
        <v>64</v>
      </c>
      <c r="D401" s="63"/>
      <c r="E401" s="63"/>
      <c r="F401" s="63"/>
      <c r="G401" s="36">
        <f>SUMIF($D$276:$D$390,"2009",G$276:G$390)</f>
        <v>-190.5945874425648</v>
      </c>
      <c r="H401" s="36">
        <f>SUMIF($D$276:$D$390,"2009",H$276:H$390)</f>
        <v>-693.23822164388162</v>
      </c>
      <c r="I401" s="36"/>
      <c r="J401" s="41"/>
      <c r="K401" s="36">
        <f>SUMIF($D$276:$D$390,"2009",K$276:K$390)</f>
        <v>0</v>
      </c>
      <c r="L401" s="36">
        <f>SUMIF($D$276:$D$390,"2009",L$276:L$390)</f>
        <v>-131.23653746293184</v>
      </c>
      <c r="M401" s="61"/>
      <c r="N401" s="61"/>
      <c r="O401" s="271"/>
      <c r="P401" s="61"/>
      <c r="Q401" s="36">
        <f>SUMIF($D$276:$D$390,"2009",Q$276:Q$390)</f>
        <v>-187.44718408012</v>
      </c>
      <c r="R401" s="36">
        <f>SUMIF($D$276:$D$390,"2009",R$276:R$390)</f>
        <v>-558.47456028181875</v>
      </c>
      <c r="S401" s="61"/>
      <c r="T401" s="61"/>
      <c r="U401" s="445"/>
      <c r="V401" s="61"/>
      <c r="W401" s="36">
        <f>SUMIF($D$276:$D$390,"2009",W$276:W$390)</f>
        <v>0</v>
      </c>
      <c r="X401" s="36">
        <f>SUMIF($D$276:$D$390,"2009",X$276:X$390)</f>
        <v>0</v>
      </c>
      <c r="Y401" s="61"/>
      <c r="Z401" s="61"/>
      <c r="AA401" s="36">
        <f>SUMIF($D$276:$D$390,"2009",AA$276:AA$390)</f>
        <v>0</v>
      </c>
      <c r="AB401" s="36">
        <f>SUMIF($D$276:$D$390,"2009",AB$276:AB$390)</f>
        <v>0</v>
      </c>
      <c r="AC401" s="61"/>
      <c r="AD401" s="61"/>
      <c r="AE401" s="36">
        <f>SUMIF($D$276:$D$390,"2009",AE$276:AE$390)</f>
        <v>0</v>
      </c>
      <c r="AF401" s="36">
        <f>SUMIF($D$276:$D$390,"2009",AF$276:AF$390)</f>
        <v>0</v>
      </c>
      <c r="AG401" s="61"/>
      <c r="AH401" s="61"/>
      <c r="AI401" s="36">
        <f>SUMIF($D$276:$D$390,"2009",AI$276:AI$390)</f>
        <v>0</v>
      </c>
      <c r="AJ401" s="36">
        <f>SUMIF($D$276:$D$390,"2009",AJ$276:AJ$390)</f>
        <v>0</v>
      </c>
      <c r="AK401" s="61"/>
      <c r="AL401" s="61"/>
      <c r="AM401" s="61"/>
      <c r="AN401" s="61"/>
      <c r="AO401" s="36">
        <f>SUMIF($D$276:$D$390,"2009",AO$276:AO$390)</f>
        <v>0</v>
      </c>
      <c r="AP401" s="36">
        <f>SUMIF($D$276:$D$390,"2009",AP$276:AP$390)</f>
        <v>0</v>
      </c>
      <c r="AQ401" s="61"/>
      <c r="AR401" s="61"/>
      <c r="AS401" s="36"/>
      <c r="AT401" s="36">
        <f t="shared" si="57"/>
        <v>-3.5271238991309586</v>
      </c>
      <c r="AU401" s="61"/>
      <c r="AV401" s="61"/>
      <c r="AW401" s="36">
        <f>SUMIF($D$276:$D$390,"2009",AW$276:AW$390)</f>
        <v>0</v>
      </c>
      <c r="AX401" s="385">
        <f>SUMIF($D$276:$D$390,"2009",AX$276:AX$390)</f>
        <v>0</v>
      </c>
      <c r="AY401" s="61"/>
      <c r="AZ401" s="61"/>
      <c r="BA401" s="61"/>
      <c r="BB401" s="388"/>
      <c r="BC401" s="69">
        <f>SUMIF($D$276:$D$390,"2009",BC$276:BC$390)</f>
        <v>0</v>
      </c>
      <c r="BD401" s="36">
        <f>SUMIF($D$276:$D$390,"2009",BD$276:BD$390)</f>
        <v>0</v>
      </c>
      <c r="BE401" s="61"/>
      <c r="BF401" s="61"/>
      <c r="BG401" s="69">
        <f>SUMIF($D$276:$D$390,"2009",BG$276:BG$390)</f>
        <v>0</v>
      </c>
      <c r="BH401" s="69"/>
      <c r="BI401" s="517"/>
      <c r="BJ401" s="69">
        <f>SUMIF($D$276:$D$390,"2009",BJ$276:BJ$390)</f>
        <v>0</v>
      </c>
      <c r="BK401" s="61"/>
      <c r="BL401" s="61"/>
      <c r="BM401" s="61"/>
      <c r="BN401" s="404">
        <f>SUMIF($D$276:$D$390,"2009",BN$276:BN$390)</f>
        <v>0</v>
      </c>
      <c r="BO401" s="61"/>
      <c r="BP401" s="61"/>
      <c r="BQ401" s="36">
        <f>SUMIF($D$276:$D$390,"2009",BQ$276:BQ$390)</f>
        <v>0</v>
      </c>
      <c r="BR401" s="36">
        <f>SUMIF($D$276:$D$390,"2009",BR$276:BR$390)</f>
        <v>0</v>
      </c>
      <c r="BS401" s="61"/>
      <c r="BT401" s="61"/>
      <c r="BU401" s="36">
        <f>SUMIF($D$276:$D$390,"2009",BU$276:BU$390)</f>
        <v>-3.1474033624447975</v>
      </c>
      <c r="BV401" s="36">
        <f>SUMIF($D$276:$D$390,"2009",BV$276:BV$390)</f>
        <v>-3.5271238991309586</v>
      </c>
      <c r="BW401" s="61"/>
      <c r="BX401" s="61"/>
      <c r="BY401" s="61"/>
      <c r="BZ401" s="61"/>
      <c r="CA401" s="36">
        <f>SUMIF($D$276:$D$390,"2009",CA$276:CA$390)</f>
        <v>0</v>
      </c>
      <c r="CB401" s="36">
        <f>SUMIF($D$276:$D$390,"2009",CB$276:CB$390)</f>
        <v>0</v>
      </c>
      <c r="CC401" s="61"/>
      <c r="CD401" s="57"/>
      <c r="CE401" s="57"/>
      <c r="CF401" s="58"/>
      <c r="CG401" s="4"/>
    </row>
    <row r="402" spans="1:100" s="105" customFormat="1" x14ac:dyDescent="0.2">
      <c r="A402" s="105">
        <v>1</v>
      </c>
      <c r="B402" s="106" t="s">
        <v>65</v>
      </c>
      <c r="C402" s="106" t="s">
        <v>65</v>
      </c>
      <c r="D402" s="64"/>
      <c r="E402" s="64"/>
      <c r="F402" s="64"/>
      <c r="G402" s="107">
        <f>SUMIF($D$276:$D$390,"2010",G$276:G$390)</f>
        <v>-376.21493127454448</v>
      </c>
      <c r="H402" s="107">
        <f>SUMIF($D$276:$D$390,"2010",H$276:H$390)</f>
        <v>-250.97146848804599</v>
      </c>
      <c r="I402" s="107"/>
      <c r="J402" s="108"/>
      <c r="K402" s="107">
        <f>SUMIF($D$276:$D$390,"2010",K$276:K$390)</f>
        <v>0</v>
      </c>
      <c r="L402" s="107">
        <f>SUMIF($D$276:$D$390,"2010",L$276:L$390)</f>
        <v>124.05729837980105</v>
      </c>
      <c r="M402" s="65"/>
      <c r="N402" s="109"/>
      <c r="O402" s="273"/>
      <c r="P402" s="109"/>
      <c r="Q402" s="107">
        <f>SUMIF($D$276:$D$390,"2010",Q$276:Q$390)</f>
        <v>-376.21493127454448</v>
      </c>
      <c r="R402" s="107">
        <f>SUMIF($D$276:$D$390,"2010",R$276:R$390)</f>
        <v>-375.02876686784703</v>
      </c>
      <c r="S402" s="65"/>
      <c r="T402" s="109"/>
      <c r="U402" s="455"/>
      <c r="V402" s="109"/>
      <c r="W402" s="107">
        <f>SUMIF($D$276:$D$390,"2010",W$276:W$390)</f>
        <v>0</v>
      </c>
      <c r="X402" s="107">
        <f>SUMIF($D$276:$D$390,"2010",X$276:X$390)</f>
        <v>0</v>
      </c>
      <c r="Y402" s="65"/>
      <c r="Z402" s="109"/>
      <c r="AA402" s="107">
        <f>SUMIF($D$276:$D$390,"2010",AA$276:AA$390)</f>
        <v>0</v>
      </c>
      <c r="AB402" s="107">
        <f>SUMIF($D$276:$D$390,"2010",AB$276:AB$390)</f>
        <v>0</v>
      </c>
      <c r="AC402" s="65"/>
      <c r="AD402" s="109"/>
      <c r="AE402" s="107">
        <f>SUMIF($D$276:$D$390,"2010",AE$276:AE$390)</f>
        <v>0</v>
      </c>
      <c r="AF402" s="107">
        <f>SUMIF($D$276:$D$390,"2010",AF$276:AF$390)</f>
        <v>0</v>
      </c>
      <c r="AG402" s="65"/>
      <c r="AH402" s="109"/>
      <c r="AI402" s="107">
        <f>SUMIF($D$276:$D$390,"2010",AI$276:AI$390)</f>
        <v>0</v>
      </c>
      <c r="AJ402" s="107">
        <f>SUMIF($D$276:$D$390,"2010",AJ$276:AJ$390)</f>
        <v>0</v>
      </c>
      <c r="AK402" s="65"/>
      <c r="AL402" s="109"/>
      <c r="AM402" s="109"/>
      <c r="AN402" s="109"/>
      <c r="AO402" s="107">
        <f>SUMIF($D$276:$D$390,"2010",AO$276:AO$390)</f>
        <v>0</v>
      </c>
      <c r="AP402" s="107">
        <f>SUMIF($D$276:$D$390,"2010",AP$276:AP$390)</f>
        <v>0</v>
      </c>
      <c r="AQ402" s="65"/>
      <c r="AR402" s="109"/>
      <c r="AS402" s="107"/>
      <c r="AT402" s="107">
        <f t="shared" si="57"/>
        <v>0</v>
      </c>
      <c r="AU402" s="65"/>
      <c r="AV402" s="109"/>
      <c r="AW402" s="107">
        <f>SUMIF($D$276:$D$390,"2010",AW$276:AW$390)</f>
        <v>0</v>
      </c>
      <c r="AX402" s="395">
        <f>SUMIF($D$276:$D$390,"2010",AX$276:AX$390)</f>
        <v>0</v>
      </c>
      <c r="AY402" s="65"/>
      <c r="AZ402" s="109"/>
      <c r="BA402" s="109"/>
      <c r="BB402" s="397"/>
      <c r="BC402" s="363">
        <f>SUMIF($D$276:$D$390,"2010",BC$276:BC$390)</f>
        <v>0</v>
      </c>
      <c r="BD402" s="107">
        <f>SUMIF($D$276:$D$390,"2010",BD$276:BD$390)</f>
        <v>0</v>
      </c>
      <c r="BE402" s="65"/>
      <c r="BF402" s="109"/>
      <c r="BG402" s="363">
        <f>SUMIF($D$276:$D$390,"2010",BG$276:BG$390)</f>
        <v>0</v>
      </c>
      <c r="BH402" s="363"/>
      <c r="BI402" s="519"/>
      <c r="BJ402" s="363">
        <f>SUMIF($D$276:$D$390,"2010",BJ$276:BJ$390)</f>
        <v>0</v>
      </c>
      <c r="BK402" s="65"/>
      <c r="BL402" s="109"/>
      <c r="BM402" s="109"/>
      <c r="BN402" s="530">
        <f>SUMIF($D$276:$D$390,"2010",BN$276:BN$390)</f>
        <v>0</v>
      </c>
      <c r="BO402" s="109"/>
      <c r="BP402" s="109"/>
      <c r="BQ402" s="107">
        <f>SUMIF($D$276:$D$390,"2010",BQ$276:BQ$390)</f>
        <v>0</v>
      </c>
      <c r="BR402" s="107">
        <f>SUMIF($D$276:$D$390,"2010",BR$276:BR$390)</f>
        <v>0</v>
      </c>
      <c r="BS402" s="65"/>
      <c r="BT402" s="109"/>
      <c r="BU402" s="107">
        <f>SUMIF($D$276:$D$390,"2010",BU$276:BU$390)</f>
        <v>0</v>
      </c>
      <c r="BV402" s="107">
        <f>SUMIF($D$276:$D$390,"2010",BV$276:BV$390)</f>
        <v>0</v>
      </c>
      <c r="BW402" s="65"/>
      <c r="BX402" s="109"/>
      <c r="BY402" s="109"/>
      <c r="BZ402" s="109"/>
      <c r="CA402" s="107">
        <f>SUMIF($D$276:$D$390,"2010",CA$276:CA$390)</f>
        <v>0</v>
      </c>
      <c r="CB402" s="107">
        <f>SUMIF($D$276:$D$390,"2010",CB$276:CB$390)</f>
        <v>0</v>
      </c>
      <c r="CC402" s="65"/>
      <c r="CD402" s="111"/>
      <c r="CE402" s="111"/>
      <c r="CF402" s="110"/>
      <c r="CG402" s="111"/>
      <c r="CR402" s="243"/>
    </row>
    <row r="403" spans="1:100" s="52" customFormat="1" hidden="1" x14ac:dyDescent="0.2">
      <c r="A403" s="52">
        <v>0</v>
      </c>
      <c r="B403" s="93"/>
      <c r="C403" s="93"/>
      <c r="D403" s="74"/>
      <c r="E403" s="74"/>
      <c r="F403" s="74"/>
      <c r="G403" s="49"/>
      <c r="H403" s="49"/>
      <c r="I403" s="49"/>
      <c r="J403" s="50"/>
      <c r="K403" s="49"/>
      <c r="L403" s="75"/>
      <c r="M403" s="76"/>
      <c r="N403" s="76"/>
      <c r="O403" s="440"/>
      <c r="P403" s="76"/>
      <c r="Q403" s="49"/>
      <c r="R403" s="75"/>
      <c r="S403" s="76"/>
      <c r="T403" s="76"/>
      <c r="U403" s="449"/>
      <c r="V403" s="76"/>
      <c r="W403" s="49"/>
      <c r="X403" s="75"/>
      <c r="Y403" s="76"/>
      <c r="Z403" s="76"/>
      <c r="AA403" s="49"/>
      <c r="AB403" s="75"/>
      <c r="AC403" s="76"/>
      <c r="AD403" s="76"/>
      <c r="AE403" s="49"/>
      <c r="AF403" s="75"/>
      <c r="AG403" s="76"/>
      <c r="AH403" s="76"/>
      <c r="AI403" s="49"/>
      <c r="AJ403" s="75"/>
      <c r="AK403" s="76"/>
      <c r="AL403" s="76"/>
      <c r="AM403" s="76"/>
      <c r="AN403" s="76"/>
      <c r="AO403" s="49"/>
      <c r="AP403" s="75"/>
      <c r="AQ403" s="76"/>
      <c r="AR403" s="76"/>
      <c r="AS403" s="49"/>
      <c r="AT403" s="75"/>
      <c r="AU403" s="76"/>
      <c r="AV403" s="76"/>
      <c r="AW403" s="49"/>
      <c r="AX403" s="75"/>
      <c r="AY403" s="76"/>
      <c r="AZ403" s="76"/>
      <c r="BA403" s="76"/>
      <c r="BB403" s="76"/>
      <c r="BC403" s="49"/>
      <c r="BD403" s="75"/>
      <c r="BE403" s="76"/>
      <c r="BF403" s="76"/>
      <c r="BG403" s="49"/>
      <c r="BH403" s="75"/>
      <c r="BI403" s="75"/>
      <c r="BJ403" s="75"/>
      <c r="BK403" s="76"/>
      <c r="BL403" s="76"/>
      <c r="BM403" s="76"/>
      <c r="BN403" s="412"/>
      <c r="BO403" s="76"/>
      <c r="BP403" s="76"/>
      <c r="BQ403" s="49"/>
      <c r="BR403" s="75"/>
      <c r="BS403" s="76"/>
      <c r="BT403" s="76"/>
      <c r="BU403" s="49"/>
      <c r="BV403" s="75"/>
      <c r="BW403" s="76"/>
      <c r="BX403" s="76"/>
      <c r="BY403" s="76"/>
      <c r="BZ403" s="76"/>
      <c r="CA403" s="49"/>
      <c r="CB403" s="75"/>
      <c r="CC403" s="76"/>
      <c r="CD403" s="77"/>
      <c r="CE403" s="132"/>
      <c r="CF403" s="132"/>
      <c r="CG403" s="51"/>
    </row>
    <row r="404" spans="1:100" s="99" customFormat="1" ht="13.5" thickBot="1" x14ac:dyDescent="0.25">
      <c r="A404" s="99">
        <v>1</v>
      </c>
      <c r="B404" s="100" t="s">
        <v>73</v>
      </c>
      <c r="C404" s="100" t="s">
        <v>73</v>
      </c>
      <c r="D404" s="78"/>
      <c r="E404" s="78"/>
      <c r="F404" s="78"/>
      <c r="G404" s="101">
        <f>SUM(G393:G402)</f>
        <v>-4054.9348203907543</v>
      </c>
      <c r="H404" s="101" t="e">
        <f>SUM(H393:H402)</f>
        <v>#VALUE!</v>
      </c>
      <c r="I404" s="101"/>
      <c r="J404" s="102"/>
      <c r="K404" s="101">
        <f>SUM(K393:K402)</f>
        <v>-1143.3905836441872</v>
      </c>
      <c r="L404" s="101">
        <f>SUM(L393:L402)</f>
        <v>-9016.3370882923937</v>
      </c>
      <c r="M404" s="79"/>
      <c r="N404" s="103"/>
      <c r="O404" s="274"/>
      <c r="P404" s="103"/>
      <c r="Q404" s="101">
        <f>SUM(Q393:Q402)</f>
        <v>-5888.4426910118837</v>
      </c>
      <c r="R404" s="101">
        <f>SUM(R393:R402)</f>
        <v>-7276.4171320342848</v>
      </c>
      <c r="S404" s="79"/>
      <c r="T404" s="103"/>
      <c r="U404" s="453"/>
      <c r="V404" s="103"/>
      <c r="W404" s="101">
        <f>SUM(W393:W402)</f>
        <v>154.414617651968</v>
      </c>
      <c r="X404" s="101">
        <f>SUM(X393:X402)</f>
        <v>0</v>
      </c>
      <c r="Y404" s="79"/>
      <c r="Z404" s="103"/>
      <c r="AA404" s="101">
        <f>SUM(AA393:AA402)</f>
        <v>0</v>
      </c>
      <c r="AB404" s="101">
        <f>SUM(AB393:AB402)</f>
        <v>0</v>
      </c>
      <c r="AC404" s="79"/>
      <c r="AD404" s="103"/>
      <c r="AE404" s="101"/>
      <c r="AF404" s="101">
        <f>SUBTOTAL(9,AF393:AF403)</f>
        <v>-94.56229179736566</v>
      </c>
      <c r="AG404" s="79"/>
      <c r="AH404" s="103"/>
      <c r="AI404" s="101"/>
      <c r="AJ404" s="101">
        <f>SUBTOTAL(9,AJ393:AJ403)</f>
        <v>249.97840753842775</v>
      </c>
      <c r="AK404" s="79"/>
      <c r="AL404" s="103"/>
      <c r="AM404" s="103"/>
      <c r="AN404" s="103"/>
      <c r="AO404" s="101">
        <f>SUM(AO393:AO402)</f>
        <v>183.06347997849306</v>
      </c>
      <c r="AP404" s="427">
        <f>SUM(AP393:AP402)</f>
        <v>0</v>
      </c>
      <c r="AQ404" s="79"/>
      <c r="AR404" s="426"/>
      <c r="AS404" s="266"/>
      <c r="AT404" s="101" t="e">
        <f>SUM(AT393:AT402)</f>
        <v>#VALUE!</v>
      </c>
      <c r="AU404" s="79"/>
      <c r="AV404" s="103"/>
      <c r="AW404" s="101">
        <f>SUM(AW393:AW402)</f>
        <v>-86.536572840680037</v>
      </c>
      <c r="AX404" s="392">
        <f>SUM(AX393:AX402)</f>
        <v>-617.29710275078412</v>
      </c>
      <c r="AY404" s="79"/>
      <c r="AZ404" s="103"/>
      <c r="BA404" s="103"/>
      <c r="BB404" s="393"/>
      <c r="BC404" s="266">
        <f>SUM(BC393:BC402)</f>
        <v>-62.963332336114775</v>
      </c>
      <c r="BD404" s="101">
        <f>SUM(BD393:BD402)</f>
        <v>1377.706983558611</v>
      </c>
      <c r="BE404" s="79"/>
      <c r="BF404" s="103"/>
      <c r="BG404" s="101"/>
      <c r="BH404" s="266"/>
      <c r="BI404" s="101"/>
      <c r="BJ404" s="101" t="e">
        <f>SUM(BJ393:BJ402)</f>
        <v>#VALUE!</v>
      </c>
      <c r="BK404" s="79"/>
      <c r="BL404" s="103"/>
      <c r="BM404" s="103"/>
      <c r="BN404" s="528">
        <f>SUM(BN393:BN402)</f>
        <v>3181.9928237301629</v>
      </c>
      <c r="BO404" s="103"/>
      <c r="BP404" s="103"/>
      <c r="BQ404" s="101">
        <f>SUM(BQ393:BQ402)</f>
        <v>0</v>
      </c>
      <c r="BR404" s="101">
        <f>SUM(BR393:BR402)</f>
        <v>1902.6875041940618</v>
      </c>
      <c r="BS404" s="79"/>
      <c r="BT404" s="103"/>
      <c r="BU404" s="101">
        <f>SUM(BU393:BU402)</f>
        <v>3352.2252624264024</v>
      </c>
      <c r="BV404" s="101">
        <f>SUM(BV393:BV402)</f>
        <v>963.82671665812347</v>
      </c>
      <c r="BW404" s="79"/>
      <c r="BX404" s="103"/>
      <c r="BY404" s="103"/>
      <c r="BZ404" s="103"/>
      <c r="CA404" s="101">
        <f>SUM(CA393:CA402)</f>
        <v>-563.30500061475118</v>
      </c>
      <c r="CB404" s="101">
        <f>SUM(CB393:CB402)</f>
        <v>2466.4557316602391</v>
      </c>
      <c r="CC404" s="79"/>
      <c r="CD404" s="267"/>
      <c r="CE404" s="267"/>
      <c r="CF404" s="358"/>
      <c r="CG404" s="104"/>
      <c r="CO404" t="str">
        <f t="shared" ref="CO404:CT404" si="58">MONTH(CO407)&amp;"/"&amp;DAY(CO407)&amp;"-"&amp;MONTH(CO407)&amp;"/"&amp;DAY(CO407)+4</f>
        <v>12/10-12/14</v>
      </c>
      <c r="CP404" t="str">
        <f t="shared" si="58"/>
        <v>12/17-12/21</v>
      </c>
      <c r="CQ404" t="str">
        <f t="shared" si="58"/>
        <v>12/24-12/28</v>
      </c>
      <c r="CR404" t="str">
        <f t="shared" si="58"/>
        <v>12/31-12/35</v>
      </c>
      <c r="CS404" s="99" t="str">
        <f t="shared" si="58"/>
        <v>1/7-1/11</v>
      </c>
      <c r="CT404" s="99" t="str">
        <f t="shared" si="58"/>
        <v>1/14-1/18</v>
      </c>
    </row>
    <row r="405" spans="1:100" s="52" customFormat="1" ht="13.5" hidden="1" thickBot="1" x14ac:dyDescent="0.25">
      <c r="A405" s="52">
        <v>0</v>
      </c>
      <c r="B405" s="93"/>
      <c r="C405" s="93"/>
      <c r="D405" s="74"/>
      <c r="E405" s="74"/>
      <c r="F405" s="74"/>
      <c r="G405" s="49"/>
      <c r="H405" s="49"/>
      <c r="I405" s="49"/>
      <c r="J405" s="50"/>
      <c r="K405" s="49"/>
      <c r="L405" s="75"/>
      <c r="M405" s="76"/>
      <c r="N405" s="76"/>
      <c r="O405" s="440"/>
      <c r="P405" s="76"/>
      <c r="Q405" s="49"/>
      <c r="R405" s="75"/>
      <c r="S405" s="76"/>
      <c r="T405" s="76"/>
      <c r="U405" s="449"/>
      <c r="V405" s="76"/>
      <c r="W405" s="49"/>
      <c r="X405" s="75"/>
      <c r="Y405" s="76"/>
      <c r="Z405" s="76"/>
      <c r="AA405" s="49"/>
      <c r="AB405" s="75"/>
      <c r="AC405" s="76"/>
      <c r="AD405" s="76"/>
      <c r="AE405" s="49"/>
      <c r="AF405" s="75"/>
      <c r="AG405" s="76"/>
      <c r="AH405" s="76"/>
      <c r="AI405" s="49"/>
      <c r="AJ405" s="75"/>
      <c r="AK405" s="76"/>
      <c r="AL405" s="76"/>
      <c r="AM405" s="76"/>
      <c r="AN405" s="76"/>
      <c r="AO405" s="49"/>
      <c r="AP405" s="75"/>
      <c r="AQ405" s="76"/>
      <c r="AR405" s="76"/>
      <c r="AS405" s="49"/>
      <c r="AT405" s="75"/>
      <c r="AU405" s="76"/>
      <c r="AV405" s="76"/>
      <c r="AW405" s="49"/>
      <c r="AX405" s="75"/>
      <c r="AY405" s="76"/>
      <c r="AZ405" s="76"/>
      <c r="BA405" s="76"/>
      <c r="BB405" s="76"/>
      <c r="BC405" s="49"/>
      <c r="BD405" s="75"/>
      <c r="BE405" s="76"/>
      <c r="BF405" s="76"/>
      <c r="BG405" s="49"/>
      <c r="BH405" s="75"/>
      <c r="BI405" s="75"/>
      <c r="BJ405" s="75"/>
      <c r="BK405" s="76"/>
      <c r="BL405" s="76"/>
      <c r="BM405" s="76"/>
      <c r="BN405" s="412"/>
      <c r="BO405" s="76"/>
      <c r="BP405" s="76"/>
      <c r="BQ405" s="49"/>
      <c r="BR405" s="75"/>
      <c r="BS405" s="76"/>
      <c r="BT405" s="76"/>
      <c r="BU405" s="49"/>
      <c r="BV405" s="75"/>
      <c r="BW405" s="76"/>
      <c r="BX405" s="76"/>
      <c r="BY405" s="76"/>
      <c r="BZ405" s="76"/>
      <c r="CA405" s="49"/>
      <c r="CB405" s="75"/>
      <c r="CC405" s="76"/>
      <c r="CD405" s="77"/>
      <c r="CE405" s="132"/>
      <c r="CF405" s="132"/>
      <c r="CG405" s="51"/>
    </row>
    <row r="406" spans="1:100" s="5" customFormat="1" x14ac:dyDescent="0.2">
      <c r="A406" s="5">
        <v>1</v>
      </c>
      <c r="B406" s="71" t="s">
        <v>72</v>
      </c>
      <c r="C406" s="71" t="s">
        <v>72</v>
      </c>
      <c r="D406" s="73"/>
      <c r="E406" s="73"/>
      <c r="F406" s="73"/>
      <c r="G406" s="39"/>
      <c r="H406" s="39"/>
      <c r="I406" s="39"/>
      <c r="L406" s="43" t="s">
        <v>76</v>
      </c>
      <c r="M406" s="67"/>
      <c r="N406" s="67"/>
      <c r="O406" s="275"/>
      <c r="P406" s="67"/>
      <c r="Q406" s="43"/>
      <c r="R406" s="532" t="s">
        <v>99</v>
      </c>
      <c r="S406" s="312"/>
      <c r="T406" s="312"/>
      <c r="U406" s="450"/>
      <c r="V406" s="312"/>
      <c r="W406" s="314"/>
      <c r="X406" s="347"/>
      <c r="Y406" s="312"/>
      <c r="Z406" s="347"/>
      <c r="AA406" s="314"/>
      <c r="AB406" s="312" t="s">
        <v>95</v>
      </c>
      <c r="AC406" s="312"/>
      <c r="AD406" s="312" t="s">
        <v>96</v>
      </c>
      <c r="AE406" s="314"/>
      <c r="AF406" s="312" t="s">
        <v>97</v>
      </c>
      <c r="AG406" s="312"/>
      <c r="AH406" s="312" t="s">
        <v>98</v>
      </c>
      <c r="AI406" s="314"/>
      <c r="AJ406" s="312"/>
      <c r="AK406" s="312"/>
      <c r="AL406" s="312"/>
      <c r="AM406" s="312" t="str">
        <f>AB406</f>
        <v>next week</v>
      </c>
      <c r="AN406" s="312" t="str">
        <f>AD406</f>
        <v>2 weeks</v>
      </c>
      <c r="AO406" s="314"/>
      <c r="AQ406" s="312"/>
      <c r="AS406" s="314"/>
      <c r="AT406" s="312" t="str">
        <f>AF406</f>
        <v>3 weeks</v>
      </c>
      <c r="AU406" s="312"/>
      <c r="AV406" s="347" t="s">
        <v>98</v>
      </c>
      <c r="AW406" s="314"/>
      <c r="AX406" s="389"/>
      <c r="AY406" s="312"/>
      <c r="AZ406" s="312"/>
      <c r="BA406" s="312"/>
      <c r="BB406" s="312"/>
      <c r="BC406" s="312" t="s">
        <v>123</v>
      </c>
      <c r="BD406" s="312" t="s">
        <v>165</v>
      </c>
      <c r="BE406" s="312" t="s">
        <v>120</v>
      </c>
      <c r="BF406" s="312" t="s">
        <v>164</v>
      </c>
      <c r="BG406" s="337"/>
      <c r="BH406" s="314" t="s">
        <v>123</v>
      </c>
      <c r="BI406" s="314" t="s">
        <v>162</v>
      </c>
      <c r="BJ406" s="312" t="s">
        <v>120</v>
      </c>
      <c r="BK406" s="312"/>
      <c r="BL406" s="312"/>
      <c r="BM406" s="312"/>
      <c r="BN406" s="417"/>
      <c r="BO406" s="312"/>
      <c r="BP406" s="312"/>
      <c r="BQ406" s="337"/>
      <c r="BR406" s="312"/>
      <c r="BS406" s="312"/>
      <c r="BT406" s="312"/>
      <c r="BU406" s="337"/>
      <c r="BV406" s="314"/>
      <c r="BW406" s="312"/>
      <c r="BX406" s="312" t="s">
        <v>165</v>
      </c>
      <c r="BY406" s="312" t="s">
        <v>164</v>
      </c>
      <c r="BZ406" s="312" t="s">
        <v>123</v>
      </c>
      <c r="CA406" s="312" t="s">
        <v>123</v>
      </c>
      <c r="CB406" s="314" t="s">
        <v>162</v>
      </c>
      <c r="CC406" s="314"/>
      <c r="CD406" s="314" t="s">
        <v>120</v>
      </c>
      <c r="CE406" s="314"/>
      <c r="CF406" s="315"/>
      <c r="CG406" s="30"/>
      <c r="CO406" s="5" t="s">
        <v>103</v>
      </c>
      <c r="CP406" s="5" t="s">
        <v>104</v>
      </c>
      <c r="CQ406" s="5" t="s">
        <v>105</v>
      </c>
      <c r="CR406" s="5" t="s">
        <v>106</v>
      </c>
    </row>
    <row r="407" spans="1:100" x14ac:dyDescent="0.2">
      <c r="A407">
        <v>1</v>
      </c>
      <c r="B407" s="92" t="s">
        <v>56</v>
      </c>
      <c r="C407" s="92" t="s">
        <v>56</v>
      </c>
      <c r="D407" s="63"/>
      <c r="E407" s="63"/>
      <c r="F407" s="63"/>
      <c r="G407" s="36">
        <f>SUMIF('gas-old'!$B$17:$DM$17,"2001",'gas-old'!$B$18:$DM$18)</f>
        <v>1607.2089849999998</v>
      </c>
      <c r="H407" s="36">
        <f>SUMIF('gas-new'!$B$17:$DM$17,"2001",'gas-new'!$B$18:$DM$18)</f>
        <v>-297</v>
      </c>
      <c r="I407" s="36"/>
      <c r="L407" s="36" t="e">
        <f>H393+H407</f>
        <v>#VALUE!</v>
      </c>
      <c r="M407" s="61"/>
      <c r="N407" s="61"/>
      <c r="O407" s="271"/>
      <c r="P407" s="61"/>
      <c r="Q407" s="36"/>
      <c r="R407" s="36"/>
      <c r="S407" s="61"/>
      <c r="T407" s="61"/>
      <c r="U407" s="445"/>
      <c r="V407" s="61"/>
      <c r="W407" s="69"/>
      <c r="X407" s="219"/>
      <c r="Y407" s="61"/>
      <c r="Z407" s="219"/>
      <c r="AA407" s="69"/>
      <c r="AB407" s="428" t="str">
        <f>CO404</f>
        <v>12/10-12/14</v>
      </c>
      <c r="AC407" s="428" t="str">
        <f>CP404</f>
        <v>12/17-12/21</v>
      </c>
      <c r="AD407" s="428" t="str">
        <f>CP404</f>
        <v>12/17-12/21</v>
      </c>
      <c r="AE407" s="69"/>
      <c r="AF407" s="428">
        <f>CQ407</f>
        <v>37249</v>
      </c>
      <c r="AG407" s="61"/>
      <c r="AH407" s="181">
        <f>CR407</f>
        <v>37256</v>
      </c>
      <c r="AI407" s="69"/>
      <c r="AJ407" s="61"/>
      <c r="AK407" s="61"/>
      <c r="AL407" s="69"/>
      <c r="AM407" s="181" t="str">
        <f>AB407</f>
        <v>12/10-12/14</v>
      </c>
      <c r="AN407" s="181" t="str">
        <f>AD407</f>
        <v>12/17-12/21</v>
      </c>
      <c r="AO407" s="69"/>
      <c r="AQ407" s="61"/>
      <c r="AS407" s="69"/>
      <c r="AT407" s="181">
        <f>AF407</f>
        <v>37249</v>
      </c>
      <c r="AU407" s="61"/>
      <c r="AV407" s="181">
        <f>AH407</f>
        <v>37256</v>
      </c>
      <c r="AW407" s="69"/>
      <c r="AX407" s="398"/>
      <c r="AY407" s="61"/>
      <c r="AZ407" s="235"/>
      <c r="BA407" s="235"/>
      <c r="BB407" s="235"/>
      <c r="BC407" s="235">
        <v>37167</v>
      </c>
      <c r="BD407" s="235">
        <v>37228</v>
      </c>
      <c r="BE407" s="235">
        <v>37169</v>
      </c>
      <c r="BF407" s="235">
        <v>37229</v>
      </c>
      <c r="BG407" s="235">
        <v>37141</v>
      </c>
      <c r="BH407" s="235">
        <v>37230</v>
      </c>
      <c r="BI407" s="235">
        <v>37231</v>
      </c>
      <c r="BJ407" s="235">
        <v>37232</v>
      </c>
      <c r="BK407" s="61"/>
      <c r="BL407" s="235"/>
      <c r="BM407" s="235"/>
      <c r="BN407" s="406"/>
      <c r="BO407" s="235"/>
      <c r="BP407" s="235"/>
      <c r="BQ407" s="36"/>
      <c r="BR407" s="235"/>
      <c r="BS407" s="61"/>
      <c r="BT407" s="235"/>
      <c r="BU407" s="36"/>
      <c r="BV407" s="235"/>
      <c r="BW407" s="61"/>
      <c r="BX407" s="235">
        <v>37228</v>
      </c>
      <c r="BY407" s="235">
        <v>37229</v>
      </c>
      <c r="BZ407" s="235">
        <v>37230</v>
      </c>
      <c r="CA407" s="235">
        <v>37147</v>
      </c>
      <c r="CB407" s="235">
        <v>37231</v>
      </c>
      <c r="CC407" s="61"/>
      <c r="CD407" s="235">
        <v>37232</v>
      </c>
      <c r="CE407" s="235"/>
      <c r="CF407" s="232"/>
      <c r="CG407" s="4"/>
      <c r="CO407" s="214">
        <v>37235</v>
      </c>
      <c r="CP407" s="214">
        <f>CO407+7</f>
        <v>37242</v>
      </c>
      <c r="CQ407" s="214">
        <f>CP407+7</f>
        <v>37249</v>
      </c>
      <c r="CR407" s="214">
        <f>CQ407+7</f>
        <v>37256</v>
      </c>
      <c r="CS407" s="214">
        <f>CR407+7</f>
        <v>37263</v>
      </c>
      <c r="CT407" s="214">
        <f>CS407+7</f>
        <v>37270</v>
      </c>
      <c r="CV407" s="1">
        <v>37134</v>
      </c>
    </row>
    <row r="408" spans="1:100" s="35" customFormat="1" x14ac:dyDescent="0.2">
      <c r="A408" s="35">
        <v>1</v>
      </c>
      <c r="B408" s="94" t="s">
        <v>57</v>
      </c>
      <c r="C408" s="94" t="s">
        <v>57</v>
      </c>
      <c r="D408" s="64"/>
      <c r="E408" s="64"/>
      <c r="F408" s="64"/>
      <c r="G408" s="37">
        <f>SUMIF('gas-old'!$B$17:$DM$17,"2002",'gas-old'!$B$18:$DM$18)</f>
        <v>936.60045299999979</v>
      </c>
      <c r="H408" s="37">
        <f>SUMIF('gas-new'!$B$17:$DM$17,"2002",'gas-new'!$B$18:$DM$18)</f>
        <v>0</v>
      </c>
      <c r="I408" s="37"/>
      <c r="L408" s="37">
        <f t="shared" ref="L408:L416" si="59">H394+H408</f>
        <v>2487.2934189823782</v>
      </c>
      <c r="M408" s="65"/>
      <c r="N408" s="65"/>
      <c r="O408" s="272"/>
      <c r="P408" s="65"/>
      <c r="Q408" s="37"/>
      <c r="R408" s="533" t="s">
        <v>3</v>
      </c>
      <c r="S408" s="65"/>
      <c r="T408" s="65"/>
      <c r="U408" s="451"/>
      <c r="V408" s="65"/>
      <c r="W408" s="70"/>
      <c r="X408" s="220"/>
      <c r="Y408" s="65"/>
      <c r="Z408" s="220"/>
      <c r="AA408" s="70"/>
      <c r="AB408" s="65" t="e">
        <f ca="1">Output!CO408</f>
        <v>#N/A</v>
      </c>
      <c r="AC408" s="65"/>
      <c r="AD408" s="70" t="e">
        <f ca="1">Output!CP408</f>
        <v>#N/A</v>
      </c>
      <c r="AE408" s="70"/>
      <c r="AF408" s="65" t="e">
        <f ca="1">Output!CQ408</f>
        <v>#N/A</v>
      </c>
      <c r="AG408" s="65"/>
      <c r="AH408" s="70" t="e">
        <f ca="1">Output!CR408</f>
        <v>#N/A</v>
      </c>
      <c r="AI408" s="70">
        <f>Cash!K42</f>
        <v>0</v>
      </c>
      <c r="AJ408" s="65"/>
      <c r="AK408" s="65">
        <f>Cash!M42</f>
        <v>0</v>
      </c>
      <c r="AL408" s="70"/>
      <c r="AM408" s="230">
        <f>VLOOKUP(CO$407,[1]Daily_Peak_Forward!$A$4:$AF$34,13,FALSE)</f>
        <v>22.35</v>
      </c>
      <c r="AN408" s="230">
        <f>VLOOKUP(CP$407,[1]Daily_Peak_Forward!$A$4:$AF$34,13,FALSE)</f>
        <v>22.35</v>
      </c>
      <c r="AO408" s="70"/>
      <c r="AQ408" s="65"/>
      <c r="AS408" s="70"/>
      <c r="AT408" s="230">
        <f>VLOOKUP(CQ$407,[1]Daily_Peak_Forward!$A$4:$AF$34,13,FALSE)</f>
        <v>22.35</v>
      </c>
      <c r="AU408" s="65" t="e">
        <f>VLOOKUP(CW407,[1]Daily_Peak_Forward!$A$4:$AF$34,13,FALSE)</f>
        <v>#N/A</v>
      </c>
      <c r="AV408" s="230">
        <f>VLOOKUP(CR$407,[1]Daily_Peak_Forward!$A$4:$AF$34,13,FALSE)</f>
        <v>22.35</v>
      </c>
      <c r="AW408" s="70"/>
      <c r="AX408" s="390"/>
      <c r="AY408" s="65"/>
      <c r="AZ408" s="65"/>
      <c r="BA408" s="65"/>
      <c r="BB408" s="65"/>
      <c r="BC408" s="65" t="e">
        <f ca="1">HLOOKUP(BC$407,Cash!$D$1:$L$38,29,FALSE)</f>
        <v>#N/A</v>
      </c>
      <c r="BD408" s="65"/>
      <c r="BE408" s="65" t="e">
        <f ca="1">HLOOKUP(BE$407,Cash!$D$1:$L$38,29,FALSE)</f>
        <v>#N/A</v>
      </c>
      <c r="BF408" s="65"/>
      <c r="BG408" s="65" t="e">
        <f ca="1">HLOOKUP(BG$407,Cash!$D$1:$L$38,29,FALSE)</f>
        <v>#N/A</v>
      </c>
      <c r="BH408" s="65"/>
      <c r="BI408" s="65" t="e">
        <f ca="1">HLOOKUP(BI$407,Cash!$D$1:$L$38,29,FALSE)</f>
        <v>#N/A</v>
      </c>
      <c r="BJ408" s="65" t="e">
        <f ca="1">HLOOKUP(BJ$407,Cash!$D$1:$L$38,29,FALSE)</f>
        <v>#N/A</v>
      </c>
      <c r="BK408" s="65">
        <f>Cash!Q42</f>
        <v>0</v>
      </c>
      <c r="BL408" s="230"/>
      <c r="BM408" s="230"/>
      <c r="BN408" s="418"/>
      <c r="BO408" s="230"/>
      <c r="BP408" s="230"/>
      <c r="BQ408" s="37">
        <f>Cash!S42</f>
        <v>0</v>
      </c>
      <c r="BR408" s="65"/>
      <c r="BS408" s="65"/>
      <c r="BT408" s="230"/>
      <c r="BU408" s="37"/>
      <c r="BV408" s="230"/>
      <c r="BW408" s="65">
        <v>53.5</v>
      </c>
      <c r="BX408" s="230"/>
      <c r="BY408" s="230"/>
      <c r="BZ408" s="230"/>
      <c r="CA408" s="70" t="e">
        <f>VLOOKUP(CA$407,[1]Daily_Peak_Forward!$A$4:$AF$34,13,FALSE)</f>
        <v>#N/A</v>
      </c>
      <c r="CB408" s="230">
        <f>VLOOKUP(CB$407,[1]Daily_Peak_Forward!$A$4:$AF$34,13,FALSE)</f>
        <v>19.5</v>
      </c>
      <c r="CC408" s="65" t="e">
        <f>VLOOKUP(CC407,[1]Daily_Peak_Forward!$A$4:$AF$34,13,FALSE)</f>
        <v>#N/A</v>
      </c>
      <c r="CD408" s="230">
        <f>VLOOKUP(CD$407,[1]Daily_Peak_Forward!$A$4:$AF$34,13,FALSE)</f>
        <v>22.35</v>
      </c>
      <c r="CE408" s="230"/>
      <c r="CF408" s="233"/>
      <c r="CG408" s="34"/>
      <c r="CH408" s="239" t="str">
        <f>R408</f>
        <v>CINERGY</v>
      </c>
      <c r="CO408" s="35" t="e">
        <f ca="1">HLOOKUP(CO$407+1,Cash!$D$1:$AM$38,Cash!$A29,FALSE)</f>
        <v>#N/A</v>
      </c>
      <c r="CP408" s="35" t="e">
        <f ca="1">HLOOKUP(CP$407,Cash!$D$1:$AM$38,Cash!$A29,FALSE)</f>
        <v>#N/A</v>
      </c>
      <c r="CQ408" s="35" t="e">
        <f ca="1">HLOOKUP(CQ$407,Cash!$D$1:$AM$38,Cash!$A29,FALSE)</f>
        <v>#N/A</v>
      </c>
      <c r="CR408" s="240" t="e">
        <f ca="1">HLOOKUP(CR$407,Cash!$D$1:$AM$38,Cash!$A29,FALSE)</f>
        <v>#N/A</v>
      </c>
      <c r="CS408" s="35" t="e">
        <f ca="1">HLOOKUP(CS$407,Cash!$D$1:$AM$38,Cash!$A29,FALSE)</f>
        <v>#N/A</v>
      </c>
      <c r="CT408" s="35" t="e">
        <f ca="1">HLOOKUP(CT$407,Cash!$D$1:$AS$38,Cash!$A29,FALSE)</f>
        <v>#N/A</v>
      </c>
    </row>
    <row r="409" spans="1:100" x14ac:dyDescent="0.2">
      <c r="A409">
        <v>1</v>
      </c>
      <c r="B409" s="92" t="s">
        <v>58</v>
      </c>
      <c r="C409" s="92" t="s">
        <v>58</v>
      </c>
      <c r="D409" s="63"/>
      <c r="E409" s="63"/>
      <c r="F409" s="63"/>
      <c r="G409" s="36">
        <f>SUMIF('gas-old'!$B$17:$DM$17,"2003",'gas-old'!$B$18:$DM$18)</f>
        <v>355.84373800000003</v>
      </c>
      <c r="H409" s="36">
        <f>SUMIF('gas-new'!$B$17:$DM$17,"2003",'gas-new'!$B$18:$DM$18)</f>
        <v>0</v>
      </c>
      <c r="I409" s="36"/>
      <c r="L409" s="36">
        <f t="shared" si="59"/>
        <v>-2898.8803352136174</v>
      </c>
      <c r="M409" s="61"/>
      <c r="N409" s="61"/>
      <c r="O409" s="271"/>
      <c r="P409" s="61"/>
      <c r="Q409" s="36"/>
      <c r="R409" s="45" t="s">
        <v>167</v>
      </c>
      <c r="S409" s="61"/>
      <c r="T409" s="61"/>
      <c r="U409" s="445"/>
      <c r="V409" s="61"/>
      <c r="W409" s="69"/>
      <c r="X409" s="219"/>
      <c r="Y409" s="61"/>
      <c r="Z409" s="219"/>
      <c r="AA409" s="69"/>
      <c r="AB409" s="61" t="e">
        <f ca="1">Output!CO409</f>
        <v>#N/A</v>
      </c>
      <c r="AC409" s="61"/>
      <c r="AD409" s="69" t="e">
        <f ca="1">Output!CP409</f>
        <v>#N/A</v>
      </c>
      <c r="AE409" s="69"/>
      <c r="AF409" s="61" t="e">
        <f ca="1">Output!CQ409</f>
        <v>#N/A</v>
      </c>
      <c r="AG409" s="61"/>
      <c r="AH409" s="69" t="e">
        <f ca="1">Output!CR409</f>
        <v>#N/A</v>
      </c>
      <c r="AI409" s="69">
        <f>Cash!K43</f>
        <v>0</v>
      </c>
      <c r="AJ409" s="61"/>
      <c r="AK409" s="61">
        <f>Cash!M43</f>
        <v>0</v>
      </c>
      <c r="AL409" s="69"/>
      <c r="AM409" s="231">
        <f>VLOOKUP(CO$407,[1]Daily_Peak_Forward!$A$4:$AF$34,18,FALSE)</f>
        <v>22.2</v>
      </c>
      <c r="AN409" s="231">
        <f>VLOOKUP(CP$407,[1]Daily_Peak_Forward!$A$4:$AF$34,18,FALSE)</f>
        <v>22.2</v>
      </c>
      <c r="AO409" s="69"/>
      <c r="AQ409" s="61"/>
      <c r="AS409" s="69"/>
      <c r="AT409" s="231">
        <f>VLOOKUP(CQ$407,[1]Daily_Peak_Forward!$A$4:$AF$34,18,FALSE)</f>
        <v>22.2</v>
      </c>
      <c r="AU409" s="61"/>
      <c r="AV409" s="231">
        <f>VLOOKUP(CR$407,[1]Daily_Peak_Forward!$A$4:$AF$34,18,FALSE)</f>
        <v>22.2</v>
      </c>
      <c r="AW409" s="69" t="e">
        <f ca="1">HLOOKUP(AW$407,Cash!$D$1:$L$38,Cash!$A30-Cash!$A$1+1,FALSE)</f>
        <v>#N/A</v>
      </c>
      <c r="AX409" s="388"/>
      <c r="AY409" s="61" t="e">
        <f ca="1">HLOOKUP(AY$407,Cash!$D$1:$L$38,Cash!$A30-Cash!$A$1+1,FALSE)</f>
        <v>#N/A</v>
      </c>
      <c r="AZ409" s="61"/>
      <c r="BA409" s="61"/>
      <c r="BB409" s="61"/>
      <c r="BC409" s="69" t="e">
        <f ca="1">HLOOKUP(BC$407,Cash!$D$1:$L$38,Cash!$A30,FALSE)</f>
        <v>#N/A</v>
      </c>
      <c r="BD409" s="61"/>
      <c r="BE409" s="61" t="e">
        <f ca="1">HLOOKUP(BE$407,Cash!$D$1:$L$38,Cash!$A30,FALSE)</f>
        <v>#N/A</v>
      </c>
      <c r="BF409" s="61"/>
      <c r="BG409" s="36" t="e">
        <f ca="1">HLOOKUP(BG$407,Cash!$D$1:$L$38,Cash!$A30,FALSE)</f>
        <v>#N/A</v>
      </c>
      <c r="BH409" s="69"/>
      <c r="BI409" s="69" t="e">
        <f ca="1">HLOOKUP(BI$407,Cash!$D$1:$L$38,Cash!$A30,FALSE)</f>
        <v>#N/A</v>
      </c>
      <c r="BJ409" s="61" t="e">
        <f ca="1">HLOOKUP(BJ$407,Cash!$D$1:$L$38,Cash!$A30,FALSE)</f>
        <v>#N/A</v>
      </c>
      <c r="BK409" s="61">
        <f>Cash!Q43</f>
        <v>0</v>
      </c>
      <c r="BL409" s="231"/>
      <c r="BM409" s="231"/>
      <c r="BN409" s="406"/>
      <c r="BO409" s="231"/>
      <c r="BP409" s="231"/>
      <c r="BQ409" s="36">
        <f>Cash!S43</f>
        <v>0</v>
      </c>
      <c r="BR409" s="61"/>
      <c r="BS409" s="61"/>
      <c r="BT409" s="231"/>
      <c r="BU409" s="36"/>
      <c r="BV409" s="231"/>
      <c r="BW409" s="61">
        <v>52.5</v>
      </c>
      <c r="BX409" s="231"/>
      <c r="BY409" s="231"/>
      <c r="BZ409" s="231"/>
      <c r="CA409" s="69" t="e">
        <f>VLOOKUP(CA$407,[1]Daily_Peak_Forward!$A$4:$AF$34,22,FALSE)</f>
        <v>#N/A</v>
      </c>
      <c r="CB409" s="231">
        <f>VLOOKUP(CB$407,[1]Daily_Peak_Forward!$A$4:$AF$34,8,FALSE)</f>
        <v>27.4</v>
      </c>
      <c r="CC409" s="61">
        <v>52.5</v>
      </c>
      <c r="CD409" s="231">
        <f>VLOOKUP(CD$407,[1]Daily_Peak_Forward!$A$4:$AF$34,8,FALSE)</f>
        <v>27.6</v>
      </c>
      <c r="CE409" s="231"/>
      <c r="CF409" s="234"/>
      <c r="CG409" s="4"/>
      <c r="CH409" t="s">
        <v>167</v>
      </c>
      <c r="CO409" t="e">
        <f ca="1">HLOOKUP(CO$407+1,Cash!$D$1:$AM$38,Cash!$A30,FALSE)</f>
        <v>#N/A</v>
      </c>
      <c r="CP409" t="e">
        <f ca="1">HLOOKUP(CP$407,Cash!$D$1:$AM$38,Cash!$A30,FALSE)</f>
        <v>#N/A</v>
      </c>
      <c r="CQ409" t="e">
        <f ca="1">HLOOKUP(CQ$407,Cash!$D$1:$AM$38,Cash!$A30,FALSE)</f>
        <v>#N/A</v>
      </c>
      <c r="CR409" t="e">
        <f ca="1">HLOOKUP(CR$407,Cash!$D$1:$AM$38,Cash!$A30,FALSE)</f>
        <v>#N/A</v>
      </c>
      <c r="CS409" t="e">
        <f ca="1">HLOOKUP(CS$407,Cash!$D$1:$AM$38,Cash!$A30,FALSE)</f>
        <v>#N/A</v>
      </c>
      <c r="CT409" t="e">
        <f ca="1">HLOOKUP(CT$407,Cash!$D$1:$AS$38,Cash!$A30,FALSE)</f>
        <v>#N/A</v>
      </c>
    </row>
    <row r="410" spans="1:100" s="35" customFormat="1" x14ac:dyDescent="0.2">
      <c r="A410" s="35">
        <v>1</v>
      </c>
      <c r="B410" s="94" t="s">
        <v>59</v>
      </c>
      <c r="C410" s="94" t="s">
        <v>59</v>
      </c>
      <c r="D410" s="64"/>
      <c r="E410" s="64"/>
      <c r="F410" s="64"/>
      <c r="G410" s="37">
        <f>SUMIF('gas-old'!$B$17:$DM$17,"2004",'gas-old'!$B$18:$DM$18)</f>
        <v>-156.87095400000001</v>
      </c>
      <c r="H410" s="37">
        <f>SUMIF('gas-new'!$B$17:$DM$17,"2004",'gas-new'!$B$18:$DM$18)</f>
        <v>0</v>
      </c>
      <c r="I410" s="37"/>
      <c r="L410" s="37">
        <f t="shared" si="59"/>
        <v>781.54455084671167</v>
      </c>
      <c r="M410" s="65"/>
      <c r="N410" s="65"/>
      <c r="O410" s="272"/>
      <c r="P410" s="65"/>
      <c r="Q410" s="37"/>
      <c r="R410" s="533" t="s">
        <v>6</v>
      </c>
      <c r="S410" s="65"/>
      <c r="T410" s="65"/>
      <c r="U410" s="451"/>
      <c r="V410" s="65"/>
      <c r="W410" s="70"/>
      <c r="X410" s="220"/>
      <c r="Y410" s="65"/>
      <c r="Z410" s="220"/>
      <c r="AA410" s="70"/>
      <c r="AB410" s="65" t="e">
        <f ca="1">Output!CO410</f>
        <v>#N/A</v>
      </c>
      <c r="AC410" s="65"/>
      <c r="AD410" s="70" t="e">
        <f ca="1">Output!CP410</f>
        <v>#N/A</v>
      </c>
      <c r="AE410" s="70"/>
      <c r="AF410" s="65" t="e">
        <f ca="1">Output!CQ410</f>
        <v>#N/A</v>
      </c>
      <c r="AG410" s="65"/>
      <c r="AH410" s="70" t="e">
        <f ca="1">Output!CR410</f>
        <v>#N/A</v>
      </c>
      <c r="AI410" s="70">
        <f>Cash!K44</f>
        <v>0</v>
      </c>
      <c r="AJ410" s="65"/>
      <c r="AK410" s="65">
        <f>Cash!M44</f>
        <v>0</v>
      </c>
      <c r="AL410" s="70"/>
      <c r="AM410" s="230">
        <f>VLOOKUP(CO$407,[1]Daily_Peak_Forward!$A$4:$AF$34,14,FALSE)</f>
        <v>22.1</v>
      </c>
      <c r="AN410" s="230">
        <f>VLOOKUP(CP$407,[1]Daily_Peak_Forward!$A$4:$AF$34,14,FALSE)</f>
        <v>22.1</v>
      </c>
      <c r="AO410" s="70"/>
      <c r="AQ410" s="65"/>
      <c r="AS410" s="70"/>
      <c r="AT410" s="230">
        <f>VLOOKUP(CQ$407,[1]Daily_Peak_Forward!$A$4:$AF$34,14,FALSE)</f>
        <v>22.1</v>
      </c>
      <c r="AU410" s="65"/>
      <c r="AV410" s="230">
        <f>VLOOKUP(CR$407,[1]Daily_Peak_Forward!$A$4:$AF$34,14,FALSE)</f>
        <v>21.55</v>
      </c>
      <c r="AW410" s="70" t="e">
        <f ca="1">HLOOKUP(AW$407,Cash!$D$1:$L$38,Cash!$A31-Cash!$A$1+1,FALSE)</f>
        <v>#N/A</v>
      </c>
      <c r="AX410" s="390"/>
      <c r="AY410" s="65" t="e">
        <f ca="1">HLOOKUP(AY$407,Cash!$D$1:$L$38,Cash!$A31-Cash!$A$1+1,FALSE)</f>
        <v>#N/A</v>
      </c>
      <c r="AZ410" s="65"/>
      <c r="BA410" s="65"/>
      <c r="BB410" s="65"/>
      <c r="BC410" s="70" t="e">
        <f ca="1">HLOOKUP(BC$407,Cash!$D$1:$L$38,Cash!$A31,FALSE)</f>
        <v>#N/A</v>
      </c>
      <c r="BD410" s="65"/>
      <c r="BE410" s="65" t="e">
        <f ca="1">HLOOKUP(BE$407,Cash!$D$1:$L$38,Cash!$A31,FALSE)</f>
        <v>#N/A</v>
      </c>
      <c r="BF410" s="65"/>
      <c r="BG410" s="37" t="e">
        <f ca="1">HLOOKUP(BG$407,Cash!$D$1:$L$38,Cash!$A31,FALSE)</f>
        <v>#N/A</v>
      </c>
      <c r="BH410" s="70"/>
      <c r="BI410" s="70" t="e">
        <f ca="1">HLOOKUP(BI$407,Cash!$D$1:$L$38,Cash!$A31,FALSE)</f>
        <v>#N/A</v>
      </c>
      <c r="BJ410" s="65" t="e">
        <f ca="1">HLOOKUP(BJ$407,Cash!$D$1:$L$38,Cash!$A31,FALSE)</f>
        <v>#N/A</v>
      </c>
      <c r="BK410" s="65">
        <f>Cash!Q44</f>
        <v>0</v>
      </c>
      <c r="BL410" s="230"/>
      <c r="BM410" s="230"/>
      <c r="BN410" s="418"/>
      <c r="BO410" s="230"/>
      <c r="BP410" s="230"/>
      <c r="BQ410" s="37">
        <f>Cash!S44</f>
        <v>0</v>
      </c>
      <c r="BR410" s="65"/>
      <c r="BS410" s="65"/>
      <c r="BT410" s="230"/>
      <c r="BU410" s="37"/>
      <c r="BV410" s="230"/>
      <c r="BW410" s="65">
        <v>65</v>
      </c>
      <c r="BX410" s="230"/>
      <c r="BY410" s="230"/>
      <c r="BZ410" s="230"/>
      <c r="CA410" s="70" t="e">
        <f>VLOOKUP(CA$407,[1]Daily_Peak_Forward!$A$4:$AF$34,14,FALSE)</f>
        <v>#N/A</v>
      </c>
      <c r="CB410" s="230">
        <f>VLOOKUP(CB$407,[1]Daily_Peak_Forward!$A$4:$AF$34,14,FALSE)</f>
        <v>19.25</v>
      </c>
      <c r="CC410" s="65">
        <v>65</v>
      </c>
      <c r="CD410" s="230">
        <f>VLOOKUP(CD$407,[1]Daily_Peak_Forward!$A$4:$AF$34,14,FALSE)</f>
        <v>22.1</v>
      </c>
      <c r="CE410" s="230"/>
      <c r="CF410" s="233"/>
      <c r="CG410" s="34"/>
      <c r="CH410" t="str">
        <f>R410</f>
        <v>INTO COMED</v>
      </c>
      <c r="CO410" s="35" t="e">
        <f ca="1">HLOOKUP(CO$407+1,Cash!$D$1:$AM$38,Cash!$A31,FALSE)</f>
        <v>#N/A</v>
      </c>
      <c r="CP410" s="35" t="e">
        <f ca="1">HLOOKUP(CP$407,Cash!$D$1:$AM$38,Cash!$A31,FALSE)</f>
        <v>#N/A</v>
      </c>
      <c r="CQ410" s="35" t="e">
        <f ca="1">HLOOKUP(CQ$407,Cash!$D$1:$AM$38,Cash!$A31,FALSE)</f>
        <v>#N/A</v>
      </c>
      <c r="CR410" s="35" t="e">
        <f ca="1">HLOOKUP(CR$407,Cash!$D$1:$AM$38,Cash!$A31,FALSE)</f>
        <v>#N/A</v>
      </c>
      <c r="CS410" s="35" t="e">
        <f ca="1">HLOOKUP(CS$407,Cash!$D$1:$AM$38,Cash!$A31,FALSE)</f>
        <v>#N/A</v>
      </c>
      <c r="CT410" s="35" t="e">
        <f ca="1">HLOOKUP(CT$407,Cash!$D$1:$AS$38,Cash!$A31,FALSE)</f>
        <v>#N/A</v>
      </c>
    </row>
    <row r="411" spans="1:100" x14ac:dyDescent="0.2">
      <c r="A411">
        <v>1</v>
      </c>
      <c r="B411" s="92" t="s">
        <v>60</v>
      </c>
      <c r="C411" s="92" t="s">
        <v>60</v>
      </c>
      <c r="D411" s="63"/>
      <c r="E411" s="63"/>
      <c r="F411" s="63"/>
      <c r="G411" s="36">
        <f>SUMIF('gas-old'!$B$17:$DM$17,"2005",'gas-old'!$B$18:$DM$18)</f>
        <v>-882.30788699999994</v>
      </c>
      <c r="H411" s="36">
        <f>SUMIF('gas-new'!$B$17:$DM$17,"2005",'gas-new'!$B$18:$DM$18)</f>
        <v>0</v>
      </c>
      <c r="I411" s="36"/>
      <c r="L411" s="36">
        <f t="shared" si="59"/>
        <v>253.28030262520437</v>
      </c>
      <c r="M411" s="61"/>
      <c r="N411" s="61"/>
      <c r="O411" s="271"/>
      <c r="P411" s="61"/>
      <c r="Q411" s="36"/>
      <c r="R411" s="45" t="s">
        <v>7</v>
      </c>
      <c r="S411" s="61"/>
      <c r="T411" s="61"/>
      <c r="U411" s="445"/>
      <c r="V411" s="61"/>
      <c r="W411" s="69"/>
      <c r="X411" s="219"/>
      <c r="Y411" s="61"/>
      <c r="Z411" s="219"/>
      <c r="AA411" s="69"/>
      <c r="AB411" s="61" t="e">
        <f ca="1">Output!CO411</f>
        <v>#N/A</v>
      </c>
      <c r="AC411" s="61"/>
      <c r="AD411" s="69" t="e">
        <f ca="1">Output!CP411</f>
        <v>#N/A</v>
      </c>
      <c r="AE411" s="69"/>
      <c r="AF411" s="61" t="e">
        <f ca="1">Output!CQ411</f>
        <v>#N/A</v>
      </c>
      <c r="AG411" s="61"/>
      <c r="AH411" s="69" t="e">
        <f ca="1">Output!CR411</f>
        <v>#N/A</v>
      </c>
      <c r="AI411" s="69">
        <f>Cash!K45</f>
        <v>0</v>
      </c>
      <c r="AJ411" s="61"/>
      <c r="AK411" s="61">
        <f>Cash!M45</f>
        <v>0</v>
      </c>
      <c r="AL411" s="69"/>
      <c r="AM411" s="231">
        <f>VLOOKUP(CO$407,[1]Daily_Peak_Forward!$A$4:$AF$34,15,FALSE)</f>
        <v>22.25</v>
      </c>
      <c r="AN411" s="231">
        <f>VLOOKUP(CP$407,[1]Daily_Peak_Forward!$A$4:$AF$34,15,FALSE)</f>
        <v>22.25</v>
      </c>
      <c r="AO411" s="69"/>
      <c r="AQ411" s="61"/>
      <c r="AS411" s="69"/>
      <c r="AT411" s="231">
        <f>VLOOKUP(CQ$407,[1]Daily_Peak_Forward!$A$4:$AF$34,15,FALSE)</f>
        <v>22.25</v>
      </c>
      <c r="AU411" s="61"/>
      <c r="AV411" s="231">
        <f>VLOOKUP(CR$407,[1]Daily_Peak_Forward!$A$4:$AF$34,15,FALSE)</f>
        <v>21.35</v>
      </c>
      <c r="AW411" s="69" t="e">
        <f ca="1">HLOOKUP(AW$407,Cash!$D$1:$L$38,Cash!$A32-Cash!$A$1+1,FALSE)</f>
        <v>#N/A</v>
      </c>
      <c r="AX411" s="388"/>
      <c r="AY411" s="61" t="e">
        <f ca="1">HLOOKUP(AY$407,Cash!$D$1:$L$38,Cash!$A32-Cash!$A$1+1,FALSE)</f>
        <v>#N/A</v>
      </c>
      <c r="AZ411" s="61"/>
      <c r="BA411" s="61"/>
      <c r="BB411" s="61"/>
      <c r="BC411" s="69" t="e">
        <f ca="1">HLOOKUP(BC$407,Cash!$D$1:$L$38,Cash!$A32,FALSE)</f>
        <v>#N/A</v>
      </c>
      <c r="BD411" s="61"/>
      <c r="BE411" s="61" t="e">
        <f ca="1">HLOOKUP(BE$407,Cash!$D$1:$L$38,Cash!$A32,FALSE)</f>
        <v>#N/A</v>
      </c>
      <c r="BF411" s="61"/>
      <c r="BG411" s="36" t="e">
        <f ca="1">HLOOKUP(BG$407,Cash!$D$1:$L$38,Cash!$A32,FALSE)</f>
        <v>#N/A</v>
      </c>
      <c r="BH411" s="69"/>
      <c r="BI411" s="69" t="e">
        <f ca="1">HLOOKUP(BI$407,Cash!$D$1:$L$38,Cash!$A32,FALSE)</f>
        <v>#N/A</v>
      </c>
      <c r="BJ411" s="61" t="e">
        <f ca="1">HLOOKUP(BJ$407,Cash!$D$1:$L$38,Cash!$A32,FALSE)</f>
        <v>#N/A</v>
      </c>
      <c r="BK411" s="61">
        <f>Cash!Q45</f>
        <v>0</v>
      </c>
      <c r="BL411" s="231"/>
      <c r="BM411" s="231"/>
      <c r="BN411" s="406"/>
      <c r="BO411" s="231"/>
      <c r="BP411" s="231"/>
      <c r="BQ411" s="36">
        <f>Cash!S45</f>
        <v>0</v>
      </c>
      <c r="BR411" s="61"/>
      <c r="BS411" s="61"/>
      <c r="BT411" s="231"/>
      <c r="BU411" s="36"/>
      <c r="BV411" s="231"/>
      <c r="BW411" s="61">
        <v>54</v>
      </c>
      <c r="BX411" s="231"/>
      <c r="BY411" s="231"/>
      <c r="BZ411" s="231"/>
      <c r="CA411" s="69" t="e">
        <f>VLOOKUP(CA$407,[1]Daily_Peak_Forward!$A$4:$AF$34,15,FALSE)</f>
        <v>#N/A</v>
      </c>
      <c r="CB411" s="231">
        <f>VLOOKUP(CB$407,[1]Daily_Peak_Forward!$A$4:$AF$34,15,FALSE)</f>
        <v>19.399999999999999</v>
      </c>
      <c r="CC411" s="61">
        <v>54</v>
      </c>
      <c r="CD411" s="231">
        <f>VLOOKUP(CD$407,[1]Daily_Peak_Forward!$A$4:$AF$34,15,FALSE)</f>
        <v>22.25</v>
      </c>
      <c r="CE411" s="231"/>
      <c r="CF411" s="234"/>
      <c r="CG411" s="4"/>
      <c r="CH411" s="35" t="str">
        <f>R411</f>
        <v>INTO TVA</v>
      </c>
      <c r="CO411" t="e">
        <f ca="1">HLOOKUP(CO$407+1,Cash!$D$1:$AM$38,Cash!$A32,FALSE)</f>
        <v>#N/A</v>
      </c>
      <c r="CP411" t="e">
        <f ca="1">HLOOKUP(CP$407,Cash!$D$1:$AM$38,Cash!$A32,FALSE)</f>
        <v>#N/A</v>
      </c>
      <c r="CQ411" t="e">
        <f ca="1">HLOOKUP(CQ$407,Cash!$D$1:$AM$38,Cash!$A32,FALSE)</f>
        <v>#N/A</v>
      </c>
      <c r="CR411" t="e">
        <f ca="1">HLOOKUP(CR$407,Cash!$D$1:$AM$38,Cash!$A32,FALSE)</f>
        <v>#N/A</v>
      </c>
      <c r="CS411" t="e">
        <f ca="1">HLOOKUP(CS$407,Cash!$D$1:$AM$38,Cash!$A32,FALSE)</f>
        <v>#N/A</v>
      </c>
      <c r="CT411" t="e">
        <f ca="1">HLOOKUP(CT$407,Cash!$D$1:$AS$38,Cash!$A32,FALSE)</f>
        <v>#N/A</v>
      </c>
    </row>
    <row r="412" spans="1:100" s="35" customFormat="1" x14ac:dyDescent="0.2">
      <c r="A412" s="35">
        <v>1</v>
      </c>
      <c r="B412" s="94" t="s">
        <v>61</v>
      </c>
      <c r="C412" s="94" t="s">
        <v>61</v>
      </c>
      <c r="D412" s="64"/>
      <c r="E412" s="64"/>
      <c r="F412" s="64"/>
      <c r="G412" s="37">
        <f>SUMIF('gas-old'!$B$17:$DM$17,"2006",'gas-old'!$B$18:$DM$18)</f>
        <v>0</v>
      </c>
      <c r="H412" s="37">
        <f>SUMIF('gas-new'!$B$17:$DM$17,"2006",'gas-new'!$B$18:$DM$18)</f>
        <v>0</v>
      </c>
      <c r="I412" s="37"/>
      <c r="L412" s="37">
        <f t="shared" si="59"/>
        <v>-677.15931204975618</v>
      </c>
      <c r="M412" s="65"/>
      <c r="N412" s="65"/>
      <c r="O412" s="272"/>
      <c r="P412" s="65"/>
      <c r="Q412" s="37"/>
      <c r="R412" s="533" t="s">
        <v>9</v>
      </c>
      <c r="S412" s="65"/>
      <c r="T412" s="65"/>
      <c r="U412" s="451"/>
      <c r="V412" s="65"/>
      <c r="W412" s="70"/>
      <c r="X412" s="220"/>
      <c r="Y412" s="65"/>
      <c r="Z412" s="220"/>
      <c r="AA412" s="70"/>
      <c r="AB412" s="65" t="e">
        <f ca="1">Output!CO412</f>
        <v>#N/A</v>
      </c>
      <c r="AC412" s="65"/>
      <c r="AD412" s="70" t="e">
        <f ca="1">Output!CP412</f>
        <v>#N/A</v>
      </c>
      <c r="AE412" s="70"/>
      <c r="AF412" s="65" t="e">
        <f ca="1">Output!CQ412</f>
        <v>#N/A</v>
      </c>
      <c r="AG412" s="65"/>
      <c r="AH412" s="70" t="e">
        <f ca="1">Output!CR412</f>
        <v>#N/A</v>
      </c>
      <c r="AI412" s="70">
        <f>Cash!K46</f>
        <v>0</v>
      </c>
      <c r="AJ412" s="65"/>
      <c r="AK412" s="65">
        <f>Cash!M46</f>
        <v>0</v>
      </c>
      <c r="AL412" s="70"/>
      <c r="AM412" s="230">
        <f>VLOOKUP(CO$407,[1]Daily_Peak_Forward!$A$4:$AF$34,2,FALSE)</f>
        <v>30.25</v>
      </c>
      <c r="AN412" s="230">
        <f>VLOOKUP(CP$407,[1]Daily_Peak_Forward!$A$4:$AF$34,2,FALSE)</f>
        <v>30.25</v>
      </c>
      <c r="AO412" s="230"/>
      <c r="AP412" s="230"/>
      <c r="AQ412" s="230"/>
      <c r="AR412" s="230"/>
      <c r="AS412" s="230"/>
      <c r="AT412" s="230">
        <f>VLOOKUP(CQ$407,[1]Daily_Peak_Forward!$A$4:$AF$34,2,FALSE)</f>
        <v>30.25</v>
      </c>
      <c r="AU412" s="230"/>
      <c r="AV412" s="230">
        <f>VLOOKUP(CR$407,[1]Daily_Peak_Forward!$A$4:$AF$34,2,FALSE)</f>
        <v>30.25</v>
      </c>
      <c r="AW412" s="230" t="e">
        <f ca="1">HLOOKUP(AW$407,Cash!$D$1:$L$38,Cash!$A33-Cash!$A$1+1,FALSE)</f>
        <v>#N/A</v>
      </c>
      <c r="AX412" s="547"/>
      <c r="AY412" s="65" t="e">
        <f ca="1">HLOOKUP(AY$407,Cash!$D$1:$L$38,Cash!$A33-Cash!$A$1+1,FALSE)</f>
        <v>#N/A</v>
      </c>
      <c r="AZ412" s="65"/>
      <c r="BA412" s="65"/>
      <c r="BB412" s="65"/>
      <c r="BC412" s="70" t="e">
        <f ca="1">HLOOKUP(BC$407,Cash!$D$1:$L$38,Cash!$A33,FALSE)</f>
        <v>#N/A</v>
      </c>
      <c r="BD412" s="65"/>
      <c r="BE412" s="65" t="e">
        <f ca="1">HLOOKUP(BE$407,Cash!$D$1:$L$38,Cash!$A33,FALSE)</f>
        <v>#N/A</v>
      </c>
      <c r="BF412" s="65"/>
      <c r="BG412" s="37" t="e">
        <f ca="1">HLOOKUP(BG$407,Cash!$D$1:$L$38,Cash!$A33,FALSE)</f>
        <v>#N/A</v>
      </c>
      <c r="BH412" s="70"/>
      <c r="BI412" s="70" t="e">
        <f ca="1">HLOOKUP(BI$407,Cash!$D$1:$L$38,Cash!$A33,FALSE)</f>
        <v>#N/A</v>
      </c>
      <c r="BJ412" s="65" t="e">
        <f ca="1">HLOOKUP(BJ$407,Cash!$D$1:$L$38,Cash!$A33,FALSE)</f>
        <v>#N/A</v>
      </c>
      <c r="BK412" s="65">
        <f>Cash!Q46</f>
        <v>0</v>
      </c>
      <c r="BL412" s="230"/>
      <c r="BM412" s="230"/>
      <c r="BN412" s="418"/>
      <c r="BO412" s="230"/>
      <c r="BP412" s="230"/>
      <c r="BQ412" s="37">
        <f>Cash!S46</f>
        <v>0</v>
      </c>
      <c r="BR412" s="65"/>
      <c r="BS412" s="65"/>
      <c r="BT412" s="230"/>
      <c r="BU412" s="37"/>
      <c r="BV412" s="230"/>
      <c r="BW412" s="65">
        <v>53.5</v>
      </c>
      <c r="BX412" s="230"/>
      <c r="BY412" s="230"/>
      <c r="BZ412" s="230"/>
      <c r="CA412" s="70" t="e">
        <f>VLOOKUP(CA$407,[1]Daily_Peak_Forward!$A$4:$AF$34,2,FALSE)</f>
        <v>#N/A</v>
      </c>
      <c r="CB412" s="230">
        <f>VLOOKUP(CB$407,[1]Daily_Peak_Forward!$A$4:$AF$34,2,FALSE)</f>
        <v>28</v>
      </c>
      <c r="CC412" s="65">
        <v>53.5</v>
      </c>
      <c r="CD412" s="230">
        <f>VLOOKUP(CD$407,[1]Daily_Peak_Forward!$A$4:$AF$34,2,FALSE)</f>
        <v>28</v>
      </c>
      <c r="CE412" s="230"/>
      <c r="CF412" s="233"/>
      <c r="CG412" s="34"/>
      <c r="CH412" t="str">
        <f>R412</f>
        <v>NEPOOL</v>
      </c>
      <c r="CO412" s="35" t="e">
        <f ca="1">HLOOKUP(CO$407+1,Cash!$D$1:$AM$38,Cash!$A33,FALSE)</f>
        <v>#N/A</v>
      </c>
      <c r="CP412" s="35" t="e">
        <f ca="1">HLOOKUP(CP$407,Cash!$D$1:$AM$38,Cash!$A33,FALSE)</f>
        <v>#N/A</v>
      </c>
      <c r="CQ412" s="35" t="e">
        <f ca="1">HLOOKUP(CQ$407,Cash!$D$1:$AM$38,Cash!$A33,FALSE)</f>
        <v>#N/A</v>
      </c>
      <c r="CR412" s="35" t="e">
        <f ca="1">HLOOKUP(CR$407,Cash!$D$1:$AM$38,Cash!$A33,FALSE)</f>
        <v>#N/A</v>
      </c>
      <c r="CS412" s="35" t="e">
        <f ca="1">HLOOKUP(CS$407,Cash!$D$1:$AM$38,Cash!$A33,FALSE)</f>
        <v>#N/A</v>
      </c>
      <c r="CT412" s="35" t="e">
        <f ca="1">HLOOKUP(CT$407,Cash!$D$1:$AS$38,Cash!$A33,FALSE)</f>
        <v>#N/A</v>
      </c>
    </row>
    <row r="413" spans="1:100" x14ac:dyDescent="0.2">
      <c r="A413">
        <v>1</v>
      </c>
      <c r="B413" s="92" t="s">
        <v>62</v>
      </c>
      <c r="C413" s="92" t="s">
        <v>62</v>
      </c>
      <c r="D413" s="63"/>
      <c r="E413" s="63"/>
      <c r="F413" s="63"/>
      <c r="G413" s="36">
        <f>SUMIF('gas-old'!$B$17:$DM$17,"2007",'gas-old'!$B$18:$DM$18)</f>
        <v>0</v>
      </c>
      <c r="H413" s="36">
        <f>SUMIF('gas-new'!$B$17:$DM$17,"2007",'gas-new'!$B$18:$DM$18)</f>
        <v>0</v>
      </c>
      <c r="I413" s="36"/>
      <c r="L413" s="36">
        <f t="shared" si="59"/>
        <v>-363.25506107903146</v>
      </c>
      <c r="M413" s="61"/>
      <c r="N413" s="61"/>
      <c r="O413" s="271"/>
      <c r="P413" s="61"/>
      <c r="Q413" s="36"/>
      <c r="R413" s="45" t="s">
        <v>113</v>
      </c>
      <c r="S413" s="61"/>
      <c r="T413" s="61"/>
      <c r="U413" s="445"/>
      <c r="V413" s="61"/>
      <c r="W413" s="69"/>
      <c r="X413" s="219"/>
      <c r="Y413" s="61"/>
      <c r="Z413" s="219"/>
      <c r="AA413" s="69"/>
      <c r="AB413" s="61" t="e">
        <f ca="1">Output!CO413</f>
        <v>#N/A</v>
      </c>
      <c r="AC413" s="61"/>
      <c r="AD413" s="69" t="e">
        <f ca="1">Output!CP413</f>
        <v>#N/A</v>
      </c>
      <c r="AE413" s="69"/>
      <c r="AF413" s="61" t="e">
        <f ca="1">Output!CQ413</f>
        <v>#N/A</v>
      </c>
      <c r="AG413" s="61"/>
      <c r="AH413" s="69" t="e">
        <f ca="1">Output!CR413</f>
        <v>#N/A</v>
      </c>
      <c r="AI413" s="69">
        <f>Cash!K47</f>
        <v>0</v>
      </c>
      <c r="AJ413" s="61"/>
      <c r="AK413" s="61">
        <f>Cash!M47</f>
        <v>0</v>
      </c>
      <c r="AL413" s="69"/>
      <c r="AM413" s="231">
        <f>VLOOKUP(CO$407,[1]Daily_Peak_Forward!$A$4:$AF$34,17,FALSE)</f>
        <v>23.25</v>
      </c>
      <c r="AN413" s="231">
        <f>VLOOKUP(CP$407,[1]Daily_Peak_Forward!$A$4:$AF$34,17,FALSE)</f>
        <v>23.25</v>
      </c>
      <c r="AO413" s="231"/>
      <c r="AP413" s="231"/>
      <c r="AQ413" s="231"/>
      <c r="AR413" s="231"/>
      <c r="AS413" s="231"/>
      <c r="AT413" s="231">
        <f>VLOOKUP(CQ$407,[1]Daily_Peak_Forward!$A$4:$AF$34,17,FALSE)</f>
        <v>23.25</v>
      </c>
      <c r="AU413" s="231"/>
      <c r="AV413" s="231">
        <f>VLOOKUP(CR$407,[1]Daily_Peak_Forward!$A$4:$AF$34,17,FALSE)</f>
        <v>23.25</v>
      </c>
      <c r="AW413" s="231" t="e">
        <f ca="1">HLOOKUP(AW$407,Cash!$D$1:$L$38,Cash!$A34-Cash!$A$1+1,FALSE)</f>
        <v>#N/A</v>
      </c>
      <c r="AX413" s="548"/>
      <c r="AY413" s="61" t="e">
        <f ca="1">HLOOKUP(AY$407,Cash!$D$1:$L$38,Cash!$A34-Cash!$A$1+1,FALSE)</f>
        <v>#N/A</v>
      </c>
      <c r="AZ413" s="61"/>
      <c r="BA413" s="61"/>
      <c r="BB413" s="61"/>
      <c r="BC413" s="69" t="e">
        <f ca="1">HLOOKUP(BC$407,Cash!$D$1:$L$38,Cash!$A34,FALSE)</f>
        <v>#N/A</v>
      </c>
      <c r="BD413" s="61"/>
      <c r="BE413" s="61" t="e">
        <f ca="1">HLOOKUP(BE$407,Cash!$D$1:$L$38,Cash!$A34,FALSE)</f>
        <v>#N/A</v>
      </c>
      <c r="BF413" s="61"/>
      <c r="BG413" s="36" t="e">
        <f ca="1">HLOOKUP(BG$407,Cash!$D$1:$L$38,Cash!$A34,FALSE)</f>
        <v>#N/A</v>
      </c>
      <c r="BH413" s="69"/>
      <c r="BI413" s="69" t="e">
        <f ca="1">HLOOKUP(BI$407,Cash!$D$1:$L$38,Cash!$A34,FALSE)</f>
        <v>#N/A</v>
      </c>
      <c r="BJ413" s="61" t="e">
        <f ca="1">HLOOKUP(BJ$407,Cash!$D$1:$L$38,Cash!$A34,FALSE)</f>
        <v>#N/A</v>
      </c>
      <c r="BK413" s="61">
        <f>Cash!Q47</f>
        <v>0</v>
      </c>
      <c r="BL413" s="231"/>
      <c r="BM413" s="231"/>
      <c r="BN413" s="406"/>
      <c r="BO413" s="231"/>
      <c r="BP413" s="231"/>
      <c r="BQ413" s="36">
        <f>Cash!S47</f>
        <v>0</v>
      </c>
      <c r="BR413" s="61"/>
      <c r="BS413" s="61"/>
      <c r="BT413" s="231"/>
      <c r="BU413" s="36"/>
      <c r="BV413" s="231"/>
      <c r="BW413" s="61">
        <v>50</v>
      </c>
      <c r="BX413" s="231"/>
      <c r="BY413" s="231"/>
      <c r="BZ413" s="231"/>
      <c r="CA413" s="69" t="e">
        <f>VLOOKUP(CA$407,[1]Daily_Peak_Forward!$A$4:$AF$34,17,FALSE)</f>
        <v>#N/A</v>
      </c>
      <c r="CB413" s="231">
        <f>VLOOKUP(CB$407,[1]Daily_Peak_Forward!$A$4:$AF$34,17,FALSE)</f>
        <v>20.399999999999999</v>
      </c>
      <c r="CC413" s="61">
        <v>50</v>
      </c>
      <c r="CD413" s="231">
        <f>VLOOKUP(CD$407,[1]Daily_Peak_Forward!$A$4:$AF$34,17,FALSE)</f>
        <v>23.25</v>
      </c>
      <c r="CE413" s="231"/>
      <c r="CF413" s="234"/>
      <c r="CG413" s="4"/>
      <c r="CH413" t="s">
        <v>113</v>
      </c>
      <c r="CO413" t="e">
        <f ca="1">HLOOKUP(CO$407+1,Cash!$D$1:$AM$38,Cash!$A34,FALSE)</f>
        <v>#N/A</v>
      </c>
      <c r="CP413" t="e">
        <f ca="1">HLOOKUP(CP$407,Cash!$D$1:$AM$38,Cash!$A34,FALSE)</f>
        <v>#N/A</v>
      </c>
      <c r="CQ413" t="e">
        <f ca="1">HLOOKUP(CQ$407,Cash!$D$1:$AM$38,Cash!$A34,FALSE)</f>
        <v>#N/A</v>
      </c>
      <c r="CR413" t="e">
        <f ca="1">HLOOKUP(CR$407,Cash!$D$1:$AM$38,Cash!$A34,FALSE)</f>
        <v>#N/A</v>
      </c>
      <c r="CS413" t="e">
        <f ca="1">HLOOKUP(CS$407,Cash!$D$1:$AM$38,Cash!$A34,FALSE)</f>
        <v>#N/A</v>
      </c>
      <c r="CT413" t="e">
        <f ca="1">HLOOKUP(CT$407,Cash!$D$1:$AS$38,Cash!$A34,FALSE)</f>
        <v>#N/A</v>
      </c>
    </row>
    <row r="414" spans="1:100" s="35" customFormat="1" x14ac:dyDescent="0.2">
      <c r="A414" s="35">
        <v>1</v>
      </c>
      <c r="B414" s="94" t="s">
        <v>63</v>
      </c>
      <c r="C414" s="94" t="s">
        <v>63</v>
      </c>
      <c r="D414" s="64"/>
      <c r="E414" s="64"/>
      <c r="F414" s="64"/>
      <c r="G414" s="37">
        <f>SUMIF('gas-old'!$B$17:$DM$17,"2008",'gas-old'!$B$18:$DM$18)</f>
        <v>0</v>
      </c>
      <c r="H414" s="37">
        <f>SUMIF('gas-new'!$B$17:$DM$17,"2008",'gas-new'!$B$18:$DM$18)</f>
        <v>0</v>
      </c>
      <c r="I414" s="37"/>
      <c r="L414" s="37">
        <f t="shared" si="59"/>
        <v>-128.66586092749282</v>
      </c>
      <c r="M414" s="65"/>
      <c r="N414" s="65"/>
      <c r="O414" s="272"/>
      <c r="P414" s="65"/>
      <c r="Q414" s="37"/>
      <c r="R414" s="533" t="s">
        <v>159</v>
      </c>
      <c r="S414" s="65"/>
      <c r="T414" s="65"/>
      <c r="U414" s="451"/>
      <c r="V414" s="65"/>
      <c r="W414" s="70"/>
      <c r="X414" s="220"/>
      <c r="Y414" s="65"/>
      <c r="Z414" s="220"/>
      <c r="AA414" s="70"/>
      <c r="AB414" s="65" t="e">
        <f ca="1">Output!CO414</f>
        <v>#N/A</v>
      </c>
      <c r="AC414" s="65"/>
      <c r="AD414" s="70" t="e">
        <f ca="1">Output!CP414</f>
        <v>#N/A</v>
      </c>
      <c r="AE414" s="70"/>
      <c r="AF414" s="65" t="e">
        <f ca="1">Output!CQ414</f>
        <v>#N/A</v>
      </c>
      <c r="AG414" s="65"/>
      <c r="AH414" s="70" t="e">
        <f ca="1">Output!CR414</f>
        <v>#N/A</v>
      </c>
      <c r="AI414" s="70">
        <f>Cash!K48</f>
        <v>0</v>
      </c>
      <c r="AJ414" s="65"/>
      <c r="AK414" s="65">
        <f>Cash!M48</f>
        <v>0</v>
      </c>
      <c r="AL414" s="70"/>
      <c r="AM414" s="230">
        <f>VLOOKUP(CO$407,[1]Daily_Peak_Forward!$A$4:$AF$34,11,FALSE)</f>
        <v>32</v>
      </c>
      <c r="AN414" s="230">
        <f>VLOOKUP(CP$407,[1]Daily_Peak_Forward!$A$4:$AF$34,11,FALSE)</f>
        <v>33</v>
      </c>
      <c r="AO414" s="230"/>
      <c r="AP414" s="230"/>
      <c r="AQ414" s="230"/>
      <c r="AR414" s="230"/>
      <c r="AS414" s="230"/>
      <c r="AT414" s="230">
        <f>VLOOKUP(CQ$407,[1]Daily_Peak_Forward!$A$4:$AF$34,11,FALSE)</f>
        <v>34</v>
      </c>
      <c r="AU414" s="230"/>
      <c r="AV414" s="230">
        <f>VLOOKUP(CR$407,[1]Daily_Peak_Forward!$A$4:$AF$34,11,FALSE)</f>
        <v>34</v>
      </c>
      <c r="AW414" s="230" t="e">
        <f ca="1">HLOOKUP(AW$407,Cash!$D$1:$L$38,Cash!$A35-Cash!$A$1+1,FALSE)</f>
        <v>#N/A</v>
      </c>
      <c r="AX414" s="547"/>
      <c r="AY414" s="65" t="e">
        <f ca="1">HLOOKUP(AY$407,Cash!$D$1:$L$38,Cash!$A35-Cash!$A$1+1,FALSE)</f>
        <v>#N/A</v>
      </c>
      <c r="AZ414" s="65"/>
      <c r="BA414" s="65"/>
      <c r="BB414" s="65"/>
      <c r="BC414" s="70" t="e">
        <f ca="1">HLOOKUP(BC$407,Cash!$D$1:$L$38,Cash!$A35,FALSE)</f>
        <v>#N/A</v>
      </c>
      <c r="BD414" s="65"/>
      <c r="BE414" s="65" t="e">
        <f ca="1">HLOOKUP(BE$407,Cash!$D$1:$L$38,Cash!$A35,FALSE)</f>
        <v>#N/A</v>
      </c>
      <c r="BF414" s="65"/>
      <c r="BG414" s="37" t="e">
        <f ca="1">HLOOKUP(BG$407,Cash!$D$1:$L$38,Cash!$A35,FALSE)</f>
        <v>#N/A</v>
      </c>
      <c r="BH414" s="70"/>
      <c r="BI414" s="70" t="e">
        <f ca="1">HLOOKUP(BI$407,Cash!$D$1:$L$38,Cash!$A35,FALSE)</f>
        <v>#N/A</v>
      </c>
      <c r="BJ414" s="65" t="e">
        <f ca="1">HLOOKUP(BJ$407,Cash!$D$1:$L$38,Cash!$A35,FALSE)</f>
        <v>#N/A</v>
      </c>
      <c r="BK414" s="65">
        <f>Cash!Q48</f>
        <v>0</v>
      </c>
      <c r="BL414" s="230"/>
      <c r="BM414" s="230"/>
      <c r="BN414" s="418"/>
      <c r="BO414" s="230"/>
      <c r="BP414" s="230"/>
      <c r="BQ414" s="37">
        <f>Cash!S48</f>
        <v>0</v>
      </c>
      <c r="BR414" s="65"/>
      <c r="BS414" s="65"/>
      <c r="BT414" s="230"/>
      <c r="BU414" s="37"/>
      <c r="BV414" s="230"/>
      <c r="BW414" s="65">
        <v>61.51</v>
      </c>
      <c r="BX414" s="230"/>
      <c r="BY414" s="230"/>
      <c r="BZ414" s="230"/>
      <c r="CA414" s="70" t="e">
        <f>VLOOKUP(CA$407,[1]Daily_Peak_Forward!$A$4:$AF$34,10,FALSE)</f>
        <v>#N/A</v>
      </c>
      <c r="CB414" s="230">
        <f>VLOOKUP(CB$407,[1]Daily_Peak_Forward!$A$4:$AF$34,11,FALSE)</f>
        <v>28</v>
      </c>
      <c r="CC414" s="65">
        <v>61.51</v>
      </c>
      <c r="CD414" s="230">
        <f>VLOOKUP(CD$407,[1]Daily_Peak_Forward!$A$4:$AF$34,11,FALSE)</f>
        <v>28</v>
      </c>
      <c r="CE414" s="230"/>
      <c r="CF414" s="233"/>
      <c r="CG414" s="34"/>
      <c r="CH414" s="35" t="s">
        <v>10</v>
      </c>
      <c r="CO414" s="35" t="e">
        <f ca="1">HLOOKUP(CO$407+1,Cash!$D$1:$AM$38,Cash!$A35,FALSE)</f>
        <v>#N/A</v>
      </c>
      <c r="CP414" s="35" t="e">
        <f ca="1">HLOOKUP(CP$407,Cash!$D$1:$AM$38,Cash!$A35,FALSE)</f>
        <v>#N/A</v>
      </c>
      <c r="CQ414" s="35" t="e">
        <f ca="1">HLOOKUP(CQ$407,Cash!$D$1:$AM$38,Cash!$A35,FALSE)</f>
        <v>#N/A</v>
      </c>
      <c r="CR414" s="35" t="e">
        <f ca="1">HLOOKUP(CR$407,Cash!$D$1:$AM$38,Cash!$A35,FALSE)</f>
        <v>#N/A</v>
      </c>
      <c r="CS414" s="35" t="e">
        <f ca="1">HLOOKUP(CS$407,Cash!$D$1:$AM$38,Cash!$A35,FALSE)</f>
        <v>#N/A</v>
      </c>
      <c r="CT414" s="35" t="e">
        <f ca="1">HLOOKUP(CT$407,Cash!$D$1:$AS$38,Cash!$A35,FALSE)</f>
        <v>#N/A</v>
      </c>
    </row>
    <row r="415" spans="1:100" x14ac:dyDescent="0.2">
      <c r="A415">
        <v>1</v>
      </c>
      <c r="B415" s="92" t="s">
        <v>64</v>
      </c>
      <c r="C415" s="92" t="s">
        <v>64</v>
      </c>
      <c r="D415" s="63"/>
      <c r="E415" s="63"/>
      <c r="F415" s="63"/>
      <c r="G415" s="36">
        <f>SUMIF('gas-old'!$B$17:$DM$17,"2009",'gas-old'!$B$18:$DM$18)</f>
        <v>0</v>
      </c>
      <c r="H415" s="36">
        <f>SUMIF('gas-new'!$B$17:$DM$17,"2009",'gas-new'!$B$18:$DM$18)</f>
        <v>0</v>
      </c>
      <c r="I415" s="36"/>
      <c r="L415" s="36">
        <f t="shared" si="59"/>
        <v>-693.23822164388162</v>
      </c>
      <c r="M415" s="61"/>
      <c r="N415" s="61"/>
      <c r="O415" s="271"/>
      <c r="P415" s="61"/>
      <c r="Q415" s="36"/>
      <c r="R415" s="45" t="s">
        <v>121</v>
      </c>
      <c r="S415" s="61"/>
      <c r="T415" s="61"/>
      <c r="U415" s="445"/>
      <c r="V415" s="61"/>
      <c r="W415" s="69"/>
      <c r="X415" s="219"/>
      <c r="Y415" s="61"/>
      <c r="Z415" s="219"/>
      <c r="AA415" s="69"/>
      <c r="AB415" s="61" t="e">
        <f ca="1">Output!CO415</f>
        <v>#N/A</v>
      </c>
      <c r="AC415" s="61"/>
      <c r="AD415" s="61" t="e">
        <f ca="1">Output!CP415</f>
        <v>#N/A</v>
      </c>
      <c r="AE415" s="61"/>
      <c r="AF415" s="61" t="e">
        <f ca="1">Output!CQ415</f>
        <v>#N/A</v>
      </c>
      <c r="AG415" s="61"/>
      <c r="AH415" s="61" t="e">
        <f ca="1">Output!CR415</f>
        <v>#N/A</v>
      </c>
      <c r="AI415" s="69">
        <f>Cash!K49</f>
        <v>0</v>
      </c>
      <c r="AJ415" s="61"/>
      <c r="AK415" s="61">
        <f>Cash!M49</f>
        <v>0</v>
      </c>
      <c r="AL415" s="69"/>
      <c r="AM415" s="231">
        <f>VLOOKUP(CO$407,[1]Daily_Peak_Forward!$A$4:$AF$34,10,FALSE)</f>
        <v>26</v>
      </c>
      <c r="AN415" s="231">
        <f>VLOOKUP(CP$407,[1]Daily_Peak_Forward!$A$4:$AF$34,10,FALSE)</f>
        <v>26</v>
      </c>
      <c r="AO415" s="231"/>
      <c r="AP415" s="231"/>
      <c r="AQ415" s="231"/>
      <c r="AR415" s="231"/>
      <c r="AS415" s="231"/>
      <c r="AT415" s="231">
        <f>VLOOKUP(CQ$407,[1]Daily_Peak_Forward!$A$4:$AF$34,10,FALSE)</f>
        <v>26.9</v>
      </c>
      <c r="AU415" s="231"/>
      <c r="AV415" s="231">
        <f>VLOOKUP(CR$407,[1]Daily_Peak_Forward!$A$4:$AF$34,10,FALSE)</f>
        <v>26</v>
      </c>
      <c r="AW415" s="69" t="e">
        <f ca="1">HLOOKUP(AW$407,Cash!$D$1:$L$38,Cash!$A36-Cash!$A$1+1,FALSE)</f>
        <v>#N/A</v>
      </c>
      <c r="AX415" s="388"/>
      <c r="AY415" s="61" t="e">
        <f ca="1">HLOOKUP(AY$407,Cash!$D$1:$L$38,Cash!$A36-Cash!$A$1+1,FALSE)</f>
        <v>#N/A</v>
      </c>
      <c r="AZ415" s="61"/>
      <c r="BA415" s="61"/>
      <c r="BB415" s="61"/>
      <c r="BC415" s="69" t="e">
        <f ca="1">HLOOKUP(BC$407,Cash!$D$1:$L$38,Cash!$A36,FALSE)</f>
        <v>#N/A</v>
      </c>
      <c r="BD415" s="61"/>
      <c r="BE415" s="61" t="e">
        <f ca="1">HLOOKUP(BE$407,Cash!$D$1:$L$38,Cash!$A36,FALSE)</f>
        <v>#N/A</v>
      </c>
      <c r="BF415" s="61"/>
      <c r="BG415" s="36" t="e">
        <f ca="1">HLOOKUP(BG$407,Cash!$D$1:$L$38,Cash!$A36,FALSE)</f>
        <v>#N/A</v>
      </c>
      <c r="BH415" s="36"/>
      <c r="BI415" s="36" t="e">
        <f ca="1">HLOOKUP(BI$407,Cash!$D$1:$L$38,Cash!$A36,FALSE)</f>
        <v>#N/A</v>
      </c>
      <c r="BJ415" s="41" t="e">
        <f ca="1">HLOOKUP(BJ$407,Cash!$D$1:$L$38,Cash!$A36,FALSE)</f>
        <v>#N/A</v>
      </c>
      <c r="BK415" s="61">
        <f>Cash!Q49</f>
        <v>0</v>
      </c>
      <c r="BL415" s="231"/>
      <c r="BM415" s="231"/>
      <c r="BN415" s="406"/>
      <c r="BO415" s="231"/>
      <c r="BP415" s="231"/>
      <c r="BQ415" s="36">
        <f>Cash!S49</f>
        <v>0</v>
      </c>
      <c r="BR415" s="61"/>
      <c r="BS415" s="61"/>
      <c r="BT415" s="231"/>
      <c r="BU415" s="36"/>
      <c r="BV415" s="231"/>
      <c r="BW415" s="61">
        <v>50</v>
      </c>
      <c r="BX415" s="231"/>
      <c r="BY415" s="231"/>
      <c r="BZ415" s="231"/>
      <c r="CA415" s="69" t="e">
        <f>VLOOKUP(CA$407,[1]Daily_Peak_Forward!$A$4:$AF$34,21,FALSE)</f>
        <v>#N/A</v>
      </c>
      <c r="CB415" s="231">
        <f>VLOOKUP(CB$407,[1]Daily_Peak_Forward!$A$4:$AF$34,10,FALSE)</f>
        <v>25.7</v>
      </c>
      <c r="CC415" s="61">
        <v>50</v>
      </c>
      <c r="CD415" s="231">
        <f>VLOOKUP(CD$407,[1]Daily_Peak_Forward!$A$4:$AF$34,10,FALSE)</f>
        <v>25.7</v>
      </c>
      <c r="CE415" s="231"/>
      <c r="CF415" s="234"/>
      <c r="CG415" s="4"/>
      <c r="CH415" s="513" t="str">
        <f>R415</f>
        <v>NY WEST</v>
      </c>
      <c r="CO415" t="e">
        <f ca="1">HLOOKUP(CO$407+1,Cash!$D$1:$AM$38,Cash!$A36,FALSE)</f>
        <v>#N/A</v>
      </c>
      <c r="CP415" t="e">
        <f ca="1">HLOOKUP(CP$407,Cash!$D$1:$AM$38,Cash!$A36,FALSE)</f>
        <v>#N/A</v>
      </c>
      <c r="CQ415" t="e">
        <f ca="1">HLOOKUP(CQ$407,Cash!$D$1:$AM$38,Cash!$A36,FALSE)</f>
        <v>#N/A</v>
      </c>
      <c r="CR415" t="e">
        <f ca="1">HLOOKUP(CR$407,Cash!$D$1:$AM$38,Cash!$A36,FALSE)</f>
        <v>#N/A</v>
      </c>
      <c r="CS415" t="e">
        <f ca="1">HLOOKUP(CS$407,Cash!$D$1:$AM$38,Cash!$A36,FALSE)</f>
        <v>#N/A</v>
      </c>
      <c r="CT415" t="e">
        <f ca="1">HLOOKUP(CT$407,Cash!$D$1:$AS$38,Cash!$A36,FALSE)</f>
        <v>#N/A</v>
      </c>
    </row>
    <row r="416" spans="1:100" s="220" customFormat="1" x14ac:dyDescent="0.2">
      <c r="A416" s="220">
        <v>1</v>
      </c>
      <c r="B416" s="94" t="s">
        <v>65</v>
      </c>
      <c r="C416" s="94" t="s">
        <v>65</v>
      </c>
      <c r="D416" s="64"/>
      <c r="E416" s="64"/>
      <c r="F416" s="64"/>
      <c r="G416" s="37">
        <f>SUMIF('gas-old'!$B$17:$DM$17,"2010",'gas-old'!$B$18:$DM$18)</f>
        <v>0</v>
      </c>
      <c r="H416" s="37">
        <f>SUMIF('gas-new'!$B$17:$DM$17,"2010",'gas-new'!$B$18:$DM$18)</f>
        <v>0</v>
      </c>
      <c r="I416" s="37"/>
      <c r="L416" s="37">
        <f t="shared" si="59"/>
        <v>-250.97146848804599</v>
      </c>
      <c r="M416" s="65"/>
      <c r="N416" s="65"/>
      <c r="O416" s="272"/>
      <c r="P416" s="65"/>
      <c r="Q416" s="37"/>
      <c r="R416" s="533" t="s">
        <v>78</v>
      </c>
      <c r="S416" s="65"/>
      <c r="T416" s="65"/>
      <c r="U416" s="451"/>
      <c r="V416" s="65"/>
      <c r="W416" s="70"/>
      <c r="Y416" s="65"/>
      <c r="AA416" s="70"/>
      <c r="AB416" s="65" t="e">
        <f ca="1">Output!CO416</f>
        <v>#N/A</v>
      </c>
      <c r="AC416" s="65"/>
      <c r="AD416" s="70" t="e">
        <f ca="1">Output!CP416</f>
        <v>#N/A</v>
      </c>
      <c r="AE416" s="70"/>
      <c r="AF416" s="65" t="e">
        <f ca="1">Output!CQ416</f>
        <v>#N/A</v>
      </c>
      <c r="AG416" s="65"/>
      <c r="AH416" s="70" t="e">
        <f ca="1">Output!CR416</f>
        <v>#N/A</v>
      </c>
      <c r="AI416" s="70">
        <f>Cash!K50</f>
        <v>0</v>
      </c>
      <c r="AJ416" s="65"/>
      <c r="AK416" s="65">
        <f>Cash!M50</f>
        <v>0</v>
      </c>
      <c r="AL416" s="70"/>
      <c r="AM416" s="230">
        <f>VLOOKUP(CO$407,[1]Daily_Peak_Forward!$A$4:$AF$34,21,FALSE)</f>
        <v>22</v>
      </c>
      <c r="AN416" s="230">
        <f>VLOOKUP(CP$407,[1]Daily_Peak_Forward!$A$4:$AF$34,21,FALSE)</f>
        <v>22</v>
      </c>
      <c r="AO416" s="70"/>
      <c r="AP416" s="230"/>
      <c r="AQ416" s="65"/>
      <c r="AR416" s="230"/>
      <c r="AS416" s="70"/>
      <c r="AT416" s="230">
        <f>VLOOKUP(CQ$407,[1]Daily_Peak_Forward!$A$4:$AF$34,21,FALSE)</f>
        <v>22</v>
      </c>
      <c r="AU416" s="65"/>
      <c r="AV416" s="230">
        <f>VLOOKUP(CR$407,[1]Daily_Peak_Forward!$A$4:$AF$34,21,FALSE)</f>
        <v>22</v>
      </c>
      <c r="AW416" s="70" t="e">
        <f ca="1">HLOOKUP(AW$407,Cash!$D$1:$L$38,Cash!$A37-Cash!$A$1+1,FALSE)</f>
        <v>#N/A</v>
      </c>
      <c r="AX416" s="390"/>
      <c r="AY416" s="65" t="e">
        <f ca="1">HLOOKUP(AY$407,Cash!$D$1:$L$38,Cash!$A37-Cash!$A$1+1,FALSE)</f>
        <v>#N/A</v>
      </c>
      <c r="AZ416" s="65"/>
      <c r="BA416" s="65"/>
      <c r="BB416" s="65"/>
      <c r="BC416" s="65" t="e">
        <f ca="1">HLOOKUP(BC$407,Cash!$D$1:$L$38,Cash!$A36,FALSE)</f>
        <v>#N/A</v>
      </c>
      <c r="BD416" s="65"/>
      <c r="BE416" s="65" t="e">
        <f ca="1">HLOOKUP(BE$407,Cash!$D$1:$L$38,Cash!$A36,FALSE)</f>
        <v>#N/A</v>
      </c>
      <c r="BF416" s="65"/>
      <c r="BG416" s="65" t="e">
        <f ca="1">HLOOKUP(BG$407,Cash!$D$1:$L$38,Cash!$A36,FALSE)</f>
        <v>#N/A</v>
      </c>
      <c r="BH416" s="65"/>
      <c r="BI416" s="65" t="e">
        <f ca="1">HLOOKUP(BI$407,Cash!$D$1:$L$38,Cash!$A37,FALSE)</f>
        <v>#N/A</v>
      </c>
      <c r="BJ416" s="65" t="e">
        <f ca="1">HLOOKUP(BJ$407,Cash!$D$1:$L$38,Cash!$A37,FALSE)</f>
        <v>#N/A</v>
      </c>
      <c r="BK416" s="65">
        <f>Cash!Q50</f>
        <v>0</v>
      </c>
      <c r="BL416" s="230"/>
      <c r="BM416" s="230"/>
      <c r="BN416" s="418"/>
      <c r="BO416" s="230"/>
      <c r="BP416" s="230"/>
      <c r="BQ416" s="37">
        <f>Cash!S50</f>
        <v>0</v>
      </c>
      <c r="BR416" s="65"/>
      <c r="BS416" s="65"/>
      <c r="BT416" s="230"/>
      <c r="BU416" s="37"/>
      <c r="BV416" s="230"/>
      <c r="BW416" s="65"/>
      <c r="BX416" s="230"/>
      <c r="BY416" s="230"/>
      <c r="BZ416" s="230"/>
      <c r="CA416" s="70" t="e">
        <f>VLOOKUP(CA$407,[1]Daily_Peak_Forward!$A$4:$AF$34,6,FALSE)</f>
        <v>#N/A</v>
      </c>
      <c r="CB416" s="230">
        <f>VLOOKUP(CB$407,[1]Daily_Peak_Forward!$A$4:$AF$34,21,FALSE)</f>
        <v>19.75</v>
      </c>
      <c r="CC416" s="65"/>
      <c r="CD416" s="230">
        <f>VLOOKUP(CD$407,[1]Daily_Peak_Forward!$A$4:$AF$34,21,FALSE)</f>
        <v>19.75</v>
      </c>
      <c r="CE416" s="230"/>
      <c r="CF416" s="233"/>
      <c r="CG416" s="221"/>
      <c r="CH416" s="514" t="str">
        <f>R416</f>
        <v>SOCO</v>
      </c>
      <c r="CO416" s="220" t="e">
        <f ca="1">HLOOKUP(CO$407+1,Cash!$D$1:$AM$38,Cash!$A37,FALSE)</f>
        <v>#N/A</v>
      </c>
      <c r="CP416" s="220" t="e">
        <f ca="1">HLOOKUP(CP$407,Cash!$D$1:$AM$38,Cash!$A37,FALSE)</f>
        <v>#N/A</v>
      </c>
      <c r="CQ416" s="220" t="e">
        <f ca="1">HLOOKUP(CQ$407,Cash!$D$1:$AM$38,Cash!$A37,FALSE)</f>
        <v>#N/A</v>
      </c>
      <c r="CR416" s="220" t="e">
        <f ca="1">HLOOKUP(CR$407,Cash!$D$1:$AM$38,Cash!$A37,FALSE)</f>
        <v>#N/A</v>
      </c>
      <c r="CS416" s="220" t="e">
        <f ca="1">HLOOKUP(CS$407,Cash!$D$1:$AM$38,Cash!$A37,FALSE)</f>
        <v>#N/A</v>
      </c>
      <c r="CT416" s="220" t="e">
        <f ca="1">HLOOKUP(CT$407,Cash!$D$1:$AS$38,Cash!$A37,FALSE)</f>
        <v>#N/A</v>
      </c>
    </row>
    <row r="417" spans="1:96" s="33" customFormat="1" x14ac:dyDescent="0.2">
      <c r="A417" s="33">
        <v>1</v>
      </c>
      <c r="B417" s="222"/>
      <c r="C417" s="222"/>
      <c r="D417" s="223"/>
      <c r="E417" s="223"/>
      <c r="F417" s="223"/>
      <c r="G417" s="38"/>
      <c r="H417" s="38"/>
      <c r="I417" s="38"/>
      <c r="J417" s="224"/>
      <c r="K417" s="225"/>
      <c r="L417" s="38"/>
      <c r="M417" s="226"/>
      <c r="N417" s="226"/>
      <c r="O417" s="276"/>
      <c r="P417" s="226"/>
      <c r="Q417" s="38"/>
      <c r="R417" s="534" t="s">
        <v>14</v>
      </c>
      <c r="S417" s="226"/>
      <c r="T417" s="226"/>
      <c r="U417" s="456"/>
      <c r="V417" s="226"/>
      <c r="W417" s="227"/>
      <c r="X417" s="228"/>
      <c r="Y417" s="226"/>
      <c r="Z417" s="228"/>
      <c r="AA417" s="227"/>
      <c r="AB417" s="226" t="e">
        <f ca="1">Output!CO417</f>
        <v>#N/A</v>
      </c>
      <c r="AC417" s="226"/>
      <c r="AD417" s="227" t="e">
        <f ca="1">Output!CP417</f>
        <v>#N/A</v>
      </c>
      <c r="AE417" s="227"/>
      <c r="AF417" s="226" t="e">
        <f ca="1">Output!CQ417</f>
        <v>#N/A</v>
      </c>
      <c r="AG417" s="226"/>
      <c r="AH417" s="227" t="e">
        <f ca="1">Output!CR417</f>
        <v>#N/A</v>
      </c>
      <c r="AI417" s="227"/>
      <c r="AJ417" s="226"/>
      <c r="AK417" s="226"/>
      <c r="AL417" s="227"/>
      <c r="AM417" s="549">
        <f>VLOOKUP(CO$407,[1]Daily_Peak_Forward!$A$4:$AF$34,6,FALSE)</f>
        <v>25</v>
      </c>
      <c r="AN417" s="549">
        <f>VLOOKUP(CP$407,[1]Daily_Peak_Forward!$A$4:$AF$34,6,FALSE)</f>
        <v>25</v>
      </c>
      <c r="AO417" s="230"/>
      <c r="AP417" s="230"/>
      <c r="AQ417" s="230"/>
      <c r="AR417" s="230"/>
      <c r="AS417" s="230"/>
      <c r="AT417" s="549">
        <f>VLOOKUP(CQ$407,[1]Daily_Peak_Forward!$A$4:$AF$34,6,FALSE)</f>
        <v>21.25</v>
      </c>
      <c r="AU417" s="230"/>
      <c r="AV417" s="549">
        <f>VLOOKUP(CR$407,[1]Daily_Peak_Forward!$A$4:$AF$34,6,FALSE)</f>
        <v>21.25</v>
      </c>
      <c r="AW417" s="230"/>
      <c r="AX417" s="550"/>
      <c r="AY417" s="226"/>
      <c r="AZ417" s="226"/>
      <c r="BA417" s="226"/>
      <c r="BB417" s="226"/>
      <c r="BC417" s="227"/>
      <c r="BD417" s="226"/>
      <c r="BE417" s="226"/>
      <c r="BF417" s="226"/>
      <c r="BG417" s="38"/>
      <c r="BH417" s="227"/>
      <c r="BI417" s="227" t="e">
        <f ca="1">HLOOKUP(BI$407,Cash!$D$1:$L$38,Cash!$A38,FALSE)</f>
        <v>#N/A</v>
      </c>
      <c r="BJ417" s="226" t="e">
        <f ca="1">HLOOKUP(BJ$407,Cash!$D$1:$L$38,Cash!$A38,FALSE)</f>
        <v>#N/A</v>
      </c>
      <c r="BK417" s="226"/>
      <c r="BL417" s="236"/>
      <c r="BM417" s="236"/>
      <c r="BN417" s="420"/>
      <c r="BO417" s="236"/>
      <c r="BP417" s="236"/>
      <c r="BQ417" s="38"/>
      <c r="BR417" s="226"/>
      <c r="BS417" s="226"/>
      <c r="BT417" s="236"/>
      <c r="BU417" s="38"/>
      <c r="BV417" s="241"/>
      <c r="BW417" s="226"/>
      <c r="BX417" s="241"/>
      <c r="BY417" s="241"/>
      <c r="BZ417" s="241"/>
      <c r="CA417" s="227"/>
      <c r="CB417" s="241">
        <f>VLOOKUP(CB$407,[1]Daily_Peak_Forward!$A$4:$AF$34,6,FALSE)</f>
        <v>21.4</v>
      </c>
      <c r="CC417" s="226"/>
      <c r="CD417" s="241">
        <f>VLOOKUP(CD$407,[1]Daily_Peak_Forward!$A$4:$AF$34,6,FALSE)</f>
        <v>21.6</v>
      </c>
      <c r="CE417" s="241"/>
      <c r="CF417" s="242"/>
      <c r="CG417" s="32"/>
      <c r="CH417" s="514" t="str">
        <f>R417</f>
        <v>WESTERN HUB</v>
      </c>
      <c r="CO417" s="33" t="e">
        <f ca="1">HLOOKUP(CO$407+1,Cash!$D$1:$AM$38,Cash!$A38,FALSE)</f>
        <v>#N/A</v>
      </c>
      <c r="CP417" s="33" t="e">
        <f ca="1">HLOOKUP(CP$407,Cash!$D$1:$AM$38,Cash!$A38,FALSE)</f>
        <v>#N/A</v>
      </c>
      <c r="CQ417" s="33" t="e">
        <f ca="1">HLOOKUP(CQ$407,Cash!$D$1:$AM$38,Cash!$A38,FALSE)</f>
        <v>#N/A</v>
      </c>
      <c r="CR417" s="33" t="e">
        <f ca="1">HLOOKUP(CR$407,Cash!$D$1:$AM$38,Cash!$A38,FALSE)</f>
        <v>#N/A</v>
      </c>
    </row>
    <row r="418" spans="1:96" s="99" customFormat="1" ht="13.5" thickBot="1" x14ac:dyDescent="0.25">
      <c r="A418" s="99">
        <v>1</v>
      </c>
      <c r="B418" s="356" t="s">
        <v>73</v>
      </c>
      <c r="C418" s="356" t="s">
        <v>73</v>
      </c>
      <c r="D418" s="357"/>
      <c r="E418" s="357"/>
      <c r="F418" s="357"/>
      <c r="G418" s="352">
        <f>SUM(G407:G416)</f>
        <v>1860.4743349999994</v>
      </c>
      <c r="H418" s="352">
        <f>SUM(H407:H416)</f>
        <v>-297</v>
      </c>
      <c r="I418" s="350"/>
      <c r="L418" s="167" t="e">
        <f>SUM(L407:L416)</f>
        <v>#VALUE!</v>
      </c>
      <c r="M418" s="79"/>
      <c r="N418" s="168"/>
      <c r="O418" s="277"/>
      <c r="P418" s="168"/>
      <c r="Q418" s="167"/>
      <c r="R418" s="535" t="s">
        <v>73</v>
      </c>
      <c r="S418" s="348"/>
      <c r="T418" s="349"/>
      <c r="U418" s="457"/>
      <c r="V418" s="349"/>
      <c r="W418" s="350"/>
      <c r="X418" s="351"/>
      <c r="Y418" s="348"/>
      <c r="Z418" s="351"/>
      <c r="AA418" s="350"/>
      <c r="AB418" s="349" t="e">
        <f ca="1">SUM(AB408:AB417)</f>
        <v>#N/A</v>
      </c>
      <c r="AC418" s="348"/>
      <c r="AD418" s="350" t="e">
        <f ca="1">SUM(AD408:AD417)</f>
        <v>#N/A</v>
      </c>
      <c r="AE418" s="350"/>
      <c r="AF418" s="349" t="e">
        <f ca="1">SUM(AF408:AF417)</f>
        <v>#N/A</v>
      </c>
      <c r="AG418" s="348"/>
      <c r="AH418" s="350" t="e">
        <f ca="1">SUM(AH408:AH417)</f>
        <v>#N/A</v>
      </c>
      <c r="AI418" s="350">
        <f>SUM(AI408:AI416)</f>
        <v>0</v>
      </c>
      <c r="AJ418" s="349"/>
      <c r="AK418" s="348">
        <f>SUM(AK408:AK416)</f>
        <v>0</v>
      </c>
      <c r="AL418" s="350"/>
      <c r="AM418" s="350"/>
      <c r="AN418" s="350"/>
      <c r="AO418" s="350"/>
      <c r="AP418" s="349"/>
      <c r="AQ418" s="348"/>
      <c r="AR418" s="349"/>
      <c r="AS418" s="350"/>
      <c r="AT418" s="349"/>
      <c r="AU418" s="348"/>
      <c r="AV418" s="349"/>
      <c r="AW418" s="350"/>
      <c r="AX418" s="399"/>
      <c r="AY418" s="348"/>
      <c r="AZ418" s="349"/>
      <c r="BA418" s="349"/>
      <c r="BB418" s="349"/>
      <c r="BC418" s="350" t="e">
        <f t="shared" ref="BC418:BK418" ca="1" si="60">SUM(BC408:BC416)</f>
        <v>#N/A</v>
      </c>
      <c r="BD418" s="349"/>
      <c r="BE418" s="348" t="e">
        <f t="shared" ca="1" si="60"/>
        <v>#N/A</v>
      </c>
      <c r="BF418" s="349"/>
      <c r="BG418" s="352" t="e">
        <f t="shared" ca="1" si="60"/>
        <v>#N/A</v>
      </c>
      <c r="BH418" s="350"/>
      <c r="BI418" s="350"/>
      <c r="BJ418" s="349" t="e">
        <f t="shared" ca="1" si="60"/>
        <v>#N/A</v>
      </c>
      <c r="BK418" s="348">
        <f t="shared" si="60"/>
        <v>0</v>
      </c>
      <c r="BL418" s="353"/>
      <c r="BM418" s="353"/>
      <c r="BN418" s="421"/>
      <c r="BO418" s="353"/>
      <c r="BP418" s="353"/>
      <c r="BQ418" s="352">
        <f>SUM(BQ408:BQ416)</f>
        <v>0</v>
      </c>
      <c r="BR418" s="349"/>
      <c r="BS418" s="348"/>
      <c r="BT418" s="353"/>
      <c r="BU418" s="352"/>
      <c r="BV418" s="353"/>
      <c r="BW418" s="348"/>
      <c r="BX418" s="353"/>
      <c r="BY418" s="353"/>
      <c r="BZ418" s="353"/>
      <c r="CA418" s="350"/>
      <c r="CB418" s="350"/>
      <c r="CC418" s="348"/>
      <c r="CD418" s="354"/>
      <c r="CE418" s="354"/>
      <c r="CF418" s="355"/>
      <c r="CG418" s="104"/>
    </row>
    <row r="419" spans="1:96" s="5" customFormat="1" hidden="1" x14ac:dyDescent="0.2">
      <c r="A419" s="5">
        <v>0</v>
      </c>
      <c r="B419" s="80" t="s">
        <v>68</v>
      </c>
      <c r="C419" s="80" t="s">
        <v>68</v>
      </c>
      <c r="D419" s="73"/>
      <c r="E419" s="73"/>
      <c r="F419" s="73"/>
      <c r="G419" s="39"/>
      <c r="H419" s="39"/>
      <c r="I419" s="39"/>
      <c r="J419" s="43"/>
      <c r="K419" s="43"/>
      <c r="L419" s="67"/>
      <c r="M419" s="67"/>
      <c r="N419" s="67"/>
      <c r="O419" s="441"/>
      <c r="P419" s="67"/>
      <c r="Q419" s="43"/>
      <c r="R419" s="67"/>
      <c r="S419" s="67"/>
      <c r="T419" s="67"/>
      <c r="U419" s="454"/>
      <c r="V419" s="67"/>
      <c r="W419" s="43"/>
      <c r="X419" s="67"/>
      <c r="Y419" s="67"/>
      <c r="Z419" s="67"/>
      <c r="AA419" s="43"/>
      <c r="AB419" s="67"/>
      <c r="AC419" s="67"/>
      <c r="AD419" s="67"/>
      <c r="AE419" s="43"/>
      <c r="AF419" s="67"/>
      <c r="AG419" s="67"/>
      <c r="AH419" s="67"/>
      <c r="AI419" s="43"/>
      <c r="AJ419" s="67"/>
      <c r="AK419" s="67"/>
      <c r="AL419" s="67"/>
      <c r="AM419" s="67"/>
      <c r="AN419" s="67"/>
      <c r="AO419" s="43"/>
      <c r="AP419" s="67"/>
      <c r="AQ419" s="67"/>
      <c r="AR419" s="67"/>
      <c r="AS419" s="43"/>
      <c r="AT419" s="67"/>
      <c r="AU419" s="67"/>
      <c r="AV419" s="67"/>
      <c r="AW419" s="43"/>
      <c r="AX419" s="67"/>
      <c r="AY419" s="67"/>
      <c r="AZ419" s="67"/>
      <c r="BA419" s="67"/>
      <c r="BB419" s="67"/>
      <c r="BC419" s="43"/>
      <c r="BD419" s="67"/>
      <c r="BE419" s="67"/>
      <c r="BF419" s="67"/>
      <c r="BG419" s="43"/>
      <c r="BH419" s="73"/>
      <c r="BI419" s="73"/>
      <c r="BJ419" s="67"/>
      <c r="BK419" s="67"/>
      <c r="BL419" s="67"/>
      <c r="BM419" s="67"/>
      <c r="BN419" s="419"/>
      <c r="BO419" s="67"/>
      <c r="BP419" s="67"/>
      <c r="BQ419" s="43"/>
      <c r="BR419" s="67"/>
      <c r="BS419" s="67"/>
      <c r="BT419" s="67"/>
      <c r="BU419" s="43"/>
      <c r="BV419" s="67"/>
      <c r="BW419" s="67"/>
      <c r="BX419" s="67"/>
      <c r="BY419" s="67"/>
      <c r="BZ419" s="67"/>
      <c r="CA419" s="43"/>
      <c r="CB419" s="73"/>
      <c r="CC419" s="73"/>
      <c r="CD419" s="68"/>
      <c r="CE419" s="73"/>
      <c r="CF419" s="73"/>
      <c r="CG419" s="30"/>
    </row>
    <row r="420" spans="1:96" hidden="1" x14ac:dyDescent="0.2">
      <c r="A420">
        <v>0</v>
      </c>
      <c r="B420" s="59">
        <v>36892</v>
      </c>
      <c r="C420" s="59">
        <f>C6</f>
        <v>36892</v>
      </c>
      <c r="D420" s="60">
        <f t="shared" ref="D420:D483" si="61">YEAR(C420)</f>
        <v>2001</v>
      </c>
      <c r="E420" s="60">
        <f>VLOOKUP($C420,calendar!$A$2:$D$121,4,FALSE)</f>
        <v>0</v>
      </c>
      <c r="F420" s="60"/>
      <c r="G420" s="36">
        <f t="shared" ref="G420:G451" si="62">SUM(K420,AA420,AO420,Q420,AW420,W420,BC420,AI420,BG420,BQ420,AE420,BU420,CA420)</f>
        <v>0</v>
      </c>
      <c r="H420" s="36">
        <f t="shared" ref="H420:H451" si="63">SUM(L420,AB420,AP420,R420,AX420,X420,BD420,AJ420,BJ420,BR420,AF420,BV420,CB420)</f>
        <v>0</v>
      </c>
      <c r="I420" s="36"/>
      <c r="J420" s="41"/>
      <c r="K420" s="45" t="str">
        <f>'Filter-old'!E491</f>
        <v>CINERGY</v>
      </c>
      <c r="L420" s="61">
        <f>'Filter-new'!E492</f>
        <v>0</v>
      </c>
      <c r="M420" s="61"/>
      <c r="N420" s="61"/>
      <c r="O420" s="429"/>
      <c r="P420" s="61"/>
      <c r="Q420" s="45" t="str">
        <f>'Filter-old'!H491</f>
        <v>INTO COMED</v>
      </c>
      <c r="R420" s="61">
        <f>'Filter-new'!H492</f>
        <v>0</v>
      </c>
      <c r="S420" s="61"/>
      <c r="T420" s="61"/>
      <c r="U420" s="445"/>
      <c r="V420" s="61"/>
      <c r="W420" s="45" t="str">
        <f>'Filter-old'!J491</f>
        <v>MAPP</v>
      </c>
      <c r="X420" s="61">
        <f>'Filter-new'!J492</f>
        <v>0</v>
      </c>
      <c r="Y420" s="61"/>
      <c r="Z420" s="61"/>
      <c r="AA420" s="45" t="str">
        <f>'Filter-old'!F491</f>
        <v>Manitoba</v>
      </c>
      <c r="AB420" s="61" t="str">
        <f>'Filter-new'!F491</f>
        <v>AMEREN</v>
      </c>
      <c r="AC420" s="61"/>
      <c r="AD420" s="61"/>
      <c r="AE420" s="45" t="str">
        <f>'Filter-old'!P491</f>
        <v>NSP</v>
      </c>
      <c r="AF420" s="61" t="str">
        <f>'Filter-new'!P491</f>
        <v>NSP</v>
      </c>
      <c r="AG420" s="61"/>
      <c r="AH420" s="61"/>
      <c r="AI420" s="45" t="str">
        <f>'Filter-old'!L491</f>
        <v>INTO AEP</v>
      </c>
      <c r="AJ420" s="61" t="str">
        <f>'Filter-new'!L491</f>
        <v>INTO AEP</v>
      </c>
      <c r="AK420" s="61"/>
      <c r="AL420" s="61"/>
      <c r="AM420" s="61"/>
      <c r="AN420" s="61"/>
      <c r="AO420" s="45" t="str">
        <f>'Filter-old'!G491</f>
        <v>ERCOT</v>
      </c>
      <c r="AP420" s="61">
        <f>'Filter-new'!G492</f>
        <v>0</v>
      </c>
      <c r="AQ420" s="61"/>
      <c r="AR420" s="61"/>
      <c r="AS420" s="45"/>
      <c r="AT420" s="61"/>
      <c r="AU420" s="61"/>
      <c r="AV420" s="61"/>
      <c r="AW420" s="45" t="str">
        <f>'Filter-old'!I491</f>
        <v>INTO TVA</v>
      </c>
      <c r="AX420" s="61">
        <f>'Filter-new'!I492</f>
        <v>0</v>
      </c>
      <c r="AY420" s="61"/>
      <c r="AZ420" s="61"/>
      <c r="BA420" s="61"/>
      <c r="BB420" s="61"/>
      <c r="BC420" s="45" t="str">
        <f>'Filter-old'!K491</f>
        <v>NEPOOL</v>
      </c>
      <c r="BD420" s="61">
        <f>'Filter-new'!K492</f>
        <v>0</v>
      </c>
      <c r="BE420" s="61"/>
      <c r="BF420" s="61"/>
      <c r="BG420" s="45" t="str">
        <f>'Filter-old'!M491</f>
        <v>NY Zone A</v>
      </c>
      <c r="BH420" s="61"/>
      <c r="BI420" s="61"/>
      <c r="BJ420" s="61" t="str">
        <f>'Filter-new'!M491</f>
        <v>NY Zone A</v>
      </c>
      <c r="BK420" s="61"/>
      <c r="BL420" s="61"/>
      <c r="BM420" s="61"/>
      <c r="BN420" s="406"/>
      <c r="BO420" s="61"/>
      <c r="BP420" s="61"/>
      <c r="BQ420" s="45" t="str">
        <f>'Filter-old'!O491</f>
        <v>SOCO</v>
      </c>
      <c r="BR420" s="61">
        <f>'Filter-new'!O492</f>
        <v>0</v>
      </c>
      <c r="BS420" s="61"/>
      <c r="BT420" s="61"/>
      <c r="BU420" s="45" t="str">
        <f>'Filter-old'!Q491</f>
        <v>SPP</v>
      </c>
      <c r="BV420" s="61">
        <f>'Filter-new'!Q492</f>
        <v>0</v>
      </c>
      <c r="BW420" s="61"/>
      <c r="BX420" s="61"/>
      <c r="BY420" s="61"/>
      <c r="BZ420" s="61"/>
      <c r="CA420" s="45" t="str">
        <f>'Filter-old'!R491</f>
        <v>WESTERN HUB</v>
      </c>
      <c r="CB420" s="61">
        <f>'Filter-new'!R492</f>
        <v>0</v>
      </c>
      <c r="CC420" s="57"/>
      <c r="CD420" s="58"/>
      <c r="CE420" s="57"/>
      <c r="CF420" s="57"/>
      <c r="CG420" s="4"/>
    </row>
    <row r="421" spans="1:96" hidden="1" x14ac:dyDescent="0.2">
      <c r="A421">
        <v>0</v>
      </c>
      <c r="B421" s="59">
        <v>36923</v>
      </c>
      <c r="C421" s="59">
        <f t="shared" ref="C421:C484" si="64">C7</f>
        <v>36923</v>
      </c>
      <c r="D421" s="60">
        <f t="shared" si="61"/>
        <v>2001</v>
      </c>
      <c r="E421" s="60">
        <f>VLOOKUP($C421,calendar!$A$2:$D$121,4,FALSE)</f>
        <v>0</v>
      </c>
      <c r="F421" s="60"/>
      <c r="G421" s="36">
        <f t="shared" si="62"/>
        <v>0</v>
      </c>
      <c r="H421" s="36">
        <f t="shared" si="63"/>
        <v>0</v>
      </c>
      <c r="I421" s="36"/>
      <c r="J421" s="41"/>
      <c r="K421" s="45">
        <f>'Filter-old'!E492</f>
        <v>0</v>
      </c>
      <c r="L421" s="61">
        <f>'Filter-new'!E493</f>
        <v>0</v>
      </c>
      <c r="M421" s="61"/>
      <c r="N421" s="61"/>
      <c r="O421" s="429"/>
      <c r="P421" s="61"/>
      <c r="Q421" s="45">
        <f>'Filter-old'!H492</f>
        <v>0</v>
      </c>
      <c r="R421" s="61">
        <f>'Filter-new'!H493</f>
        <v>0</v>
      </c>
      <c r="S421" s="61"/>
      <c r="T421" s="61"/>
      <c r="U421" s="445"/>
      <c r="V421" s="61"/>
      <c r="W421" s="45">
        <f>'Filter-old'!J492</f>
        <v>0</v>
      </c>
      <c r="X421" s="61">
        <f>'Filter-new'!J493</f>
        <v>0</v>
      </c>
      <c r="Y421" s="61"/>
      <c r="Z421" s="61"/>
      <c r="AA421" s="45">
        <f>'Filter-old'!F492</f>
        <v>0</v>
      </c>
      <c r="AB421" s="61">
        <f>'Filter-new'!F492</f>
        <v>0</v>
      </c>
      <c r="AC421" s="61"/>
      <c r="AD421" s="61"/>
      <c r="AE421" s="45">
        <f>'Filter-old'!P492</f>
        <v>0</v>
      </c>
      <c r="AF421" s="61">
        <f>'Filter-new'!P492</f>
        <v>0</v>
      </c>
      <c r="AG421" s="61"/>
      <c r="AH421" s="61"/>
      <c r="AI421" s="45">
        <f>'Filter-old'!L492</f>
        <v>0</v>
      </c>
      <c r="AJ421" s="61">
        <f>'Filter-new'!L492</f>
        <v>0</v>
      </c>
      <c r="AK421" s="61"/>
      <c r="AL421" s="61"/>
      <c r="AM421" s="61"/>
      <c r="AN421" s="61"/>
      <c r="AO421" s="45">
        <f>'Filter-old'!G492</f>
        <v>0</v>
      </c>
      <c r="AP421" s="61">
        <f>'Filter-new'!G493</f>
        <v>0</v>
      </c>
      <c r="AQ421" s="61"/>
      <c r="AR421" s="61"/>
      <c r="AS421" s="45"/>
      <c r="AT421" s="61"/>
      <c r="AU421" s="61"/>
      <c r="AV421" s="61"/>
      <c r="AW421" s="45">
        <f>'Filter-old'!I492</f>
        <v>0</v>
      </c>
      <c r="AX421" s="61">
        <f>'Filter-new'!I493</f>
        <v>0</v>
      </c>
      <c r="AY421" s="61"/>
      <c r="AZ421" s="61"/>
      <c r="BA421" s="61"/>
      <c r="BB421" s="61"/>
      <c r="BC421" s="45">
        <f>'Filter-old'!K492</f>
        <v>0</v>
      </c>
      <c r="BD421" s="61">
        <f>'Filter-new'!K493</f>
        <v>0</v>
      </c>
      <c r="BE421" s="61"/>
      <c r="BF421" s="61"/>
      <c r="BG421" s="45">
        <f>'Filter-old'!M492</f>
        <v>0</v>
      </c>
      <c r="BH421" s="61"/>
      <c r="BI421" s="61"/>
      <c r="BJ421" s="61">
        <f>'Filter-new'!M492</f>
        <v>0</v>
      </c>
      <c r="BK421" s="61"/>
      <c r="BL421" s="61"/>
      <c r="BM421" s="61"/>
      <c r="BN421" s="406"/>
      <c r="BO421" s="61"/>
      <c r="BP421" s="61"/>
      <c r="BQ421" s="45">
        <f>'Filter-old'!O492</f>
        <v>0</v>
      </c>
      <c r="BR421" s="61">
        <f>'Filter-new'!O493</f>
        <v>0</v>
      </c>
      <c r="BS421" s="61"/>
      <c r="BT421" s="61"/>
      <c r="BU421" s="45">
        <f>'Filter-old'!Q492</f>
        <v>0</v>
      </c>
      <c r="BV421" s="61">
        <f>'Filter-new'!Q493</f>
        <v>0</v>
      </c>
      <c r="BW421" s="61"/>
      <c r="BX421" s="61"/>
      <c r="BY421" s="61"/>
      <c r="BZ421" s="61"/>
      <c r="CA421" s="45">
        <f>'Filter-old'!R492</f>
        <v>0</v>
      </c>
      <c r="CB421" s="61">
        <f>'Filter-new'!R493</f>
        <v>0</v>
      </c>
      <c r="CC421" s="57"/>
      <c r="CD421" s="58"/>
      <c r="CE421" s="57"/>
      <c r="CF421" s="57"/>
      <c r="CG421" s="4"/>
    </row>
    <row r="422" spans="1:96" hidden="1" x14ac:dyDescent="0.2">
      <c r="A422">
        <v>0</v>
      </c>
      <c r="B422" s="59">
        <v>36951</v>
      </c>
      <c r="C422" s="59">
        <f t="shared" si="64"/>
        <v>36951</v>
      </c>
      <c r="D422" s="60">
        <f t="shared" si="61"/>
        <v>2001</v>
      </c>
      <c r="E422" s="60">
        <f>VLOOKUP($C422,calendar!$A$2:$D$121,4,FALSE)</f>
        <v>352</v>
      </c>
      <c r="F422" s="60"/>
      <c r="G422" s="36">
        <f t="shared" si="62"/>
        <v>0</v>
      </c>
      <c r="H422" s="36">
        <f t="shared" si="63"/>
        <v>0</v>
      </c>
      <c r="I422" s="36"/>
      <c r="J422" s="41"/>
      <c r="K422" s="45">
        <f>'Filter-old'!E493</f>
        <v>0</v>
      </c>
      <c r="L422" s="61">
        <f>'Filter-new'!E494</f>
        <v>0</v>
      </c>
      <c r="M422" s="61"/>
      <c r="N422" s="61"/>
      <c r="O422" s="429"/>
      <c r="P422" s="61"/>
      <c r="Q422" s="45">
        <f>'Filter-old'!H493</f>
        <v>0</v>
      </c>
      <c r="R422" s="61">
        <f>'Filter-new'!H494</f>
        <v>0</v>
      </c>
      <c r="S422" s="61"/>
      <c r="T422" s="61"/>
      <c r="U422" s="445"/>
      <c r="V422" s="61"/>
      <c r="W422" s="45">
        <f>'Filter-old'!J493</f>
        <v>0</v>
      </c>
      <c r="X422" s="61">
        <f>'Filter-new'!J494</f>
        <v>0</v>
      </c>
      <c r="Y422" s="61"/>
      <c r="Z422" s="61"/>
      <c r="AA422" s="45">
        <f>'Filter-old'!F493</f>
        <v>0</v>
      </c>
      <c r="AB422" s="61">
        <f>'Filter-new'!F493</f>
        <v>0</v>
      </c>
      <c r="AC422" s="61"/>
      <c r="AD422" s="61"/>
      <c r="AE422" s="45">
        <f>'Filter-old'!P493</f>
        <v>0</v>
      </c>
      <c r="AF422" s="61">
        <f>'Filter-new'!P493</f>
        <v>0</v>
      </c>
      <c r="AG422" s="61"/>
      <c r="AH422" s="61"/>
      <c r="AI422" s="45">
        <f>'Filter-old'!L493</f>
        <v>0</v>
      </c>
      <c r="AJ422" s="61">
        <f>'Filter-new'!L493</f>
        <v>0</v>
      </c>
      <c r="AK422" s="61"/>
      <c r="AL422" s="61"/>
      <c r="AM422" s="61"/>
      <c r="AN422" s="61"/>
      <c r="AO422" s="45">
        <f>'Filter-old'!G493</f>
        <v>0</v>
      </c>
      <c r="AP422" s="61">
        <f>'Filter-new'!G494</f>
        <v>0</v>
      </c>
      <c r="AQ422" s="61"/>
      <c r="AR422" s="61"/>
      <c r="AS422" s="45"/>
      <c r="AT422" s="61"/>
      <c r="AU422" s="61"/>
      <c r="AV422" s="61"/>
      <c r="AW422" s="45">
        <f>'Filter-old'!I493</f>
        <v>0</v>
      </c>
      <c r="AX422" s="61">
        <f>'Filter-new'!I494</f>
        <v>0</v>
      </c>
      <c r="AY422" s="61"/>
      <c r="AZ422" s="61"/>
      <c r="BA422" s="61"/>
      <c r="BB422" s="61"/>
      <c r="BC422" s="45">
        <f>'Filter-old'!K493</f>
        <v>0</v>
      </c>
      <c r="BD422" s="61">
        <f>'Filter-new'!K494</f>
        <v>0</v>
      </c>
      <c r="BE422" s="61"/>
      <c r="BF422" s="61"/>
      <c r="BG422" s="45">
        <f>'Filter-old'!M493</f>
        <v>0</v>
      </c>
      <c r="BH422" s="61"/>
      <c r="BI422" s="61"/>
      <c r="BJ422" s="61">
        <f>'Filter-new'!M493</f>
        <v>0</v>
      </c>
      <c r="BK422" s="61"/>
      <c r="BL422" s="61"/>
      <c r="BM422" s="61"/>
      <c r="BN422" s="406"/>
      <c r="BO422" s="61"/>
      <c r="BP422" s="61"/>
      <c r="BQ422" s="45">
        <f>'Filter-old'!O493</f>
        <v>0</v>
      </c>
      <c r="BR422" s="61">
        <f>'Filter-new'!O494</f>
        <v>0</v>
      </c>
      <c r="BS422" s="61"/>
      <c r="BT422" s="61"/>
      <c r="BU422" s="45">
        <f>'Filter-old'!Q493</f>
        <v>0</v>
      </c>
      <c r="BV422" s="61">
        <f>'Filter-new'!Q494</f>
        <v>0</v>
      </c>
      <c r="BW422" s="61"/>
      <c r="BX422" s="61"/>
      <c r="BY422" s="61"/>
      <c r="BZ422" s="61"/>
      <c r="CA422" s="45">
        <f>'Filter-old'!R493</f>
        <v>0</v>
      </c>
      <c r="CB422" s="61">
        <f>'Filter-new'!R494</f>
        <v>0</v>
      </c>
      <c r="CC422" s="57"/>
      <c r="CD422" s="58"/>
      <c r="CE422" s="57"/>
      <c r="CF422" s="57"/>
      <c r="CG422" s="4"/>
    </row>
    <row r="423" spans="1:96" hidden="1" x14ac:dyDescent="0.2">
      <c r="A423">
        <v>0</v>
      </c>
      <c r="B423" s="59">
        <v>36982</v>
      </c>
      <c r="C423" s="59">
        <f t="shared" si="64"/>
        <v>36982</v>
      </c>
      <c r="D423" s="60">
        <f t="shared" si="61"/>
        <v>2001</v>
      </c>
      <c r="E423" s="60">
        <f>VLOOKUP($C423,calendar!$A$2:$D$121,4,FALSE)</f>
        <v>336</v>
      </c>
      <c r="F423" s="60"/>
      <c r="G423" s="36">
        <f t="shared" si="62"/>
        <v>0</v>
      </c>
      <c r="H423" s="36">
        <f t="shared" si="63"/>
        <v>0</v>
      </c>
      <c r="I423" s="36"/>
      <c r="J423" s="41"/>
      <c r="K423" s="45">
        <f>'Filter-old'!E494</f>
        <v>0</v>
      </c>
      <c r="L423" s="61">
        <f>'Filter-new'!E495</f>
        <v>0</v>
      </c>
      <c r="M423" s="61"/>
      <c r="N423" s="61"/>
      <c r="O423" s="429"/>
      <c r="P423" s="61"/>
      <c r="Q423" s="45">
        <f>'Filter-old'!H494</f>
        <v>0</v>
      </c>
      <c r="R423" s="61">
        <f>'Filter-new'!H495</f>
        <v>0</v>
      </c>
      <c r="S423" s="61"/>
      <c r="T423" s="61"/>
      <c r="U423" s="445"/>
      <c r="V423" s="61"/>
      <c r="W423" s="45">
        <f>'Filter-old'!J494</f>
        <v>0</v>
      </c>
      <c r="X423" s="61">
        <f>'Filter-new'!J495</f>
        <v>0</v>
      </c>
      <c r="Y423" s="61"/>
      <c r="Z423" s="61"/>
      <c r="AA423" s="45">
        <f>'Filter-old'!F494</f>
        <v>0</v>
      </c>
      <c r="AB423" s="61">
        <f>'Filter-new'!F494</f>
        <v>0</v>
      </c>
      <c r="AC423" s="61"/>
      <c r="AD423" s="61"/>
      <c r="AE423" s="45">
        <f>'Filter-old'!P494</f>
        <v>0</v>
      </c>
      <c r="AF423" s="61">
        <f>'Filter-new'!P494</f>
        <v>0</v>
      </c>
      <c r="AG423" s="61"/>
      <c r="AH423" s="61"/>
      <c r="AI423" s="45">
        <f>'Filter-old'!L494</f>
        <v>0</v>
      </c>
      <c r="AJ423" s="61">
        <f>'Filter-new'!L494</f>
        <v>0</v>
      </c>
      <c r="AK423" s="61"/>
      <c r="AL423" s="61"/>
      <c r="AM423" s="61"/>
      <c r="AN423" s="61"/>
      <c r="AO423" s="45">
        <f>'Filter-old'!G494</f>
        <v>0</v>
      </c>
      <c r="AP423" s="61">
        <f>'Filter-new'!G495</f>
        <v>0</v>
      </c>
      <c r="AQ423" s="61"/>
      <c r="AR423" s="61"/>
      <c r="AS423" s="45"/>
      <c r="AT423" s="61"/>
      <c r="AU423" s="61"/>
      <c r="AV423" s="61"/>
      <c r="AW423" s="45">
        <f>'Filter-old'!I494</f>
        <v>0</v>
      </c>
      <c r="AX423" s="61">
        <f>'Filter-new'!I495</f>
        <v>0</v>
      </c>
      <c r="AY423" s="61"/>
      <c r="AZ423" s="61"/>
      <c r="BA423" s="61"/>
      <c r="BB423" s="61"/>
      <c r="BC423" s="45">
        <f>'Filter-old'!K494</f>
        <v>0</v>
      </c>
      <c r="BD423" s="61">
        <f>'Filter-new'!K495</f>
        <v>0</v>
      </c>
      <c r="BE423" s="61"/>
      <c r="BF423" s="61"/>
      <c r="BG423" s="45">
        <f>'Filter-old'!M494</f>
        <v>0</v>
      </c>
      <c r="BH423" s="61"/>
      <c r="BI423" s="61"/>
      <c r="BJ423" s="61">
        <f>'Filter-new'!M494</f>
        <v>0</v>
      </c>
      <c r="BK423" s="61"/>
      <c r="BL423" s="61"/>
      <c r="BM423" s="61"/>
      <c r="BN423" s="406"/>
      <c r="BO423" s="61"/>
      <c r="BP423" s="61"/>
      <c r="BQ423" s="45">
        <f>'Filter-old'!O494</f>
        <v>0</v>
      </c>
      <c r="BR423" s="61">
        <f>'Filter-new'!O495</f>
        <v>0</v>
      </c>
      <c r="BS423" s="61"/>
      <c r="BT423" s="61"/>
      <c r="BU423" s="45">
        <f>'Filter-old'!Q494</f>
        <v>0</v>
      </c>
      <c r="BV423" s="61">
        <f>'Filter-new'!Q495</f>
        <v>0</v>
      </c>
      <c r="BW423" s="61"/>
      <c r="BX423" s="61"/>
      <c r="BY423" s="61"/>
      <c r="BZ423" s="61"/>
      <c r="CA423" s="45">
        <f>'Filter-old'!R494</f>
        <v>0</v>
      </c>
      <c r="CB423" s="61">
        <f>'Filter-new'!R495</f>
        <v>0</v>
      </c>
      <c r="CC423" s="57"/>
      <c r="CD423" s="58"/>
      <c r="CE423" s="57"/>
      <c r="CF423" s="57"/>
      <c r="CG423" s="4"/>
    </row>
    <row r="424" spans="1:96" hidden="1" x14ac:dyDescent="0.2">
      <c r="A424">
        <v>0</v>
      </c>
      <c r="B424" s="59">
        <v>37012</v>
      </c>
      <c r="C424" s="59">
        <f t="shared" si="64"/>
        <v>37012</v>
      </c>
      <c r="D424" s="60">
        <f t="shared" si="61"/>
        <v>2001</v>
      </c>
      <c r="E424" s="60">
        <f>VLOOKUP($C424,calendar!$A$2:$D$121,4,FALSE)</f>
        <v>352</v>
      </c>
      <c r="F424" s="60"/>
      <c r="G424" s="36">
        <f t="shared" si="62"/>
        <v>0</v>
      </c>
      <c r="H424" s="36">
        <f t="shared" si="63"/>
        <v>0</v>
      </c>
      <c r="I424" s="36"/>
      <c r="J424" s="41"/>
      <c r="K424" s="45">
        <f>'Filter-old'!E495</f>
        <v>0</v>
      </c>
      <c r="L424" s="61">
        <f>'Filter-new'!E496</f>
        <v>0</v>
      </c>
      <c r="M424" s="61"/>
      <c r="N424" s="61"/>
      <c r="O424" s="429"/>
      <c r="P424" s="61"/>
      <c r="Q424" s="45">
        <f>'Filter-old'!H495</f>
        <v>0</v>
      </c>
      <c r="R424" s="61">
        <f>'Filter-new'!H496</f>
        <v>0</v>
      </c>
      <c r="S424" s="61"/>
      <c r="T424" s="61"/>
      <c r="U424" s="445"/>
      <c r="V424" s="61"/>
      <c r="W424" s="45">
        <f>'Filter-old'!J495</f>
        <v>0</v>
      </c>
      <c r="X424" s="61">
        <f>'Filter-new'!J496</f>
        <v>0</v>
      </c>
      <c r="Y424" s="61"/>
      <c r="Z424" s="61"/>
      <c r="AA424" s="45">
        <f>'Filter-old'!F495</f>
        <v>0</v>
      </c>
      <c r="AB424" s="61">
        <f>'Filter-new'!F495</f>
        <v>0</v>
      </c>
      <c r="AC424" s="61"/>
      <c r="AD424" s="61"/>
      <c r="AE424" s="45">
        <f>'Filter-old'!P495</f>
        <v>0</v>
      </c>
      <c r="AF424" s="61">
        <f>'Filter-new'!P495</f>
        <v>0</v>
      </c>
      <c r="AG424" s="61"/>
      <c r="AH424" s="61"/>
      <c r="AI424" s="45">
        <f>'Filter-old'!L495</f>
        <v>0</v>
      </c>
      <c r="AJ424" s="61">
        <f>'Filter-new'!L495</f>
        <v>0</v>
      </c>
      <c r="AK424" s="61"/>
      <c r="AL424" s="61"/>
      <c r="AM424" s="61"/>
      <c r="AN424" s="61"/>
      <c r="AO424" s="45">
        <f>'Filter-old'!G495</f>
        <v>0</v>
      </c>
      <c r="AP424" s="61">
        <f>'Filter-new'!G496</f>
        <v>0</v>
      </c>
      <c r="AQ424" s="61"/>
      <c r="AR424" s="61"/>
      <c r="AS424" s="45"/>
      <c r="AT424" s="61"/>
      <c r="AU424" s="61"/>
      <c r="AV424" s="61"/>
      <c r="AW424" s="45">
        <f>'Filter-old'!I495</f>
        <v>0</v>
      </c>
      <c r="AX424" s="61">
        <f>'Filter-new'!I496</f>
        <v>0</v>
      </c>
      <c r="AY424" s="61"/>
      <c r="AZ424" s="61"/>
      <c r="BA424" s="61"/>
      <c r="BB424" s="61"/>
      <c r="BC424" s="45">
        <f>'Filter-old'!K495</f>
        <v>0</v>
      </c>
      <c r="BD424" s="61">
        <f>'Filter-new'!K496</f>
        <v>0</v>
      </c>
      <c r="BE424" s="61"/>
      <c r="BF424" s="61"/>
      <c r="BG424" s="45">
        <f>'Filter-old'!M495</f>
        <v>0</v>
      </c>
      <c r="BH424" s="61"/>
      <c r="BI424" s="61"/>
      <c r="BJ424" s="61">
        <f>'Filter-new'!M495</f>
        <v>0</v>
      </c>
      <c r="BK424" s="61"/>
      <c r="BL424" s="61"/>
      <c r="BM424" s="61"/>
      <c r="BN424" s="406"/>
      <c r="BO424" s="61"/>
      <c r="BP424" s="61"/>
      <c r="BQ424" s="45">
        <f>'Filter-old'!O495</f>
        <v>0</v>
      </c>
      <c r="BR424" s="61">
        <f>'Filter-new'!O496</f>
        <v>0</v>
      </c>
      <c r="BS424" s="61"/>
      <c r="BT424" s="61"/>
      <c r="BU424" s="45">
        <f>'Filter-old'!Q495</f>
        <v>0</v>
      </c>
      <c r="BV424" s="61">
        <f>'Filter-new'!Q496</f>
        <v>0</v>
      </c>
      <c r="BW424" s="61"/>
      <c r="BX424" s="61"/>
      <c r="BY424" s="61"/>
      <c r="BZ424" s="61"/>
      <c r="CA424" s="45">
        <f>'Filter-old'!R495</f>
        <v>0</v>
      </c>
      <c r="CB424" s="61">
        <f>'Filter-new'!R496</f>
        <v>0</v>
      </c>
      <c r="CC424" s="57"/>
      <c r="CD424" s="58"/>
      <c r="CE424" s="57"/>
      <c r="CF424" s="57"/>
      <c r="CG424" s="4"/>
    </row>
    <row r="425" spans="1:96" hidden="1" x14ac:dyDescent="0.2">
      <c r="A425">
        <v>0</v>
      </c>
      <c r="B425" s="59">
        <v>37043</v>
      </c>
      <c r="C425" s="59">
        <f t="shared" si="64"/>
        <v>37043</v>
      </c>
      <c r="D425" s="60">
        <f t="shared" si="61"/>
        <v>2001</v>
      </c>
      <c r="E425" s="60">
        <f>VLOOKUP($C425,calendar!$A$2:$D$121,4,FALSE)</f>
        <v>336</v>
      </c>
      <c r="F425" s="60"/>
      <c r="G425" s="36">
        <f t="shared" si="62"/>
        <v>0</v>
      </c>
      <c r="H425" s="36">
        <f t="shared" si="63"/>
        <v>0</v>
      </c>
      <c r="I425" s="36"/>
      <c r="J425" s="41"/>
      <c r="K425" s="45">
        <f>'Filter-old'!E496</f>
        <v>0</v>
      </c>
      <c r="L425" s="61">
        <f>'Filter-new'!E497</f>
        <v>0</v>
      </c>
      <c r="M425" s="61"/>
      <c r="N425" s="61"/>
      <c r="O425" s="429"/>
      <c r="P425" s="61"/>
      <c r="Q425" s="45">
        <f>'Filter-old'!H496</f>
        <v>0</v>
      </c>
      <c r="R425" s="61">
        <f>'Filter-new'!H497</f>
        <v>0</v>
      </c>
      <c r="S425" s="61"/>
      <c r="T425" s="61"/>
      <c r="U425" s="445"/>
      <c r="V425" s="61"/>
      <c r="W425" s="45">
        <f>'Filter-old'!J496</f>
        <v>0</v>
      </c>
      <c r="X425" s="61">
        <f>'Filter-new'!J497</f>
        <v>0</v>
      </c>
      <c r="Y425" s="61"/>
      <c r="Z425" s="61"/>
      <c r="AA425" s="45">
        <f>'Filter-old'!F496</f>
        <v>0</v>
      </c>
      <c r="AB425" s="61">
        <f>'Filter-new'!F496</f>
        <v>0</v>
      </c>
      <c r="AC425" s="61"/>
      <c r="AD425" s="61"/>
      <c r="AE425" s="45">
        <f>'Filter-old'!P496</f>
        <v>0</v>
      </c>
      <c r="AF425" s="61">
        <f>'Filter-new'!P496</f>
        <v>0</v>
      </c>
      <c r="AG425" s="61"/>
      <c r="AH425" s="61"/>
      <c r="AI425" s="45">
        <f>'Filter-old'!L496</f>
        <v>0</v>
      </c>
      <c r="AJ425" s="61">
        <f>'Filter-new'!L496</f>
        <v>0</v>
      </c>
      <c r="AK425" s="61"/>
      <c r="AL425" s="61"/>
      <c r="AM425" s="61"/>
      <c r="AN425" s="61"/>
      <c r="AO425" s="45">
        <f>'Filter-old'!G496</f>
        <v>0</v>
      </c>
      <c r="AP425" s="61">
        <f>'Filter-new'!G497</f>
        <v>0</v>
      </c>
      <c r="AQ425" s="61"/>
      <c r="AR425" s="61"/>
      <c r="AS425" s="45"/>
      <c r="AT425" s="61"/>
      <c r="AU425" s="61"/>
      <c r="AV425" s="61"/>
      <c r="AW425" s="45">
        <f>'Filter-old'!I496</f>
        <v>0</v>
      </c>
      <c r="AX425" s="61">
        <f>'Filter-new'!I497</f>
        <v>0</v>
      </c>
      <c r="AY425" s="61"/>
      <c r="AZ425" s="61"/>
      <c r="BA425" s="61"/>
      <c r="BB425" s="61"/>
      <c r="BC425" s="45">
        <f>'Filter-old'!K496</f>
        <v>0</v>
      </c>
      <c r="BD425" s="61">
        <f>'Filter-new'!K497</f>
        <v>0</v>
      </c>
      <c r="BE425" s="61"/>
      <c r="BF425" s="61"/>
      <c r="BG425" s="45">
        <f>'Filter-old'!M496</f>
        <v>0</v>
      </c>
      <c r="BH425" s="61"/>
      <c r="BI425" s="61"/>
      <c r="BJ425" s="61">
        <f>'Filter-new'!M496</f>
        <v>0</v>
      </c>
      <c r="BK425" s="61"/>
      <c r="BL425" s="61"/>
      <c r="BM425" s="61"/>
      <c r="BN425" s="406"/>
      <c r="BO425" s="61"/>
      <c r="BP425" s="61"/>
      <c r="BQ425" s="45">
        <f>'Filter-old'!O496</f>
        <v>0</v>
      </c>
      <c r="BR425" s="61">
        <f>'Filter-new'!O497</f>
        <v>0</v>
      </c>
      <c r="BS425" s="61"/>
      <c r="BT425" s="61"/>
      <c r="BU425" s="45">
        <f>'Filter-old'!Q496</f>
        <v>0</v>
      </c>
      <c r="BV425" s="61">
        <f>'Filter-new'!Q497</f>
        <v>0</v>
      </c>
      <c r="BW425" s="61"/>
      <c r="BX425" s="61"/>
      <c r="BY425" s="61"/>
      <c r="BZ425" s="61"/>
      <c r="CA425" s="45">
        <f>'Filter-old'!R496</f>
        <v>0</v>
      </c>
      <c r="CB425" s="61">
        <f>'Filter-new'!R497</f>
        <v>0</v>
      </c>
      <c r="CC425" s="57"/>
      <c r="CD425" s="58"/>
      <c r="CE425" s="57"/>
      <c r="CF425" s="57"/>
      <c r="CG425" s="4"/>
    </row>
    <row r="426" spans="1:96" hidden="1" x14ac:dyDescent="0.2">
      <c r="A426">
        <v>0</v>
      </c>
      <c r="B426" s="59">
        <v>37073</v>
      </c>
      <c r="C426" s="59">
        <f t="shared" si="64"/>
        <v>37073</v>
      </c>
      <c r="D426" s="60">
        <f t="shared" si="61"/>
        <v>2001</v>
      </c>
      <c r="E426" s="60">
        <f>VLOOKUP($C426,calendar!$A$2:$D$121,4,FALSE)</f>
        <v>336</v>
      </c>
      <c r="F426" s="60"/>
      <c r="G426" s="36">
        <f t="shared" si="62"/>
        <v>69200</v>
      </c>
      <c r="H426" s="36">
        <f t="shared" si="63"/>
        <v>0</v>
      </c>
      <c r="I426" s="36"/>
      <c r="J426" s="41"/>
      <c r="K426" s="45">
        <f>'Filter-old'!E497</f>
        <v>116000</v>
      </c>
      <c r="L426" s="61">
        <f>'Filter-new'!E498</f>
        <v>0</v>
      </c>
      <c r="M426" s="61"/>
      <c r="N426" s="61"/>
      <c r="O426" s="429"/>
      <c r="P426" s="61"/>
      <c r="Q426" s="45">
        <f>'Filter-old'!H497</f>
        <v>-9600</v>
      </c>
      <c r="R426" s="61">
        <f>'Filter-new'!H498</f>
        <v>0</v>
      </c>
      <c r="S426" s="61"/>
      <c r="T426" s="61"/>
      <c r="U426" s="445"/>
      <c r="V426" s="61"/>
      <c r="W426" s="45">
        <f>'Filter-old'!J497</f>
        <v>11200</v>
      </c>
      <c r="X426" s="61">
        <f>'Filter-new'!J498</f>
        <v>0</v>
      </c>
      <c r="Y426" s="61"/>
      <c r="Z426" s="61"/>
      <c r="AA426" s="45">
        <f>'Filter-old'!F497</f>
        <v>0</v>
      </c>
      <c r="AB426" s="61">
        <f>'Filter-new'!F497</f>
        <v>0</v>
      </c>
      <c r="AC426" s="61"/>
      <c r="AD426" s="61"/>
      <c r="AE426" s="45">
        <f>'Filter-old'!P497</f>
        <v>0</v>
      </c>
      <c r="AF426" s="61">
        <f>'Filter-new'!P497</f>
        <v>0</v>
      </c>
      <c r="AG426" s="61"/>
      <c r="AH426" s="61"/>
      <c r="AI426" s="45">
        <f>'Filter-old'!L497</f>
        <v>-16800</v>
      </c>
      <c r="AJ426" s="61">
        <f>'Filter-new'!L497</f>
        <v>0</v>
      </c>
      <c r="AK426" s="61"/>
      <c r="AL426" s="61"/>
      <c r="AM426" s="61"/>
      <c r="AN426" s="61"/>
      <c r="AO426" s="45">
        <f>'Filter-old'!G497</f>
        <v>0</v>
      </c>
      <c r="AP426" s="61">
        <f>'Filter-new'!G498</f>
        <v>0</v>
      </c>
      <c r="AQ426" s="61"/>
      <c r="AR426" s="61"/>
      <c r="AS426" s="45"/>
      <c r="AT426" s="61"/>
      <c r="AU426" s="61"/>
      <c r="AV426" s="61"/>
      <c r="AW426" s="45">
        <f>'Filter-old'!I497</f>
        <v>0</v>
      </c>
      <c r="AX426" s="61">
        <f>'Filter-new'!I498</f>
        <v>0</v>
      </c>
      <c r="AY426" s="61"/>
      <c r="AZ426" s="61"/>
      <c r="BA426" s="61"/>
      <c r="BB426" s="61"/>
      <c r="BC426" s="45">
        <f>'Filter-old'!K497</f>
        <v>0</v>
      </c>
      <c r="BD426" s="61">
        <f>'Filter-new'!K498</f>
        <v>0</v>
      </c>
      <c r="BE426" s="61"/>
      <c r="BF426" s="61"/>
      <c r="BG426" s="45">
        <f>'Filter-old'!M497</f>
        <v>0</v>
      </c>
      <c r="BH426" s="61"/>
      <c r="BI426" s="61"/>
      <c r="BJ426" s="61">
        <f>'Filter-new'!M497</f>
        <v>0</v>
      </c>
      <c r="BK426" s="61"/>
      <c r="BL426" s="61"/>
      <c r="BM426" s="61"/>
      <c r="BN426" s="406"/>
      <c r="BO426" s="61"/>
      <c r="BP426" s="61"/>
      <c r="BQ426" s="45">
        <f>'Filter-old'!O497</f>
        <v>0</v>
      </c>
      <c r="BR426" s="61">
        <f>'Filter-new'!O498</f>
        <v>0</v>
      </c>
      <c r="BS426" s="61"/>
      <c r="BT426" s="61"/>
      <c r="BU426" s="45">
        <f>'Filter-old'!Q497</f>
        <v>15200</v>
      </c>
      <c r="BV426" s="61">
        <f>'Filter-new'!Q498</f>
        <v>0</v>
      </c>
      <c r="BW426" s="61"/>
      <c r="BX426" s="61"/>
      <c r="BY426" s="61"/>
      <c r="BZ426" s="61"/>
      <c r="CA426" s="45">
        <f>'Filter-old'!R497</f>
        <v>-46800</v>
      </c>
      <c r="CB426" s="61">
        <f>'Filter-new'!R498</f>
        <v>0</v>
      </c>
      <c r="CC426" s="57"/>
      <c r="CD426" s="58"/>
      <c r="CE426" s="57"/>
      <c r="CF426" s="57"/>
      <c r="CG426" s="4"/>
    </row>
    <row r="427" spans="1:96" hidden="1" x14ac:dyDescent="0.2">
      <c r="A427">
        <v>0</v>
      </c>
      <c r="B427" s="59">
        <v>37104</v>
      </c>
      <c r="C427" s="59">
        <f t="shared" si="64"/>
        <v>37104</v>
      </c>
      <c r="D427" s="60">
        <f t="shared" si="61"/>
        <v>2001</v>
      </c>
      <c r="E427" s="60">
        <f>VLOOKUP($C427,calendar!$A$2:$D$121,4,FALSE)</f>
        <v>368</v>
      </c>
      <c r="F427" s="60"/>
      <c r="G427" s="36">
        <f t="shared" si="62"/>
        <v>204000</v>
      </c>
      <c r="H427" s="36">
        <f t="shared" si="63"/>
        <v>0</v>
      </c>
      <c r="I427" s="36"/>
      <c r="J427" s="41"/>
      <c r="K427" s="45">
        <f>'Filter-old'!E498</f>
        <v>175600</v>
      </c>
      <c r="L427" s="61">
        <f>'Filter-new'!E499</f>
        <v>0</v>
      </c>
      <c r="M427" s="61"/>
      <c r="N427" s="61"/>
      <c r="O427" s="429"/>
      <c r="P427" s="61"/>
      <c r="Q427" s="45">
        <f>'Filter-old'!H498</f>
        <v>-12400</v>
      </c>
      <c r="R427" s="61">
        <f>'Filter-new'!H499</f>
        <v>0</v>
      </c>
      <c r="S427" s="61"/>
      <c r="T427" s="61"/>
      <c r="U427" s="445"/>
      <c r="V427" s="61"/>
      <c r="W427" s="45">
        <f>'Filter-old'!J498</f>
        <v>21600</v>
      </c>
      <c r="X427" s="61">
        <f>'Filter-new'!J499</f>
        <v>0</v>
      </c>
      <c r="Y427" s="61"/>
      <c r="Z427" s="61"/>
      <c r="AA427" s="45">
        <f>'Filter-old'!F498</f>
        <v>0</v>
      </c>
      <c r="AB427" s="61">
        <f>'Filter-new'!F498</f>
        <v>0</v>
      </c>
      <c r="AC427" s="61"/>
      <c r="AD427" s="61"/>
      <c r="AE427" s="45">
        <f>'Filter-old'!P498</f>
        <v>0</v>
      </c>
      <c r="AF427" s="61">
        <f>'Filter-new'!P498</f>
        <v>0</v>
      </c>
      <c r="AG427" s="61"/>
      <c r="AH427" s="61"/>
      <c r="AI427" s="45">
        <f>'Filter-old'!L498</f>
        <v>-21600</v>
      </c>
      <c r="AJ427" s="61">
        <f>'Filter-new'!L498</f>
        <v>0</v>
      </c>
      <c r="AK427" s="61"/>
      <c r="AL427" s="61"/>
      <c r="AM427" s="61"/>
      <c r="AN427" s="61"/>
      <c r="AO427" s="45">
        <f>'Filter-old'!G498</f>
        <v>0</v>
      </c>
      <c r="AP427" s="61">
        <f>'Filter-new'!G499</f>
        <v>0</v>
      </c>
      <c r="AQ427" s="61"/>
      <c r="AR427" s="61"/>
      <c r="AS427" s="45"/>
      <c r="AT427" s="61"/>
      <c r="AU427" s="61"/>
      <c r="AV427" s="61"/>
      <c r="AW427" s="45">
        <f>'Filter-old'!I498</f>
        <v>0</v>
      </c>
      <c r="AX427" s="61">
        <f>'Filter-new'!I499</f>
        <v>0</v>
      </c>
      <c r="AY427" s="61"/>
      <c r="AZ427" s="61"/>
      <c r="BA427" s="61"/>
      <c r="BB427" s="61"/>
      <c r="BC427" s="45">
        <f>'Filter-old'!K498</f>
        <v>0</v>
      </c>
      <c r="BD427" s="61">
        <f>'Filter-new'!K499</f>
        <v>0</v>
      </c>
      <c r="BE427" s="61"/>
      <c r="BF427" s="61"/>
      <c r="BG427" s="45">
        <f>'Filter-old'!M498</f>
        <v>0</v>
      </c>
      <c r="BH427" s="61"/>
      <c r="BI427" s="61"/>
      <c r="BJ427" s="61">
        <f>'Filter-new'!M498</f>
        <v>0</v>
      </c>
      <c r="BK427" s="61"/>
      <c r="BL427" s="61"/>
      <c r="BM427" s="61"/>
      <c r="BN427" s="406"/>
      <c r="BO427" s="61"/>
      <c r="BP427" s="61"/>
      <c r="BQ427" s="45">
        <f>'Filter-old'!O498</f>
        <v>0</v>
      </c>
      <c r="BR427" s="61">
        <f>'Filter-new'!O499</f>
        <v>0</v>
      </c>
      <c r="BS427" s="61"/>
      <c r="BT427" s="61"/>
      <c r="BU427" s="45">
        <f>'Filter-old'!Q498</f>
        <v>20400</v>
      </c>
      <c r="BV427" s="61">
        <f>'Filter-new'!Q499</f>
        <v>0</v>
      </c>
      <c r="BW427" s="61"/>
      <c r="BX427" s="61"/>
      <c r="BY427" s="61"/>
      <c r="BZ427" s="61"/>
      <c r="CA427" s="45">
        <f>'Filter-old'!R498</f>
        <v>20400</v>
      </c>
      <c r="CB427" s="61">
        <f>'Filter-new'!R499</f>
        <v>0</v>
      </c>
      <c r="CC427" s="57"/>
      <c r="CD427" s="58"/>
      <c r="CE427" s="57"/>
      <c r="CF427" s="57"/>
      <c r="CG427" s="4"/>
    </row>
    <row r="428" spans="1:96" hidden="1" x14ac:dyDescent="0.2">
      <c r="A428">
        <v>0</v>
      </c>
      <c r="B428" s="59">
        <v>37135</v>
      </c>
      <c r="C428" s="59">
        <f t="shared" si="64"/>
        <v>37135</v>
      </c>
      <c r="D428" s="60">
        <f t="shared" si="61"/>
        <v>2001</v>
      </c>
      <c r="E428" s="60">
        <f>VLOOKUP($C428,calendar!$A$2:$D$121,4,FALSE)</f>
        <v>304</v>
      </c>
      <c r="F428" s="60"/>
      <c r="G428" s="36">
        <f t="shared" si="62"/>
        <v>188000</v>
      </c>
      <c r="H428" s="36">
        <f t="shared" si="63"/>
        <v>0</v>
      </c>
      <c r="I428" s="36"/>
      <c r="J428" s="41"/>
      <c r="K428" s="45">
        <f>'Filter-old'!E499</f>
        <v>162800</v>
      </c>
      <c r="L428" s="61">
        <f>'Filter-new'!E500</f>
        <v>0</v>
      </c>
      <c r="M428" s="61"/>
      <c r="N428" s="61"/>
      <c r="O428" s="429"/>
      <c r="P428" s="61"/>
      <c r="Q428" s="45">
        <f>'Filter-old'!H499</f>
        <v>-12400</v>
      </c>
      <c r="R428" s="61">
        <f>'Filter-new'!H500</f>
        <v>0</v>
      </c>
      <c r="S428" s="61"/>
      <c r="T428" s="61"/>
      <c r="U428" s="445"/>
      <c r="V428" s="61"/>
      <c r="W428" s="45">
        <f>'Filter-old'!J499</f>
        <v>19200</v>
      </c>
      <c r="X428" s="61">
        <f>'Filter-new'!J500</f>
        <v>0</v>
      </c>
      <c r="Y428" s="61"/>
      <c r="Z428" s="61"/>
      <c r="AA428" s="45">
        <f>'Filter-old'!F499</f>
        <v>0</v>
      </c>
      <c r="AB428" s="61">
        <f>'Filter-new'!F499</f>
        <v>0</v>
      </c>
      <c r="AC428" s="61"/>
      <c r="AD428" s="61"/>
      <c r="AE428" s="45">
        <f>'Filter-old'!P499</f>
        <v>0</v>
      </c>
      <c r="AF428" s="61">
        <f>'Filter-new'!P499</f>
        <v>0</v>
      </c>
      <c r="AG428" s="61"/>
      <c r="AH428" s="61"/>
      <c r="AI428" s="45">
        <f>'Filter-old'!L499</f>
        <v>-19200</v>
      </c>
      <c r="AJ428" s="61">
        <f>'Filter-new'!L499</f>
        <v>0</v>
      </c>
      <c r="AK428" s="61"/>
      <c r="AL428" s="61"/>
      <c r="AM428" s="61"/>
      <c r="AN428" s="61"/>
      <c r="AO428" s="45">
        <f>'Filter-old'!G499</f>
        <v>0</v>
      </c>
      <c r="AP428" s="61">
        <f>'Filter-new'!G500</f>
        <v>0</v>
      </c>
      <c r="AQ428" s="61"/>
      <c r="AR428" s="61"/>
      <c r="AS428" s="45"/>
      <c r="AT428" s="61"/>
      <c r="AU428" s="61"/>
      <c r="AV428" s="61"/>
      <c r="AW428" s="45">
        <f>'Filter-old'!I499</f>
        <v>0</v>
      </c>
      <c r="AX428" s="61">
        <f>'Filter-new'!I500</f>
        <v>0</v>
      </c>
      <c r="AY428" s="61"/>
      <c r="AZ428" s="61"/>
      <c r="BA428" s="61"/>
      <c r="BB428" s="61"/>
      <c r="BC428" s="45">
        <f>'Filter-old'!K499</f>
        <v>0</v>
      </c>
      <c r="BD428" s="61">
        <f>'Filter-new'!K500</f>
        <v>0</v>
      </c>
      <c r="BE428" s="61"/>
      <c r="BF428" s="61"/>
      <c r="BG428" s="45">
        <f>'Filter-old'!M499</f>
        <v>0</v>
      </c>
      <c r="BH428" s="61"/>
      <c r="BI428" s="61"/>
      <c r="BJ428" s="61">
        <f>'Filter-new'!M499</f>
        <v>0</v>
      </c>
      <c r="BK428" s="61"/>
      <c r="BL428" s="61"/>
      <c r="BM428" s="61"/>
      <c r="BN428" s="406"/>
      <c r="BO428" s="61"/>
      <c r="BP428" s="61"/>
      <c r="BQ428" s="45">
        <f>'Filter-old'!O499</f>
        <v>0</v>
      </c>
      <c r="BR428" s="61">
        <f>'Filter-new'!O500</f>
        <v>0</v>
      </c>
      <c r="BS428" s="61"/>
      <c r="BT428" s="61"/>
      <c r="BU428" s="45">
        <f>'Filter-old'!Q499</f>
        <v>18800</v>
      </c>
      <c r="BV428" s="61">
        <f>'Filter-new'!Q500</f>
        <v>0</v>
      </c>
      <c r="BW428" s="61"/>
      <c r="BX428" s="61"/>
      <c r="BY428" s="61"/>
      <c r="BZ428" s="61"/>
      <c r="CA428" s="45">
        <f>'Filter-old'!R499</f>
        <v>18800</v>
      </c>
      <c r="CB428" s="61">
        <f>'Filter-new'!R500</f>
        <v>0</v>
      </c>
      <c r="CC428" s="57"/>
      <c r="CD428" s="58"/>
      <c r="CE428" s="57"/>
      <c r="CF428" s="57"/>
      <c r="CG428" s="4"/>
    </row>
    <row r="429" spans="1:96" hidden="1" x14ac:dyDescent="0.2">
      <c r="A429">
        <v>0</v>
      </c>
      <c r="B429" s="59">
        <v>37165</v>
      </c>
      <c r="C429" s="59">
        <f t="shared" si="64"/>
        <v>37165</v>
      </c>
      <c r="D429" s="60">
        <f t="shared" si="61"/>
        <v>2001</v>
      </c>
      <c r="E429" s="60">
        <f>VLOOKUP($C429,calendar!$A$2:$D$121,4,FALSE)</f>
        <v>368</v>
      </c>
      <c r="F429" s="60"/>
      <c r="G429" s="36">
        <f t="shared" si="62"/>
        <v>110800</v>
      </c>
      <c r="H429" s="36">
        <f t="shared" si="63"/>
        <v>0</v>
      </c>
      <c r="I429" s="36"/>
      <c r="J429" s="41"/>
      <c r="K429" s="45">
        <f>'Filter-old'!E500</f>
        <v>74400</v>
      </c>
      <c r="L429" s="61" t="str">
        <f>'Filter-new'!E501</f>
        <v>CINERGY</v>
      </c>
      <c r="M429" s="61"/>
      <c r="N429" s="61"/>
      <c r="O429" s="429"/>
      <c r="P429" s="61"/>
      <c r="Q429" s="45">
        <f>'Filter-old'!H500</f>
        <v>-21200</v>
      </c>
      <c r="R429" s="61" t="str">
        <f>'Filter-new'!H501</f>
        <v>INTO COMED</v>
      </c>
      <c r="S429" s="61"/>
      <c r="T429" s="61"/>
      <c r="U429" s="445"/>
      <c r="V429" s="61"/>
      <c r="W429" s="45">
        <f>'Filter-old'!J500</f>
        <v>16000</v>
      </c>
      <c r="X429" s="61">
        <f>'Filter-new'!J501</f>
        <v>0</v>
      </c>
      <c r="Y429" s="61"/>
      <c r="Z429" s="61"/>
      <c r="AA429" s="45">
        <f>'Filter-old'!F500</f>
        <v>0</v>
      </c>
      <c r="AB429" s="61">
        <f>'Filter-new'!F500</f>
        <v>0</v>
      </c>
      <c r="AC429" s="61"/>
      <c r="AD429" s="61"/>
      <c r="AE429" s="45">
        <f>'Filter-old'!P500</f>
        <v>0</v>
      </c>
      <c r="AF429" s="61">
        <f>'Filter-new'!P500</f>
        <v>0</v>
      </c>
      <c r="AG429" s="61"/>
      <c r="AH429" s="61"/>
      <c r="AI429" s="45">
        <f>'Filter-old'!L500</f>
        <v>0</v>
      </c>
      <c r="AJ429" s="61">
        <f>'Filter-new'!L500</f>
        <v>0</v>
      </c>
      <c r="AK429" s="61"/>
      <c r="AL429" s="61"/>
      <c r="AM429" s="61"/>
      <c r="AN429" s="61"/>
      <c r="AO429" s="45">
        <f>'Filter-old'!G500</f>
        <v>0</v>
      </c>
      <c r="AP429" s="61">
        <f>'Filter-new'!G501</f>
        <v>0</v>
      </c>
      <c r="AQ429" s="61"/>
      <c r="AR429" s="61"/>
      <c r="AS429" s="45"/>
      <c r="AT429" s="61"/>
      <c r="AU429" s="61"/>
      <c r="AV429" s="61"/>
      <c r="AW429" s="45">
        <f>'Filter-old'!I500</f>
        <v>0</v>
      </c>
      <c r="AX429" s="61" t="str">
        <f>'Filter-new'!I501</f>
        <v>INTO TVA</v>
      </c>
      <c r="AY429" s="61"/>
      <c r="AZ429" s="61"/>
      <c r="BA429" s="61"/>
      <c r="BB429" s="61"/>
      <c r="BC429" s="45">
        <f>'Filter-old'!K500</f>
        <v>0</v>
      </c>
      <c r="BD429" s="61" t="str">
        <f>'Filter-new'!K501</f>
        <v>NEPOOL</v>
      </c>
      <c r="BE429" s="61"/>
      <c r="BF429" s="61"/>
      <c r="BG429" s="45">
        <f>'Filter-old'!M500</f>
        <v>0</v>
      </c>
      <c r="BH429" s="61"/>
      <c r="BI429" s="61"/>
      <c r="BJ429" s="61">
        <f>'Filter-new'!M500</f>
        <v>0</v>
      </c>
      <c r="BK429" s="61"/>
      <c r="BL429" s="61"/>
      <c r="BM429" s="61"/>
      <c r="BN429" s="406"/>
      <c r="BO429" s="61"/>
      <c r="BP429" s="61"/>
      <c r="BQ429" s="45">
        <f>'Filter-old'!O500</f>
        <v>0</v>
      </c>
      <c r="BR429" s="61">
        <f>'Filter-new'!O501</f>
        <v>0</v>
      </c>
      <c r="BS429" s="61"/>
      <c r="BT429" s="61"/>
      <c r="BU429" s="45">
        <f>'Filter-old'!Q500</f>
        <v>20800</v>
      </c>
      <c r="BV429" s="61" t="str">
        <f>'Filter-new'!Q501</f>
        <v>Entergy</v>
      </c>
      <c r="BW429" s="61"/>
      <c r="BX429" s="61"/>
      <c r="BY429" s="61"/>
      <c r="BZ429" s="61"/>
      <c r="CA429" s="45">
        <f>'Filter-old'!R500</f>
        <v>20800</v>
      </c>
      <c r="CB429" s="61" t="str">
        <f>'Filter-new'!R501</f>
        <v>WESTERN HUB</v>
      </c>
      <c r="CC429" s="57"/>
      <c r="CD429" s="58"/>
      <c r="CE429" s="57"/>
      <c r="CF429" s="57"/>
      <c r="CG429" s="4"/>
    </row>
    <row r="430" spans="1:96" hidden="1" x14ac:dyDescent="0.2">
      <c r="A430">
        <v>0</v>
      </c>
      <c r="B430" s="59">
        <v>37196</v>
      </c>
      <c r="C430" s="59">
        <f t="shared" si="64"/>
        <v>37196</v>
      </c>
      <c r="D430" s="60">
        <f t="shared" si="61"/>
        <v>2001</v>
      </c>
      <c r="E430" s="60">
        <f>VLOOKUP($C430,calendar!$A$2:$D$121,4,FALSE)</f>
        <v>336</v>
      </c>
      <c r="F430" s="60"/>
      <c r="G430" s="36">
        <f t="shared" si="62"/>
        <v>100677</v>
      </c>
      <c r="H430" s="36">
        <f t="shared" si="63"/>
        <v>83600</v>
      </c>
      <c r="I430" s="36"/>
      <c r="J430" s="41"/>
      <c r="K430" s="45">
        <f>'Filter-old'!E501</f>
        <v>106727</v>
      </c>
      <c r="L430" s="61">
        <f>'Filter-new'!E502</f>
        <v>29600</v>
      </c>
      <c r="M430" s="61"/>
      <c r="N430" s="61"/>
      <c r="O430" s="429"/>
      <c r="P430" s="61"/>
      <c r="Q430" s="45">
        <f>'Filter-old'!H501</f>
        <v>-18850</v>
      </c>
      <c r="R430" s="61">
        <f>'Filter-new'!H502</f>
        <v>54000</v>
      </c>
      <c r="S430" s="61"/>
      <c r="T430" s="61"/>
      <c r="U430" s="445"/>
      <c r="V430" s="61"/>
      <c r="W430" s="45">
        <f>'Filter-old'!J501</f>
        <v>12800</v>
      </c>
      <c r="X430" s="61">
        <f>'Filter-new'!J502</f>
        <v>0</v>
      </c>
      <c r="Y430" s="61"/>
      <c r="Z430" s="61"/>
      <c r="AA430" s="45">
        <f>'Filter-old'!F501</f>
        <v>0</v>
      </c>
      <c r="AB430" s="61">
        <f>'Filter-new'!F501</f>
        <v>0</v>
      </c>
      <c r="AC430" s="61"/>
      <c r="AD430" s="61"/>
      <c r="AE430" s="45">
        <f>'Filter-old'!P501</f>
        <v>0</v>
      </c>
      <c r="AF430" s="61">
        <f>'Filter-new'!P501</f>
        <v>0</v>
      </c>
      <c r="AG430" s="61"/>
      <c r="AH430" s="61"/>
      <c r="AI430" s="45">
        <f>'Filter-old'!L501</f>
        <v>0</v>
      </c>
      <c r="AJ430" s="61" t="str">
        <f>'Filter-new'!L501</f>
        <v>INTO AEP</v>
      </c>
      <c r="AK430" s="61"/>
      <c r="AL430" s="61"/>
      <c r="AM430" s="61"/>
      <c r="AN430" s="61"/>
      <c r="AO430" s="45">
        <f>'Filter-old'!G501</f>
        <v>0</v>
      </c>
      <c r="AP430" s="61">
        <f>'Filter-new'!G502</f>
        <v>0</v>
      </c>
      <c r="AQ430" s="61"/>
      <c r="AR430" s="61"/>
      <c r="AS430" s="45"/>
      <c r="AT430" s="61"/>
      <c r="AU430" s="61"/>
      <c r="AV430" s="61"/>
      <c r="AW430" s="45">
        <f>'Filter-old'!I501</f>
        <v>0</v>
      </c>
      <c r="AX430" s="61">
        <f>'Filter-new'!I502</f>
        <v>0</v>
      </c>
      <c r="AY430" s="61"/>
      <c r="AZ430" s="61"/>
      <c r="BA430" s="61"/>
      <c r="BB430" s="61"/>
      <c r="BC430" s="45">
        <f>'Filter-old'!K501</f>
        <v>0</v>
      </c>
      <c r="BD430" s="61">
        <f>'Filter-new'!K502</f>
        <v>0</v>
      </c>
      <c r="BE430" s="61"/>
      <c r="BF430" s="61"/>
      <c r="BG430" s="45">
        <f>'Filter-old'!M501</f>
        <v>0</v>
      </c>
      <c r="BH430" s="61"/>
      <c r="BI430" s="61"/>
      <c r="BJ430" s="61">
        <f>'Filter-new'!M501</f>
        <v>0</v>
      </c>
      <c r="BK430" s="61"/>
      <c r="BL430" s="61"/>
      <c r="BM430" s="61"/>
      <c r="BN430" s="406"/>
      <c r="BO430" s="61"/>
      <c r="BP430" s="61"/>
      <c r="BQ430" s="45">
        <f>'Filter-old'!O501</f>
        <v>0</v>
      </c>
      <c r="BR430" s="61">
        <f>'Filter-new'!O502</f>
        <v>0</v>
      </c>
      <c r="BS430" s="61"/>
      <c r="BT430" s="61"/>
      <c r="BU430" s="45">
        <f>'Filter-old'!Q501</f>
        <v>18850</v>
      </c>
      <c r="BV430" s="61">
        <f>'Filter-new'!Q502</f>
        <v>18000</v>
      </c>
      <c r="BW430" s="61"/>
      <c r="BX430" s="61"/>
      <c r="BY430" s="61"/>
      <c r="BZ430" s="61"/>
      <c r="CA430" s="45">
        <f>'Filter-old'!R501</f>
        <v>-18850</v>
      </c>
      <c r="CB430" s="61">
        <f>'Filter-new'!R502</f>
        <v>-18000</v>
      </c>
      <c r="CC430" s="57"/>
      <c r="CD430" s="58"/>
      <c r="CE430" s="57"/>
      <c r="CF430" s="57"/>
      <c r="CG430" s="4"/>
    </row>
    <row r="431" spans="1:96" hidden="1" x14ac:dyDescent="0.2">
      <c r="A431">
        <v>0</v>
      </c>
      <c r="B431" s="59">
        <v>37226</v>
      </c>
      <c r="C431" s="59">
        <f t="shared" si="64"/>
        <v>37226</v>
      </c>
      <c r="D431" s="60">
        <f t="shared" si="61"/>
        <v>2001</v>
      </c>
      <c r="E431" s="60">
        <f>VLOOKUP($C431,calendar!$A$2:$D$121,4,FALSE)</f>
        <v>320</v>
      </c>
      <c r="F431" s="60"/>
      <c r="G431" s="36">
        <f t="shared" si="62"/>
        <v>88400</v>
      </c>
      <c r="H431" s="36">
        <f t="shared" si="63"/>
        <v>-176024</v>
      </c>
      <c r="I431" s="36"/>
      <c r="J431" s="41"/>
      <c r="K431" s="45">
        <f>'Filter-old'!E502</f>
        <v>108000</v>
      </c>
      <c r="L431" s="61">
        <f>'Filter-new'!E503</f>
        <v>-97624</v>
      </c>
      <c r="M431" s="61"/>
      <c r="N431" s="61"/>
      <c r="O431" s="429"/>
      <c r="P431" s="61"/>
      <c r="Q431" s="45">
        <f>'Filter-old'!H502</f>
        <v>-19600</v>
      </c>
      <c r="R431" s="61">
        <f>'Filter-new'!H503</f>
        <v>-58800</v>
      </c>
      <c r="S431" s="61"/>
      <c r="T431" s="61"/>
      <c r="U431" s="445"/>
      <c r="V431" s="61"/>
      <c r="W431" s="45">
        <f>'Filter-old'!J502</f>
        <v>0</v>
      </c>
      <c r="X431" s="61">
        <f>'Filter-new'!J503</f>
        <v>0</v>
      </c>
      <c r="Y431" s="61"/>
      <c r="Z431" s="61"/>
      <c r="AA431" s="45">
        <f>'Filter-old'!F502</f>
        <v>0</v>
      </c>
      <c r="AB431" s="61">
        <f>'Filter-new'!F502</f>
        <v>0</v>
      </c>
      <c r="AC431" s="61"/>
      <c r="AD431" s="61"/>
      <c r="AE431" s="45">
        <f>'Filter-old'!P502</f>
        <v>0</v>
      </c>
      <c r="AF431" s="61">
        <f>'Filter-new'!P502</f>
        <v>0</v>
      </c>
      <c r="AG431" s="61"/>
      <c r="AH431" s="61"/>
      <c r="AI431" s="45">
        <f>'Filter-old'!L502</f>
        <v>0</v>
      </c>
      <c r="AJ431" s="61">
        <f>'Filter-new'!L502</f>
        <v>0</v>
      </c>
      <c r="AK431" s="61"/>
      <c r="AL431" s="61"/>
      <c r="AM431" s="61"/>
      <c r="AN431" s="61"/>
      <c r="AO431" s="45">
        <f>'Filter-old'!G502</f>
        <v>0</v>
      </c>
      <c r="AP431" s="61">
        <f>'Filter-new'!G503</f>
        <v>0</v>
      </c>
      <c r="AQ431" s="61"/>
      <c r="AR431" s="61"/>
      <c r="AS431" s="45"/>
      <c r="AT431" s="61"/>
      <c r="AU431" s="61"/>
      <c r="AV431" s="61"/>
      <c r="AW431" s="45">
        <f>'Filter-old'!I502</f>
        <v>0</v>
      </c>
      <c r="AX431" s="61">
        <f>'Filter-new'!I503</f>
        <v>19600</v>
      </c>
      <c r="AY431" s="61"/>
      <c r="AZ431" s="61"/>
      <c r="BA431" s="61"/>
      <c r="BB431" s="61"/>
      <c r="BC431" s="45">
        <f>'Filter-old'!K502</f>
        <v>0</v>
      </c>
      <c r="BD431" s="61">
        <f>'Filter-new'!K503</f>
        <v>-39200</v>
      </c>
      <c r="BE431" s="61"/>
      <c r="BF431" s="61"/>
      <c r="BG431" s="45">
        <f>'Filter-old'!M502</f>
        <v>0</v>
      </c>
      <c r="BH431" s="61"/>
      <c r="BI431" s="61"/>
      <c r="BJ431" s="61">
        <f>'Filter-new'!M502</f>
        <v>0</v>
      </c>
      <c r="BK431" s="61"/>
      <c r="BL431" s="61"/>
      <c r="BM431" s="61"/>
      <c r="BN431" s="406"/>
      <c r="BO431" s="61"/>
      <c r="BP431" s="61"/>
      <c r="BQ431" s="45">
        <f>'Filter-old'!O502</f>
        <v>0</v>
      </c>
      <c r="BR431" s="61">
        <f>'Filter-new'!O503</f>
        <v>0</v>
      </c>
      <c r="BS431" s="61"/>
      <c r="BT431" s="61"/>
      <c r="BU431" s="45">
        <f>'Filter-old'!Q502</f>
        <v>19200</v>
      </c>
      <c r="BV431" s="61">
        <f>'Filter-new'!Q503</f>
        <v>0</v>
      </c>
      <c r="BW431" s="61"/>
      <c r="BX431" s="61"/>
      <c r="BY431" s="61"/>
      <c r="BZ431" s="61"/>
      <c r="CA431" s="45">
        <f>'Filter-old'!R502</f>
        <v>-19200</v>
      </c>
      <c r="CB431" s="61">
        <f>'Filter-new'!R503</f>
        <v>0</v>
      </c>
      <c r="CC431" s="57"/>
      <c r="CD431" s="58"/>
      <c r="CE431" s="57"/>
      <c r="CF431" s="57"/>
      <c r="CG431" s="4"/>
    </row>
    <row r="432" spans="1:96" hidden="1" x14ac:dyDescent="0.2">
      <c r="A432">
        <v>0</v>
      </c>
      <c r="B432" s="59">
        <v>37257</v>
      </c>
      <c r="C432" s="59">
        <f t="shared" si="64"/>
        <v>37257</v>
      </c>
      <c r="D432" s="60">
        <f t="shared" si="61"/>
        <v>2002</v>
      </c>
      <c r="E432" s="60">
        <f>VLOOKUP($C432,calendar!$A$2:$D$121,4,FALSE)</f>
        <v>352</v>
      </c>
      <c r="F432" s="60"/>
      <c r="G432" s="36">
        <f t="shared" si="62"/>
        <v>96800</v>
      </c>
      <c r="H432" s="36">
        <f t="shared" si="63"/>
        <v>-147400</v>
      </c>
      <c r="I432" s="36"/>
      <c r="J432" s="41"/>
      <c r="K432" s="45">
        <f>'Filter-old'!E503</f>
        <v>118400</v>
      </c>
      <c r="L432" s="61">
        <f>'Filter-new'!E504</f>
        <v>-87584</v>
      </c>
      <c r="M432" s="61"/>
      <c r="N432" s="61"/>
      <c r="O432" s="429"/>
      <c r="P432" s="61"/>
      <c r="Q432" s="45">
        <f>'Filter-old'!H503</f>
        <v>-21600</v>
      </c>
      <c r="R432" s="61">
        <f>'Filter-new'!H504</f>
        <v>-52800</v>
      </c>
      <c r="S432" s="61"/>
      <c r="T432" s="61"/>
      <c r="U432" s="445"/>
      <c r="V432" s="61"/>
      <c r="W432" s="45">
        <f>'Filter-old'!J503</f>
        <v>0</v>
      </c>
      <c r="X432" s="61">
        <f>'Filter-new'!J504</f>
        <v>0</v>
      </c>
      <c r="Y432" s="61"/>
      <c r="Z432" s="61"/>
      <c r="AA432" s="45">
        <f>'Filter-old'!F503</f>
        <v>0</v>
      </c>
      <c r="AB432" s="61">
        <f>'Filter-new'!F503</f>
        <v>0</v>
      </c>
      <c r="AC432" s="61"/>
      <c r="AD432" s="61"/>
      <c r="AE432" s="45">
        <f>'Filter-old'!P503</f>
        <v>0</v>
      </c>
      <c r="AF432" s="61">
        <f>'Filter-new'!P503</f>
        <v>0</v>
      </c>
      <c r="AG432" s="61"/>
      <c r="AH432" s="61"/>
      <c r="AI432" s="45">
        <f>'Filter-old'!L503</f>
        <v>0</v>
      </c>
      <c r="AJ432" s="61">
        <f>'Filter-new'!L503</f>
        <v>10584</v>
      </c>
      <c r="AK432" s="61"/>
      <c r="AL432" s="61"/>
      <c r="AM432" s="61"/>
      <c r="AN432" s="61"/>
      <c r="AO432" s="45">
        <f>'Filter-old'!G503</f>
        <v>0</v>
      </c>
      <c r="AP432" s="61">
        <f>'Filter-new'!G504</f>
        <v>0</v>
      </c>
      <c r="AQ432" s="61"/>
      <c r="AR432" s="61"/>
      <c r="AS432" s="45"/>
      <c r="AT432" s="61"/>
      <c r="AU432" s="61"/>
      <c r="AV432" s="61"/>
      <c r="AW432" s="45">
        <f>'Filter-old'!I503</f>
        <v>0</v>
      </c>
      <c r="AX432" s="61">
        <f>'Filter-new'!I504</f>
        <v>17600</v>
      </c>
      <c r="AY432" s="61"/>
      <c r="AZ432" s="61"/>
      <c r="BA432" s="61"/>
      <c r="BB432" s="61"/>
      <c r="BC432" s="45">
        <f>'Filter-old'!K503</f>
        <v>0</v>
      </c>
      <c r="BD432" s="61">
        <f>'Filter-new'!K504</f>
        <v>-35200</v>
      </c>
      <c r="BE432" s="61"/>
      <c r="BF432" s="61"/>
      <c r="BG432" s="45">
        <f>'Filter-old'!M503</f>
        <v>0</v>
      </c>
      <c r="BH432" s="61"/>
      <c r="BI432" s="61"/>
      <c r="BJ432" s="61">
        <f>'Filter-new'!M503</f>
        <v>0</v>
      </c>
      <c r="BK432" s="61"/>
      <c r="BL432" s="61"/>
      <c r="BM432" s="61"/>
      <c r="BN432" s="406"/>
      <c r="BO432" s="61"/>
      <c r="BP432" s="61"/>
      <c r="BQ432" s="45">
        <f>'Filter-old'!O503</f>
        <v>0</v>
      </c>
      <c r="BR432" s="61">
        <f>'Filter-new'!O504</f>
        <v>0</v>
      </c>
      <c r="BS432" s="61"/>
      <c r="BT432" s="61"/>
      <c r="BU432" s="45">
        <f>'Filter-old'!Q503</f>
        <v>21200</v>
      </c>
      <c r="BV432" s="61">
        <f>'Filter-new'!Q504</f>
        <v>0</v>
      </c>
      <c r="BW432" s="61"/>
      <c r="BX432" s="61"/>
      <c r="BY432" s="61"/>
      <c r="BZ432" s="61"/>
      <c r="CA432" s="45">
        <f>'Filter-old'!R503</f>
        <v>-21200</v>
      </c>
      <c r="CB432" s="61">
        <f>'Filter-new'!R504</f>
        <v>0</v>
      </c>
      <c r="CC432" s="57"/>
      <c r="CD432" s="58"/>
      <c r="CE432" s="57"/>
      <c r="CF432" s="57"/>
      <c r="CG432" s="4"/>
    </row>
    <row r="433" spans="1:85" hidden="1" x14ac:dyDescent="0.2">
      <c r="A433">
        <v>0</v>
      </c>
      <c r="B433" s="59">
        <v>37288</v>
      </c>
      <c r="C433" s="59">
        <f t="shared" si="64"/>
        <v>37288</v>
      </c>
      <c r="D433" s="60">
        <f t="shared" si="61"/>
        <v>2002</v>
      </c>
      <c r="E433" s="60">
        <f>VLOOKUP($C433,calendar!$A$2:$D$121,4,FALSE)</f>
        <v>320</v>
      </c>
      <c r="F433" s="60"/>
      <c r="G433" s="36">
        <f t="shared" si="62"/>
        <v>-148184</v>
      </c>
      <c r="H433" s="36">
        <f t="shared" si="63"/>
        <v>-153912</v>
      </c>
      <c r="I433" s="36"/>
      <c r="J433" s="41"/>
      <c r="K433" s="45">
        <f>'Filter-old'!E504</f>
        <v>-30184</v>
      </c>
      <c r="L433" s="61">
        <f>'Filter-new'!E505</f>
        <v>-81816</v>
      </c>
      <c r="M433" s="61"/>
      <c r="N433" s="61"/>
      <c r="O433" s="429"/>
      <c r="P433" s="61"/>
      <c r="Q433" s="45">
        <f>'Filter-old'!H504</f>
        <v>-78800</v>
      </c>
      <c r="R433" s="61">
        <f>'Filter-new'!H505</f>
        <v>-40800</v>
      </c>
      <c r="S433" s="61"/>
      <c r="T433" s="61"/>
      <c r="U433" s="445"/>
      <c r="V433" s="61"/>
      <c r="W433" s="45">
        <f>'Filter-old'!J504</f>
        <v>0</v>
      </c>
      <c r="X433" s="61">
        <f>'Filter-new'!J505</f>
        <v>0</v>
      </c>
      <c r="Y433" s="61"/>
      <c r="Z433" s="61"/>
      <c r="AA433" s="45">
        <f>'Filter-old'!F504</f>
        <v>0</v>
      </c>
      <c r="AB433" s="61">
        <f>'Filter-new'!F504</f>
        <v>0</v>
      </c>
      <c r="AC433" s="61"/>
      <c r="AD433" s="61"/>
      <c r="AE433" s="45">
        <f>'Filter-old'!P504</f>
        <v>0</v>
      </c>
      <c r="AF433" s="61">
        <f>'Filter-new'!P504</f>
        <v>0</v>
      </c>
      <c r="AG433" s="61"/>
      <c r="AH433" s="61"/>
      <c r="AI433" s="45">
        <f>'Filter-old'!L504</f>
        <v>0</v>
      </c>
      <c r="AJ433" s="61">
        <f>'Filter-new'!L504</f>
        <v>9504</v>
      </c>
      <c r="AK433" s="61"/>
      <c r="AL433" s="61"/>
      <c r="AM433" s="61"/>
      <c r="AN433" s="61"/>
      <c r="AO433" s="45">
        <f>'Filter-old'!G504</f>
        <v>0</v>
      </c>
      <c r="AP433" s="61">
        <f>'Filter-new'!G505</f>
        <v>0</v>
      </c>
      <c r="AQ433" s="61"/>
      <c r="AR433" s="61"/>
      <c r="AS433" s="45"/>
      <c r="AT433" s="61"/>
      <c r="AU433" s="61"/>
      <c r="AV433" s="61"/>
      <c r="AW433" s="45">
        <f>'Filter-old'!I504</f>
        <v>0</v>
      </c>
      <c r="AX433" s="61">
        <f>'Filter-new'!I505</f>
        <v>20400</v>
      </c>
      <c r="AY433" s="61"/>
      <c r="AZ433" s="61"/>
      <c r="BA433" s="61"/>
      <c r="BB433" s="61"/>
      <c r="BC433" s="45">
        <f>'Filter-old'!K504</f>
        <v>0</v>
      </c>
      <c r="BD433" s="61">
        <f>'Filter-new'!K505</f>
        <v>-40800</v>
      </c>
      <c r="BE433" s="61"/>
      <c r="BF433" s="61"/>
      <c r="BG433" s="45">
        <f>'Filter-old'!M504</f>
        <v>0</v>
      </c>
      <c r="BH433" s="61"/>
      <c r="BI433" s="61"/>
      <c r="BJ433" s="61">
        <f>'Filter-new'!M504</f>
        <v>0</v>
      </c>
      <c r="BK433" s="61"/>
      <c r="BL433" s="61"/>
      <c r="BM433" s="61"/>
      <c r="BN433" s="406"/>
      <c r="BO433" s="61"/>
      <c r="BP433" s="61"/>
      <c r="BQ433" s="45">
        <f>'Filter-old'!O504</f>
        <v>0</v>
      </c>
      <c r="BR433" s="61">
        <f>'Filter-new'!O505</f>
        <v>0</v>
      </c>
      <c r="BS433" s="61"/>
      <c r="BT433" s="61"/>
      <c r="BU433" s="45">
        <f>'Filter-old'!Q504</f>
        <v>0</v>
      </c>
      <c r="BV433" s="61">
        <f>'Filter-new'!Q505</f>
        <v>0</v>
      </c>
      <c r="BW433" s="61"/>
      <c r="BX433" s="61"/>
      <c r="BY433" s="61"/>
      <c r="BZ433" s="61"/>
      <c r="CA433" s="45">
        <f>'Filter-old'!R504</f>
        <v>-39200</v>
      </c>
      <c r="CB433" s="61">
        <f>'Filter-new'!R505</f>
        <v>-20400</v>
      </c>
      <c r="CC433" s="57"/>
      <c r="CD433" s="58"/>
      <c r="CE433" s="57"/>
      <c r="CF433" s="57"/>
      <c r="CG433" s="4"/>
    </row>
    <row r="434" spans="1:85" hidden="1" x14ac:dyDescent="0.2">
      <c r="A434">
        <v>0</v>
      </c>
      <c r="B434" s="59">
        <v>37316</v>
      </c>
      <c r="C434" s="59">
        <f t="shared" si="64"/>
        <v>37316</v>
      </c>
      <c r="D434" s="60">
        <f t="shared" si="61"/>
        <v>2002</v>
      </c>
      <c r="E434" s="60">
        <f>VLOOKUP($C434,calendar!$A$2:$D$121,4,FALSE)</f>
        <v>336</v>
      </c>
      <c r="F434" s="60"/>
      <c r="G434" s="36">
        <f t="shared" si="62"/>
        <v>-132704</v>
      </c>
      <c r="H434" s="36">
        <f t="shared" si="63"/>
        <v>-135023</v>
      </c>
      <c r="I434" s="36"/>
      <c r="J434" s="41"/>
      <c r="K434" s="45">
        <f>'Filter-old'!E505</f>
        <v>-27104</v>
      </c>
      <c r="L434" s="61">
        <f>'Filter-new'!E506</f>
        <v>-72639</v>
      </c>
      <c r="M434" s="61"/>
      <c r="N434" s="61"/>
      <c r="O434" s="429"/>
      <c r="P434" s="61"/>
      <c r="Q434" s="45">
        <f>'Filter-old'!H505</f>
        <v>-70400</v>
      </c>
      <c r="R434" s="61">
        <f>'Filter-new'!H506</f>
        <v>-36700</v>
      </c>
      <c r="S434" s="61"/>
      <c r="T434" s="61"/>
      <c r="U434" s="445"/>
      <c r="V434" s="61"/>
      <c r="W434" s="45">
        <f>'Filter-old'!J505</f>
        <v>0</v>
      </c>
      <c r="X434" s="61">
        <f>'Filter-new'!J506</f>
        <v>0</v>
      </c>
      <c r="Y434" s="61"/>
      <c r="Z434" s="61"/>
      <c r="AA434" s="45">
        <f>'Filter-old'!F505</f>
        <v>0</v>
      </c>
      <c r="AB434" s="61">
        <f>'Filter-new'!F505</f>
        <v>0</v>
      </c>
      <c r="AC434" s="61"/>
      <c r="AD434" s="61"/>
      <c r="AE434" s="45">
        <f>'Filter-old'!P505</f>
        <v>0</v>
      </c>
      <c r="AF434" s="61">
        <f>'Filter-new'!P505</f>
        <v>0</v>
      </c>
      <c r="AG434" s="61"/>
      <c r="AH434" s="61"/>
      <c r="AI434" s="45">
        <f>'Filter-old'!L505</f>
        <v>0</v>
      </c>
      <c r="AJ434" s="61">
        <f>'Filter-new'!L505</f>
        <v>11016</v>
      </c>
      <c r="AK434" s="61"/>
      <c r="AL434" s="61"/>
      <c r="AM434" s="61"/>
      <c r="AN434" s="61"/>
      <c r="AO434" s="45">
        <f>'Filter-old'!G505</f>
        <v>0</v>
      </c>
      <c r="AP434" s="61">
        <f>'Filter-new'!G506</f>
        <v>0</v>
      </c>
      <c r="AQ434" s="61"/>
      <c r="AR434" s="61"/>
      <c r="AS434" s="45"/>
      <c r="AT434" s="61"/>
      <c r="AU434" s="61"/>
      <c r="AV434" s="61"/>
      <c r="AW434" s="45">
        <f>'Filter-old'!I505</f>
        <v>0</v>
      </c>
      <c r="AX434" s="61">
        <f>'Filter-new'!I506</f>
        <v>18350</v>
      </c>
      <c r="AY434" s="61"/>
      <c r="AZ434" s="61"/>
      <c r="BA434" s="61"/>
      <c r="BB434" s="61"/>
      <c r="BC434" s="45">
        <f>'Filter-old'!K505</f>
        <v>0</v>
      </c>
      <c r="BD434" s="61">
        <f>'Filter-new'!K506</f>
        <v>-36700</v>
      </c>
      <c r="BE434" s="61"/>
      <c r="BF434" s="61"/>
      <c r="BG434" s="45">
        <f>'Filter-old'!M505</f>
        <v>0</v>
      </c>
      <c r="BH434" s="61"/>
      <c r="BI434" s="61"/>
      <c r="BJ434" s="61">
        <f>'Filter-new'!M505</f>
        <v>0</v>
      </c>
      <c r="BK434" s="61"/>
      <c r="BL434" s="61"/>
      <c r="BM434" s="61"/>
      <c r="BN434" s="406"/>
      <c r="BO434" s="61"/>
      <c r="BP434" s="61"/>
      <c r="BQ434" s="45">
        <f>'Filter-old'!O505</f>
        <v>0</v>
      </c>
      <c r="BR434" s="61">
        <f>'Filter-new'!O506</f>
        <v>0</v>
      </c>
      <c r="BS434" s="61"/>
      <c r="BT434" s="61"/>
      <c r="BU434" s="45">
        <f>'Filter-old'!Q505</f>
        <v>0</v>
      </c>
      <c r="BV434" s="61">
        <f>'Filter-new'!Q506</f>
        <v>0</v>
      </c>
      <c r="BW434" s="61"/>
      <c r="BX434" s="61"/>
      <c r="BY434" s="61"/>
      <c r="BZ434" s="61"/>
      <c r="CA434" s="45">
        <f>'Filter-old'!R505</f>
        <v>-35200</v>
      </c>
      <c r="CB434" s="61">
        <f>'Filter-new'!R506</f>
        <v>-18350</v>
      </c>
      <c r="CC434" s="57"/>
      <c r="CD434" s="58"/>
      <c r="CE434" s="57"/>
      <c r="CF434" s="57"/>
      <c r="CG434" s="4"/>
    </row>
    <row r="435" spans="1:85" hidden="1" x14ac:dyDescent="0.2">
      <c r="A435">
        <v>0</v>
      </c>
      <c r="B435" s="59">
        <v>37347</v>
      </c>
      <c r="C435" s="59">
        <f t="shared" si="64"/>
        <v>37347</v>
      </c>
      <c r="D435" s="60">
        <f t="shared" si="61"/>
        <v>2002</v>
      </c>
      <c r="E435" s="60">
        <f>VLOOKUP($C435,calendar!$A$2:$D$121,4,FALSE)</f>
        <v>352</v>
      </c>
      <c r="F435" s="60"/>
      <c r="G435" s="36">
        <f t="shared" si="62"/>
        <v>-153816</v>
      </c>
      <c r="H435" s="36">
        <f t="shared" si="63"/>
        <v>-107315</v>
      </c>
      <c r="I435" s="36"/>
      <c r="J435" s="41"/>
      <c r="K435" s="45">
        <f>'Filter-old'!E506</f>
        <v>-31416</v>
      </c>
      <c r="L435" s="61">
        <f>'Filter-new'!E507</f>
        <v>-58424</v>
      </c>
      <c r="M435" s="61"/>
      <c r="N435" s="61"/>
      <c r="O435" s="429"/>
      <c r="P435" s="61"/>
      <c r="Q435" s="45">
        <f>'Filter-old'!H506</f>
        <v>-81600</v>
      </c>
      <c r="R435" s="61">
        <f>'Filter-new'!H507</f>
        <v>-39200</v>
      </c>
      <c r="S435" s="61"/>
      <c r="T435" s="61"/>
      <c r="U435" s="445"/>
      <c r="V435" s="61"/>
      <c r="W435" s="45">
        <f>'Filter-old'!J506</f>
        <v>0</v>
      </c>
      <c r="X435" s="61">
        <f>'Filter-new'!J507</f>
        <v>0</v>
      </c>
      <c r="Y435" s="61"/>
      <c r="Z435" s="61"/>
      <c r="AA435" s="45">
        <f>'Filter-old'!F506</f>
        <v>0</v>
      </c>
      <c r="AB435" s="61">
        <f>'Filter-new'!F506</f>
        <v>0</v>
      </c>
      <c r="AC435" s="61"/>
      <c r="AD435" s="61"/>
      <c r="AE435" s="45">
        <f>'Filter-old'!P506</f>
        <v>0</v>
      </c>
      <c r="AF435" s="61">
        <f>'Filter-new'!P506</f>
        <v>0</v>
      </c>
      <c r="AG435" s="61"/>
      <c r="AH435" s="61"/>
      <c r="AI435" s="45">
        <f>'Filter-old'!L506</f>
        <v>0</v>
      </c>
      <c r="AJ435" s="61">
        <f>'Filter-new'!L506</f>
        <v>9909</v>
      </c>
      <c r="AK435" s="61"/>
      <c r="AL435" s="61"/>
      <c r="AM435" s="61"/>
      <c r="AN435" s="61"/>
      <c r="AO435" s="45">
        <f>'Filter-old'!G506</f>
        <v>0</v>
      </c>
      <c r="AP435" s="61">
        <f>'Filter-new'!G507</f>
        <v>0</v>
      </c>
      <c r="AQ435" s="61"/>
      <c r="AR435" s="61"/>
      <c r="AS435" s="45"/>
      <c r="AT435" s="61"/>
      <c r="AU435" s="61"/>
      <c r="AV435" s="61"/>
      <c r="AW435" s="45">
        <f>'Filter-old'!I506</f>
        <v>0</v>
      </c>
      <c r="AX435" s="61">
        <f>'Filter-new'!I507</f>
        <v>19600</v>
      </c>
      <c r="AY435" s="61"/>
      <c r="AZ435" s="61"/>
      <c r="BA435" s="61"/>
      <c r="BB435" s="61"/>
      <c r="BC435" s="45">
        <f>'Filter-old'!K506</f>
        <v>0</v>
      </c>
      <c r="BD435" s="61">
        <f>'Filter-new'!K507</f>
        <v>-39200</v>
      </c>
      <c r="BE435" s="61"/>
      <c r="BF435" s="61"/>
      <c r="BG435" s="45">
        <f>'Filter-old'!M506</f>
        <v>0</v>
      </c>
      <c r="BH435" s="61"/>
      <c r="BI435" s="61"/>
      <c r="BJ435" s="61">
        <f>'Filter-new'!M506</f>
        <v>0</v>
      </c>
      <c r="BK435" s="61"/>
      <c r="BL435" s="61"/>
      <c r="BM435" s="61"/>
      <c r="BN435" s="406"/>
      <c r="BO435" s="61"/>
      <c r="BP435" s="61"/>
      <c r="BQ435" s="45">
        <f>'Filter-old'!O506</f>
        <v>0</v>
      </c>
      <c r="BR435" s="61">
        <f>'Filter-new'!O507</f>
        <v>0</v>
      </c>
      <c r="BS435" s="61"/>
      <c r="BT435" s="61"/>
      <c r="BU435" s="45">
        <f>'Filter-old'!Q506</f>
        <v>0</v>
      </c>
      <c r="BV435" s="61">
        <f>'Filter-new'!Q507</f>
        <v>0</v>
      </c>
      <c r="BW435" s="61"/>
      <c r="BX435" s="61"/>
      <c r="BY435" s="61"/>
      <c r="BZ435" s="61"/>
      <c r="CA435" s="45">
        <f>'Filter-old'!R506</f>
        <v>-40800</v>
      </c>
      <c r="CB435" s="61">
        <f>'Filter-new'!R507</f>
        <v>0</v>
      </c>
      <c r="CC435" s="57"/>
      <c r="CD435" s="58"/>
      <c r="CE435" s="57"/>
      <c r="CF435" s="57"/>
      <c r="CG435" s="4"/>
    </row>
    <row r="436" spans="1:85" hidden="1" x14ac:dyDescent="0.2">
      <c r="A436">
        <v>0</v>
      </c>
      <c r="B436" s="59">
        <v>37377</v>
      </c>
      <c r="C436" s="59">
        <f t="shared" si="64"/>
        <v>37377</v>
      </c>
      <c r="D436" s="60">
        <f t="shared" si="61"/>
        <v>2002</v>
      </c>
      <c r="E436" s="60">
        <f>VLOOKUP($C436,calendar!$A$2:$D$121,4,FALSE)</f>
        <v>352</v>
      </c>
      <c r="F436" s="60"/>
      <c r="G436" s="36">
        <f t="shared" si="62"/>
        <v>-138359</v>
      </c>
      <c r="H436" s="36">
        <f t="shared" si="63"/>
        <v>-69816</v>
      </c>
      <c r="I436" s="36"/>
      <c r="J436" s="41"/>
      <c r="K436" s="45">
        <f>'Filter-old'!E507</f>
        <v>-28259</v>
      </c>
      <c r="L436" s="61">
        <f>'Filter-new'!E508</f>
        <v>-20400</v>
      </c>
      <c r="M436" s="61"/>
      <c r="N436" s="61"/>
      <c r="O436" s="429"/>
      <c r="P436" s="61"/>
      <c r="Q436" s="45">
        <f>'Filter-old'!H507</f>
        <v>-73400</v>
      </c>
      <c r="R436" s="61">
        <f>'Filter-new'!H508</f>
        <v>-40000</v>
      </c>
      <c r="S436" s="61"/>
      <c r="T436" s="61"/>
      <c r="U436" s="445"/>
      <c r="V436" s="61"/>
      <c r="W436" s="45">
        <f>'Filter-old'!J507</f>
        <v>0</v>
      </c>
      <c r="X436" s="61">
        <f>'Filter-new'!J508</f>
        <v>0</v>
      </c>
      <c r="Y436" s="61"/>
      <c r="Z436" s="61"/>
      <c r="AA436" s="45">
        <f>'Filter-old'!F507</f>
        <v>0</v>
      </c>
      <c r="AB436" s="61">
        <f>'Filter-new'!F507</f>
        <v>0</v>
      </c>
      <c r="AC436" s="61"/>
      <c r="AD436" s="61"/>
      <c r="AE436" s="45">
        <f>'Filter-old'!P507</f>
        <v>0</v>
      </c>
      <c r="AF436" s="61">
        <f>'Filter-new'!P507</f>
        <v>0</v>
      </c>
      <c r="AG436" s="61"/>
      <c r="AH436" s="61"/>
      <c r="AI436" s="45">
        <f>'Filter-old'!L507</f>
        <v>0</v>
      </c>
      <c r="AJ436" s="61">
        <f>'Filter-new'!L507</f>
        <v>10584</v>
      </c>
      <c r="AK436" s="61"/>
      <c r="AL436" s="61"/>
      <c r="AM436" s="61"/>
      <c r="AN436" s="61"/>
      <c r="AO436" s="45">
        <f>'Filter-old'!G507</f>
        <v>0</v>
      </c>
      <c r="AP436" s="61">
        <f>'Filter-new'!G508</f>
        <v>0</v>
      </c>
      <c r="AQ436" s="61"/>
      <c r="AR436" s="61"/>
      <c r="AS436" s="45"/>
      <c r="AT436" s="61"/>
      <c r="AU436" s="61"/>
      <c r="AV436" s="61"/>
      <c r="AW436" s="45">
        <f>'Filter-old'!I507</f>
        <v>0</v>
      </c>
      <c r="AX436" s="61">
        <f>'Filter-new'!I508</f>
        <v>20000</v>
      </c>
      <c r="AY436" s="61"/>
      <c r="AZ436" s="61"/>
      <c r="BA436" s="61"/>
      <c r="BB436" s="61"/>
      <c r="BC436" s="45">
        <f>'Filter-old'!K507</f>
        <v>0</v>
      </c>
      <c r="BD436" s="61">
        <f>'Filter-new'!K508</f>
        <v>-40000</v>
      </c>
      <c r="BE436" s="61"/>
      <c r="BF436" s="61"/>
      <c r="BG436" s="45">
        <f>'Filter-old'!M507</f>
        <v>0</v>
      </c>
      <c r="BH436" s="61"/>
      <c r="BI436" s="61"/>
      <c r="BJ436" s="61">
        <f>'Filter-new'!M507</f>
        <v>0</v>
      </c>
      <c r="BK436" s="61"/>
      <c r="BL436" s="61"/>
      <c r="BM436" s="61"/>
      <c r="BN436" s="406"/>
      <c r="BO436" s="61"/>
      <c r="BP436" s="61"/>
      <c r="BQ436" s="45">
        <f>'Filter-old'!O507</f>
        <v>0</v>
      </c>
      <c r="BR436" s="61">
        <f>'Filter-new'!O508</f>
        <v>0</v>
      </c>
      <c r="BS436" s="61"/>
      <c r="BT436" s="61"/>
      <c r="BU436" s="45">
        <f>'Filter-old'!Q507</f>
        <v>0</v>
      </c>
      <c r="BV436" s="61">
        <f>'Filter-new'!Q508</f>
        <v>0</v>
      </c>
      <c r="BW436" s="61"/>
      <c r="BX436" s="61"/>
      <c r="BY436" s="61"/>
      <c r="BZ436" s="61"/>
      <c r="CA436" s="45">
        <f>'Filter-old'!R507</f>
        <v>-36700</v>
      </c>
      <c r="CB436" s="61">
        <f>'Filter-new'!R508</f>
        <v>0</v>
      </c>
      <c r="CC436" s="57"/>
      <c r="CD436" s="58"/>
      <c r="CE436" s="57"/>
      <c r="CF436" s="57"/>
      <c r="CG436" s="4"/>
    </row>
    <row r="437" spans="1:85" hidden="1" x14ac:dyDescent="0.2">
      <c r="A437">
        <v>0</v>
      </c>
      <c r="B437" s="59">
        <v>37408</v>
      </c>
      <c r="C437" s="59">
        <f t="shared" si="64"/>
        <v>37408</v>
      </c>
      <c r="D437" s="60">
        <f t="shared" si="61"/>
        <v>2002</v>
      </c>
      <c r="E437" s="60">
        <f>VLOOKUP($C437,calendar!$A$2:$D$121,4,FALSE)</f>
        <v>320</v>
      </c>
      <c r="F437" s="60"/>
      <c r="G437" s="36">
        <f t="shared" si="62"/>
        <v>-148184</v>
      </c>
      <c r="H437" s="36">
        <f t="shared" si="63"/>
        <v>-28024</v>
      </c>
      <c r="I437" s="36"/>
      <c r="J437" s="41"/>
      <c r="K437" s="45">
        <f>'Filter-old'!E508</f>
        <v>-30184</v>
      </c>
      <c r="L437" s="61">
        <f>'Filter-new'!E509</f>
        <v>-19224</v>
      </c>
      <c r="M437" s="61"/>
      <c r="N437" s="61"/>
      <c r="O437" s="429"/>
      <c r="P437" s="61"/>
      <c r="Q437" s="45">
        <f>'Filter-old'!H508</f>
        <v>-78800</v>
      </c>
      <c r="R437" s="61">
        <f>'Filter-new'!H509</f>
        <v>19600</v>
      </c>
      <c r="S437" s="61"/>
      <c r="T437" s="61"/>
      <c r="U437" s="445"/>
      <c r="V437" s="61"/>
      <c r="W437" s="45">
        <f>'Filter-old'!J508</f>
        <v>0</v>
      </c>
      <c r="X437" s="61">
        <f>'Filter-new'!J509</f>
        <v>0</v>
      </c>
      <c r="Y437" s="61"/>
      <c r="Z437" s="61"/>
      <c r="AA437" s="45">
        <f>'Filter-old'!F508</f>
        <v>0</v>
      </c>
      <c r="AB437" s="61">
        <f>'Filter-new'!F508</f>
        <v>0</v>
      </c>
      <c r="AC437" s="61"/>
      <c r="AD437" s="61"/>
      <c r="AE437" s="45">
        <f>'Filter-old'!P508</f>
        <v>0</v>
      </c>
      <c r="AF437" s="61">
        <f>'Filter-new'!P508</f>
        <v>0</v>
      </c>
      <c r="AG437" s="61"/>
      <c r="AH437" s="61"/>
      <c r="AI437" s="45">
        <f>'Filter-old'!L508</f>
        <v>0</v>
      </c>
      <c r="AJ437" s="61">
        <f>'Filter-new'!L508</f>
        <v>10800</v>
      </c>
      <c r="AK437" s="61"/>
      <c r="AL437" s="61"/>
      <c r="AM437" s="61"/>
      <c r="AN437" s="61"/>
      <c r="AO437" s="45">
        <f>'Filter-old'!G508</f>
        <v>0</v>
      </c>
      <c r="AP437" s="61">
        <f>'Filter-new'!G509</f>
        <v>0</v>
      </c>
      <c r="AQ437" s="61"/>
      <c r="AR437" s="61"/>
      <c r="AS437" s="45"/>
      <c r="AT437" s="61"/>
      <c r="AU437" s="61"/>
      <c r="AV437" s="61"/>
      <c r="AW437" s="45">
        <f>'Filter-old'!I508</f>
        <v>0</v>
      </c>
      <c r="AX437" s="61">
        <f>'Filter-new'!I509</f>
        <v>19600</v>
      </c>
      <c r="AY437" s="61"/>
      <c r="AZ437" s="61"/>
      <c r="BA437" s="61"/>
      <c r="BB437" s="61"/>
      <c r="BC437" s="45">
        <f>'Filter-old'!K508</f>
        <v>0</v>
      </c>
      <c r="BD437" s="61">
        <f>'Filter-new'!K509</f>
        <v>-39200</v>
      </c>
      <c r="BE437" s="61"/>
      <c r="BF437" s="61"/>
      <c r="BG437" s="45">
        <f>'Filter-old'!M508</f>
        <v>0</v>
      </c>
      <c r="BH437" s="61"/>
      <c r="BI437" s="61"/>
      <c r="BJ437" s="61">
        <f>'Filter-new'!M508</f>
        <v>0</v>
      </c>
      <c r="BK437" s="61"/>
      <c r="BL437" s="61"/>
      <c r="BM437" s="61"/>
      <c r="BN437" s="406"/>
      <c r="BO437" s="61"/>
      <c r="BP437" s="61"/>
      <c r="BQ437" s="45">
        <f>'Filter-old'!O508</f>
        <v>0</v>
      </c>
      <c r="BR437" s="61">
        <f>'Filter-new'!O509</f>
        <v>0</v>
      </c>
      <c r="BS437" s="61"/>
      <c r="BT437" s="61"/>
      <c r="BU437" s="45">
        <f>'Filter-old'!Q508</f>
        <v>0</v>
      </c>
      <c r="BV437" s="61">
        <f>'Filter-new'!Q509</f>
        <v>0</v>
      </c>
      <c r="BW437" s="61"/>
      <c r="BX437" s="61"/>
      <c r="BY437" s="61"/>
      <c r="BZ437" s="61"/>
      <c r="CA437" s="45">
        <f>'Filter-old'!R508</f>
        <v>-39200</v>
      </c>
      <c r="CB437" s="61">
        <f>'Filter-new'!R509</f>
        <v>-19600</v>
      </c>
      <c r="CC437" s="57"/>
      <c r="CD437" s="58"/>
      <c r="CE437" s="57"/>
      <c r="CF437" s="57"/>
      <c r="CG437" s="4"/>
    </row>
    <row r="438" spans="1:85" hidden="1" x14ac:dyDescent="0.2">
      <c r="A438">
        <v>0</v>
      </c>
      <c r="B438" s="59">
        <v>37438</v>
      </c>
      <c r="C438" s="59">
        <f t="shared" si="64"/>
        <v>37438</v>
      </c>
      <c r="D438" s="60">
        <f t="shared" si="61"/>
        <v>2002</v>
      </c>
      <c r="E438" s="60">
        <f>VLOOKUP($C438,calendar!$A$2:$D$121,4,FALSE)</f>
        <v>352</v>
      </c>
      <c r="F438" s="60"/>
      <c r="G438" s="36">
        <f t="shared" si="62"/>
        <v>-150800</v>
      </c>
      <c r="H438" s="36">
        <f t="shared" si="63"/>
        <v>-28240</v>
      </c>
      <c r="I438" s="36"/>
      <c r="J438" s="41"/>
      <c r="K438" s="45">
        <f>'Filter-old'!E509</f>
        <v>-30800</v>
      </c>
      <c r="L438" s="61">
        <f>'Filter-new'!E510</f>
        <v>-19224</v>
      </c>
      <c r="M438" s="61"/>
      <c r="N438" s="61"/>
      <c r="O438" s="429"/>
      <c r="P438" s="61"/>
      <c r="Q438" s="45">
        <f>'Filter-old'!H509</f>
        <v>-80000</v>
      </c>
      <c r="R438" s="61">
        <f>'Filter-new'!H510</f>
        <v>19600</v>
      </c>
      <c r="S438" s="61"/>
      <c r="T438" s="61"/>
      <c r="U438" s="445"/>
      <c r="V438" s="61"/>
      <c r="W438" s="45">
        <f>'Filter-old'!J509</f>
        <v>0</v>
      </c>
      <c r="X438" s="61">
        <f>'Filter-new'!J510</f>
        <v>0</v>
      </c>
      <c r="Y438" s="61"/>
      <c r="Z438" s="61"/>
      <c r="AA438" s="45">
        <f>'Filter-old'!F509</f>
        <v>0</v>
      </c>
      <c r="AB438" s="61">
        <f>'Filter-new'!F509</f>
        <v>0</v>
      </c>
      <c r="AC438" s="61"/>
      <c r="AD438" s="61"/>
      <c r="AE438" s="45">
        <f>'Filter-old'!P509</f>
        <v>0</v>
      </c>
      <c r="AF438" s="61">
        <f>'Filter-new'!P509</f>
        <v>0</v>
      </c>
      <c r="AG438" s="61"/>
      <c r="AH438" s="61"/>
      <c r="AI438" s="45">
        <f>'Filter-old'!L509</f>
        <v>0</v>
      </c>
      <c r="AJ438" s="61">
        <f>'Filter-new'!L509</f>
        <v>10584</v>
      </c>
      <c r="AK438" s="61"/>
      <c r="AL438" s="61"/>
      <c r="AM438" s="61"/>
      <c r="AN438" s="61"/>
      <c r="AO438" s="45">
        <f>'Filter-old'!G509</f>
        <v>0</v>
      </c>
      <c r="AP438" s="61">
        <f>'Filter-new'!G510</f>
        <v>0</v>
      </c>
      <c r="AQ438" s="61"/>
      <c r="AR438" s="61"/>
      <c r="AS438" s="45"/>
      <c r="AT438" s="61"/>
      <c r="AU438" s="61"/>
      <c r="AV438" s="61"/>
      <c r="AW438" s="45">
        <f>'Filter-old'!I509</f>
        <v>0</v>
      </c>
      <c r="AX438" s="61">
        <f>'Filter-new'!I510</f>
        <v>19600</v>
      </c>
      <c r="AY438" s="61"/>
      <c r="AZ438" s="61"/>
      <c r="BA438" s="61"/>
      <c r="BB438" s="61"/>
      <c r="BC438" s="45">
        <f>'Filter-old'!K509</f>
        <v>0</v>
      </c>
      <c r="BD438" s="61">
        <f>'Filter-new'!K510</f>
        <v>-39200</v>
      </c>
      <c r="BE438" s="61"/>
      <c r="BF438" s="61"/>
      <c r="BG438" s="45">
        <f>'Filter-old'!M509</f>
        <v>0</v>
      </c>
      <c r="BH438" s="61"/>
      <c r="BI438" s="61"/>
      <c r="BJ438" s="61">
        <f>'Filter-new'!M509</f>
        <v>0</v>
      </c>
      <c r="BK438" s="61"/>
      <c r="BL438" s="61"/>
      <c r="BM438" s="61"/>
      <c r="BN438" s="406"/>
      <c r="BO438" s="61"/>
      <c r="BP438" s="61"/>
      <c r="BQ438" s="45">
        <f>'Filter-old'!O509</f>
        <v>0</v>
      </c>
      <c r="BR438" s="61">
        <f>'Filter-new'!O510</f>
        <v>0</v>
      </c>
      <c r="BS438" s="61"/>
      <c r="BT438" s="61"/>
      <c r="BU438" s="45">
        <f>'Filter-old'!Q509</f>
        <v>0</v>
      </c>
      <c r="BV438" s="61">
        <f>'Filter-new'!Q510</f>
        <v>0</v>
      </c>
      <c r="BW438" s="61"/>
      <c r="BX438" s="61"/>
      <c r="BY438" s="61"/>
      <c r="BZ438" s="61"/>
      <c r="CA438" s="45">
        <f>'Filter-old'!R509</f>
        <v>-40000</v>
      </c>
      <c r="CB438" s="61">
        <f>'Filter-new'!R510</f>
        <v>-19600</v>
      </c>
      <c r="CC438" s="57"/>
      <c r="CD438" s="58"/>
      <c r="CE438" s="57"/>
      <c r="CF438" s="57"/>
      <c r="CG438" s="4"/>
    </row>
    <row r="439" spans="1:85" hidden="1" x14ac:dyDescent="0.2">
      <c r="A439">
        <v>0</v>
      </c>
      <c r="B439" s="59">
        <v>37469</v>
      </c>
      <c r="C439" s="59">
        <f t="shared" si="64"/>
        <v>37469</v>
      </c>
      <c r="D439" s="60">
        <f t="shared" si="61"/>
        <v>2002</v>
      </c>
      <c r="E439" s="60">
        <f>VLOOKUP($C439,calendar!$A$2:$D$121,4,FALSE)</f>
        <v>352</v>
      </c>
      <c r="F439" s="60"/>
      <c r="G439" s="36">
        <f t="shared" si="62"/>
        <v>-148184</v>
      </c>
      <c r="H439" s="36">
        <f t="shared" si="63"/>
        <v>-109816</v>
      </c>
      <c r="I439" s="36"/>
      <c r="J439" s="41"/>
      <c r="K439" s="45">
        <f>'Filter-old'!E510</f>
        <v>-30184</v>
      </c>
      <c r="L439" s="61">
        <f>'Filter-new'!E511</f>
        <v>-60400</v>
      </c>
      <c r="M439" s="61"/>
      <c r="N439" s="61"/>
      <c r="O439" s="429"/>
      <c r="P439" s="61"/>
      <c r="Q439" s="45">
        <f>'Filter-old'!H510</f>
        <v>-78800</v>
      </c>
      <c r="R439" s="61">
        <f>'Filter-new'!H511</f>
        <v>-40000</v>
      </c>
      <c r="S439" s="61"/>
      <c r="T439" s="61"/>
      <c r="U439" s="445"/>
      <c r="V439" s="61"/>
      <c r="W439" s="45">
        <f>'Filter-old'!J510</f>
        <v>0</v>
      </c>
      <c r="X439" s="61">
        <f>'Filter-new'!J511</f>
        <v>0</v>
      </c>
      <c r="Y439" s="61"/>
      <c r="Z439" s="61"/>
      <c r="AA439" s="45">
        <f>'Filter-old'!F510</f>
        <v>0</v>
      </c>
      <c r="AB439" s="61">
        <f>'Filter-new'!F510</f>
        <v>0</v>
      </c>
      <c r="AC439" s="61"/>
      <c r="AD439" s="61"/>
      <c r="AE439" s="45">
        <f>'Filter-old'!P510</f>
        <v>0</v>
      </c>
      <c r="AF439" s="61">
        <f>'Filter-new'!P510</f>
        <v>0</v>
      </c>
      <c r="AG439" s="61"/>
      <c r="AH439" s="61"/>
      <c r="AI439" s="45">
        <f>'Filter-old'!L510</f>
        <v>0</v>
      </c>
      <c r="AJ439" s="61">
        <f>'Filter-new'!L510</f>
        <v>10584</v>
      </c>
      <c r="AK439" s="61"/>
      <c r="AL439" s="61"/>
      <c r="AM439" s="61"/>
      <c r="AN439" s="61"/>
      <c r="AO439" s="45">
        <f>'Filter-old'!G510</f>
        <v>0</v>
      </c>
      <c r="AP439" s="61">
        <f>'Filter-new'!G511</f>
        <v>0</v>
      </c>
      <c r="AQ439" s="61"/>
      <c r="AR439" s="61"/>
      <c r="AS439" s="45"/>
      <c r="AT439" s="61"/>
      <c r="AU439" s="61"/>
      <c r="AV439" s="61"/>
      <c r="AW439" s="45">
        <f>'Filter-old'!I510</f>
        <v>0</v>
      </c>
      <c r="AX439" s="61">
        <f>'Filter-new'!I511</f>
        <v>20000</v>
      </c>
      <c r="AY439" s="61"/>
      <c r="AZ439" s="61"/>
      <c r="BA439" s="61"/>
      <c r="BB439" s="61"/>
      <c r="BC439" s="45">
        <f>'Filter-old'!K510</f>
        <v>0</v>
      </c>
      <c r="BD439" s="61">
        <f>'Filter-new'!K511</f>
        <v>-40000</v>
      </c>
      <c r="BE439" s="61"/>
      <c r="BF439" s="61"/>
      <c r="BG439" s="45">
        <f>'Filter-old'!M510</f>
        <v>0</v>
      </c>
      <c r="BH439" s="61"/>
      <c r="BI439" s="61"/>
      <c r="BJ439" s="61">
        <f>'Filter-new'!M510</f>
        <v>0</v>
      </c>
      <c r="BK439" s="61"/>
      <c r="BL439" s="61"/>
      <c r="BM439" s="61"/>
      <c r="BN439" s="406"/>
      <c r="BO439" s="61"/>
      <c r="BP439" s="61"/>
      <c r="BQ439" s="45">
        <f>'Filter-old'!O510</f>
        <v>0</v>
      </c>
      <c r="BR439" s="61">
        <f>'Filter-new'!O511</f>
        <v>0</v>
      </c>
      <c r="BS439" s="61"/>
      <c r="BT439" s="61"/>
      <c r="BU439" s="45">
        <f>'Filter-old'!Q510</f>
        <v>0</v>
      </c>
      <c r="BV439" s="61">
        <f>'Filter-new'!Q511</f>
        <v>0</v>
      </c>
      <c r="BW439" s="61"/>
      <c r="BX439" s="61"/>
      <c r="BY439" s="61"/>
      <c r="BZ439" s="61"/>
      <c r="CA439" s="45">
        <f>'Filter-old'!R510</f>
        <v>-39200</v>
      </c>
      <c r="CB439" s="61">
        <f>'Filter-new'!R511</f>
        <v>0</v>
      </c>
      <c r="CC439" s="57"/>
      <c r="CD439" s="58"/>
      <c r="CE439" s="57"/>
      <c r="CF439" s="57"/>
      <c r="CG439" s="4"/>
    </row>
    <row r="440" spans="1:85" hidden="1" x14ac:dyDescent="0.2">
      <c r="A440">
        <v>0</v>
      </c>
      <c r="B440" s="59">
        <v>37500</v>
      </c>
      <c r="C440" s="59">
        <f t="shared" si="64"/>
        <v>37500</v>
      </c>
      <c r="D440" s="60">
        <f t="shared" si="61"/>
        <v>2002</v>
      </c>
      <c r="E440" s="60">
        <f>VLOOKUP($C440,calendar!$A$2:$D$121,4,FALSE)</f>
        <v>320</v>
      </c>
      <c r="F440" s="60"/>
      <c r="G440" s="36">
        <f t="shared" si="62"/>
        <v>-147784</v>
      </c>
      <c r="H440" s="36">
        <f t="shared" si="63"/>
        <v>-100159</v>
      </c>
      <c r="I440" s="36"/>
      <c r="J440" s="41"/>
      <c r="K440" s="45">
        <f>'Filter-old'!E511</f>
        <v>-30184</v>
      </c>
      <c r="L440" s="61">
        <f>'Filter-new'!E512</f>
        <v>-54409</v>
      </c>
      <c r="M440" s="61"/>
      <c r="N440" s="61"/>
      <c r="O440" s="429"/>
      <c r="P440" s="61"/>
      <c r="Q440" s="45">
        <f>'Filter-old'!H511</f>
        <v>-78400</v>
      </c>
      <c r="R440" s="61">
        <f>'Filter-new'!H512</f>
        <v>-37700</v>
      </c>
      <c r="S440" s="61"/>
      <c r="T440" s="61"/>
      <c r="U440" s="445"/>
      <c r="V440" s="61"/>
      <c r="W440" s="45">
        <f>'Filter-old'!J511</f>
        <v>0</v>
      </c>
      <c r="X440" s="61">
        <f>'Filter-new'!J512</f>
        <v>0</v>
      </c>
      <c r="Y440" s="61"/>
      <c r="Z440" s="61"/>
      <c r="AA440" s="45">
        <f>'Filter-old'!F511</f>
        <v>0</v>
      </c>
      <c r="AB440" s="61">
        <f>'Filter-new'!F511</f>
        <v>0</v>
      </c>
      <c r="AC440" s="61"/>
      <c r="AD440" s="61"/>
      <c r="AE440" s="45">
        <f>'Filter-old'!P511</f>
        <v>0</v>
      </c>
      <c r="AF440" s="61">
        <f>'Filter-new'!P511</f>
        <v>0</v>
      </c>
      <c r="AG440" s="61"/>
      <c r="AH440" s="61"/>
      <c r="AI440" s="45">
        <f>'Filter-old'!L511</f>
        <v>0</v>
      </c>
      <c r="AJ440" s="61">
        <f>'Filter-new'!L511</f>
        <v>10800</v>
      </c>
      <c r="AK440" s="61"/>
      <c r="AL440" s="61"/>
      <c r="AM440" s="61"/>
      <c r="AN440" s="61"/>
      <c r="AO440" s="45">
        <f>'Filter-old'!G511</f>
        <v>0</v>
      </c>
      <c r="AP440" s="61">
        <f>'Filter-new'!G512</f>
        <v>0</v>
      </c>
      <c r="AQ440" s="61"/>
      <c r="AR440" s="61"/>
      <c r="AS440" s="45"/>
      <c r="AT440" s="61"/>
      <c r="AU440" s="61"/>
      <c r="AV440" s="61"/>
      <c r="AW440" s="45">
        <f>'Filter-old'!I511</f>
        <v>0</v>
      </c>
      <c r="AX440" s="61">
        <f>'Filter-new'!I512</f>
        <v>18850</v>
      </c>
      <c r="AY440" s="61"/>
      <c r="AZ440" s="61"/>
      <c r="BA440" s="61"/>
      <c r="BB440" s="61"/>
      <c r="BC440" s="45">
        <f>'Filter-old'!K511</f>
        <v>0</v>
      </c>
      <c r="BD440" s="61">
        <f>'Filter-new'!K512</f>
        <v>-37700</v>
      </c>
      <c r="BE440" s="61"/>
      <c r="BF440" s="61"/>
      <c r="BG440" s="45">
        <f>'Filter-old'!M511</f>
        <v>0</v>
      </c>
      <c r="BH440" s="61"/>
      <c r="BI440" s="61"/>
      <c r="BJ440" s="61">
        <f>'Filter-new'!M511</f>
        <v>0</v>
      </c>
      <c r="BK440" s="61"/>
      <c r="BL440" s="61"/>
      <c r="BM440" s="61"/>
      <c r="BN440" s="406"/>
      <c r="BO440" s="61"/>
      <c r="BP440" s="61"/>
      <c r="BQ440" s="45">
        <f>'Filter-old'!O511</f>
        <v>0</v>
      </c>
      <c r="BR440" s="61">
        <f>'Filter-new'!O512</f>
        <v>0</v>
      </c>
      <c r="BS440" s="61"/>
      <c r="BT440" s="61"/>
      <c r="BU440" s="45">
        <f>'Filter-old'!Q511</f>
        <v>0</v>
      </c>
      <c r="BV440" s="61">
        <f>'Filter-new'!Q512</f>
        <v>0</v>
      </c>
      <c r="BW440" s="61"/>
      <c r="BX440" s="61"/>
      <c r="BY440" s="61"/>
      <c r="BZ440" s="61"/>
      <c r="CA440" s="45">
        <f>'Filter-old'!R511</f>
        <v>-39200</v>
      </c>
      <c r="CB440" s="61">
        <f>'Filter-new'!R512</f>
        <v>0</v>
      </c>
      <c r="CC440" s="57"/>
      <c r="CD440" s="58"/>
      <c r="CE440" s="57"/>
      <c r="CF440" s="57"/>
      <c r="CG440" s="4"/>
    </row>
    <row r="441" spans="1:85" hidden="1" x14ac:dyDescent="0.2">
      <c r="A441">
        <v>0</v>
      </c>
      <c r="B441" s="59">
        <v>37530</v>
      </c>
      <c r="C441" s="59">
        <f t="shared" si="64"/>
        <v>37530</v>
      </c>
      <c r="D441" s="60">
        <f t="shared" si="61"/>
        <v>2002</v>
      </c>
      <c r="E441" s="60">
        <f>VLOOKUP($C441,calendar!$A$2:$D$121,4,FALSE)</f>
        <v>368</v>
      </c>
      <c r="F441" s="60"/>
      <c r="G441" s="36">
        <f t="shared" si="62"/>
        <v>-151200</v>
      </c>
      <c r="H441" s="36">
        <f t="shared" si="63"/>
        <v>-109221</v>
      </c>
      <c r="I441" s="36"/>
      <c r="J441" s="41"/>
      <c r="K441" s="45">
        <f>'Filter-old'!E512</f>
        <v>-30800</v>
      </c>
      <c r="L441" s="61">
        <f>'Filter-new'!E513</f>
        <v>-59400</v>
      </c>
      <c r="M441" s="61"/>
      <c r="N441" s="61"/>
      <c r="O441" s="429"/>
      <c r="P441" s="61"/>
      <c r="Q441" s="45">
        <f>'Filter-old'!H512</f>
        <v>-80400</v>
      </c>
      <c r="R441" s="61">
        <f>'Filter-new'!H513</f>
        <v>-40000</v>
      </c>
      <c r="S441" s="61"/>
      <c r="T441" s="61"/>
      <c r="U441" s="445"/>
      <c r="V441" s="61"/>
      <c r="W441" s="45">
        <f>'Filter-old'!J512</f>
        <v>0</v>
      </c>
      <c r="X441" s="61">
        <f>'Filter-new'!J513</f>
        <v>0</v>
      </c>
      <c r="Y441" s="61"/>
      <c r="Z441" s="61"/>
      <c r="AA441" s="45">
        <f>'Filter-old'!F512</f>
        <v>0</v>
      </c>
      <c r="AB441" s="61">
        <f>'Filter-new'!F512</f>
        <v>0</v>
      </c>
      <c r="AC441" s="61"/>
      <c r="AD441" s="61"/>
      <c r="AE441" s="45">
        <f>'Filter-old'!P512</f>
        <v>0</v>
      </c>
      <c r="AF441" s="61">
        <f>'Filter-new'!P512</f>
        <v>0</v>
      </c>
      <c r="AG441" s="61"/>
      <c r="AH441" s="61"/>
      <c r="AI441" s="45">
        <f>'Filter-old'!L512</f>
        <v>0</v>
      </c>
      <c r="AJ441" s="61">
        <f>'Filter-new'!L512</f>
        <v>10179</v>
      </c>
      <c r="AK441" s="61"/>
      <c r="AL441" s="61"/>
      <c r="AM441" s="61"/>
      <c r="AN441" s="61"/>
      <c r="AO441" s="45">
        <f>'Filter-old'!G512</f>
        <v>0</v>
      </c>
      <c r="AP441" s="61">
        <f>'Filter-new'!G513</f>
        <v>0</v>
      </c>
      <c r="AQ441" s="61"/>
      <c r="AR441" s="61"/>
      <c r="AS441" s="45"/>
      <c r="AT441" s="61"/>
      <c r="AU441" s="61"/>
      <c r="AV441" s="61"/>
      <c r="AW441" s="45">
        <f>'Filter-old'!I512</f>
        <v>0</v>
      </c>
      <c r="AX441" s="61">
        <f>'Filter-new'!I513</f>
        <v>20000</v>
      </c>
      <c r="AY441" s="61"/>
      <c r="AZ441" s="61"/>
      <c r="BA441" s="61"/>
      <c r="BB441" s="61"/>
      <c r="BC441" s="45">
        <f>'Filter-old'!K512</f>
        <v>0</v>
      </c>
      <c r="BD441" s="61">
        <f>'Filter-new'!K513</f>
        <v>-40000</v>
      </c>
      <c r="BE441" s="61"/>
      <c r="BF441" s="61"/>
      <c r="BG441" s="45">
        <f>'Filter-old'!M512</f>
        <v>0</v>
      </c>
      <c r="BH441" s="61"/>
      <c r="BI441" s="61"/>
      <c r="BJ441" s="61">
        <f>'Filter-new'!M512</f>
        <v>0</v>
      </c>
      <c r="BK441" s="61"/>
      <c r="BL441" s="61"/>
      <c r="BM441" s="61"/>
      <c r="BN441" s="406"/>
      <c r="BO441" s="61"/>
      <c r="BP441" s="61"/>
      <c r="BQ441" s="45">
        <f>'Filter-old'!O512</f>
        <v>0</v>
      </c>
      <c r="BR441" s="61">
        <f>'Filter-new'!O513</f>
        <v>0</v>
      </c>
      <c r="BS441" s="61"/>
      <c r="BT441" s="61"/>
      <c r="BU441" s="45">
        <f>'Filter-old'!Q512</f>
        <v>0</v>
      </c>
      <c r="BV441" s="61">
        <f>'Filter-new'!Q513</f>
        <v>0</v>
      </c>
      <c r="BW441" s="61"/>
      <c r="BX441" s="61"/>
      <c r="BY441" s="61"/>
      <c r="BZ441" s="61"/>
      <c r="CA441" s="45">
        <f>'Filter-old'!R512</f>
        <v>-40000</v>
      </c>
      <c r="CB441" s="61">
        <f>'Filter-new'!R513</f>
        <v>0</v>
      </c>
      <c r="CC441" s="57"/>
      <c r="CD441" s="58"/>
      <c r="CE441" s="57"/>
      <c r="CF441" s="57"/>
      <c r="CG441" s="4"/>
    </row>
    <row r="442" spans="1:85" hidden="1" x14ac:dyDescent="0.2">
      <c r="A442">
        <v>0</v>
      </c>
      <c r="B442" s="59">
        <v>37561</v>
      </c>
      <c r="C442" s="59">
        <f t="shared" si="64"/>
        <v>37561</v>
      </c>
      <c r="D442" s="60">
        <f t="shared" si="61"/>
        <v>2002</v>
      </c>
      <c r="E442" s="60">
        <f>VLOOKUP($C442,calendar!$A$2:$D$121,4,FALSE)</f>
        <v>320</v>
      </c>
      <c r="F442" s="60"/>
      <c r="G442" s="36">
        <f t="shared" si="62"/>
        <v>-142129</v>
      </c>
      <c r="H442" s="36">
        <f t="shared" si="63"/>
        <v>-110766</v>
      </c>
      <c r="I442" s="36"/>
      <c r="J442" s="41"/>
      <c r="K442" s="45">
        <f>'Filter-old'!E513</f>
        <v>-29029</v>
      </c>
      <c r="L442" s="61">
        <f>'Filter-new'!E514</f>
        <v>-60366</v>
      </c>
      <c r="M442" s="61"/>
      <c r="N442" s="61"/>
      <c r="O442" s="429"/>
      <c r="P442" s="61"/>
      <c r="Q442" s="45">
        <f>'Filter-old'!H513</f>
        <v>-75400</v>
      </c>
      <c r="R442" s="61">
        <f>'Filter-new'!H514</f>
        <v>-40800</v>
      </c>
      <c r="S442" s="61"/>
      <c r="T442" s="61"/>
      <c r="U442" s="445"/>
      <c r="V442" s="61"/>
      <c r="W442" s="45">
        <f>'Filter-old'!J513</f>
        <v>0</v>
      </c>
      <c r="X442" s="61">
        <f>'Filter-new'!J514</f>
        <v>0</v>
      </c>
      <c r="Y442" s="61"/>
      <c r="Z442" s="61"/>
      <c r="AA442" s="45">
        <f>'Filter-old'!F513</f>
        <v>0</v>
      </c>
      <c r="AB442" s="61">
        <f>'Filter-new'!F513</f>
        <v>0</v>
      </c>
      <c r="AC442" s="61"/>
      <c r="AD442" s="61"/>
      <c r="AE442" s="45">
        <f>'Filter-old'!P513</f>
        <v>0</v>
      </c>
      <c r="AF442" s="61">
        <f>'Filter-new'!P513</f>
        <v>0</v>
      </c>
      <c r="AG442" s="61"/>
      <c r="AH442" s="61"/>
      <c r="AI442" s="45">
        <f>'Filter-old'!L513</f>
        <v>0</v>
      </c>
      <c r="AJ442" s="61">
        <f>'Filter-new'!L513</f>
        <v>10800</v>
      </c>
      <c r="AK442" s="61"/>
      <c r="AL442" s="61"/>
      <c r="AM442" s="61"/>
      <c r="AN442" s="61"/>
      <c r="AO442" s="45">
        <f>'Filter-old'!G513</f>
        <v>0</v>
      </c>
      <c r="AP442" s="61">
        <f>'Filter-new'!G514</f>
        <v>0</v>
      </c>
      <c r="AQ442" s="61"/>
      <c r="AR442" s="61"/>
      <c r="AS442" s="45"/>
      <c r="AT442" s="61"/>
      <c r="AU442" s="61"/>
      <c r="AV442" s="61"/>
      <c r="AW442" s="45">
        <f>'Filter-old'!I513</f>
        <v>0</v>
      </c>
      <c r="AX442" s="61">
        <f>'Filter-new'!I514</f>
        <v>20400</v>
      </c>
      <c r="AY442" s="61"/>
      <c r="AZ442" s="61"/>
      <c r="BA442" s="61"/>
      <c r="BB442" s="61"/>
      <c r="BC442" s="45">
        <f>'Filter-old'!K513</f>
        <v>0</v>
      </c>
      <c r="BD442" s="61">
        <f>'Filter-new'!K514</f>
        <v>-40800</v>
      </c>
      <c r="BE442" s="61"/>
      <c r="BF442" s="61"/>
      <c r="BG442" s="45">
        <f>'Filter-old'!M513</f>
        <v>0</v>
      </c>
      <c r="BH442" s="61"/>
      <c r="BI442" s="61"/>
      <c r="BJ442" s="61">
        <f>'Filter-new'!M513</f>
        <v>0</v>
      </c>
      <c r="BK442" s="61"/>
      <c r="BL442" s="61"/>
      <c r="BM442" s="61"/>
      <c r="BN442" s="406"/>
      <c r="BO442" s="61"/>
      <c r="BP442" s="61"/>
      <c r="BQ442" s="45">
        <f>'Filter-old'!O513</f>
        <v>0</v>
      </c>
      <c r="BR442" s="61">
        <f>'Filter-new'!O514</f>
        <v>0</v>
      </c>
      <c r="BS442" s="61"/>
      <c r="BT442" s="61"/>
      <c r="BU442" s="45">
        <f>'Filter-old'!Q513</f>
        <v>0</v>
      </c>
      <c r="BV442" s="61">
        <f>'Filter-new'!Q514</f>
        <v>0</v>
      </c>
      <c r="BW442" s="61"/>
      <c r="BX442" s="61"/>
      <c r="BY442" s="61"/>
      <c r="BZ442" s="61"/>
      <c r="CA442" s="45">
        <f>'Filter-old'!R513</f>
        <v>-37700</v>
      </c>
      <c r="CB442" s="61">
        <f>'Filter-new'!R514</f>
        <v>0</v>
      </c>
      <c r="CC442" s="57"/>
      <c r="CD442" s="58"/>
      <c r="CE442" s="57"/>
      <c r="CF442" s="57"/>
      <c r="CG442" s="4"/>
    </row>
    <row r="443" spans="1:85" hidden="1" x14ac:dyDescent="0.2">
      <c r="A443">
        <v>0</v>
      </c>
      <c r="B443" s="59">
        <v>37591</v>
      </c>
      <c r="C443" s="59">
        <f t="shared" si="64"/>
        <v>37591</v>
      </c>
      <c r="D443" s="60">
        <f t="shared" si="61"/>
        <v>2002</v>
      </c>
      <c r="E443" s="60">
        <f>VLOOKUP($C443,calendar!$A$2:$D$121,4,FALSE)</f>
        <v>336</v>
      </c>
      <c r="F443" s="60"/>
      <c r="G443" s="36">
        <f t="shared" si="62"/>
        <v>-151200</v>
      </c>
      <c r="H443" s="36">
        <f t="shared" si="63"/>
        <v>-135608</v>
      </c>
      <c r="I443" s="36"/>
      <c r="J443" s="41"/>
      <c r="K443" s="45">
        <f>'Filter-old'!E514</f>
        <v>-30800</v>
      </c>
      <c r="L443" s="61">
        <f>'Filter-new'!E515</f>
        <v>-97624</v>
      </c>
      <c r="M443" s="61"/>
      <c r="N443" s="61"/>
      <c r="O443" s="429"/>
      <c r="P443" s="61"/>
      <c r="Q443" s="45">
        <f>'Filter-old'!H514</f>
        <v>-80400</v>
      </c>
      <c r="R443" s="61">
        <f>'Filter-new'!H515</f>
        <v>-19600</v>
      </c>
      <c r="S443" s="61"/>
      <c r="T443" s="61"/>
      <c r="U443" s="445"/>
      <c r="V443" s="61"/>
      <c r="W443" s="45">
        <f>'Filter-old'!J514</f>
        <v>0</v>
      </c>
      <c r="X443" s="61">
        <f>'Filter-new'!J515</f>
        <v>0</v>
      </c>
      <c r="Y443" s="61"/>
      <c r="Z443" s="61"/>
      <c r="AA443" s="45">
        <f>'Filter-old'!F514</f>
        <v>0</v>
      </c>
      <c r="AB443" s="61">
        <f>'Filter-new'!F514</f>
        <v>0</v>
      </c>
      <c r="AC443" s="61"/>
      <c r="AD443" s="61"/>
      <c r="AE443" s="45">
        <f>'Filter-old'!P514</f>
        <v>0</v>
      </c>
      <c r="AF443" s="61">
        <f>'Filter-new'!P514</f>
        <v>0</v>
      </c>
      <c r="AG443" s="61"/>
      <c r="AH443" s="61"/>
      <c r="AI443" s="45">
        <f>'Filter-old'!L514</f>
        <v>0</v>
      </c>
      <c r="AJ443" s="61">
        <f>'Filter-new'!L514</f>
        <v>11016</v>
      </c>
      <c r="AK443" s="61"/>
      <c r="AL443" s="61"/>
      <c r="AM443" s="61"/>
      <c r="AN443" s="61"/>
      <c r="AO443" s="45">
        <f>'Filter-old'!G514</f>
        <v>0</v>
      </c>
      <c r="AP443" s="61">
        <f>'Filter-new'!G515</f>
        <v>0</v>
      </c>
      <c r="AQ443" s="61"/>
      <c r="AR443" s="61"/>
      <c r="AS443" s="45"/>
      <c r="AT443" s="61"/>
      <c r="AU443" s="61"/>
      <c r="AV443" s="61"/>
      <c r="AW443" s="45">
        <f>'Filter-old'!I514</f>
        <v>0</v>
      </c>
      <c r="AX443" s="61">
        <f>'Filter-new'!I515</f>
        <v>-39200</v>
      </c>
      <c r="AY443" s="61"/>
      <c r="AZ443" s="61"/>
      <c r="BA443" s="61"/>
      <c r="BB443" s="61"/>
      <c r="BC443" s="45">
        <f>'Filter-old'!K514</f>
        <v>0</v>
      </c>
      <c r="BD443" s="61">
        <f>'Filter-new'!K515</f>
        <v>0</v>
      </c>
      <c r="BE443" s="61"/>
      <c r="BF443" s="61"/>
      <c r="BG443" s="45">
        <f>'Filter-old'!M514</f>
        <v>0</v>
      </c>
      <c r="BH443" s="61"/>
      <c r="BI443" s="61"/>
      <c r="BJ443" s="61">
        <f>'Filter-new'!M514</f>
        <v>0</v>
      </c>
      <c r="BK443" s="61"/>
      <c r="BL443" s="61"/>
      <c r="BM443" s="61"/>
      <c r="BN443" s="406"/>
      <c r="BO443" s="61"/>
      <c r="BP443" s="61"/>
      <c r="BQ443" s="45">
        <f>'Filter-old'!O514</f>
        <v>0</v>
      </c>
      <c r="BR443" s="61">
        <f>'Filter-new'!O515</f>
        <v>0</v>
      </c>
      <c r="BS443" s="61"/>
      <c r="BT443" s="61"/>
      <c r="BU443" s="45">
        <f>'Filter-old'!Q514</f>
        <v>0</v>
      </c>
      <c r="BV443" s="61">
        <f>'Filter-new'!Q515</f>
        <v>-9800</v>
      </c>
      <c r="BW443" s="61"/>
      <c r="BX443" s="61"/>
      <c r="BY443" s="61"/>
      <c r="BZ443" s="61"/>
      <c r="CA443" s="45">
        <f>'Filter-old'!R514</f>
        <v>-40000</v>
      </c>
      <c r="CB443" s="61">
        <f>'Filter-new'!R515</f>
        <v>19600</v>
      </c>
      <c r="CC443" s="57"/>
      <c r="CD443" s="58"/>
      <c r="CE443" s="57"/>
      <c r="CF443" s="57"/>
      <c r="CG443" s="4"/>
    </row>
    <row r="444" spans="1:85" hidden="1" x14ac:dyDescent="0.2">
      <c r="A444">
        <v>0</v>
      </c>
      <c r="B444" s="59">
        <v>37622</v>
      </c>
      <c r="C444" s="59">
        <f t="shared" si="64"/>
        <v>37622</v>
      </c>
      <c r="D444" s="60">
        <f t="shared" si="61"/>
        <v>2003</v>
      </c>
      <c r="E444" s="60">
        <f>VLOOKUP($C444,calendar!$A$2:$D$121,4,FALSE)</f>
        <v>352</v>
      </c>
      <c r="F444" s="60"/>
      <c r="G444" s="36">
        <f t="shared" si="62"/>
        <v>-154216</v>
      </c>
      <c r="H444" s="36">
        <f t="shared" si="63"/>
        <v>-121000</v>
      </c>
      <c r="I444" s="36"/>
      <c r="J444" s="41"/>
      <c r="K444" s="45">
        <f>'Filter-old'!E515</f>
        <v>-31416</v>
      </c>
      <c r="L444" s="61">
        <f>'Filter-new'!E516</f>
        <v>-87584</v>
      </c>
      <c r="M444" s="61"/>
      <c r="N444" s="61"/>
      <c r="O444" s="429"/>
      <c r="P444" s="61"/>
      <c r="Q444" s="45">
        <f>'Filter-old'!H515</f>
        <v>-82000</v>
      </c>
      <c r="R444" s="61">
        <f>'Filter-new'!H516</f>
        <v>-17600</v>
      </c>
      <c r="S444" s="61"/>
      <c r="T444" s="61"/>
      <c r="U444" s="445"/>
      <c r="V444" s="61"/>
      <c r="W444" s="45">
        <f>'Filter-old'!J515</f>
        <v>0</v>
      </c>
      <c r="X444" s="61">
        <f>'Filter-new'!J516</f>
        <v>0</v>
      </c>
      <c r="Y444" s="61"/>
      <c r="Z444" s="61"/>
      <c r="AA444" s="45">
        <f>'Filter-old'!F515</f>
        <v>0</v>
      </c>
      <c r="AB444" s="61">
        <f>'Filter-new'!F515</f>
        <v>0</v>
      </c>
      <c r="AC444" s="61"/>
      <c r="AD444" s="61"/>
      <c r="AE444" s="45">
        <f>'Filter-old'!P515</f>
        <v>0</v>
      </c>
      <c r="AF444" s="61">
        <f>'Filter-new'!P515</f>
        <v>0</v>
      </c>
      <c r="AG444" s="61"/>
      <c r="AH444" s="61"/>
      <c r="AI444" s="45">
        <f>'Filter-old'!L515</f>
        <v>0</v>
      </c>
      <c r="AJ444" s="61">
        <f>'Filter-new'!L515</f>
        <v>10584</v>
      </c>
      <c r="AK444" s="61"/>
      <c r="AL444" s="61"/>
      <c r="AM444" s="61"/>
      <c r="AN444" s="61"/>
      <c r="AO444" s="45">
        <f>'Filter-old'!G515</f>
        <v>0</v>
      </c>
      <c r="AP444" s="61">
        <f>'Filter-new'!G516</f>
        <v>0</v>
      </c>
      <c r="AQ444" s="61"/>
      <c r="AR444" s="61"/>
      <c r="AS444" s="45"/>
      <c r="AT444" s="61"/>
      <c r="AU444" s="61"/>
      <c r="AV444" s="61"/>
      <c r="AW444" s="45">
        <f>'Filter-old'!I515</f>
        <v>0</v>
      </c>
      <c r="AX444" s="61">
        <f>'Filter-new'!I516</f>
        <v>-35200</v>
      </c>
      <c r="AY444" s="61"/>
      <c r="AZ444" s="61"/>
      <c r="BA444" s="61"/>
      <c r="BB444" s="61"/>
      <c r="BC444" s="45">
        <f>'Filter-old'!K515</f>
        <v>0</v>
      </c>
      <c r="BD444" s="61">
        <f>'Filter-new'!K516</f>
        <v>0</v>
      </c>
      <c r="BE444" s="61"/>
      <c r="BF444" s="61"/>
      <c r="BG444" s="45">
        <f>'Filter-old'!M515</f>
        <v>0</v>
      </c>
      <c r="BH444" s="61"/>
      <c r="BI444" s="61"/>
      <c r="BJ444" s="61">
        <f>'Filter-new'!M515</f>
        <v>0</v>
      </c>
      <c r="BK444" s="61"/>
      <c r="BL444" s="61"/>
      <c r="BM444" s="61"/>
      <c r="BN444" s="406"/>
      <c r="BO444" s="61"/>
      <c r="BP444" s="61"/>
      <c r="BQ444" s="45">
        <f>'Filter-old'!O515</f>
        <v>0</v>
      </c>
      <c r="BR444" s="61">
        <f>'Filter-new'!O516</f>
        <v>0</v>
      </c>
      <c r="BS444" s="61"/>
      <c r="BT444" s="61"/>
      <c r="BU444" s="45">
        <f>'Filter-old'!Q515</f>
        <v>0</v>
      </c>
      <c r="BV444" s="61">
        <f>'Filter-new'!Q516</f>
        <v>-8800</v>
      </c>
      <c r="BW444" s="61"/>
      <c r="BX444" s="61"/>
      <c r="BY444" s="61"/>
      <c r="BZ444" s="61"/>
      <c r="CA444" s="45">
        <f>'Filter-old'!R515</f>
        <v>-40800</v>
      </c>
      <c r="CB444" s="61">
        <f>'Filter-new'!R516</f>
        <v>17600</v>
      </c>
      <c r="CC444" s="57"/>
      <c r="CD444" s="58"/>
      <c r="CE444" s="57"/>
      <c r="CF444" s="57"/>
      <c r="CG444" s="4"/>
    </row>
    <row r="445" spans="1:85" hidden="1" x14ac:dyDescent="0.2">
      <c r="A445">
        <v>0</v>
      </c>
      <c r="B445" s="59">
        <v>37653</v>
      </c>
      <c r="C445" s="59">
        <f t="shared" si="64"/>
        <v>37653</v>
      </c>
      <c r="D445" s="60">
        <f t="shared" si="61"/>
        <v>2003</v>
      </c>
      <c r="E445" s="60">
        <f>VLOOKUP($C445,calendar!$A$2:$D$121,4,FALSE)</f>
        <v>320</v>
      </c>
      <c r="F445" s="60"/>
      <c r="G445" s="36">
        <f t="shared" si="62"/>
        <v>-118784</v>
      </c>
      <c r="H445" s="36">
        <f t="shared" si="63"/>
        <v>-143712</v>
      </c>
      <c r="I445" s="36"/>
      <c r="J445" s="41"/>
      <c r="K445" s="45">
        <f>'Filter-old'!E516</f>
        <v>-108584</v>
      </c>
      <c r="L445" s="61">
        <f>'Filter-new'!E517</f>
        <v>-102216</v>
      </c>
      <c r="M445" s="61"/>
      <c r="N445" s="61"/>
      <c r="O445" s="429"/>
      <c r="P445" s="61"/>
      <c r="Q445" s="45">
        <f>'Filter-old'!H516</f>
        <v>-20000</v>
      </c>
      <c r="R445" s="61">
        <f>'Filter-new'!H517</f>
        <v>-20400</v>
      </c>
      <c r="S445" s="61"/>
      <c r="T445" s="61"/>
      <c r="U445" s="445"/>
      <c r="V445" s="61"/>
      <c r="W445" s="45">
        <f>'Filter-old'!J516</f>
        <v>0</v>
      </c>
      <c r="X445" s="61">
        <f>'Filter-new'!J517</f>
        <v>0</v>
      </c>
      <c r="Y445" s="61"/>
      <c r="Z445" s="61"/>
      <c r="AA445" s="45">
        <f>'Filter-old'!F516</f>
        <v>0</v>
      </c>
      <c r="AB445" s="61">
        <f>'Filter-new'!F516</f>
        <v>0</v>
      </c>
      <c r="AC445" s="61"/>
      <c r="AD445" s="61"/>
      <c r="AE445" s="45">
        <f>'Filter-old'!P516</f>
        <v>0</v>
      </c>
      <c r="AF445" s="61">
        <f>'Filter-new'!P516</f>
        <v>0</v>
      </c>
      <c r="AG445" s="61"/>
      <c r="AH445" s="61"/>
      <c r="AI445" s="45">
        <f>'Filter-old'!L516</f>
        <v>0</v>
      </c>
      <c r="AJ445" s="61">
        <f>'Filter-new'!L516</f>
        <v>9504</v>
      </c>
      <c r="AK445" s="61"/>
      <c r="AL445" s="61"/>
      <c r="AM445" s="61"/>
      <c r="AN445" s="61"/>
      <c r="AO445" s="45">
        <f>'Filter-old'!G516</f>
        <v>0</v>
      </c>
      <c r="AP445" s="61">
        <f>'Filter-new'!G517</f>
        <v>0</v>
      </c>
      <c r="AQ445" s="61"/>
      <c r="AR445" s="61"/>
      <c r="AS445" s="45"/>
      <c r="AT445" s="61"/>
      <c r="AU445" s="61"/>
      <c r="AV445" s="61"/>
      <c r="AW445" s="45">
        <f>'Filter-old'!I516</f>
        <v>0</v>
      </c>
      <c r="AX445" s="61">
        <f>'Filter-new'!I517</f>
        <v>-40800</v>
      </c>
      <c r="AY445" s="61"/>
      <c r="AZ445" s="61"/>
      <c r="BA445" s="61"/>
      <c r="BB445" s="61"/>
      <c r="BC445" s="45">
        <f>'Filter-old'!K516</f>
        <v>0</v>
      </c>
      <c r="BD445" s="61">
        <f>'Filter-new'!K517</f>
        <v>0</v>
      </c>
      <c r="BE445" s="61"/>
      <c r="BF445" s="61"/>
      <c r="BG445" s="45">
        <f>'Filter-old'!M516</f>
        <v>0</v>
      </c>
      <c r="BH445" s="61"/>
      <c r="BI445" s="61"/>
      <c r="BJ445" s="61">
        <f>'Filter-new'!M516</f>
        <v>0</v>
      </c>
      <c r="BK445" s="61"/>
      <c r="BL445" s="61"/>
      <c r="BM445" s="61"/>
      <c r="BN445" s="406"/>
      <c r="BO445" s="61"/>
      <c r="BP445" s="61"/>
      <c r="BQ445" s="45">
        <f>'Filter-old'!O516</f>
        <v>0</v>
      </c>
      <c r="BR445" s="61">
        <f>'Filter-new'!O517</f>
        <v>0</v>
      </c>
      <c r="BS445" s="61"/>
      <c r="BT445" s="61"/>
      <c r="BU445" s="45">
        <f>'Filter-old'!Q516</f>
        <v>9800</v>
      </c>
      <c r="BV445" s="61">
        <f>'Filter-new'!Q517</f>
        <v>-10200</v>
      </c>
      <c r="BW445" s="61"/>
      <c r="BX445" s="61"/>
      <c r="BY445" s="61"/>
      <c r="BZ445" s="61"/>
      <c r="CA445" s="45">
        <f>'Filter-old'!R516</f>
        <v>0</v>
      </c>
      <c r="CB445" s="61">
        <f>'Filter-new'!R517</f>
        <v>20400</v>
      </c>
      <c r="CC445" s="57"/>
      <c r="CD445" s="58"/>
      <c r="CE445" s="57"/>
      <c r="CF445" s="57"/>
      <c r="CG445" s="4"/>
    </row>
    <row r="446" spans="1:85" hidden="1" x14ac:dyDescent="0.2">
      <c r="A446">
        <v>0</v>
      </c>
      <c r="B446" s="59">
        <v>37681</v>
      </c>
      <c r="C446" s="59">
        <f t="shared" si="64"/>
        <v>37681</v>
      </c>
      <c r="D446" s="60">
        <f t="shared" si="61"/>
        <v>2003</v>
      </c>
      <c r="E446" s="60">
        <f>VLOOKUP($C446,calendar!$A$2:$D$121,4,FALSE)</f>
        <v>336</v>
      </c>
      <c r="F446" s="60"/>
      <c r="G446" s="36">
        <f t="shared" si="62"/>
        <v>-106304</v>
      </c>
      <c r="H446" s="36">
        <f t="shared" si="63"/>
        <v>-125848</v>
      </c>
      <c r="I446" s="36"/>
      <c r="J446" s="41"/>
      <c r="K446" s="45">
        <f>'Filter-old'!E517</f>
        <v>-97504</v>
      </c>
      <c r="L446" s="61">
        <f>'Filter-new'!E518</f>
        <v>-90989</v>
      </c>
      <c r="M446" s="61"/>
      <c r="N446" s="61"/>
      <c r="O446" s="429"/>
      <c r="P446" s="61"/>
      <c r="Q446" s="45">
        <f>'Filter-old'!H517</f>
        <v>-17600</v>
      </c>
      <c r="R446" s="61">
        <f>'Filter-new'!H518</f>
        <v>-18350</v>
      </c>
      <c r="S446" s="61"/>
      <c r="T446" s="61"/>
      <c r="U446" s="445"/>
      <c r="V446" s="61"/>
      <c r="W446" s="45">
        <f>'Filter-old'!J517</f>
        <v>0</v>
      </c>
      <c r="X446" s="61">
        <f>'Filter-new'!J518</f>
        <v>0</v>
      </c>
      <c r="Y446" s="61"/>
      <c r="Z446" s="61"/>
      <c r="AA446" s="45">
        <f>'Filter-old'!F517</f>
        <v>0</v>
      </c>
      <c r="AB446" s="61">
        <f>'Filter-new'!F517</f>
        <v>0</v>
      </c>
      <c r="AC446" s="61"/>
      <c r="AD446" s="61"/>
      <c r="AE446" s="45">
        <f>'Filter-old'!P517</f>
        <v>0</v>
      </c>
      <c r="AF446" s="61">
        <f>'Filter-new'!P517</f>
        <v>0</v>
      </c>
      <c r="AG446" s="61"/>
      <c r="AH446" s="61"/>
      <c r="AI446" s="45">
        <f>'Filter-old'!L517</f>
        <v>0</v>
      </c>
      <c r="AJ446" s="61">
        <f>'Filter-new'!L517</f>
        <v>11016</v>
      </c>
      <c r="AK446" s="61"/>
      <c r="AL446" s="61"/>
      <c r="AM446" s="61"/>
      <c r="AN446" s="61"/>
      <c r="AO446" s="45">
        <f>'Filter-old'!G517</f>
        <v>0</v>
      </c>
      <c r="AP446" s="61">
        <f>'Filter-new'!G518</f>
        <v>0</v>
      </c>
      <c r="AQ446" s="61"/>
      <c r="AR446" s="61"/>
      <c r="AS446" s="45"/>
      <c r="AT446" s="61"/>
      <c r="AU446" s="61"/>
      <c r="AV446" s="61"/>
      <c r="AW446" s="45">
        <f>'Filter-old'!I517</f>
        <v>0</v>
      </c>
      <c r="AX446" s="61">
        <f>'Filter-new'!I518</f>
        <v>-36700</v>
      </c>
      <c r="AY446" s="61"/>
      <c r="AZ446" s="61"/>
      <c r="BA446" s="61"/>
      <c r="BB446" s="61"/>
      <c r="BC446" s="45">
        <f>'Filter-old'!K517</f>
        <v>0</v>
      </c>
      <c r="BD446" s="61">
        <f>'Filter-new'!K518</f>
        <v>0</v>
      </c>
      <c r="BE446" s="61"/>
      <c r="BF446" s="61"/>
      <c r="BG446" s="45">
        <f>'Filter-old'!M517</f>
        <v>0</v>
      </c>
      <c r="BH446" s="61"/>
      <c r="BI446" s="61"/>
      <c r="BJ446" s="61">
        <f>'Filter-new'!M517</f>
        <v>0</v>
      </c>
      <c r="BK446" s="61"/>
      <c r="BL446" s="61"/>
      <c r="BM446" s="61"/>
      <c r="BN446" s="406"/>
      <c r="BO446" s="61"/>
      <c r="BP446" s="61"/>
      <c r="BQ446" s="45">
        <f>'Filter-old'!O517</f>
        <v>0</v>
      </c>
      <c r="BR446" s="61">
        <f>'Filter-new'!O518</f>
        <v>0</v>
      </c>
      <c r="BS446" s="61"/>
      <c r="BT446" s="61"/>
      <c r="BU446" s="45">
        <f>'Filter-old'!Q517</f>
        <v>8800</v>
      </c>
      <c r="BV446" s="61">
        <f>'Filter-new'!Q518</f>
        <v>-9175</v>
      </c>
      <c r="BW446" s="61"/>
      <c r="BX446" s="61"/>
      <c r="BY446" s="61"/>
      <c r="BZ446" s="61"/>
      <c r="CA446" s="45">
        <f>'Filter-old'!R517</f>
        <v>0</v>
      </c>
      <c r="CB446" s="61">
        <f>'Filter-new'!R518</f>
        <v>18350</v>
      </c>
      <c r="CC446" s="57"/>
      <c r="CD446" s="58"/>
      <c r="CE446" s="57"/>
      <c r="CF446" s="57"/>
      <c r="CG446" s="4"/>
    </row>
    <row r="447" spans="1:85" hidden="1" x14ac:dyDescent="0.2">
      <c r="A447">
        <v>0</v>
      </c>
      <c r="B447" s="59">
        <v>37712</v>
      </c>
      <c r="C447" s="59">
        <f t="shared" si="64"/>
        <v>37712</v>
      </c>
      <c r="D447" s="60">
        <f t="shared" si="61"/>
        <v>2003</v>
      </c>
      <c r="E447" s="60">
        <f>VLOOKUP($C447,calendar!$A$2:$D$121,4,FALSE)</f>
        <v>352</v>
      </c>
      <c r="F447" s="60"/>
      <c r="G447" s="36">
        <f t="shared" si="62"/>
        <v>-123216</v>
      </c>
      <c r="H447" s="36">
        <f t="shared" si="63"/>
        <v>-147507</v>
      </c>
      <c r="I447" s="36"/>
      <c r="J447" s="41"/>
      <c r="K447" s="45">
        <f>'Filter-old'!E518</f>
        <v>-113016</v>
      </c>
      <c r="L447" s="61">
        <f>'Filter-new'!E519</f>
        <v>-106416</v>
      </c>
      <c r="M447" s="61"/>
      <c r="N447" s="61"/>
      <c r="O447" s="429"/>
      <c r="P447" s="61"/>
      <c r="Q447" s="45">
        <f>'Filter-old'!H518</f>
        <v>-20400</v>
      </c>
      <c r="R447" s="61">
        <f>'Filter-new'!H519</f>
        <v>-20400</v>
      </c>
      <c r="S447" s="61"/>
      <c r="T447" s="61"/>
      <c r="U447" s="445"/>
      <c r="V447" s="61"/>
      <c r="W447" s="45">
        <f>'Filter-old'!J518</f>
        <v>0</v>
      </c>
      <c r="X447" s="61">
        <f>'Filter-new'!J519</f>
        <v>0</v>
      </c>
      <c r="Y447" s="61"/>
      <c r="Z447" s="61"/>
      <c r="AA447" s="45">
        <f>'Filter-old'!F518</f>
        <v>0</v>
      </c>
      <c r="AB447" s="61">
        <f>'Filter-new'!F518</f>
        <v>0</v>
      </c>
      <c r="AC447" s="61"/>
      <c r="AD447" s="61"/>
      <c r="AE447" s="45">
        <f>'Filter-old'!P518</f>
        <v>0</v>
      </c>
      <c r="AF447" s="61">
        <f>'Filter-new'!P518</f>
        <v>0</v>
      </c>
      <c r="AG447" s="61"/>
      <c r="AH447" s="61"/>
      <c r="AI447" s="45">
        <f>'Filter-old'!L518</f>
        <v>0</v>
      </c>
      <c r="AJ447" s="61">
        <f>'Filter-new'!L518</f>
        <v>9909</v>
      </c>
      <c r="AK447" s="61"/>
      <c r="AL447" s="61"/>
      <c r="AM447" s="61"/>
      <c r="AN447" s="61"/>
      <c r="AO447" s="45">
        <f>'Filter-old'!G518</f>
        <v>0</v>
      </c>
      <c r="AP447" s="61">
        <f>'Filter-new'!G519</f>
        <v>0</v>
      </c>
      <c r="AQ447" s="61"/>
      <c r="AR447" s="61"/>
      <c r="AS447" s="45"/>
      <c r="AT447" s="61"/>
      <c r="AU447" s="61"/>
      <c r="AV447" s="61"/>
      <c r="AW447" s="45">
        <f>'Filter-old'!I518</f>
        <v>0</v>
      </c>
      <c r="AX447" s="61">
        <f>'Filter-new'!I519</f>
        <v>-40800</v>
      </c>
      <c r="AY447" s="61"/>
      <c r="AZ447" s="61"/>
      <c r="BA447" s="61"/>
      <c r="BB447" s="61"/>
      <c r="BC447" s="45">
        <f>'Filter-old'!K518</f>
        <v>0</v>
      </c>
      <c r="BD447" s="61">
        <f>'Filter-new'!K519</f>
        <v>0</v>
      </c>
      <c r="BE447" s="61"/>
      <c r="BF447" s="61"/>
      <c r="BG447" s="45">
        <f>'Filter-old'!M518</f>
        <v>0</v>
      </c>
      <c r="BH447" s="61"/>
      <c r="BI447" s="61"/>
      <c r="BJ447" s="61">
        <f>'Filter-new'!M518</f>
        <v>0</v>
      </c>
      <c r="BK447" s="61"/>
      <c r="BL447" s="61"/>
      <c r="BM447" s="61"/>
      <c r="BN447" s="406"/>
      <c r="BO447" s="61"/>
      <c r="BP447" s="61"/>
      <c r="BQ447" s="45">
        <f>'Filter-old'!O518</f>
        <v>0</v>
      </c>
      <c r="BR447" s="61">
        <f>'Filter-new'!O519</f>
        <v>0</v>
      </c>
      <c r="BS447" s="61"/>
      <c r="BT447" s="61"/>
      <c r="BU447" s="45">
        <f>'Filter-old'!Q518</f>
        <v>10200</v>
      </c>
      <c r="BV447" s="61">
        <f>'Filter-new'!Q519</f>
        <v>-10200</v>
      </c>
      <c r="BW447" s="61"/>
      <c r="BX447" s="61"/>
      <c r="BY447" s="61"/>
      <c r="BZ447" s="61"/>
      <c r="CA447" s="45">
        <f>'Filter-old'!R518</f>
        <v>0</v>
      </c>
      <c r="CB447" s="61">
        <f>'Filter-new'!R519</f>
        <v>20400</v>
      </c>
      <c r="CC447" s="57"/>
      <c r="CD447" s="58"/>
      <c r="CE447" s="57"/>
      <c r="CF447" s="57"/>
      <c r="CG447" s="4"/>
    </row>
    <row r="448" spans="1:85" hidden="1" x14ac:dyDescent="0.2">
      <c r="A448">
        <v>0</v>
      </c>
      <c r="B448" s="59">
        <v>37742</v>
      </c>
      <c r="C448" s="59">
        <f t="shared" si="64"/>
        <v>37742</v>
      </c>
      <c r="D448" s="60">
        <f t="shared" si="61"/>
        <v>2003</v>
      </c>
      <c r="E448" s="60">
        <f>VLOOKUP($C448,calendar!$A$2:$D$121,4,FALSE)</f>
        <v>336</v>
      </c>
      <c r="F448" s="60"/>
      <c r="G448" s="36">
        <f t="shared" si="62"/>
        <v>-110834</v>
      </c>
      <c r="H448" s="36">
        <f t="shared" si="63"/>
        <v>-132792</v>
      </c>
      <c r="I448" s="36"/>
      <c r="J448" s="41"/>
      <c r="K448" s="45">
        <f>'Filter-old'!E519</f>
        <v>-101659</v>
      </c>
      <c r="L448" s="61">
        <f>'Filter-new'!E520</f>
        <v>-95808</v>
      </c>
      <c r="M448" s="61"/>
      <c r="N448" s="61"/>
      <c r="O448" s="429"/>
      <c r="P448" s="61"/>
      <c r="Q448" s="45">
        <f>'Filter-old'!H519</f>
        <v>-18350</v>
      </c>
      <c r="R448" s="61">
        <f>'Filter-new'!H520</f>
        <v>-19200</v>
      </c>
      <c r="S448" s="61"/>
      <c r="T448" s="61"/>
      <c r="U448" s="445"/>
      <c r="V448" s="61"/>
      <c r="W448" s="45">
        <f>'Filter-old'!J519</f>
        <v>0</v>
      </c>
      <c r="X448" s="61">
        <f>'Filter-new'!J520</f>
        <v>0</v>
      </c>
      <c r="Y448" s="61"/>
      <c r="Z448" s="61"/>
      <c r="AA448" s="45">
        <f>'Filter-old'!F519</f>
        <v>0</v>
      </c>
      <c r="AB448" s="61">
        <f>'Filter-new'!F519</f>
        <v>0</v>
      </c>
      <c r="AC448" s="61"/>
      <c r="AD448" s="61"/>
      <c r="AE448" s="45">
        <f>'Filter-old'!P519</f>
        <v>0</v>
      </c>
      <c r="AF448" s="61">
        <f>'Filter-new'!P519</f>
        <v>0</v>
      </c>
      <c r="AG448" s="61"/>
      <c r="AH448" s="61"/>
      <c r="AI448" s="45">
        <f>'Filter-old'!L519</f>
        <v>0</v>
      </c>
      <c r="AJ448" s="61">
        <f>'Filter-new'!L519</f>
        <v>11016</v>
      </c>
      <c r="AK448" s="61"/>
      <c r="AL448" s="61"/>
      <c r="AM448" s="61"/>
      <c r="AN448" s="61"/>
      <c r="AO448" s="45">
        <f>'Filter-old'!G519</f>
        <v>0</v>
      </c>
      <c r="AP448" s="61">
        <f>'Filter-new'!G520</f>
        <v>0</v>
      </c>
      <c r="AQ448" s="61"/>
      <c r="AR448" s="61"/>
      <c r="AS448" s="45"/>
      <c r="AT448" s="61"/>
      <c r="AU448" s="61"/>
      <c r="AV448" s="61"/>
      <c r="AW448" s="45">
        <f>'Filter-old'!I519</f>
        <v>0</v>
      </c>
      <c r="AX448" s="61">
        <f>'Filter-new'!I520</f>
        <v>-38400</v>
      </c>
      <c r="AY448" s="61"/>
      <c r="AZ448" s="61"/>
      <c r="BA448" s="61"/>
      <c r="BB448" s="61"/>
      <c r="BC448" s="45">
        <f>'Filter-old'!K519</f>
        <v>0</v>
      </c>
      <c r="BD448" s="61">
        <f>'Filter-new'!K520</f>
        <v>0</v>
      </c>
      <c r="BE448" s="61"/>
      <c r="BF448" s="61"/>
      <c r="BG448" s="45">
        <f>'Filter-old'!M519</f>
        <v>0</v>
      </c>
      <c r="BH448" s="61"/>
      <c r="BI448" s="61"/>
      <c r="BJ448" s="61">
        <f>'Filter-new'!M519</f>
        <v>0</v>
      </c>
      <c r="BK448" s="61"/>
      <c r="BL448" s="61"/>
      <c r="BM448" s="61"/>
      <c r="BN448" s="406"/>
      <c r="BO448" s="61"/>
      <c r="BP448" s="61"/>
      <c r="BQ448" s="45">
        <f>'Filter-old'!O519</f>
        <v>0</v>
      </c>
      <c r="BR448" s="61">
        <f>'Filter-new'!O520</f>
        <v>0</v>
      </c>
      <c r="BS448" s="61"/>
      <c r="BT448" s="61"/>
      <c r="BU448" s="45">
        <f>'Filter-old'!Q519</f>
        <v>9175</v>
      </c>
      <c r="BV448" s="61">
        <f>'Filter-new'!Q520</f>
        <v>-9600</v>
      </c>
      <c r="BW448" s="61"/>
      <c r="BX448" s="61"/>
      <c r="BY448" s="61"/>
      <c r="BZ448" s="61"/>
      <c r="CA448" s="45">
        <f>'Filter-old'!R519</f>
        <v>0</v>
      </c>
      <c r="CB448" s="61">
        <f>'Filter-new'!R520</f>
        <v>19200</v>
      </c>
      <c r="CC448" s="57"/>
      <c r="CD448" s="58"/>
      <c r="CE448" s="57"/>
      <c r="CF448" s="57"/>
      <c r="CG448" s="4"/>
    </row>
    <row r="449" spans="1:85" hidden="1" x14ac:dyDescent="0.2">
      <c r="A449">
        <v>0</v>
      </c>
      <c r="B449" s="59">
        <v>37773</v>
      </c>
      <c r="C449" s="59">
        <f t="shared" si="64"/>
        <v>37773</v>
      </c>
      <c r="D449" s="60">
        <f t="shared" si="61"/>
        <v>2003</v>
      </c>
      <c r="E449" s="60">
        <f>VLOOKUP($C449,calendar!$A$2:$D$121,4,FALSE)</f>
        <v>336</v>
      </c>
      <c r="F449" s="60"/>
      <c r="G449" s="36">
        <f t="shared" si="62"/>
        <v>-123616</v>
      </c>
      <c r="H449" s="36">
        <f t="shared" si="63"/>
        <v>-136256</v>
      </c>
      <c r="I449" s="36"/>
      <c r="J449" s="41"/>
      <c r="K449" s="45">
        <f>'Filter-old'!E520</f>
        <v>-113016</v>
      </c>
      <c r="L449" s="61">
        <f>'Filter-new'!E521</f>
        <v>-97624</v>
      </c>
      <c r="M449" s="61"/>
      <c r="N449" s="61"/>
      <c r="O449" s="429"/>
      <c r="P449" s="61"/>
      <c r="Q449" s="45">
        <f>'Filter-old'!H520</f>
        <v>-20800</v>
      </c>
      <c r="R449" s="61">
        <f>'Filter-new'!H521</f>
        <v>-19600</v>
      </c>
      <c r="S449" s="61"/>
      <c r="T449" s="61"/>
      <c r="U449" s="445"/>
      <c r="V449" s="61"/>
      <c r="W449" s="45">
        <f>'Filter-old'!J520</f>
        <v>0</v>
      </c>
      <c r="X449" s="61">
        <f>'Filter-new'!J521</f>
        <v>0</v>
      </c>
      <c r="Y449" s="61"/>
      <c r="Z449" s="61"/>
      <c r="AA449" s="45">
        <f>'Filter-old'!F520</f>
        <v>0</v>
      </c>
      <c r="AB449" s="61">
        <f>'Filter-new'!F520</f>
        <v>0</v>
      </c>
      <c r="AC449" s="61"/>
      <c r="AD449" s="61"/>
      <c r="AE449" s="45">
        <f>'Filter-old'!P520</f>
        <v>0</v>
      </c>
      <c r="AF449" s="61">
        <f>'Filter-new'!P520</f>
        <v>0</v>
      </c>
      <c r="AG449" s="61"/>
      <c r="AH449" s="61"/>
      <c r="AI449" s="45">
        <f>'Filter-old'!L520</f>
        <v>0</v>
      </c>
      <c r="AJ449" s="61">
        <f>'Filter-new'!L520</f>
        <v>10368</v>
      </c>
      <c r="AK449" s="61"/>
      <c r="AL449" s="61"/>
      <c r="AM449" s="61"/>
      <c r="AN449" s="61"/>
      <c r="AO449" s="45">
        <f>'Filter-old'!G520</f>
        <v>0</v>
      </c>
      <c r="AP449" s="61">
        <f>'Filter-new'!G521</f>
        <v>0</v>
      </c>
      <c r="AQ449" s="61"/>
      <c r="AR449" s="61"/>
      <c r="AS449" s="45"/>
      <c r="AT449" s="61"/>
      <c r="AU449" s="61"/>
      <c r="AV449" s="61"/>
      <c r="AW449" s="45">
        <f>'Filter-old'!I520</f>
        <v>0</v>
      </c>
      <c r="AX449" s="61">
        <f>'Filter-new'!I521</f>
        <v>-39200</v>
      </c>
      <c r="AY449" s="61"/>
      <c r="AZ449" s="61"/>
      <c r="BA449" s="61"/>
      <c r="BB449" s="61"/>
      <c r="BC449" s="45">
        <f>'Filter-old'!K520</f>
        <v>0</v>
      </c>
      <c r="BD449" s="61">
        <f>'Filter-new'!K521</f>
        <v>0</v>
      </c>
      <c r="BE449" s="61"/>
      <c r="BF449" s="61"/>
      <c r="BG449" s="45">
        <f>'Filter-old'!M520</f>
        <v>0</v>
      </c>
      <c r="BH449" s="61"/>
      <c r="BI449" s="61"/>
      <c r="BJ449" s="61">
        <f>'Filter-new'!M520</f>
        <v>0</v>
      </c>
      <c r="BK449" s="61"/>
      <c r="BL449" s="61"/>
      <c r="BM449" s="61"/>
      <c r="BN449" s="406"/>
      <c r="BO449" s="61"/>
      <c r="BP449" s="61"/>
      <c r="BQ449" s="45">
        <f>'Filter-old'!O520</f>
        <v>0</v>
      </c>
      <c r="BR449" s="61">
        <f>'Filter-new'!O521</f>
        <v>0</v>
      </c>
      <c r="BS449" s="61"/>
      <c r="BT449" s="61"/>
      <c r="BU449" s="45">
        <f>'Filter-old'!Q520</f>
        <v>10200</v>
      </c>
      <c r="BV449" s="61">
        <f>'Filter-new'!Q521</f>
        <v>-9800</v>
      </c>
      <c r="BW449" s="61"/>
      <c r="BX449" s="61"/>
      <c r="BY449" s="61"/>
      <c r="BZ449" s="61"/>
      <c r="CA449" s="45">
        <f>'Filter-old'!R520</f>
        <v>0</v>
      </c>
      <c r="CB449" s="61">
        <f>'Filter-new'!R521</f>
        <v>19600</v>
      </c>
      <c r="CC449" s="57"/>
      <c r="CD449" s="58"/>
      <c r="CE449" s="57"/>
      <c r="CF449" s="57"/>
      <c r="CG449" s="4"/>
    </row>
    <row r="450" spans="1:85" hidden="1" x14ac:dyDescent="0.2">
      <c r="A450">
        <v>0</v>
      </c>
      <c r="B450" s="59">
        <v>37803</v>
      </c>
      <c r="C450" s="59">
        <f t="shared" si="64"/>
        <v>37803</v>
      </c>
      <c r="D450" s="60">
        <f t="shared" si="61"/>
        <v>2003</v>
      </c>
      <c r="E450" s="60">
        <f>VLOOKUP($C450,calendar!$A$2:$D$121,4,FALSE)</f>
        <v>352</v>
      </c>
      <c r="F450" s="60"/>
      <c r="G450" s="36">
        <f t="shared" si="62"/>
        <v>-115968</v>
      </c>
      <c r="H450" s="36">
        <f t="shared" si="63"/>
        <v>-142632</v>
      </c>
      <c r="I450" s="36"/>
      <c r="J450" s="41"/>
      <c r="K450" s="45">
        <f>'Filter-old'!E521</f>
        <v>-106368</v>
      </c>
      <c r="L450" s="61">
        <f>'Filter-new'!E522</f>
        <v>-102216</v>
      </c>
      <c r="M450" s="61"/>
      <c r="N450" s="61"/>
      <c r="O450" s="429"/>
      <c r="P450" s="61"/>
      <c r="Q450" s="45">
        <f>'Filter-old'!H521</f>
        <v>-19200</v>
      </c>
      <c r="R450" s="61">
        <f>'Filter-new'!H522</f>
        <v>-20400</v>
      </c>
      <c r="S450" s="61"/>
      <c r="T450" s="61"/>
      <c r="U450" s="445"/>
      <c r="V450" s="61"/>
      <c r="W450" s="45">
        <f>'Filter-old'!J521</f>
        <v>0</v>
      </c>
      <c r="X450" s="61">
        <f>'Filter-new'!J522</f>
        <v>0</v>
      </c>
      <c r="Y450" s="61"/>
      <c r="Z450" s="61"/>
      <c r="AA450" s="45">
        <f>'Filter-old'!F521</f>
        <v>0</v>
      </c>
      <c r="AB450" s="61">
        <f>'Filter-new'!F521</f>
        <v>0</v>
      </c>
      <c r="AC450" s="61"/>
      <c r="AD450" s="61"/>
      <c r="AE450" s="45">
        <f>'Filter-old'!P521</f>
        <v>0</v>
      </c>
      <c r="AF450" s="61">
        <f>'Filter-new'!P521</f>
        <v>0</v>
      </c>
      <c r="AG450" s="61"/>
      <c r="AH450" s="61"/>
      <c r="AI450" s="45">
        <f>'Filter-old'!L521</f>
        <v>0</v>
      </c>
      <c r="AJ450" s="61">
        <f>'Filter-new'!L521</f>
        <v>10584</v>
      </c>
      <c r="AK450" s="61"/>
      <c r="AL450" s="61"/>
      <c r="AM450" s="61"/>
      <c r="AN450" s="61"/>
      <c r="AO450" s="45">
        <f>'Filter-old'!G521</f>
        <v>0</v>
      </c>
      <c r="AP450" s="61">
        <f>'Filter-new'!G522</f>
        <v>0</v>
      </c>
      <c r="AQ450" s="61"/>
      <c r="AR450" s="61"/>
      <c r="AS450" s="45"/>
      <c r="AT450" s="61"/>
      <c r="AU450" s="61"/>
      <c r="AV450" s="61"/>
      <c r="AW450" s="45">
        <f>'Filter-old'!I521</f>
        <v>0</v>
      </c>
      <c r="AX450" s="61">
        <f>'Filter-new'!I522</f>
        <v>-40800</v>
      </c>
      <c r="AY450" s="61"/>
      <c r="AZ450" s="61"/>
      <c r="BA450" s="61"/>
      <c r="BB450" s="61"/>
      <c r="BC450" s="45">
        <f>'Filter-old'!K521</f>
        <v>0</v>
      </c>
      <c r="BD450" s="61">
        <f>'Filter-new'!K522</f>
        <v>0</v>
      </c>
      <c r="BE450" s="61"/>
      <c r="BF450" s="61"/>
      <c r="BG450" s="45">
        <f>'Filter-old'!M521</f>
        <v>0</v>
      </c>
      <c r="BH450" s="61"/>
      <c r="BI450" s="61"/>
      <c r="BJ450" s="61">
        <f>'Filter-new'!M521</f>
        <v>0</v>
      </c>
      <c r="BK450" s="61"/>
      <c r="BL450" s="61"/>
      <c r="BM450" s="61"/>
      <c r="BN450" s="406"/>
      <c r="BO450" s="61"/>
      <c r="BP450" s="61"/>
      <c r="BQ450" s="45">
        <f>'Filter-old'!O521</f>
        <v>0</v>
      </c>
      <c r="BR450" s="61">
        <f>'Filter-new'!O522</f>
        <v>0</v>
      </c>
      <c r="BS450" s="61"/>
      <c r="BT450" s="61"/>
      <c r="BU450" s="45">
        <f>'Filter-old'!Q521</f>
        <v>9600</v>
      </c>
      <c r="BV450" s="61">
        <f>'Filter-new'!Q522</f>
        <v>-10200</v>
      </c>
      <c r="BW450" s="61"/>
      <c r="BX450" s="61"/>
      <c r="BY450" s="61"/>
      <c r="BZ450" s="61"/>
      <c r="CA450" s="45">
        <f>'Filter-old'!R521</f>
        <v>0</v>
      </c>
      <c r="CB450" s="61">
        <f>'Filter-new'!R522</f>
        <v>20400</v>
      </c>
      <c r="CC450" s="57"/>
      <c r="CD450" s="58"/>
      <c r="CE450" s="57"/>
      <c r="CF450" s="57"/>
      <c r="CG450" s="4"/>
    </row>
    <row r="451" spans="1:85" hidden="1" x14ac:dyDescent="0.2">
      <c r="A451">
        <v>0</v>
      </c>
      <c r="B451" s="59">
        <v>37834</v>
      </c>
      <c r="C451" s="59">
        <f t="shared" si="64"/>
        <v>37834</v>
      </c>
      <c r="D451" s="60">
        <f t="shared" si="61"/>
        <v>2003</v>
      </c>
      <c r="E451" s="60">
        <f>VLOOKUP($C451,calendar!$A$2:$D$121,4,FALSE)</f>
        <v>336</v>
      </c>
      <c r="F451" s="60"/>
      <c r="G451" s="36">
        <f t="shared" si="62"/>
        <v>-118784</v>
      </c>
      <c r="H451" s="36">
        <f t="shared" si="63"/>
        <v>-132792</v>
      </c>
      <c r="I451" s="36"/>
      <c r="J451" s="41"/>
      <c r="K451" s="45">
        <f>'Filter-old'!E522</f>
        <v>-108584</v>
      </c>
      <c r="L451" s="61">
        <f>'Filter-new'!E523</f>
        <v>-95808</v>
      </c>
      <c r="M451" s="61"/>
      <c r="N451" s="61"/>
      <c r="O451" s="429"/>
      <c r="P451" s="61"/>
      <c r="Q451" s="45">
        <f>'Filter-old'!H522</f>
        <v>-20000</v>
      </c>
      <c r="R451" s="61">
        <f>'Filter-new'!H523</f>
        <v>-19200</v>
      </c>
      <c r="S451" s="61"/>
      <c r="T451" s="61"/>
      <c r="U451" s="445"/>
      <c r="V451" s="61"/>
      <c r="W451" s="45">
        <f>'Filter-old'!J522</f>
        <v>0</v>
      </c>
      <c r="X451" s="61">
        <f>'Filter-new'!J523</f>
        <v>0</v>
      </c>
      <c r="Y451" s="61"/>
      <c r="Z451" s="61"/>
      <c r="AA451" s="45">
        <f>'Filter-old'!F522</f>
        <v>0</v>
      </c>
      <c r="AB451" s="61">
        <f>'Filter-new'!F522</f>
        <v>0</v>
      </c>
      <c r="AC451" s="61"/>
      <c r="AD451" s="61"/>
      <c r="AE451" s="45">
        <f>'Filter-old'!P522</f>
        <v>0</v>
      </c>
      <c r="AF451" s="61">
        <f>'Filter-new'!P522</f>
        <v>0</v>
      </c>
      <c r="AG451" s="61"/>
      <c r="AH451" s="61"/>
      <c r="AI451" s="45">
        <f>'Filter-old'!L522</f>
        <v>0</v>
      </c>
      <c r="AJ451" s="61">
        <f>'Filter-new'!L522</f>
        <v>11016</v>
      </c>
      <c r="AK451" s="61"/>
      <c r="AL451" s="61"/>
      <c r="AM451" s="61"/>
      <c r="AN451" s="61"/>
      <c r="AO451" s="45">
        <f>'Filter-old'!G522</f>
        <v>0</v>
      </c>
      <c r="AP451" s="61">
        <f>'Filter-new'!G523</f>
        <v>0</v>
      </c>
      <c r="AQ451" s="61"/>
      <c r="AR451" s="61"/>
      <c r="AS451" s="45"/>
      <c r="AT451" s="61"/>
      <c r="AU451" s="61"/>
      <c r="AV451" s="61"/>
      <c r="AW451" s="45">
        <f>'Filter-old'!I522</f>
        <v>0</v>
      </c>
      <c r="AX451" s="61">
        <f>'Filter-new'!I523</f>
        <v>-38400</v>
      </c>
      <c r="AY451" s="61"/>
      <c r="AZ451" s="61"/>
      <c r="BA451" s="61"/>
      <c r="BB451" s="61"/>
      <c r="BC451" s="45">
        <f>'Filter-old'!K522</f>
        <v>0</v>
      </c>
      <c r="BD451" s="61">
        <f>'Filter-new'!K523</f>
        <v>0</v>
      </c>
      <c r="BE451" s="61"/>
      <c r="BF451" s="61"/>
      <c r="BG451" s="45">
        <f>'Filter-old'!M522</f>
        <v>0</v>
      </c>
      <c r="BH451" s="61"/>
      <c r="BI451" s="61"/>
      <c r="BJ451" s="61">
        <f>'Filter-new'!M522</f>
        <v>0</v>
      </c>
      <c r="BK451" s="61"/>
      <c r="BL451" s="61"/>
      <c r="BM451" s="61"/>
      <c r="BN451" s="406"/>
      <c r="BO451" s="61"/>
      <c r="BP451" s="61"/>
      <c r="BQ451" s="45">
        <f>'Filter-old'!O522</f>
        <v>0</v>
      </c>
      <c r="BR451" s="61">
        <f>'Filter-new'!O523</f>
        <v>0</v>
      </c>
      <c r="BS451" s="61"/>
      <c r="BT451" s="61"/>
      <c r="BU451" s="45">
        <f>'Filter-old'!Q522</f>
        <v>9800</v>
      </c>
      <c r="BV451" s="61">
        <f>'Filter-new'!Q523</f>
        <v>-9600</v>
      </c>
      <c r="BW451" s="61"/>
      <c r="BX451" s="61"/>
      <c r="BY451" s="61"/>
      <c r="BZ451" s="61"/>
      <c r="CA451" s="45">
        <f>'Filter-old'!R522</f>
        <v>0</v>
      </c>
      <c r="CB451" s="61">
        <f>'Filter-new'!R523</f>
        <v>19200</v>
      </c>
      <c r="CC451" s="57"/>
      <c r="CD451" s="58"/>
      <c r="CE451" s="57"/>
      <c r="CF451" s="57"/>
      <c r="CG451" s="4"/>
    </row>
    <row r="452" spans="1:85" hidden="1" x14ac:dyDescent="0.2">
      <c r="A452">
        <v>0</v>
      </c>
      <c r="B452" s="59">
        <v>37865</v>
      </c>
      <c r="C452" s="59">
        <f t="shared" si="64"/>
        <v>37865</v>
      </c>
      <c r="D452" s="60">
        <f t="shared" si="61"/>
        <v>2003</v>
      </c>
      <c r="E452" s="60">
        <f>VLOOKUP($C452,calendar!$A$2:$D$121,4,FALSE)</f>
        <v>336</v>
      </c>
      <c r="F452" s="60"/>
      <c r="G452" s="36">
        <f t="shared" ref="G452:G483" si="65">SUM(K452,AA452,AO452,Q452,AW452,W452,BC452,AI452,BG452,BQ452,AE452,BU452,CA452)</f>
        <v>-123216</v>
      </c>
      <c r="H452" s="36">
        <f t="shared" ref="H452:H483" si="66">SUM(L452,AB452,AP452,R452,AX452,X452,BD452,AJ452,BJ452,BR452,AF452,BV452,CB452)</f>
        <v>-130016</v>
      </c>
      <c r="I452" s="36"/>
      <c r="J452" s="41"/>
      <c r="K452" s="45">
        <f>'Filter-old'!E523</f>
        <v>-113016</v>
      </c>
      <c r="L452" s="61">
        <f>'Filter-new'!E524</f>
        <v>-93259</v>
      </c>
      <c r="M452" s="61"/>
      <c r="N452" s="61"/>
      <c r="O452" s="429"/>
      <c r="P452" s="61"/>
      <c r="Q452" s="45">
        <f>'Filter-old'!H523</f>
        <v>-20400</v>
      </c>
      <c r="R452" s="61">
        <f>'Filter-new'!H524</f>
        <v>-18850</v>
      </c>
      <c r="S452" s="61"/>
      <c r="T452" s="61"/>
      <c r="U452" s="445"/>
      <c r="V452" s="61"/>
      <c r="W452" s="45">
        <f>'Filter-old'!J523</f>
        <v>0</v>
      </c>
      <c r="X452" s="61">
        <f>'Filter-new'!J524</f>
        <v>0</v>
      </c>
      <c r="Y452" s="61"/>
      <c r="Z452" s="61"/>
      <c r="AA452" s="45">
        <f>'Filter-old'!F523</f>
        <v>0</v>
      </c>
      <c r="AB452" s="61">
        <f>'Filter-new'!F523</f>
        <v>0</v>
      </c>
      <c r="AC452" s="61"/>
      <c r="AD452" s="61"/>
      <c r="AE452" s="45">
        <f>'Filter-old'!P523</f>
        <v>0</v>
      </c>
      <c r="AF452" s="61">
        <f>'Filter-new'!P523</f>
        <v>0</v>
      </c>
      <c r="AG452" s="61"/>
      <c r="AH452" s="61"/>
      <c r="AI452" s="45">
        <f>'Filter-old'!L523</f>
        <v>0</v>
      </c>
      <c r="AJ452" s="61">
        <f>'Filter-new'!L523</f>
        <v>10368</v>
      </c>
      <c r="AK452" s="61"/>
      <c r="AL452" s="61"/>
      <c r="AM452" s="61"/>
      <c r="AN452" s="61"/>
      <c r="AO452" s="45">
        <f>'Filter-old'!G523</f>
        <v>0</v>
      </c>
      <c r="AP452" s="61">
        <f>'Filter-new'!G524</f>
        <v>0</v>
      </c>
      <c r="AQ452" s="61"/>
      <c r="AR452" s="61"/>
      <c r="AS452" s="45"/>
      <c r="AT452" s="61"/>
      <c r="AU452" s="61"/>
      <c r="AV452" s="61"/>
      <c r="AW452" s="45">
        <f>'Filter-old'!I523</f>
        <v>0</v>
      </c>
      <c r="AX452" s="61">
        <f>'Filter-new'!I524</f>
        <v>-37700</v>
      </c>
      <c r="AY452" s="61"/>
      <c r="AZ452" s="61"/>
      <c r="BA452" s="61"/>
      <c r="BB452" s="61"/>
      <c r="BC452" s="45">
        <f>'Filter-old'!K523</f>
        <v>0</v>
      </c>
      <c r="BD452" s="61">
        <f>'Filter-new'!K524</f>
        <v>0</v>
      </c>
      <c r="BE452" s="61"/>
      <c r="BF452" s="61"/>
      <c r="BG452" s="45">
        <f>'Filter-old'!M523</f>
        <v>0</v>
      </c>
      <c r="BH452" s="61"/>
      <c r="BI452" s="61"/>
      <c r="BJ452" s="61">
        <f>'Filter-new'!M523</f>
        <v>0</v>
      </c>
      <c r="BK452" s="61"/>
      <c r="BL452" s="61"/>
      <c r="BM452" s="61"/>
      <c r="BN452" s="406"/>
      <c r="BO452" s="61"/>
      <c r="BP452" s="61"/>
      <c r="BQ452" s="45">
        <f>'Filter-old'!O523</f>
        <v>0</v>
      </c>
      <c r="BR452" s="61">
        <f>'Filter-new'!O524</f>
        <v>0</v>
      </c>
      <c r="BS452" s="61"/>
      <c r="BT452" s="61"/>
      <c r="BU452" s="45">
        <f>'Filter-old'!Q523</f>
        <v>10200</v>
      </c>
      <c r="BV452" s="61">
        <f>'Filter-new'!Q524</f>
        <v>-9425</v>
      </c>
      <c r="BW452" s="61"/>
      <c r="BX452" s="61"/>
      <c r="BY452" s="61"/>
      <c r="BZ452" s="61"/>
      <c r="CA452" s="45">
        <f>'Filter-old'!R523</f>
        <v>0</v>
      </c>
      <c r="CB452" s="61">
        <f>'Filter-new'!R524</f>
        <v>18850</v>
      </c>
      <c r="CC452" s="57"/>
      <c r="CD452" s="58"/>
      <c r="CE452" s="57"/>
      <c r="CF452" s="57"/>
      <c r="CG452" s="4"/>
    </row>
    <row r="453" spans="1:85" hidden="1" x14ac:dyDescent="0.2">
      <c r="A453">
        <v>0</v>
      </c>
      <c r="B453" s="59">
        <v>37895</v>
      </c>
      <c r="C453" s="59">
        <f t="shared" si="64"/>
        <v>37895</v>
      </c>
      <c r="D453" s="60">
        <f t="shared" si="61"/>
        <v>2003</v>
      </c>
      <c r="E453" s="60">
        <f>VLOOKUP($C453,calendar!$A$2:$D$121,4,FALSE)</f>
        <v>368</v>
      </c>
      <c r="F453" s="60"/>
      <c r="G453" s="36">
        <f t="shared" si="65"/>
        <v>-116368</v>
      </c>
      <c r="H453" s="36">
        <f t="shared" si="66"/>
        <v>-146813</v>
      </c>
      <c r="I453" s="36"/>
      <c r="J453" s="41"/>
      <c r="K453" s="45">
        <f>'Filter-old'!E524</f>
        <v>-106368</v>
      </c>
      <c r="L453" s="61">
        <f>'Filter-new'!E525</f>
        <v>-104992</v>
      </c>
      <c r="M453" s="61"/>
      <c r="N453" s="61"/>
      <c r="O453" s="429"/>
      <c r="P453" s="61"/>
      <c r="Q453" s="45">
        <f>'Filter-old'!H524</f>
        <v>-19600</v>
      </c>
      <c r="R453" s="61">
        <f>'Filter-new'!H525</f>
        <v>-20800</v>
      </c>
      <c r="S453" s="61"/>
      <c r="T453" s="61"/>
      <c r="U453" s="445"/>
      <c r="V453" s="61"/>
      <c r="W453" s="45">
        <f>'Filter-old'!J524</f>
        <v>0</v>
      </c>
      <c r="X453" s="61">
        <f>'Filter-new'!J525</f>
        <v>0</v>
      </c>
      <c r="Y453" s="61"/>
      <c r="Z453" s="61"/>
      <c r="AA453" s="45">
        <f>'Filter-old'!F524</f>
        <v>0</v>
      </c>
      <c r="AB453" s="61">
        <f>'Filter-new'!F524</f>
        <v>0</v>
      </c>
      <c r="AC453" s="61"/>
      <c r="AD453" s="61"/>
      <c r="AE453" s="45">
        <f>'Filter-old'!P524</f>
        <v>0</v>
      </c>
      <c r="AF453" s="61">
        <f>'Filter-new'!P524</f>
        <v>0</v>
      </c>
      <c r="AG453" s="61"/>
      <c r="AH453" s="61"/>
      <c r="AI453" s="45">
        <f>'Filter-old'!L524</f>
        <v>0</v>
      </c>
      <c r="AJ453" s="61">
        <f>'Filter-new'!L524</f>
        <v>10179</v>
      </c>
      <c r="AK453" s="61"/>
      <c r="AL453" s="61"/>
      <c r="AM453" s="61"/>
      <c r="AN453" s="61"/>
      <c r="AO453" s="45">
        <f>'Filter-old'!G524</f>
        <v>0</v>
      </c>
      <c r="AP453" s="61">
        <f>'Filter-new'!G525</f>
        <v>0</v>
      </c>
      <c r="AQ453" s="61"/>
      <c r="AR453" s="61"/>
      <c r="AS453" s="45"/>
      <c r="AT453" s="61"/>
      <c r="AU453" s="61"/>
      <c r="AV453" s="61"/>
      <c r="AW453" s="45">
        <f>'Filter-old'!I524</f>
        <v>0</v>
      </c>
      <c r="AX453" s="61">
        <f>'Filter-new'!I525</f>
        <v>-41600</v>
      </c>
      <c r="AY453" s="61"/>
      <c r="AZ453" s="61"/>
      <c r="BA453" s="61"/>
      <c r="BB453" s="61"/>
      <c r="BC453" s="45">
        <f>'Filter-old'!K524</f>
        <v>0</v>
      </c>
      <c r="BD453" s="61">
        <f>'Filter-new'!K525</f>
        <v>0</v>
      </c>
      <c r="BE453" s="61"/>
      <c r="BF453" s="61"/>
      <c r="BG453" s="45">
        <f>'Filter-old'!M524</f>
        <v>0</v>
      </c>
      <c r="BH453" s="61"/>
      <c r="BI453" s="61"/>
      <c r="BJ453" s="61">
        <f>'Filter-new'!M524</f>
        <v>0</v>
      </c>
      <c r="BK453" s="61"/>
      <c r="BL453" s="61"/>
      <c r="BM453" s="61"/>
      <c r="BN453" s="406"/>
      <c r="BO453" s="61"/>
      <c r="BP453" s="61"/>
      <c r="BQ453" s="45">
        <f>'Filter-old'!O524</f>
        <v>0</v>
      </c>
      <c r="BR453" s="61">
        <f>'Filter-new'!O525</f>
        <v>0</v>
      </c>
      <c r="BS453" s="61"/>
      <c r="BT453" s="61"/>
      <c r="BU453" s="45">
        <f>'Filter-old'!Q524</f>
        <v>9600</v>
      </c>
      <c r="BV453" s="61">
        <f>'Filter-new'!Q525</f>
        <v>-10400</v>
      </c>
      <c r="BW453" s="61"/>
      <c r="BX453" s="61"/>
      <c r="BY453" s="61"/>
      <c r="BZ453" s="61"/>
      <c r="CA453" s="45">
        <f>'Filter-old'!R524</f>
        <v>0</v>
      </c>
      <c r="CB453" s="61">
        <f>'Filter-new'!R525</f>
        <v>20800</v>
      </c>
      <c r="CC453" s="57"/>
      <c r="CD453" s="58"/>
      <c r="CE453" s="57"/>
      <c r="CF453" s="57"/>
      <c r="CG453" s="4"/>
    </row>
    <row r="454" spans="1:85" hidden="1" x14ac:dyDescent="0.2">
      <c r="A454">
        <v>0</v>
      </c>
      <c r="B454" s="59">
        <v>37926</v>
      </c>
      <c r="C454" s="59">
        <f t="shared" si="64"/>
        <v>37926</v>
      </c>
      <c r="D454" s="60">
        <f t="shared" si="61"/>
        <v>2003</v>
      </c>
      <c r="E454" s="60">
        <f>VLOOKUP($C454,calendar!$A$2:$D$121,4,FALSE)</f>
        <v>304</v>
      </c>
      <c r="F454" s="60"/>
      <c r="G454" s="36">
        <f t="shared" si="65"/>
        <v>-113854</v>
      </c>
      <c r="H454" s="36">
        <f t="shared" si="66"/>
        <v>-135392</v>
      </c>
      <c r="I454" s="36"/>
      <c r="J454" s="41"/>
      <c r="K454" s="45">
        <f>'Filter-old'!E525</f>
        <v>-104429</v>
      </c>
      <c r="L454" s="61">
        <f>'Filter-new'!E526</f>
        <v>-97624</v>
      </c>
      <c r="M454" s="61"/>
      <c r="N454" s="61"/>
      <c r="O454" s="429"/>
      <c r="P454" s="61"/>
      <c r="Q454" s="45">
        <f>'Filter-old'!H525</f>
        <v>-18850</v>
      </c>
      <c r="R454" s="61">
        <f>'Filter-new'!H526</f>
        <v>-19600</v>
      </c>
      <c r="S454" s="61"/>
      <c r="T454" s="61"/>
      <c r="U454" s="445"/>
      <c r="V454" s="61"/>
      <c r="W454" s="45">
        <f>'Filter-old'!J525</f>
        <v>0</v>
      </c>
      <c r="X454" s="61">
        <f>'Filter-new'!J526</f>
        <v>0</v>
      </c>
      <c r="Y454" s="61"/>
      <c r="Z454" s="61"/>
      <c r="AA454" s="45">
        <f>'Filter-old'!F525</f>
        <v>0</v>
      </c>
      <c r="AB454" s="61">
        <f>'Filter-new'!F525</f>
        <v>0</v>
      </c>
      <c r="AC454" s="61"/>
      <c r="AD454" s="61"/>
      <c r="AE454" s="45">
        <f>'Filter-old'!P525</f>
        <v>0</v>
      </c>
      <c r="AF454" s="61">
        <f>'Filter-new'!P525</f>
        <v>0</v>
      </c>
      <c r="AG454" s="61"/>
      <c r="AH454" s="61"/>
      <c r="AI454" s="45">
        <f>'Filter-old'!L525</f>
        <v>0</v>
      </c>
      <c r="AJ454" s="61">
        <f>'Filter-new'!L525</f>
        <v>11232</v>
      </c>
      <c r="AK454" s="61"/>
      <c r="AL454" s="61"/>
      <c r="AM454" s="61"/>
      <c r="AN454" s="61"/>
      <c r="AO454" s="45">
        <f>'Filter-old'!G525</f>
        <v>0</v>
      </c>
      <c r="AP454" s="61">
        <f>'Filter-new'!G526</f>
        <v>0</v>
      </c>
      <c r="AQ454" s="61"/>
      <c r="AR454" s="61"/>
      <c r="AS454" s="45"/>
      <c r="AT454" s="61"/>
      <c r="AU454" s="61"/>
      <c r="AV454" s="61"/>
      <c r="AW454" s="45">
        <f>'Filter-old'!I525</f>
        <v>0</v>
      </c>
      <c r="AX454" s="61">
        <f>'Filter-new'!I526</f>
        <v>-39200</v>
      </c>
      <c r="AY454" s="61"/>
      <c r="AZ454" s="61"/>
      <c r="BA454" s="61"/>
      <c r="BB454" s="61"/>
      <c r="BC454" s="45">
        <f>'Filter-old'!K525</f>
        <v>0</v>
      </c>
      <c r="BD454" s="61">
        <f>'Filter-new'!K526</f>
        <v>0</v>
      </c>
      <c r="BE454" s="61"/>
      <c r="BF454" s="61"/>
      <c r="BG454" s="45">
        <f>'Filter-old'!M525</f>
        <v>0</v>
      </c>
      <c r="BH454" s="61"/>
      <c r="BI454" s="61"/>
      <c r="BJ454" s="61">
        <f>'Filter-new'!M525</f>
        <v>0</v>
      </c>
      <c r="BK454" s="61"/>
      <c r="BL454" s="61"/>
      <c r="BM454" s="61"/>
      <c r="BN454" s="406"/>
      <c r="BO454" s="61"/>
      <c r="BP454" s="61"/>
      <c r="BQ454" s="45">
        <f>'Filter-old'!O525</f>
        <v>0</v>
      </c>
      <c r="BR454" s="61">
        <f>'Filter-new'!O526</f>
        <v>0</v>
      </c>
      <c r="BS454" s="61"/>
      <c r="BT454" s="61"/>
      <c r="BU454" s="45">
        <f>'Filter-old'!Q525</f>
        <v>9425</v>
      </c>
      <c r="BV454" s="61">
        <f>'Filter-new'!Q526</f>
        <v>-9800</v>
      </c>
      <c r="BW454" s="61"/>
      <c r="BX454" s="61"/>
      <c r="BY454" s="61"/>
      <c r="BZ454" s="61"/>
      <c r="CA454" s="45">
        <f>'Filter-old'!R525</f>
        <v>0</v>
      </c>
      <c r="CB454" s="61">
        <f>'Filter-new'!R526</f>
        <v>19600</v>
      </c>
      <c r="CC454" s="57"/>
      <c r="CD454" s="58"/>
      <c r="CE454" s="57"/>
      <c r="CF454" s="57"/>
      <c r="CG454" s="4"/>
    </row>
    <row r="455" spans="1:85" hidden="1" x14ac:dyDescent="0.2">
      <c r="A455">
        <v>0</v>
      </c>
      <c r="B455" s="59">
        <v>37956</v>
      </c>
      <c r="C455" s="59">
        <f t="shared" si="64"/>
        <v>37956</v>
      </c>
      <c r="D455" s="60">
        <f t="shared" si="61"/>
        <v>2003</v>
      </c>
      <c r="E455" s="60">
        <f>VLOOKUP($C455,calendar!$A$2:$D$121,4,FALSE)</f>
        <v>352</v>
      </c>
      <c r="F455" s="60"/>
      <c r="G455" s="36">
        <f t="shared" si="65"/>
        <v>-126032</v>
      </c>
      <c r="H455" s="36">
        <f t="shared" si="66"/>
        <v>19968</v>
      </c>
      <c r="I455" s="36"/>
      <c r="J455" s="41"/>
      <c r="K455" s="45">
        <f>'Filter-old'!E526</f>
        <v>-115232</v>
      </c>
      <c r="L455" s="61">
        <f>'Filter-new'!E527</f>
        <v>50184</v>
      </c>
      <c r="M455" s="61"/>
      <c r="N455" s="61"/>
      <c r="O455" s="429"/>
      <c r="P455" s="61"/>
      <c r="Q455" s="45">
        <f>'Filter-old'!H526</f>
        <v>-21200</v>
      </c>
      <c r="R455" s="61">
        <f>'Filter-new'!H527</f>
        <v>0</v>
      </c>
      <c r="S455" s="61"/>
      <c r="T455" s="61"/>
      <c r="U455" s="445"/>
      <c r="V455" s="61"/>
      <c r="W455" s="45">
        <f>'Filter-old'!J526</f>
        <v>0</v>
      </c>
      <c r="X455" s="61">
        <f>'Filter-new'!J527</f>
        <v>0</v>
      </c>
      <c r="Y455" s="61"/>
      <c r="Z455" s="61"/>
      <c r="AA455" s="45">
        <f>'Filter-old'!F526</f>
        <v>0</v>
      </c>
      <c r="AB455" s="61">
        <f>'Filter-new'!F526</f>
        <v>0</v>
      </c>
      <c r="AC455" s="61"/>
      <c r="AD455" s="61"/>
      <c r="AE455" s="45">
        <f>'Filter-old'!P526</f>
        <v>0</v>
      </c>
      <c r="AF455" s="61">
        <f>'Filter-new'!P526</f>
        <v>0</v>
      </c>
      <c r="AG455" s="61"/>
      <c r="AH455" s="61"/>
      <c r="AI455" s="45">
        <f>'Filter-old'!L526</f>
        <v>0</v>
      </c>
      <c r="AJ455" s="61">
        <f>'Filter-new'!L526</f>
        <v>10584</v>
      </c>
      <c r="AK455" s="61"/>
      <c r="AL455" s="61"/>
      <c r="AM455" s="61"/>
      <c r="AN455" s="61"/>
      <c r="AO455" s="45">
        <f>'Filter-old'!G526</f>
        <v>0</v>
      </c>
      <c r="AP455" s="61">
        <f>'Filter-new'!G527</f>
        <v>0</v>
      </c>
      <c r="AQ455" s="61"/>
      <c r="AR455" s="61"/>
      <c r="AS455" s="45"/>
      <c r="AT455" s="61"/>
      <c r="AU455" s="61"/>
      <c r="AV455" s="61"/>
      <c r="AW455" s="45">
        <f>'Filter-old'!I526</f>
        <v>0</v>
      </c>
      <c r="AX455" s="61">
        <f>'Filter-new'!I527</f>
        <v>0</v>
      </c>
      <c r="AY455" s="61"/>
      <c r="AZ455" s="61"/>
      <c r="BA455" s="61"/>
      <c r="BB455" s="61"/>
      <c r="BC455" s="45">
        <f>'Filter-old'!K526</f>
        <v>0</v>
      </c>
      <c r="BD455" s="61">
        <f>'Filter-new'!K527</f>
        <v>0</v>
      </c>
      <c r="BE455" s="61"/>
      <c r="BF455" s="61"/>
      <c r="BG455" s="45">
        <f>'Filter-old'!M526</f>
        <v>0</v>
      </c>
      <c r="BH455" s="61"/>
      <c r="BI455" s="61"/>
      <c r="BJ455" s="61">
        <f>'Filter-new'!M526</f>
        <v>0</v>
      </c>
      <c r="BK455" s="61"/>
      <c r="BL455" s="61"/>
      <c r="BM455" s="61"/>
      <c r="BN455" s="406"/>
      <c r="BO455" s="61"/>
      <c r="BP455" s="61"/>
      <c r="BQ455" s="45">
        <f>'Filter-old'!O526</f>
        <v>0</v>
      </c>
      <c r="BR455" s="61">
        <f>'Filter-new'!O527</f>
        <v>0</v>
      </c>
      <c r="BS455" s="61"/>
      <c r="BT455" s="61"/>
      <c r="BU455" s="45">
        <f>'Filter-old'!Q526</f>
        <v>10400</v>
      </c>
      <c r="BV455" s="61">
        <f>'Filter-new'!Q527</f>
        <v>0</v>
      </c>
      <c r="BW455" s="61"/>
      <c r="BX455" s="61"/>
      <c r="BY455" s="61"/>
      <c r="BZ455" s="61"/>
      <c r="CA455" s="45">
        <f>'Filter-old'!R526</f>
        <v>0</v>
      </c>
      <c r="CB455" s="61">
        <f>'Filter-new'!R527</f>
        <v>-40800</v>
      </c>
      <c r="CC455" s="57"/>
      <c r="CD455" s="58"/>
      <c r="CE455" s="57"/>
      <c r="CF455" s="57"/>
      <c r="CG455" s="4"/>
    </row>
    <row r="456" spans="1:85" hidden="1" x14ac:dyDescent="0.2">
      <c r="A456">
        <v>0</v>
      </c>
      <c r="B456" s="59">
        <v>37987</v>
      </c>
      <c r="C456" s="59">
        <f t="shared" si="64"/>
        <v>37987</v>
      </c>
      <c r="D456" s="60">
        <f t="shared" si="61"/>
        <v>2004</v>
      </c>
      <c r="E456" s="60">
        <f>VLOOKUP($C456,calendar!$A$2:$D$121,4,FALSE)</f>
        <v>336</v>
      </c>
      <c r="F456" s="60"/>
      <c r="G456" s="36">
        <f t="shared" si="65"/>
        <v>-118784</v>
      </c>
      <c r="H456" s="36">
        <f t="shared" si="66"/>
        <v>8648</v>
      </c>
      <c r="I456" s="36"/>
      <c r="J456" s="41"/>
      <c r="K456" s="45">
        <f>'Filter-old'!E527</f>
        <v>-108584</v>
      </c>
      <c r="L456" s="61">
        <f>'Filter-new'!E528</f>
        <v>46248</v>
      </c>
      <c r="M456" s="61"/>
      <c r="N456" s="61"/>
      <c r="O456" s="429"/>
      <c r="P456" s="61"/>
      <c r="Q456" s="45">
        <f>'Filter-old'!H527</f>
        <v>-20000</v>
      </c>
      <c r="R456" s="61">
        <f>'Filter-new'!H528</f>
        <v>0</v>
      </c>
      <c r="S456" s="61"/>
      <c r="T456" s="61"/>
      <c r="U456" s="445"/>
      <c r="V456" s="61"/>
      <c r="W456" s="45">
        <f>'Filter-old'!J527</f>
        <v>0</v>
      </c>
      <c r="X456" s="61">
        <f>'Filter-new'!J528</f>
        <v>0</v>
      </c>
      <c r="Y456" s="61"/>
      <c r="Z456" s="61"/>
      <c r="AA456" s="45">
        <f>'Filter-old'!F527</f>
        <v>0</v>
      </c>
      <c r="AB456" s="61">
        <f>'Filter-new'!F527</f>
        <v>0</v>
      </c>
      <c r="AC456" s="61"/>
      <c r="AD456" s="61"/>
      <c r="AE456" s="45">
        <f>'Filter-old'!P527</f>
        <v>0</v>
      </c>
      <c r="AF456" s="61">
        <f>'Filter-new'!P527</f>
        <v>0</v>
      </c>
      <c r="AG456" s="61"/>
      <c r="AH456" s="61"/>
      <c r="AI456" s="45">
        <f>'Filter-old'!L527</f>
        <v>0</v>
      </c>
      <c r="AJ456" s="61">
        <f>'Filter-new'!L527</f>
        <v>0</v>
      </c>
      <c r="AK456" s="61"/>
      <c r="AL456" s="61"/>
      <c r="AM456" s="61"/>
      <c r="AN456" s="61"/>
      <c r="AO456" s="45">
        <f>'Filter-old'!G527</f>
        <v>0</v>
      </c>
      <c r="AP456" s="61">
        <f>'Filter-new'!G528</f>
        <v>0</v>
      </c>
      <c r="AQ456" s="61"/>
      <c r="AR456" s="61"/>
      <c r="AS456" s="45"/>
      <c r="AT456" s="61"/>
      <c r="AU456" s="61"/>
      <c r="AV456" s="61"/>
      <c r="AW456" s="45">
        <f>'Filter-old'!I527</f>
        <v>0</v>
      </c>
      <c r="AX456" s="61">
        <f>'Filter-new'!I528</f>
        <v>0</v>
      </c>
      <c r="AY456" s="61"/>
      <c r="AZ456" s="61"/>
      <c r="BA456" s="61"/>
      <c r="BB456" s="61"/>
      <c r="BC456" s="45">
        <f>'Filter-old'!K527</f>
        <v>0</v>
      </c>
      <c r="BD456" s="61">
        <f>'Filter-new'!K528</f>
        <v>0</v>
      </c>
      <c r="BE456" s="61"/>
      <c r="BF456" s="61"/>
      <c r="BG456" s="45">
        <f>'Filter-old'!M527</f>
        <v>0</v>
      </c>
      <c r="BH456" s="61"/>
      <c r="BI456" s="61"/>
      <c r="BJ456" s="61">
        <f>'Filter-new'!M527</f>
        <v>0</v>
      </c>
      <c r="BK456" s="61"/>
      <c r="BL456" s="61"/>
      <c r="BM456" s="61"/>
      <c r="BN456" s="406"/>
      <c r="BO456" s="61"/>
      <c r="BP456" s="61"/>
      <c r="BQ456" s="45">
        <f>'Filter-old'!O527</f>
        <v>0</v>
      </c>
      <c r="BR456" s="61">
        <f>'Filter-new'!O528</f>
        <v>0</v>
      </c>
      <c r="BS456" s="61"/>
      <c r="BT456" s="61"/>
      <c r="BU456" s="45">
        <f>'Filter-old'!Q527</f>
        <v>9800</v>
      </c>
      <c r="BV456" s="61">
        <f>'Filter-new'!Q528</f>
        <v>0</v>
      </c>
      <c r="BW456" s="61"/>
      <c r="BX456" s="61"/>
      <c r="BY456" s="61"/>
      <c r="BZ456" s="61"/>
      <c r="CA456" s="45">
        <f>'Filter-old'!R527</f>
        <v>0</v>
      </c>
      <c r="CB456" s="61">
        <f>'Filter-new'!R528</f>
        <v>-37600</v>
      </c>
      <c r="CC456" s="57"/>
      <c r="CD456" s="58"/>
      <c r="CE456" s="57"/>
      <c r="CF456" s="57"/>
      <c r="CG456" s="4"/>
    </row>
    <row r="457" spans="1:85" hidden="1" x14ac:dyDescent="0.2">
      <c r="A457">
        <v>0</v>
      </c>
      <c r="B457" s="59">
        <v>38018</v>
      </c>
      <c r="C457" s="59">
        <f t="shared" si="64"/>
        <v>38018</v>
      </c>
      <c r="D457" s="60">
        <f t="shared" si="61"/>
        <v>2004</v>
      </c>
      <c r="E457" s="60">
        <f>VLOOKUP($C457,calendar!$A$2:$D$121,4,FALSE)</f>
        <v>320</v>
      </c>
      <c r="F457" s="60"/>
      <c r="G457" s="36">
        <f t="shared" si="65"/>
        <v>29784</v>
      </c>
      <c r="H457" s="36">
        <f t="shared" si="66"/>
        <v>8648</v>
      </c>
      <c r="I457" s="36"/>
      <c r="J457" s="41"/>
      <c r="K457" s="45">
        <f>'Filter-old'!E528</f>
        <v>29784</v>
      </c>
      <c r="L457" s="61">
        <f>'Filter-new'!E529</f>
        <v>46248</v>
      </c>
      <c r="M457" s="61"/>
      <c r="N457" s="61"/>
      <c r="O457" s="429"/>
      <c r="P457" s="61"/>
      <c r="Q457" s="45">
        <f>'Filter-old'!H528</f>
        <v>0</v>
      </c>
      <c r="R457" s="61">
        <f>'Filter-new'!H529</f>
        <v>0</v>
      </c>
      <c r="S457" s="61"/>
      <c r="T457" s="61"/>
      <c r="U457" s="445"/>
      <c r="V457" s="61"/>
      <c r="W457" s="45">
        <f>'Filter-old'!J528</f>
        <v>0</v>
      </c>
      <c r="X457" s="61">
        <f>'Filter-new'!J529</f>
        <v>0</v>
      </c>
      <c r="Y457" s="61"/>
      <c r="Z457" s="61"/>
      <c r="AA457" s="45">
        <f>'Filter-old'!F528</f>
        <v>0</v>
      </c>
      <c r="AB457" s="61">
        <f>'Filter-new'!F528</f>
        <v>0</v>
      </c>
      <c r="AC457" s="61"/>
      <c r="AD457" s="61"/>
      <c r="AE457" s="45">
        <f>'Filter-old'!P528</f>
        <v>0</v>
      </c>
      <c r="AF457" s="61">
        <f>'Filter-new'!P528</f>
        <v>0</v>
      </c>
      <c r="AG457" s="61"/>
      <c r="AH457" s="61"/>
      <c r="AI457" s="45">
        <f>'Filter-old'!L528</f>
        <v>0</v>
      </c>
      <c r="AJ457" s="61">
        <f>'Filter-new'!L528</f>
        <v>0</v>
      </c>
      <c r="AK457" s="61"/>
      <c r="AL457" s="61"/>
      <c r="AM457" s="61"/>
      <c r="AN457" s="61"/>
      <c r="AO457" s="45">
        <f>'Filter-old'!G528</f>
        <v>0</v>
      </c>
      <c r="AP457" s="61">
        <f>'Filter-new'!G529</f>
        <v>0</v>
      </c>
      <c r="AQ457" s="61"/>
      <c r="AR457" s="61"/>
      <c r="AS457" s="45"/>
      <c r="AT457" s="61"/>
      <c r="AU457" s="61"/>
      <c r="AV457" s="61"/>
      <c r="AW457" s="45">
        <f>'Filter-old'!I528</f>
        <v>0</v>
      </c>
      <c r="AX457" s="61">
        <f>'Filter-new'!I529</f>
        <v>0</v>
      </c>
      <c r="AY457" s="61"/>
      <c r="AZ457" s="61"/>
      <c r="BA457" s="61"/>
      <c r="BB457" s="61"/>
      <c r="BC457" s="45">
        <f>'Filter-old'!K528</f>
        <v>0</v>
      </c>
      <c r="BD457" s="61">
        <f>'Filter-new'!K529</f>
        <v>0</v>
      </c>
      <c r="BE457" s="61"/>
      <c r="BF457" s="61"/>
      <c r="BG457" s="45">
        <f>'Filter-old'!M528</f>
        <v>0</v>
      </c>
      <c r="BH457" s="61"/>
      <c r="BI457" s="61"/>
      <c r="BJ457" s="61">
        <f>'Filter-new'!M528</f>
        <v>0</v>
      </c>
      <c r="BK457" s="61"/>
      <c r="BL457" s="61"/>
      <c r="BM457" s="61"/>
      <c r="BN457" s="406"/>
      <c r="BO457" s="61"/>
      <c r="BP457" s="61"/>
      <c r="BQ457" s="45">
        <f>'Filter-old'!O528</f>
        <v>0</v>
      </c>
      <c r="BR457" s="61">
        <f>'Filter-new'!O529</f>
        <v>0</v>
      </c>
      <c r="BS457" s="61"/>
      <c r="BT457" s="61"/>
      <c r="BU457" s="45">
        <f>'Filter-old'!Q528</f>
        <v>0</v>
      </c>
      <c r="BV457" s="61">
        <f>'Filter-new'!Q529</f>
        <v>0</v>
      </c>
      <c r="BW457" s="61"/>
      <c r="BX457" s="61"/>
      <c r="BY457" s="61"/>
      <c r="BZ457" s="61"/>
      <c r="CA457" s="45">
        <f>'Filter-old'!R528</f>
        <v>0</v>
      </c>
      <c r="CB457" s="61">
        <f>'Filter-new'!R529</f>
        <v>-37600</v>
      </c>
      <c r="CC457" s="57"/>
      <c r="CD457" s="58"/>
      <c r="CE457" s="57"/>
      <c r="CF457" s="57"/>
      <c r="CG457" s="4"/>
    </row>
    <row r="458" spans="1:85" hidden="1" x14ac:dyDescent="0.2">
      <c r="A458">
        <v>0</v>
      </c>
      <c r="B458" s="59">
        <v>38047</v>
      </c>
      <c r="C458" s="59">
        <f t="shared" si="64"/>
        <v>38047</v>
      </c>
      <c r="D458" s="60">
        <f t="shared" si="61"/>
        <v>2004</v>
      </c>
      <c r="E458" s="60">
        <f>VLOOKUP($C458,calendar!$A$2:$D$121,4,FALSE)</f>
        <v>368</v>
      </c>
      <c r="F458" s="60"/>
      <c r="G458" s="36">
        <f t="shared" si="65"/>
        <v>27448</v>
      </c>
      <c r="H458" s="36">
        <f t="shared" si="66"/>
        <v>8441</v>
      </c>
      <c r="I458" s="36"/>
      <c r="J458" s="41"/>
      <c r="K458" s="45">
        <f>'Filter-old'!E529</f>
        <v>27448</v>
      </c>
      <c r="L458" s="61">
        <f>'Filter-new'!E530</f>
        <v>45141</v>
      </c>
      <c r="M458" s="61"/>
      <c r="N458" s="61"/>
      <c r="O458" s="429"/>
      <c r="P458" s="61"/>
      <c r="Q458" s="45">
        <f>'Filter-old'!H529</f>
        <v>0</v>
      </c>
      <c r="R458" s="61">
        <f>'Filter-new'!H530</f>
        <v>0</v>
      </c>
      <c r="S458" s="61"/>
      <c r="T458" s="61"/>
      <c r="U458" s="445"/>
      <c r="V458" s="61"/>
      <c r="W458" s="45">
        <f>'Filter-old'!J529</f>
        <v>0</v>
      </c>
      <c r="X458" s="61">
        <f>'Filter-new'!J530</f>
        <v>0</v>
      </c>
      <c r="Y458" s="61"/>
      <c r="Z458" s="61"/>
      <c r="AA458" s="45">
        <f>'Filter-old'!F529</f>
        <v>0</v>
      </c>
      <c r="AB458" s="61">
        <f>'Filter-new'!F529</f>
        <v>0</v>
      </c>
      <c r="AC458" s="61"/>
      <c r="AD458" s="61"/>
      <c r="AE458" s="45">
        <f>'Filter-old'!P529</f>
        <v>0</v>
      </c>
      <c r="AF458" s="61">
        <f>'Filter-new'!P529</f>
        <v>0</v>
      </c>
      <c r="AG458" s="61"/>
      <c r="AH458" s="61"/>
      <c r="AI458" s="45">
        <f>'Filter-old'!L529</f>
        <v>0</v>
      </c>
      <c r="AJ458" s="61">
        <f>'Filter-new'!L529</f>
        <v>0</v>
      </c>
      <c r="AK458" s="61"/>
      <c r="AL458" s="61"/>
      <c r="AM458" s="61"/>
      <c r="AN458" s="61"/>
      <c r="AO458" s="45">
        <f>'Filter-old'!G529</f>
        <v>0</v>
      </c>
      <c r="AP458" s="61">
        <f>'Filter-new'!G530</f>
        <v>0</v>
      </c>
      <c r="AQ458" s="61"/>
      <c r="AR458" s="61"/>
      <c r="AS458" s="45"/>
      <c r="AT458" s="61"/>
      <c r="AU458" s="61"/>
      <c r="AV458" s="61"/>
      <c r="AW458" s="45">
        <f>'Filter-old'!I529</f>
        <v>0</v>
      </c>
      <c r="AX458" s="61">
        <f>'Filter-new'!I530</f>
        <v>0</v>
      </c>
      <c r="AY458" s="61"/>
      <c r="AZ458" s="61"/>
      <c r="BA458" s="61"/>
      <c r="BB458" s="61"/>
      <c r="BC458" s="45">
        <f>'Filter-old'!K529</f>
        <v>0</v>
      </c>
      <c r="BD458" s="61">
        <f>'Filter-new'!K530</f>
        <v>0</v>
      </c>
      <c r="BE458" s="61"/>
      <c r="BF458" s="61"/>
      <c r="BG458" s="45">
        <f>'Filter-old'!M529</f>
        <v>0</v>
      </c>
      <c r="BH458" s="61"/>
      <c r="BI458" s="61"/>
      <c r="BJ458" s="61">
        <f>'Filter-new'!M529</f>
        <v>0</v>
      </c>
      <c r="BK458" s="61"/>
      <c r="BL458" s="61"/>
      <c r="BM458" s="61"/>
      <c r="BN458" s="406"/>
      <c r="BO458" s="61"/>
      <c r="BP458" s="61"/>
      <c r="BQ458" s="45">
        <f>'Filter-old'!O529</f>
        <v>0</v>
      </c>
      <c r="BR458" s="61">
        <f>'Filter-new'!O530</f>
        <v>0</v>
      </c>
      <c r="BS458" s="61"/>
      <c r="BT458" s="61"/>
      <c r="BU458" s="45">
        <f>'Filter-old'!Q529</f>
        <v>0</v>
      </c>
      <c r="BV458" s="61">
        <f>'Filter-new'!Q530</f>
        <v>0</v>
      </c>
      <c r="BW458" s="61"/>
      <c r="BX458" s="61"/>
      <c r="BY458" s="61"/>
      <c r="BZ458" s="61"/>
      <c r="CA458" s="45">
        <f>'Filter-old'!R529</f>
        <v>0</v>
      </c>
      <c r="CB458" s="61">
        <f>'Filter-new'!R530</f>
        <v>-36700</v>
      </c>
      <c r="CC458" s="57"/>
      <c r="CD458" s="58"/>
      <c r="CE458" s="57"/>
      <c r="CF458" s="57"/>
      <c r="CG458" s="4"/>
    </row>
    <row r="459" spans="1:85" hidden="1" x14ac:dyDescent="0.2">
      <c r="A459">
        <v>0</v>
      </c>
      <c r="B459" s="59">
        <v>38078</v>
      </c>
      <c r="C459" s="59">
        <f t="shared" si="64"/>
        <v>38078</v>
      </c>
      <c r="D459" s="60">
        <f t="shared" si="61"/>
        <v>2004</v>
      </c>
      <c r="E459" s="60">
        <f>VLOOKUP($C459,calendar!$A$2:$D$121,4,FALSE)</f>
        <v>352</v>
      </c>
      <c r="F459" s="60"/>
      <c r="G459" s="36">
        <f t="shared" si="65"/>
        <v>27448</v>
      </c>
      <c r="H459" s="36">
        <f t="shared" si="66"/>
        <v>9752</v>
      </c>
      <c r="I459" s="36"/>
      <c r="J459" s="41"/>
      <c r="K459" s="45">
        <f>'Filter-old'!E530</f>
        <v>27448</v>
      </c>
      <c r="L459" s="61">
        <f>'Filter-new'!E531</f>
        <v>52152</v>
      </c>
      <c r="M459" s="61"/>
      <c r="N459" s="61"/>
      <c r="O459" s="429"/>
      <c r="P459" s="61"/>
      <c r="Q459" s="45">
        <f>'Filter-old'!H530</f>
        <v>0</v>
      </c>
      <c r="R459" s="61">
        <f>'Filter-new'!H531</f>
        <v>0</v>
      </c>
      <c r="S459" s="61"/>
      <c r="T459" s="61"/>
      <c r="U459" s="445"/>
      <c r="V459" s="61"/>
      <c r="W459" s="45">
        <f>'Filter-old'!J530</f>
        <v>0</v>
      </c>
      <c r="X459" s="61">
        <f>'Filter-new'!J531</f>
        <v>0</v>
      </c>
      <c r="Y459" s="61"/>
      <c r="Z459" s="61"/>
      <c r="AA459" s="45">
        <f>'Filter-old'!F530</f>
        <v>0</v>
      </c>
      <c r="AB459" s="61">
        <f>'Filter-new'!F530</f>
        <v>0</v>
      </c>
      <c r="AC459" s="61"/>
      <c r="AD459" s="61"/>
      <c r="AE459" s="45">
        <f>'Filter-old'!P530</f>
        <v>0</v>
      </c>
      <c r="AF459" s="61">
        <f>'Filter-new'!P530</f>
        <v>0</v>
      </c>
      <c r="AG459" s="61"/>
      <c r="AH459" s="61"/>
      <c r="AI459" s="45">
        <f>'Filter-old'!L530</f>
        <v>0</v>
      </c>
      <c r="AJ459" s="61">
        <f>'Filter-new'!L530</f>
        <v>0</v>
      </c>
      <c r="AK459" s="61"/>
      <c r="AL459" s="61"/>
      <c r="AM459" s="61"/>
      <c r="AN459" s="61"/>
      <c r="AO459" s="45">
        <f>'Filter-old'!G530</f>
        <v>0</v>
      </c>
      <c r="AP459" s="61">
        <f>'Filter-new'!G531</f>
        <v>0</v>
      </c>
      <c r="AQ459" s="61"/>
      <c r="AR459" s="61"/>
      <c r="AS459" s="45"/>
      <c r="AT459" s="61"/>
      <c r="AU459" s="61"/>
      <c r="AV459" s="61"/>
      <c r="AW459" s="45">
        <f>'Filter-old'!I530</f>
        <v>0</v>
      </c>
      <c r="AX459" s="61">
        <f>'Filter-new'!I531</f>
        <v>0</v>
      </c>
      <c r="AY459" s="61"/>
      <c r="AZ459" s="61"/>
      <c r="BA459" s="61"/>
      <c r="BB459" s="61"/>
      <c r="BC459" s="45">
        <f>'Filter-old'!K530</f>
        <v>0</v>
      </c>
      <c r="BD459" s="61">
        <f>'Filter-new'!K531</f>
        <v>0</v>
      </c>
      <c r="BE459" s="61"/>
      <c r="BF459" s="61"/>
      <c r="BG459" s="45">
        <f>'Filter-old'!M530</f>
        <v>0</v>
      </c>
      <c r="BH459" s="61"/>
      <c r="BI459" s="61"/>
      <c r="BJ459" s="61">
        <f>'Filter-new'!M530</f>
        <v>0</v>
      </c>
      <c r="BK459" s="61"/>
      <c r="BL459" s="61"/>
      <c r="BM459" s="61"/>
      <c r="BN459" s="406"/>
      <c r="BO459" s="61"/>
      <c r="BP459" s="61"/>
      <c r="BQ459" s="45">
        <f>'Filter-old'!O530</f>
        <v>0</v>
      </c>
      <c r="BR459" s="61">
        <f>'Filter-new'!O531</f>
        <v>0</v>
      </c>
      <c r="BS459" s="61"/>
      <c r="BT459" s="61"/>
      <c r="BU459" s="45">
        <f>'Filter-old'!Q530</f>
        <v>0</v>
      </c>
      <c r="BV459" s="61">
        <f>'Filter-new'!Q531</f>
        <v>0</v>
      </c>
      <c r="BW459" s="61"/>
      <c r="BX459" s="61"/>
      <c r="BY459" s="61"/>
      <c r="BZ459" s="61"/>
      <c r="CA459" s="45">
        <f>'Filter-old'!R530</f>
        <v>0</v>
      </c>
      <c r="CB459" s="61">
        <f>'Filter-new'!R531</f>
        <v>-42400</v>
      </c>
      <c r="CC459" s="57"/>
      <c r="CD459" s="58"/>
      <c r="CE459" s="57"/>
      <c r="CF459" s="57"/>
      <c r="CG459" s="4"/>
    </row>
    <row r="460" spans="1:85" hidden="1" x14ac:dyDescent="0.2">
      <c r="A460">
        <v>0</v>
      </c>
      <c r="B460" s="59">
        <v>38108</v>
      </c>
      <c r="C460" s="59">
        <f t="shared" si="64"/>
        <v>38108</v>
      </c>
      <c r="D460" s="60">
        <f t="shared" si="61"/>
        <v>2004</v>
      </c>
      <c r="E460" s="60">
        <f>VLOOKUP($C460,calendar!$A$2:$D$121,4,FALSE)</f>
        <v>320</v>
      </c>
      <c r="F460" s="60"/>
      <c r="G460" s="36">
        <f t="shared" si="65"/>
        <v>26791</v>
      </c>
      <c r="H460" s="36">
        <f t="shared" si="66"/>
        <v>8464</v>
      </c>
      <c r="I460" s="36"/>
      <c r="J460" s="41"/>
      <c r="K460" s="45">
        <f>'Filter-old'!E531</f>
        <v>26791</v>
      </c>
      <c r="L460" s="61">
        <f>'Filter-new'!E532</f>
        <v>45264</v>
      </c>
      <c r="M460" s="61"/>
      <c r="N460" s="61"/>
      <c r="O460" s="429"/>
      <c r="P460" s="61"/>
      <c r="Q460" s="45">
        <f>'Filter-old'!H531</f>
        <v>0</v>
      </c>
      <c r="R460" s="61">
        <f>'Filter-new'!H532</f>
        <v>0</v>
      </c>
      <c r="S460" s="61"/>
      <c r="T460" s="61"/>
      <c r="U460" s="445"/>
      <c r="V460" s="61"/>
      <c r="W460" s="45">
        <f>'Filter-old'!J531</f>
        <v>0</v>
      </c>
      <c r="X460" s="61">
        <f>'Filter-new'!J532</f>
        <v>0</v>
      </c>
      <c r="Y460" s="61"/>
      <c r="Z460" s="61"/>
      <c r="AA460" s="45">
        <f>'Filter-old'!F531</f>
        <v>0</v>
      </c>
      <c r="AB460" s="61">
        <f>'Filter-new'!F531</f>
        <v>0</v>
      </c>
      <c r="AC460" s="61"/>
      <c r="AD460" s="61"/>
      <c r="AE460" s="45">
        <f>'Filter-old'!P531</f>
        <v>0</v>
      </c>
      <c r="AF460" s="61">
        <f>'Filter-new'!P531</f>
        <v>0</v>
      </c>
      <c r="AG460" s="61"/>
      <c r="AH460" s="61"/>
      <c r="AI460" s="45">
        <f>'Filter-old'!L531</f>
        <v>0</v>
      </c>
      <c r="AJ460" s="61">
        <f>'Filter-new'!L531</f>
        <v>0</v>
      </c>
      <c r="AK460" s="61"/>
      <c r="AL460" s="61"/>
      <c r="AM460" s="61"/>
      <c r="AN460" s="61"/>
      <c r="AO460" s="45">
        <f>'Filter-old'!G531</f>
        <v>0</v>
      </c>
      <c r="AP460" s="61">
        <f>'Filter-new'!G532</f>
        <v>0</v>
      </c>
      <c r="AQ460" s="61"/>
      <c r="AR460" s="61"/>
      <c r="AS460" s="45"/>
      <c r="AT460" s="61"/>
      <c r="AU460" s="61"/>
      <c r="AV460" s="61"/>
      <c r="AW460" s="45">
        <f>'Filter-old'!I531</f>
        <v>0</v>
      </c>
      <c r="AX460" s="61">
        <f>'Filter-new'!I532</f>
        <v>0</v>
      </c>
      <c r="AY460" s="61"/>
      <c r="AZ460" s="61"/>
      <c r="BA460" s="61"/>
      <c r="BB460" s="61"/>
      <c r="BC460" s="45">
        <f>'Filter-old'!K531</f>
        <v>0</v>
      </c>
      <c r="BD460" s="61">
        <f>'Filter-new'!K532</f>
        <v>0</v>
      </c>
      <c r="BE460" s="61"/>
      <c r="BF460" s="61"/>
      <c r="BG460" s="45">
        <f>'Filter-old'!M531</f>
        <v>0</v>
      </c>
      <c r="BH460" s="61"/>
      <c r="BI460" s="61"/>
      <c r="BJ460" s="61">
        <f>'Filter-new'!M531</f>
        <v>0</v>
      </c>
      <c r="BK460" s="61"/>
      <c r="BL460" s="61"/>
      <c r="BM460" s="61"/>
      <c r="BN460" s="406"/>
      <c r="BO460" s="61"/>
      <c r="BP460" s="61"/>
      <c r="BQ460" s="45">
        <f>'Filter-old'!O531</f>
        <v>0</v>
      </c>
      <c r="BR460" s="61">
        <f>'Filter-new'!O532</f>
        <v>0</v>
      </c>
      <c r="BS460" s="61"/>
      <c r="BT460" s="61"/>
      <c r="BU460" s="45">
        <f>'Filter-old'!Q531</f>
        <v>0</v>
      </c>
      <c r="BV460" s="61">
        <f>'Filter-new'!Q532</f>
        <v>0</v>
      </c>
      <c r="BW460" s="61"/>
      <c r="BX460" s="61"/>
      <c r="BY460" s="61"/>
      <c r="BZ460" s="61"/>
      <c r="CA460" s="45">
        <f>'Filter-old'!R531</f>
        <v>0</v>
      </c>
      <c r="CB460" s="61">
        <f>'Filter-new'!R532</f>
        <v>-36800</v>
      </c>
      <c r="CC460" s="57"/>
      <c r="CD460" s="58"/>
      <c r="CE460" s="57"/>
      <c r="CF460" s="57"/>
      <c r="CG460" s="4"/>
    </row>
    <row r="461" spans="1:85" hidden="1" x14ac:dyDescent="0.2">
      <c r="A461">
        <v>0</v>
      </c>
      <c r="B461" s="59">
        <v>38139</v>
      </c>
      <c r="C461" s="59">
        <f t="shared" si="64"/>
        <v>38139</v>
      </c>
      <c r="D461" s="60">
        <f t="shared" si="61"/>
        <v>2004</v>
      </c>
      <c r="E461" s="60">
        <f>VLOOKUP($C461,calendar!$A$2:$D$121,4,FALSE)</f>
        <v>352</v>
      </c>
      <c r="F461" s="60"/>
      <c r="G461" s="36">
        <f t="shared" si="65"/>
        <v>30952</v>
      </c>
      <c r="H461" s="36">
        <f t="shared" si="66"/>
        <v>9384</v>
      </c>
      <c r="I461" s="36"/>
      <c r="J461" s="41"/>
      <c r="K461" s="45">
        <f>'Filter-old'!E532</f>
        <v>30952</v>
      </c>
      <c r="L461" s="61">
        <f>'Filter-new'!E533</f>
        <v>50184</v>
      </c>
      <c r="M461" s="61"/>
      <c r="N461" s="61"/>
      <c r="O461" s="429"/>
      <c r="P461" s="61"/>
      <c r="Q461" s="45">
        <f>'Filter-old'!H532</f>
        <v>0</v>
      </c>
      <c r="R461" s="61">
        <f>'Filter-new'!H533</f>
        <v>0</v>
      </c>
      <c r="S461" s="61"/>
      <c r="T461" s="61"/>
      <c r="U461" s="445"/>
      <c r="V461" s="61"/>
      <c r="W461" s="45">
        <f>'Filter-old'!J532</f>
        <v>0</v>
      </c>
      <c r="X461" s="61">
        <f>'Filter-new'!J533</f>
        <v>0</v>
      </c>
      <c r="Y461" s="61"/>
      <c r="Z461" s="61"/>
      <c r="AA461" s="45">
        <f>'Filter-old'!F532</f>
        <v>0</v>
      </c>
      <c r="AB461" s="61">
        <f>'Filter-new'!F532</f>
        <v>0</v>
      </c>
      <c r="AC461" s="61"/>
      <c r="AD461" s="61"/>
      <c r="AE461" s="45">
        <f>'Filter-old'!P532</f>
        <v>0</v>
      </c>
      <c r="AF461" s="61">
        <f>'Filter-new'!P532</f>
        <v>0</v>
      </c>
      <c r="AG461" s="61"/>
      <c r="AH461" s="61"/>
      <c r="AI461" s="45">
        <f>'Filter-old'!L532</f>
        <v>0</v>
      </c>
      <c r="AJ461" s="61">
        <f>'Filter-new'!L532</f>
        <v>0</v>
      </c>
      <c r="AK461" s="61"/>
      <c r="AL461" s="61"/>
      <c r="AM461" s="61"/>
      <c r="AN461" s="61"/>
      <c r="AO461" s="45">
        <f>'Filter-old'!G532</f>
        <v>0</v>
      </c>
      <c r="AP461" s="61">
        <f>'Filter-new'!G533</f>
        <v>0</v>
      </c>
      <c r="AQ461" s="61"/>
      <c r="AR461" s="61"/>
      <c r="AS461" s="45"/>
      <c r="AT461" s="61"/>
      <c r="AU461" s="61"/>
      <c r="AV461" s="61"/>
      <c r="AW461" s="45">
        <f>'Filter-old'!I532</f>
        <v>0</v>
      </c>
      <c r="AX461" s="61">
        <f>'Filter-new'!I533</f>
        <v>0</v>
      </c>
      <c r="AY461" s="61"/>
      <c r="AZ461" s="61"/>
      <c r="BA461" s="61"/>
      <c r="BB461" s="61"/>
      <c r="BC461" s="45">
        <f>'Filter-old'!K532</f>
        <v>0</v>
      </c>
      <c r="BD461" s="61">
        <f>'Filter-new'!K533</f>
        <v>0</v>
      </c>
      <c r="BE461" s="61"/>
      <c r="BF461" s="61"/>
      <c r="BG461" s="45">
        <f>'Filter-old'!M532</f>
        <v>0</v>
      </c>
      <c r="BH461" s="61"/>
      <c r="BI461" s="61"/>
      <c r="BJ461" s="61">
        <f>'Filter-new'!M532</f>
        <v>0</v>
      </c>
      <c r="BK461" s="61"/>
      <c r="BL461" s="61"/>
      <c r="BM461" s="61"/>
      <c r="BN461" s="406"/>
      <c r="BO461" s="61"/>
      <c r="BP461" s="61"/>
      <c r="BQ461" s="45">
        <f>'Filter-old'!O532</f>
        <v>0</v>
      </c>
      <c r="BR461" s="61">
        <f>'Filter-new'!O533</f>
        <v>0</v>
      </c>
      <c r="BS461" s="61"/>
      <c r="BT461" s="61"/>
      <c r="BU461" s="45">
        <f>'Filter-old'!Q532</f>
        <v>0</v>
      </c>
      <c r="BV461" s="61">
        <f>'Filter-new'!Q533</f>
        <v>0</v>
      </c>
      <c r="BW461" s="61"/>
      <c r="BX461" s="61"/>
      <c r="BY461" s="61"/>
      <c r="BZ461" s="61"/>
      <c r="CA461" s="45">
        <f>'Filter-old'!R532</f>
        <v>0</v>
      </c>
      <c r="CB461" s="61">
        <f>'Filter-new'!R533</f>
        <v>-40800</v>
      </c>
      <c r="CC461" s="57"/>
      <c r="CD461" s="58"/>
      <c r="CE461" s="57"/>
      <c r="CF461" s="57"/>
      <c r="CG461" s="4"/>
    </row>
    <row r="462" spans="1:85" hidden="1" x14ac:dyDescent="0.2">
      <c r="A462">
        <v>0</v>
      </c>
      <c r="B462" s="59">
        <v>38169</v>
      </c>
      <c r="C462" s="59">
        <f t="shared" si="64"/>
        <v>38169</v>
      </c>
      <c r="D462" s="60">
        <f t="shared" si="61"/>
        <v>2004</v>
      </c>
      <c r="E462" s="60">
        <f>VLOOKUP($C462,calendar!$A$2:$D$121,4,FALSE)</f>
        <v>336</v>
      </c>
      <c r="F462" s="60"/>
      <c r="G462" s="36">
        <f t="shared" si="65"/>
        <v>26864</v>
      </c>
      <c r="H462" s="36">
        <f t="shared" si="66"/>
        <v>9016</v>
      </c>
      <c r="I462" s="36"/>
      <c r="J462" s="41"/>
      <c r="K462" s="45">
        <f>'Filter-old'!E533</f>
        <v>26864</v>
      </c>
      <c r="L462" s="61">
        <f>'Filter-new'!E534</f>
        <v>48216</v>
      </c>
      <c r="M462" s="61"/>
      <c r="N462" s="61"/>
      <c r="O462" s="429"/>
      <c r="P462" s="61"/>
      <c r="Q462" s="45">
        <f>'Filter-old'!H533</f>
        <v>0</v>
      </c>
      <c r="R462" s="61">
        <f>'Filter-new'!H534</f>
        <v>0</v>
      </c>
      <c r="S462" s="61"/>
      <c r="T462" s="61"/>
      <c r="U462" s="445"/>
      <c r="V462" s="61"/>
      <c r="W462" s="45">
        <f>'Filter-old'!J533</f>
        <v>0</v>
      </c>
      <c r="X462" s="61">
        <f>'Filter-new'!J534</f>
        <v>0</v>
      </c>
      <c r="Y462" s="61"/>
      <c r="Z462" s="61"/>
      <c r="AA462" s="45">
        <f>'Filter-old'!F533</f>
        <v>0</v>
      </c>
      <c r="AB462" s="61">
        <f>'Filter-new'!F533</f>
        <v>0</v>
      </c>
      <c r="AC462" s="61"/>
      <c r="AD462" s="61"/>
      <c r="AE462" s="45">
        <f>'Filter-old'!P533</f>
        <v>0</v>
      </c>
      <c r="AF462" s="61">
        <f>'Filter-new'!P533</f>
        <v>0</v>
      </c>
      <c r="AG462" s="61"/>
      <c r="AH462" s="61"/>
      <c r="AI462" s="45">
        <f>'Filter-old'!L533</f>
        <v>0</v>
      </c>
      <c r="AJ462" s="61">
        <f>'Filter-new'!L533</f>
        <v>0</v>
      </c>
      <c r="AK462" s="61"/>
      <c r="AL462" s="61"/>
      <c r="AM462" s="61"/>
      <c r="AN462" s="61"/>
      <c r="AO462" s="45">
        <f>'Filter-old'!G533</f>
        <v>0</v>
      </c>
      <c r="AP462" s="61">
        <f>'Filter-new'!G534</f>
        <v>0</v>
      </c>
      <c r="AQ462" s="61"/>
      <c r="AR462" s="61"/>
      <c r="AS462" s="45"/>
      <c r="AT462" s="61"/>
      <c r="AU462" s="61"/>
      <c r="AV462" s="61"/>
      <c r="AW462" s="45">
        <f>'Filter-old'!I533</f>
        <v>0</v>
      </c>
      <c r="AX462" s="61">
        <f>'Filter-new'!I534</f>
        <v>0</v>
      </c>
      <c r="AY462" s="61"/>
      <c r="AZ462" s="61"/>
      <c r="BA462" s="61"/>
      <c r="BB462" s="61"/>
      <c r="BC462" s="45">
        <f>'Filter-old'!K533</f>
        <v>0</v>
      </c>
      <c r="BD462" s="61">
        <f>'Filter-new'!K534</f>
        <v>0</v>
      </c>
      <c r="BE462" s="61"/>
      <c r="BF462" s="61"/>
      <c r="BG462" s="45">
        <f>'Filter-old'!M533</f>
        <v>0</v>
      </c>
      <c r="BH462" s="61"/>
      <c r="BI462" s="61"/>
      <c r="BJ462" s="61">
        <f>'Filter-new'!M533</f>
        <v>0</v>
      </c>
      <c r="BK462" s="61"/>
      <c r="BL462" s="61"/>
      <c r="BM462" s="61"/>
      <c r="BN462" s="406"/>
      <c r="BO462" s="61"/>
      <c r="BP462" s="61"/>
      <c r="BQ462" s="45">
        <f>'Filter-old'!O533</f>
        <v>0</v>
      </c>
      <c r="BR462" s="61">
        <f>'Filter-new'!O534</f>
        <v>0</v>
      </c>
      <c r="BS462" s="61"/>
      <c r="BT462" s="61"/>
      <c r="BU462" s="45">
        <f>'Filter-old'!Q533</f>
        <v>0</v>
      </c>
      <c r="BV462" s="61">
        <f>'Filter-new'!Q534</f>
        <v>0</v>
      </c>
      <c r="BW462" s="61"/>
      <c r="BX462" s="61"/>
      <c r="BY462" s="61"/>
      <c r="BZ462" s="61"/>
      <c r="CA462" s="45">
        <f>'Filter-old'!R533</f>
        <v>0</v>
      </c>
      <c r="CB462" s="61">
        <f>'Filter-new'!R534</f>
        <v>-39200</v>
      </c>
      <c r="CC462" s="57"/>
      <c r="CD462" s="58"/>
      <c r="CE462" s="57"/>
      <c r="CF462" s="57"/>
      <c r="CG462" s="4"/>
    </row>
    <row r="463" spans="1:85" hidden="1" x14ac:dyDescent="0.2">
      <c r="A463">
        <v>0</v>
      </c>
      <c r="B463" s="59">
        <v>38200</v>
      </c>
      <c r="C463" s="59">
        <f t="shared" si="64"/>
        <v>38200</v>
      </c>
      <c r="D463" s="60">
        <f t="shared" si="61"/>
        <v>2004</v>
      </c>
      <c r="E463" s="60">
        <f>VLOOKUP($C463,calendar!$A$2:$D$121,4,FALSE)</f>
        <v>352</v>
      </c>
      <c r="F463" s="60"/>
      <c r="G463" s="36">
        <f t="shared" si="65"/>
        <v>29784</v>
      </c>
      <c r="H463" s="36">
        <f t="shared" si="66"/>
        <v>8832</v>
      </c>
      <c r="I463" s="36"/>
      <c r="J463" s="41"/>
      <c r="K463" s="45">
        <f>'Filter-old'!E534</f>
        <v>29784</v>
      </c>
      <c r="L463" s="61">
        <f>'Filter-new'!E535</f>
        <v>47232</v>
      </c>
      <c r="M463" s="61"/>
      <c r="N463" s="61"/>
      <c r="O463" s="429"/>
      <c r="P463" s="61"/>
      <c r="Q463" s="45">
        <f>'Filter-old'!H534</f>
        <v>0</v>
      </c>
      <c r="R463" s="61">
        <f>'Filter-new'!H535</f>
        <v>0</v>
      </c>
      <c r="S463" s="61"/>
      <c r="T463" s="61"/>
      <c r="U463" s="445"/>
      <c r="V463" s="61"/>
      <c r="W463" s="45">
        <f>'Filter-old'!J534</f>
        <v>0</v>
      </c>
      <c r="X463" s="61">
        <f>'Filter-new'!J535</f>
        <v>0</v>
      </c>
      <c r="Y463" s="61"/>
      <c r="Z463" s="61"/>
      <c r="AA463" s="45">
        <f>'Filter-old'!F534</f>
        <v>0</v>
      </c>
      <c r="AB463" s="61">
        <f>'Filter-new'!F534</f>
        <v>0</v>
      </c>
      <c r="AC463" s="61"/>
      <c r="AD463" s="61"/>
      <c r="AE463" s="45">
        <f>'Filter-old'!P534</f>
        <v>0</v>
      </c>
      <c r="AF463" s="61">
        <f>'Filter-new'!P534</f>
        <v>0</v>
      </c>
      <c r="AG463" s="61"/>
      <c r="AH463" s="61"/>
      <c r="AI463" s="45">
        <f>'Filter-old'!L534</f>
        <v>0</v>
      </c>
      <c r="AJ463" s="61">
        <f>'Filter-new'!L534</f>
        <v>0</v>
      </c>
      <c r="AK463" s="61"/>
      <c r="AL463" s="61"/>
      <c r="AM463" s="61"/>
      <c r="AN463" s="61"/>
      <c r="AO463" s="45">
        <f>'Filter-old'!G534</f>
        <v>0</v>
      </c>
      <c r="AP463" s="61">
        <f>'Filter-new'!G535</f>
        <v>0</v>
      </c>
      <c r="AQ463" s="61"/>
      <c r="AR463" s="61"/>
      <c r="AS463" s="45"/>
      <c r="AT463" s="61"/>
      <c r="AU463" s="61"/>
      <c r="AV463" s="61"/>
      <c r="AW463" s="45">
        <f>'Filter-old'!I534</f>
        <v>0</v>
      </c>
      <c r="AX463" s="61">
        <f>'Filter-new'!I535</f>
        <v>0</v>
      </c>
      <c r="AY463" s="61"/>
      <c r="AZ463" s="61"/>
      <c r="BA463" s="61"/>
      <c r="BB463" s="61"/>
      <c r="BC463" s="45">
        <f>'Filter-old'!K534</f>
        <v>0</v>
      </c>
      <c r="BD463" s="61">
        <f>'Filter-new'!K535</f>
        <v>0</v>
      </c>
      <c r="BE463" s="61"/>
      <c r="BF463" s="61"/>
      <c r="BG463" s="45">
        <f>'Filter-old'!M534</f>
        <v>0</v>
      </c>
      <c r="BH463" s="61"/>
      <c r="BI463" s="61"/>
      <c r="BJ463" s="61">
        <f>'Filter-new'!M534</f>
        <v>0</v>
      </c>
      <c r="BK463" s="61"/>
      <c r="BL463" s="61"/>
      <c r="BM463" s="61"/>
      <c r="BN463" s="406"/>
      <c r="BO463" s="61"/>
      <c r="BP463" s="61"/>
      <c r="BQ463" s="45">
        <f>'Filter-old'!O534</f>
        <v>0</v>
      </c>
      <c r="BR463" s="61">
        <f>'Filter-new'!O535</f>
        <v>0</v>
      </c>
      <c r="BS463" s="61"/>
      <c r="BT463" s="61"/>
      <c r="BU463" s="45">
        <f>'Filter-old'!Q534</f>
        <v>0</v>
      </c>
      <c r="BV463" s="61">
        <f>'Filter-new'!Q535</f>
        <v>0</v>
      </c>
      <c r="BW463" s="61"/>
      <c r="BX463" s="61"/>
      <c r="BY463" s="61"/>
      <c r="BZ463" s="61"/>
      <c r="CA463" s="45">
        <f>'Filter-old'!R534</f>
        <v>0</v>
      </c>
      <c r="CB463" s="61">
        <f>'Filter-new'!R535</f>
        <v>-38400</v>
      </c>
      <c r="CC463" s="57"/>
      <c r="CD463" s="58"/>
      <c r="CE463" s="57"/>
      <c r="CF463" s="57"/>
      <c r="CG463" s="4"/>
    </row>
    <row r="464" spans="1:85" hidden="1" x14ac:dyDescent="0.2">
      <c r="A464">
        <v>0</v>
      </c>
      <c r="B464" s="59">
        <v>38231</v>
      </c>
      <c r="C464" s="59">
        <f t="shared" si="64"/>
        <v>38231</v>
      </c>
      <c r="D464" s="60">
        <f t="shared" si="61"/>
        <v>2004</v>
      </c>
      <c r="E464" s="60">
        <f>VLOOKUP($C464,calendar!$A$2:$D$121,4,FALSE)</f>
        <v>336</v>
      </c>
      <c r="F464" s="60"/>
      <c r="G464" s="36">
        <f t="shared" si="65"/>
        <v>28616</v>
      </c>
      <c r="H464" s="36">
        <f t="shared" si="66"/>
        <v>9407</v>
      </c>
      <c r="I464" s="36"/>
      <c r="J464" s="41"/>
      <c r="K464" s="45">
        <f>'Filter-old'!E535</f>
        <v>28616</v>
      </c>
      <c r="L464" s="61">
        <f>'Filter-new'!E536</f>
        <v>50307</v>
      </c>
      <c r="M464" s="61"/>
      <c r="N464" s="61"/>
      <c r="O464" s="429"/>
      <c r="P464" s="61"/>
      <c r="Q464" s="45">
        <f>'Filter-old'!H535</f>
        <v>0</v>
      </c>
      <c r="R464" s="61">
        <f>'Filter-new'!H536</f>
        <v>0</v>
      </c>
      <c r="S464" s="61"/>
      <c r="T464" s="61"/>
      <c r="U464" s="445"/>
      <c r="V464" s="61"/>
      <c r="W464" s="45">
        <f>'Filter-old'!J535</f>
        <v>0</v>
      </c>
      <c r="X464" s="61">
        <f>'Filter-new'!J536</f>
        <v>0</v>
      </c>
      <c r="Y464" s="61"/>
      <c r="Z464" s="61"/>
      <c r="AA464" s="45">
        <f>'Filter-old'!F535</f>
        <v>0</v>
      </c>
      <c r="AB464" s="61">
        <f>'Filter-new'!F535</f>
        <v>0</v>
      </c>
      <c r="AC464" s="61"/>
      <c r="AD464" s="61"/>
      <c r="AE464" s="45">
        <f>'Filter-old'!P535</f>
        <v>0</v>
      </c>
      <c r="AF464" s="61">
        <f>'Filter-new'!P535</f>
        <v>0</v>
      </c>
      <c r="AG464" s="61"/>
      <c r="AH464" s="61"/>
      <c r="AI464" s="45">
        <f>'Filter-old'!L535</f>
        <v>0</v>
      </c>
      <c r="AJ464" s="61">
        <f>'Filter-new'!L535</f>
        <v>0</v>
      </c>
      <c r="AK464" s="61"/>
      <c r="AL464" s="61"/>
      <c r="AM464" s="61"/>
      <c r="AN464" s="61"/>
      <c r="AO464" s="45">
        <f>'Filter-old'!G535</f>
        <v>0</v>
      </c>
      <c r="AP464" s="61">
        <f>'Filter-new'!G536</f>
        <v>0</v>
      </c>
      <c r="AQ464" s="61"/>
      <c r="AR464" s="61"/>
      <c r="AS464" s="45"/>
      <c r="AT464" s="61"/>
      <c r="AU464" s="61"/>
      <c r="AV464" s="61"/>
      <c r="AW464" s="45">
        <f>'Filter-old'!I535</f>
        <v>0</v>
      </c>
      <c r="AX464" s="61">
        <f>'Filter-new'!I536</f>
        <v>0</v>
      </c>
      <c r="AY464" s="61"/>
      <c r="AZ464" s="61"/>
      <c r="BA464" s="61"/>
      <c r="BB464" s="61"/>
      <c r="BC464" s="45">
        <f>'Filter-old'!K535</f>
        <v>0</v>
      </c>
      <c r="BD464" s="61">
        <f>'Filter-new'!K536</f>
        <v>0</v>
      </c>
      <c r="BE464" s="61"/>
      <c r="BF464" s="61"/>
      <c r="BG464" s="45">
        <f>'Filter-old'!M535</f>
        <v>0</v>
      </c>
      <c r="BH464" s="61"/>
      <c r="BI464" s="61"/>
      <c r="BJ464" s="61">
        <f>'Filter-new'!M535</f>
        <v>0</v>
      </c>
      <c r="BK464" s="61"/>
      <c r="BL464" s="61"/>
      <c r="BM464" s="61"/>
      <c r="BN464" s="406"/>
      <c r="BO464" s="61"/>
      <c r="BP464" s="61"/>
      <c r="BQ464" s="45">
        <f>'Filter-old'!O535</f>
        <v>0</v>
      </c>
      <c r="BR464" s="61">
        <f>'Filter-new'!O536</f>
        <v>0</v>
      </c>
      <c r="BS464" s="61"/>
      <c r="BT464" s="61"/>
      <c r="BU464" s="45">
        <f>'Filter-old'!Q535</f>
        <v>0</v>
      </c>
      <c r="BV464" s="61">
        <f>'Filter-new'!Q536</f>
        <v>0</v>
      </c>
      <c r="BW464" s="61"/>
      <c r="BX464" s="61"/>
      <c r="BY464" s="61"/>
      <c r="BZ464" s="61"/>
      <c r="CA464" s="45">
        <f>'Filter-old'!R535</f>
        <v>0</v>
      </c>
      <c r="CB464" s="61">
        <f>'Filter-new'!R536</f>
        <v>-40900</v>
      </c>
      <c r="CC464" s="57"/>
      <c r="CD464" s="58"/>
      <c r="CE464" s="57"/>
      <c r="CF464" s="57"/>
      <c r="CG464" s="4"/>
    </row>
    <row r="465" spans="1:85" hidden="1" x14ac:dyDescent="0.2">
      <c r="A465">
        <v>0</v>
      </c>
      <c r="B465" s="59">
        <v>38261</v>
      </c>
      <c r="C465" s="59">
        <f t="shared" si="64"/>
        <v>38261</v>
      </c>
      <c r="D465" s="60">
        <f t="shared" si="61"/>
        <v>2004</v>
      </c>
      <c r="E465" s="60">
        <f>VLOOKUP($C465,calendar!$A$2:$D$121,4,FALSE)</f>
        <v>336</v>
      </c>
      <c r="F465" s="60"/>
      <c r="G465" s="36">
        <f t="shared" si="65"/>
        <v>28032</v>
      </c>
      <c r="H465" s="36">
        <f t="shared" si="66"/>
        <v>8832</v>
      </c>
      <c r="I465" s="36"/>
      <c r="J465" s="41"/>
      <c r="K465" s="45">
        <f>'Filter-old'!E536</f>
        <v>28032</v>
      </c>
      <c r="L465" s="61">
        <f>'Filter-new'!E537</f>
        <v>47232</v>
      </c>
      <c r="M465" s="61"/>
      <c r="N465" s="61"/>
      <c r="O465" s="429"/>
      <c r="P465" s="61"/>
      <c r="Q465" s="45">
        <f>'Filter-old'!H536</f>
        <v>0</v>
      </c>
      <c r="R465" s="61">
        <f>'Filter-new'!H537</f>
        <v>0</v>
      </c>
      <c r="S465" s="61"/>
      <c r="T465" s="61"/>
      <c r="U465" s="445"/>
      <c r="V465" s="61"/>
      <c r="W465" s="45">
        <f>'Filter-old'!J536</f>
        <v>0</v>
      </c>
      <c r="X465" s="61">
        <f>'Filter-new'!J537</f>
        <v>0</v>
      </c>
      <c r="Y465" s="61"/>
      <c r="Z465" s="61"/>
      <c r="AA465" s="45">
        <f>'Filter-old'!F536</f>
        <v>0</v>
      </c>
      <c r="AB465" s="61">
        <f>'Filter-new'!F536</f>
        <v>0</v>
      </c>
      <c r="AC465" s="61"/>
      <c r="AD465" s="61"/>
      <c r="AE465" s="45">
        <f>'Filter-old'!P536</f>
        <v>0</v>
      </c>
      <c r="AF465" s="61">
        <f>'Filter-new'!P536</f>
        <v>0</v>
      </c>
      <c r="AG465" s="61"/>
      <c r="AH465" s="61"/>
      <c r="AI465" s="45">
        <f>'Filter-old'!L536</f>
        <v>0</v>
      </c>
      <c r="AJ465" s="61">
        <f>'Filter-new'!L536</f>
        <v>0</v>
      </c>
      <c r="AK465" s="61"/>
      <c r="AL465" s="61"/>
      <c r="AM465" s="61"/>
      <c r="AN465" s="61"/>
      <c r="AO465" s="45">
        <f>'Filter-old'!G536</f>
        <v>0</v>
      </c>
      <c r="AP465" s="61">
        <f>'Filter-new'!G537</f>
        <v>0</v>
      </c>
      <c r="AQ465" s="61"/>
      <c r="AR465" s="61"/>
      <c r="AS465" s="45"/>
      <c r="AT465" s="61"/>
      <c r="AU465" s="61"/>
      <c r="AV465" s="61"/>
      <c r="AW465" s="45">
        <f>'Filter-old'!I536</f>
        <v>0</v>
      </c>
      <c r="AX465" s="61">
        <f>'Filter-new'!I537</f>
        <v>0</v>
      </c>
      <c r="AY465" s="61"/>
      <c r="AZ465" s="61"/>
      <c r="BA465" s="61"/>
      <c r="BB465" s="61"/>
      <c r="BC465" s="45">
        <f>'Filter-old'!K536</f>
        <v>0</v>
      </c>
      <c r="BD465" s="61">
        <f>'Filter-new'!K537</f>
        <v>0</v>
      </c>
      <c r="BE465" s="61"/>
      <c r="BF465" s="61"/>
      <c r="BG465" s="45">
        <f>'Filter-old'!M536</f>
        <v>0</v>
      </c>
      <c r="BH465" s="61"/>
      <c r="BI465" s="61"/>
      <c r="BJ465" s="61">
        <f>'Filter-new'!M536</f>
        <v>0</v>
      </c>
      <c r="BK465" s="61"/>
      <c r="BL465" s="61"/>
      <c r="BM465" s="61"/>
      <c r="BN465" s="406"/>
      <c r="BO465" s="61"/>
      <c r="BP465" s="61"/>
      <c r="BQ465" s="45">
        <f>'Filter-old'!O536</f>
        <v>0</v>
      </c>
      <c r="BR465" s="61">
        <f>'Filter-new'!O537</f>
        <v>0</v>
      </c>
      <c r="BS465" s="61"/>
      <c r="BT465" s="61"/>
      <c r="BU465" s="45">
        <f>'Filter-old'!Q536</f>
        <v>0</v>
      </c>
      <c r="BV465" s="61">
        <f>'Filter-new'!Q537</f>
        <v>0</v>
      </c>
      <c r="BW465" s="61"/>
      <c r="BX465" s="61"/>
      <c r="BY465" s="61"/>
      <c r="BZ465" s="61"/>
      <c r="CA465" s="45">
        <f>'Filter-old'!R536</f>
        <v>0</v>
      </c>
      <c r="CB465" s="61">
        <f>'Filter-new'!R537</f>
        <v>-38400</v>
      </c>
      <c r="CC465" s="57"/>
      <c r="CD465" s="58"/>
      <c r="CE465" s="57"/>
      <c r="CF465" s="57"/>
      <c r="CG465" s="4"/>
    </row>
    <row r="466" spans="1:85" hidden="1" x14ac:dyDescent="0.2">
      <c r="A466">
        <v>0</v>
      </c>
      <c r="B466" s="59">
        <v>38292</v>
      </c>
      <c r="C466" s="59">
        <f t="shared" si="64"/>
        <v>38292</v>
      </c>
      <c r="D466" s="60">
        <f t="shared" si="61"/>
        <v>2004</v>
      </c>
      <c r="E466" s="60">
        <f>VLOOKUP($C466,calendar!$A$2:$D$121,4,FALSE)</f>
        <v>336</v>
      </c>
      <c r="F466" s="60"/>
      <c r="G466" s="36">
        <f t="shared" si="65"/>
        <v>29857</v>
      </c>
      <c r="H466" s="36">
        <f t="shared" si="66"/>
        <v>8648</v>
      </c>
      <c r="I466" s="36"/>
      <c r="J466" s="41"/>
      <c r="K466" s="45">
        <f>'Filter-old'!E537</f>
        <v>29857</v>
      </c>
      <c r="L466" s="61">
        <f>'Filter-new'!E538</f>
        <v>46248</v>
      </c>
      <c r="M466" s="61"/>
      <c r="N466" s="61"/>
      <c r="O466" s="429"/>
      <c r="P466" s="61"/>
      <c r="Q466" s="45">
        <f>'Filter-old'!H537</f>
        <v>0</v>
      </c>
      <c r="R466" s="61">
        <f>'Filter-new'!H538</f>
        <v>0</v>
      </c>
      <c r="S466" s="61"/>
      <c r="T466" s="61"/>
      <c r="U466" s="445"/>
      <c r="V466" s="61"/>
      <c r="W466" s="45">
        <f>'Filter-old'!J537</f>
        <v>0</v>
      </c>
      <c r="X466" s="61">
        <f>'Filter-new'!J538</f>
        <v>0</v>
      </c>
      <c r="Y466" s="61"/>
      <c r="Z466" s="61"/>
      <c r="AA466" s="45">
        <f>'Filter-old'!F537</f>
        <v>0</v>
      </c>
      <c r="AB466" s="61">
        <f>'Filter-new'!F537</f>
        <v>0</v>
      </c>
      <c r="AC466" s="61"/>
      <c r="AD466" s="61"/>
      <c r="AE466" s="45">
        <f>'Filter-old'!P537</f>
        <v>0</v>
      </c>
      <c r="AF466" s="61">
        <f>'Filter-new'!P537</f>
        <v>0</v>
      </c>
      <c r="AG466" s="61"/>
      <c r="AH466" s="61"/>
      <c r="AI466" s="45">
        <f>'Filter-old'!L537</f>
        <v>0</v>
      </c>
      <c r="AJ466" s="61">
        <f>'Filter-new'!L537</f>
        <v>0</v>
      </c>
      <c r="AK466" s="61"/>
      <c r="AL466" s="61"/>
      <c r="AM466" s="61"/>
      <c r="AN466" s="61"/>
      <c r="AO466" s="45">
        <f>'Filter-old'!G537</f>
        <v>0</v>
      </c>
      <c r="AP466" s="61">
        <f>'Filter-new'!G538</f>
        <v>0</v>
      </c>
      <c r="AQ466" s="61"/>
      <c r="AR466" s="61"/>
      <c r="AS466" s="45"/>
      <c r="AT466" s="61"/>
      <c r="AU466" s="61"/>
      <c r="AV466" s="61"/>
      <c r="AW466" s="45">
        <f>'Filter-old'!I537</f>
        <v>0</v>
      </c>
      <c r="AX466" s="61">
        <f>'Filter-new'!I538</f>
        <v>0</v>
      </c>
      <c r="AY466" s="61"/>
      <c r="AZ466" s="61"/>
      <c r="BA466" s="61"/>
      <c r="BB466" s="61"/>
      <c r="BC466" s="45">
        <f>'Filter-old'!K537</f>
        <v>0</v>
      </c>
      <c r="BD466" s="61">
        <f>'Filter-new'!K538</f>
        <v>0</v>
      </c>
      <c r="BE466" s="61"/>
      <c r="BF466" s="61"/>
      <c r="BG466" s="45">
        <f>'Filter-old'!M537</f>
        <v>0</v>
      </c>
      <c r="BH466" s="61"/>
      <c r="BI466" s="61"/>
      <c r="BJ466" s="61">
        <f>'Filter-new'!M537</f>
        <v>0</v>
      </c>
      <c r="BK466" s="61"/>
      <c r="BL466" s="61"/>
      <c r="BM466" s="61"/>
      <c r="BN466" s="406"/>
      <c r="BO466" s="61"/>
      <c r="BP466" s="61"/>
      <c r="BQ466" s="45">
        <f>'Filter-old'!O537</f>
        <v>0</v>
      </c>
      <c r="BR466" s="61">
        <f>'Filter-new'!O538</f>
        <v>0</v>
      </c>
      <c r="BS466" s="61"/>
      <c r="BT466" s="61"/>
      <c r="BU466" s="45">
        <f>'Filter-old'!Q537</f>
        <v>0</v>
      </c>
      <c r="BV466" s="61">
        <f>'Filter-new'!Q538</f>
        <v>0</v>
      </c>
      <c r="BW466" s="61"/>
      <c r="BX466" s="61"/>
      <c r="BY466" s="61"/>
      <c r="BZ466" s="61"/>
      <c r="CA466" s="45">
        <f>'Filter-old'!R537</f>
        <v>0</v>
      </c>
      <c r="CB466" s="61">
        <f>'Filter-new'!R538</f>
        <v>-37600</v>
      </c>
      <c r="CC466" s="57"/>
      <c r="CD466" s="58"/>
      <c r="CE466" s="57"/>
      <c r="CF466" s="57"/>
      <c r="CG466" s="4"/>
    </row>
    <row r="467" spans="1:85" hidden="1" x14ac:dyDescent="0.2">
      <c r="A467">
        <v>0</v>
      </c>
      <c r="B467" s="59">
        <v>38322</v>
      </c>
      <c r="C467" s="59">
        <f t="shared" si="64"/>
        <v>38322</v>
      </c>
      <c r="D467" s="60">
        <f t="shared" si="61"/>
        <v>2004</v>
      </c>
      <c r="E467" s="60">
        <f>VLOOKUP($C467,calendar!$A$2:$D$121,4,FALSE)</f>
        <v>368</v>
      </c>
      <c r="F467" s="60"/>
      <c r="G467" s="36">
        <f t="shared" si="65"/>
        <v>28032</v>
      </c>
      <c r="H467" s="36">
        <f t="shared" si="66"/>
        <v>70584</v>
      </c>
      <c r="I467" s="36"/>
      <c r="J467" s="41"/>
      <c r="K467" s="45">
        <f>'Filter-old'!E538</f>
        <v>28032</v>
      </c>
      <c r="L467" s="61">
        <f>'Filter-new'!E539</f>
        <v>70584</v>
      </c>
      <c r="M467" s="61"/>
      <c r="N467" s="61"/>
      <c r="O467" s="429"/>
      <c r="P467" s="61"/>
      <c r="Q467" s="45">
        <f>'Filter-old'!H538</f>
        <v>0</v>
      </c>
      <c r="R467" s="61">
        <f>'Filter-new'!H539</f>
        <v>0</v>
      </c>
      <c r="S467" s="61"/>
      <c r="T467" s="61"/>
      <c r="U467" s="445"/>
      <c r="V467" s="61"/>
      <c r="W467" s="45">
        <f>'Filter-old'!J538</f>
        <v>0</v>
      </c>
      <c r="X467" s="61">
        <f>'Filter-new'!J539</f>
        <v>0</v>
      </c>
      <c r="Y467" s="61"/>
      <c r="Z467" s="61"/>
      <c r="AA467" s="45">
        <f>'Filter-old'!F538</f>
        <v>0</v>
      </c>
      <c r="AB467" s="61">
        <f>'Filter-new'!F538</f>
        <v>0</v>
      </c>
      <c r="AC467" s="61"/>
      <c r="AD467" s="61"/>
      <c r="AE467" s="45">
        <f>'Filter-old'!P538</f>
        <v>0</v>
      </c>
      <c r="AF467" s="61">
        <f>'Filter-new'!P538</f>
        <v>0</v>
      </c>
      <c r="AG467" s="61"/>
      <c r="AH467" s="61"/>
      <c r="AI467" s="45">
        <f>'Filter-old'!L538</f>
        <v>0</v>
      </c>
      <c r="AJ467" s="61">
        <f>'Filter-new'!L538</f>
        <v>0</v>
      </c>
      <c r="AK467" s="61"/>
      <c r="AL467" s="61"/>
      <c r="AM467" s="61"/>
      <c r="AN467" s="61"/>
      <c r="AO467" s="45">
        <f>'Filter-old'!G538</f>
        <v>0</v>
      </c>
      <c r="AP467" s="61">
        <f>'Filter-new'!G539</f>
        <v>0</v>
      </c>
      <c r="AQ467" s="61"/>
      <c r="AR467" s="61"/>
      <c r="AS467" s="45"/>
      <c r="AT467" s="61"/>
      <c r="AU467" s="61"/>
      <c r="AV467" s="61"/>
      <c r="AW467" s="45">
        <f>'Filter-old'!I538</f>
        <v>0</v>
      </c>
      <c r="AX467" s="61">
        <f>'Filter-new'!I539</f>
        <v>0</v>
      </c>
      <c r="AY467" s="61"/>
      <c r="AZ467" s="61"/>
      <c r="BA467" s="61"/>
      <c r="BB467" s="61"/>
      <c r="BC467" s="45">
        <f>'Filter-old'!K538</f>
        <v>0</v>
      </c>
      <c r="BD467" s="61">
        <f>'Filter-new'!K539</f>
        <v>0</v>
      </c>
      <c r="BE467" s="61"/>
      <c r="BF467" s="61"/>
      <c r="BG467" s="45">
        <f>'Filter-old'!M538</f>
        <v>0</v>
      </c>
      <c r="BH467" s="61"/>
      <c r="BI467" s="61"/>
      <c r="BJ467" s="61">
        <f>'Filter-new'!M538</f>
        <v>0</v>
      </c>
      <c r="BK467" s="61"/>
      <c r="BL467" s="61"/>
      <c r="BM467" s="61"/>
      <c r="BN467" s="406"/>
      <c r="BO467" s="61"/>
      <c r="BP467" s="61"/>
      <c r="BQ467" s="45">
        <f>'Filter-old'!O538</f>
        <v>0</v>
      </c>
      <c r="BR467" s="61">
        <f>'Filter-new'!O539</f>
        <v>0</v>
      </c>
      <c r="BS467" s="61"/>
      <c r="BT467" s="61"/>
      <c r="BU467" s="45">
        <f>'Filter-old'!Q538</f>
        <v>0</v>
      </c>
      <c r="BV467" s="61">
        <f>'Filter-new'!Q539</f>
        <v>0</v>
      </c>
      <c r="BW467" s="61"/>
      <c r="BX467" s="61"/>
      <c r="BY467" s="61"/>
      <c r="BZ467" s="61"/>
      <c r="CA467" s="45">
        <f>'Filter-old'!R538</f>
        <v>0</v>
      </c>
      <c r="CB467" s="61">
        <f>'Filter-new'!R539</f>
        <v>0</v>
      </c>
      <c r="CC467" s="57"/>
      <c r="CD467" s="58"/>
      <c r="CE467" s="57"/>
      <c r="CF467" s="57"/>
      <c r="CG467" s="4"/>
    </row>
    <row r="468" spans="1:85" hidden="1" x14ac:dyDescent="0.2">
      <c r="A468">
        <v>0</v>
      </c>
      <c r="B468" s="59">
        <v>38353</v>
      </c>
      <c r="C468" s="59">
        <f t="shared" si="64"/>
        <v>38353</v>
      </c>
      <c r="D468" s="60">
        <f t="shared" si="61"/>
        <v>2005</v>
      </c>
      <c r="E468" s="60">
        <f>VLOOKUP($C468,calendar!$A$2:$D$121,4,FALSE)</f>
        <v>336</v>
      </c>
      <c r="F468" s="60"/>
      <c r="G468" s="36">
        <f t="shared" si="65"/>
        <v>27448</v>
      </c>
      <c r="H468" s="36">
        <f t="shared" si="66"/>
        <v>60896</v>
      </c>
      <c r="I468" s="36"/>
      <c r="J468" s="41"/>
      <c r="K468" s="45">
        <f>'Filter-old'!E539</f>
        <v>27448</v>
      </c>
      <c r="L468" s="61">
        <f>'Filter-new'!E540</f>
        <v>60896</v>
      </c>
      <c r="M468" s="61"/>
      <c r="N468" s="61"/>
      <c r="O468" s="429"/>
      <c r="P468" s="61"/>
      <c r="Q468" s="45">
        <f>'Filter-old'!H539</f>
        <v>0</v>
      </c>
      <c r="R468" s="61">
        <f>'Filter-new'!H540</f>
        <v>0</v>
      </c>
      <c r="S468" s="61"/>
      <c r="T468" s="61"/>
      <c r="U468" s="445"/>
      <c r="V468" s="61"/>
      <c r="W468" s="45">
        <f>'Filter-old'!J539</f>
        <v>0</v>
      </c>
      <c r="X468" s="61">
        <f>'Filter-new'!J540</f>
        <v>0</v>
      </c>
      <c r="Y468" s="61"/>
      <c r="Z468" s="61"/>
      <c r="AA468" s="45">
        <f>'Filter-old'!F539</f>
        <v>0</v>
      </c>
      <c r="AB468" s="61">
        <f>'Filter-new'!F539</f>
        <v>0</v>
      </c>
      <c r="AC468" s="61"/>
      <c r="AD468" s="61"/>
      <c r="AE468" s="45">
        <f>'Filter-old'!P539</f>
        <v>0</v>
      </c>
      <c r="AF468" s="61">
        <f>'Filter-new'!P539</f>
        <v>0</v>
      </c>
      <c r="AG468" s="61"/>
      <c r="AH468" s="61"/>
      <c r="AI468" s="45">
        <f>'Filter-old'!L539</f>
        <v>0</v>
      </c>
      <c r="AJ468" s="61">
        <f>'Filter-new'!L539</f>
        <v>0</v>
      </c>
      <c r="AK468" s="61"/>
      <c r="AL468" s="61"/>
      <c r="AM468" s="61"/>
      <c r="AN468" s="61"/>
      <c r="AO468" s="45">
        <f>'Filter-old'!G539</f>
        <v>0</v>
      </c>
      <c r="AP468" s="61">
        <f>'Filter-new'!G540</f>
        <v>0</v>
      </c>
      <c r="AQ468" s="61"/>
      <c r="AR468" s="61"/>
      <c r="AS468" s="45"/>
      <c r="AT468" s="61"/>
      <c r="AU468" s="61"/>
      <c r="AV468" s="61"/>
      <c r="AW468" s="45">
        <f>'Filter-old'!I539</f>
        <v>0</v>
      </c>
      <c r="AX468" s="61">
        <f>'Filter-new'!I540</f>
        <v>0</v>
      </c>
      <c r="AY468" s="61"/>
      <c r="AZ468" s="61"/>
      <c r="BA468" s="61"/>
      <c r="BB468" s="61"/>
      <c r="BC468" s="45">
        <f>'Filter-old'!K539</f>
        <v>0</v>
      </c>
      <c r="BD468" s="61">
        <f>'Filter-new'!K540</f>
        <v>0</v>
      </c>
      <c r="BE468" s="61"/>
      <c r="BF468" s="61"/>
      <c r="BG468" s="45">
        <f>'Filter-old'!M539</f>
        <v>0</v>
      </c>
      <c r="BH468" s="61"/>
      <c r="BI468" s="61"/>
      <c r="BJ468" s="61">
        <f>'Filter-new'!M539</f>
        <v>0</v>
      </c>
      <c r="BK468" s="61"/>
      <c r="BL468" s="61"/>
      <c r="BM468" s="61"/>
      <c r="BN468" s="406"/>
      <c r="BO468" s="61"/>
      <c r="BP468" s="61"/>
      <c r="BQ468" s="45">
        <f>'Filter-old'!O539</f>
        <v>0</v>
      </c>
      <c r="BR468" s="61">
        <f>'Filter-new'!O540</f>
        <v>0</v>
      </c>
      <c r="BS468" s="61"/>
      <c r="BT468" s="61"/>
      <c r="BU468" s="45">
        <f>'Filter-old'!Q539</f>
        <v>0</v>
      </c>
      <c r="BV468" s="61">
        <f>'Filter-new'!Q540</f>
        <v>0</v>
      </c>
      <c r="BW468" s="61"/>
      <c r="BX468" s="61"/>
      <c r="BY468" s="61"/>
      <c r="BZ468" s="61"/>
      <c r="CA468" s="45">
        <f>'Filter-old'!R539</f>
        <v>0</v>
      </c>
      <c r="CB468" s="61">
        <f>'Filter-new'!R540</f>
        <v>0</v>
      </c>
      <c r="CC468" s="57"/>
      <c r="CD468" s="58"/>
      <c r="CE468" s="57"/>
      <c r="CF468" s="57"/>
      <c r="CG468" s="4"/>
    </row>
    <row r="469" spans="1:85" hidden="1" x14ac:dyDescent="0.2">
      <c r="A469">
        <v>0</v>
      </c>
      <c r="B469" s="59">
        <v>38384</v>
      </c>
      <c r="C469" s="59">
        <f t="shared" si="64"/>
        <v>38384</v>
      </c>
      <c r="D469" s="60">
        <f t="shared" si="61"/>
        <v>2005</v>
      </c>
      <c r="E469" s="60">
        <f>VLOOKUP($C469,calendar!$A$2:$D$121,4,FALSE)</f>
        <v>320</v>
      </c>
      <c r="F469" s="60"/>
      <c r="G469" s="36">
        <f t="shared" si="65"/>
        <v>70584</v>
      </c>
      <c r="H469" s="36">
        <f t="shared" si="66"/>
        <v>65048</v>
      </c>
      <c r="I469" s="36"/>
      <c r="J469" s="41"/>
      <c r="K469" s="45">
        <f>'Filter-old'!E540</f>
        <v>70584</v>
      </c>
      <c r="L469" s="61">
        <f>'Filter-new'!E541</f>
        <v>65048</v>
      </c>
      <c r="M469" s="61"/>
      <c r="N469" s="61"/>
      <c r="O469" s="429"/>
      <c r="P469" s="61"/>
      <c r="Q469" s="45">
        <f>'Filter-old'!H540</f>
        <v>0</v>
      </c>
      <c r="R469" s="61">
        <f>'Filter-new'!H541</f>
        <v>0</v>
      </c>
      <c r="S469" s="61"/>
      <c r="T469" s="61"/>
      <c r="U469" s="445"/>
      <c r="V469" s="61"/>
      <c r="W469" s="45">
        <f>'Filter-old'!J540</f>
        <v>0</v>
      </c>
      <c r="X469" s="61">
        <f>'Filter-new'!J541</f>
        <v>0</v>
      </c>
      <c r="Y469" s="61"/>
      <c r="Z469" s="61"/>
      <c r="AA469" s="45">
        <f>'Filter-old'!F540</f>
        <v>0</v>
      </c>
      <c r="AB469" s="61">
        <f>'Filter-new'!F540</f>
        <v>0</v>
      </c>
      <c r="AC469" s="61"/>
      <c r="AD469" s="61"/>
      <c r="AE469" s="45">
        <f>'Filter-old'!P540</f>
        <v>0</v>
      </c>
      <c r="AF469" s="61">
        <f>'Filter-new'!P540</f>
        <v>0</v>
      </c>
      <c r="AG469" s="61"/>
      <c r="AH469" s="61"/>
      <c r="AI469" s="45">
        <f>'Filter-old'!L540</f>
        <v>0</v>
      </c>
      <c r="AJ469" s="61">
        <f>'Filter-new'!L540</f>
        <v>0</v>
      </c>
      <c r="AK469" s="61"/>
      <c r="AL469" s="61"/>
      <c r="AM469" s="61"/>
      <c r="AN469" s="61"/>
      <c r="AO469" s="45">
        <f>'Filter-old'!G540</f>
        <v>0</v>
      </c>
      <c r="AP469" s="61">
        <f>'Filter-new'!G541</f>
        <v>0</v>
      </c>
      <c r="AQ469" s="61"/>
      <c r="AR469" s="61"/>
      <c r="AS469" s="45"/>
      <c r="AT469" s="61"/>
      <c r="AU469" s="61"/>
      <c r="AV469" s="61"/>
      <c r="AW469" s="45">
        <f>'Filter-old'!I540</f>
        <v>0</v>
      </c>
      <c r="AX469" s="61">
        <f>'Filter-new'!I541</f>
        <v>0</v>
      </c>
      <c r="AY469" s="61"/>
      <c r="AZ469" s="61"/>
      <c r="BA469" s="61"/>
      <c r="BB469" s="61"/>
      <c r="BC469" s="45">
        <f>'Filter-old'!K540</f>
        <v>0</v>
      </c>
      <c r="BD469" s="61">
        <f>'Filter-new'!K541</f>
        <v>0</v>
      </c>
      <c r="BE469" s="61"/>
      <c r="BF469" s="61"/>
      <c r="BG469" s="45">
        <f>'Filter-old'!M540</f>
        <v>0</v>
      </c>
      <c r="BH469" s="61"/>
      <c r="BI469" s="61"/>
      <c r="BJ469" s="61">
        <f>'Filter-new'!M540</f>
        <v>0</v>
      </c>
      <c r="BK469" s="61"/>
      <c r="BL469" s="61"/>
      <c r="BM469" s="61"/>
      <c r="BN469" s="406"/>
      <c r="BO469" s="61"/>
      <c r="BP469" s="61"/>
      <c r="BQ469" s="45">
        <f>'Filter-old'!O540</f>
        <v>0</v>
      </c>
      <c r="BR469" s="61">
        <f>'Filter-new'!O541</f>
        <v>0</v>
      </c>
      <c r="BS469" s="61"/>
      <c r="BT469" s="61"/>
      <c r="BU469" s="45">
        <f>'Filter-old'!Q540</f>
        <v>0</v>
      </c>
      <c r="BV469" s="61">
        <f>'Filter-new'!Q541</f>
        <v>0</v>
      </c>
      <c r="BW469" s="61"/>
      <c r="BX469" s="61"/>
      <c r="BY469" s="61"/>
      <c r="BZ469" s="61"/>
      <c r="CA469" s="45">
        <f>'Filter-old'!R540</f>
        <v>0</v>
      </c>
      <c r="CB469" s="61">
        <f>'Filter-new'!R541</f>
        <v>0</v>
      </c>
      <c r="CC469" s="57"/>
      <c r="CD469" s="58"/>
      <c r="CE469" s="57"/>
      <c r="CF469" s="57"/>
      <c r="CG469" s="4"/>
    </row>
    <row r="470" spans="1:85" hidden="1" x14ac:dyDescent="0.2">
      <c r="A470">
        <v>0</v>
      </c>
      <c r="B470" s="59">
        <v>38412</v>
      </c>
      <c r="C470" s="59">
        <f t="shared" si="64"/>
        <v>38412</v>
      </c>
      <c r="D470" s="60">
        <f t="shared" si="61"/>
        <v>2005</v>
      </c>
      <c r="E470" s="60">
        <f>VLOOKUP($C470,calendar!$A$2:$D$121,4,FALSE)</f>
        <v>368</v>
      </c>
      <c r="F470" s="60"/>
      <c r="G470" s="36">
        <f t="shared" si="65"/>
        <v>60896</v>
      </c>
      <c r="H470" s="36">
        <f t="shared" si="66"/>
        <v>66259</v>
      </c>
      <c r="I470" s="36"/>
      <c r="J470" s="41"/>
      <c r="K470" s="45">
        <f>'Filter-old'!E541</f>
        <v>60896</v>
      </c>
      <c r="L470" s="61">
        <f>'Filter-new'!E542</f>
        <v>66259</v>
      </c>
      <c r="M470" s="61"/>
      <c r="N470" s="61"/>
      <c r="O470" s="429"/>
      <c r="P470" s="61"/>
      <c r="Q470" s="45">
        <f>'Filter-old'!H541</f>
        <v>0</v>
      </c>
      <c r="R470" s="61">
        <f>'Filter-new'!H542</f>
        <v>0</v>
      </c>
      <c r="S470" s="61"/>
      <c r="T470" s="61"/>
      <c r="U470" s="445"/>
      <c r="V470" s="61"/>
      <c r="W470" s="45">
        <f>'Filter-old'!J541</f>
        <v>0</v>
      </c>
      <c r="X470" s="61">
        <f>'Filter-new'!J542</f>
        <v>0</v>
      </c>
      <c r="Y470" s="61"/>
      <c r="Z470" s="61"/>
      <c r="AA470" s="45">
        <f>'Filter-old'!F541</f>
        <v>0</v>
      </c>
      <c r="AB470" s="61">
        <f>'Filter-new'!F541</f>
        <v>0</v>
      </c>
      <c r="AC470" s="61"/>
      <c r="AD470" s="61"/>
      <c r="AE470" s="45">
        <f>'Filter-old'!P541</f>
        <v>0</v>
      </c>
      <c r="AF470" s="61">
        <f>'Filter-new'!P541</f>
        <v>0</v>
      </c>
      <c r="AG470" s="61"/>
      <c r="AH470" s="61"/>
      <c r="AI470" s="45">
        <f>'Filter-old'!L541</f>
        <v>0</v>
      </c>
      <c r="AJ470" s="61">
        <f>'Filter-new'!L541</f>
        <v>0</v>
      </c>
      <c r="AK470" s="61"/>
      <c r="AL470" s="61"/>
      <c r="AM470" s="61"/>
      <c r="AN470" s="61"/>
      <c r="AO470" s="45">
        <f>'Filter-old'!G541</f>
        <v>0</v>
      </c>
      <c r="AP470" s="61">
        <f>'Filter-new'!G542</f>
        <v>0</v>
      </c>
      <c r="AQ470" s="61"/>
      <c r="AR470" s="61"/>
      <c r="AS470" s="45"/>
      <c r="AT470" s="61"/>
      <c r="AU470" s="61"/>
      <c r="AV470" s="61"/>
      <c r="AW470" s="45">
        <f>'Filter-old'!I541</f>
        <v>0</v>
      </c>
      <c r="AX470" s="61">
        <f>'Filter-new'!I542</f>
        <v>0</v>
      </c>
      <c r="AY470" s="61"/>
      <c r="AZ470" s="61"/>
      <c r="BA470" s="61"/>
      <c r="BB470" s="61"/>
      <c r="BC470" s="45">
        <f>'Filter-old'!K541</f>
        <v>0</v>
      </c>
      <c r="BD470" s="61">
        <f>'Filter-new'!K542</f>
        <v>0</v>
      </c>
      <c r="BE470" s="61"/>
      <c r="BF470" s="61"/>
      <c r="BG470" s="45">
        <f>'Filter-old'!M541</f>
        <v>0</v>
      </c>
      <c r="BH470" s="61"/>
      <c r="BI470" s="61"/>
      <c r="BJ470" s="61">
        <f>'Filter-new'!M541</f>
        <v>0</v>
      </c>
      <c r="BK470" s="61"/>
      <c r="BL470" s="61"/>
      <c r="BM470" s="61"/>
      <c r="BN470" s="406"/>
      <c r="BO470" s="61"/>
      <c r="BP470" s="61"/>
      <c r="BQ470" s="45">
        <f>'Filter-old'!O541</f>
        <v>0</v>
      </c>
      <c r="BR470" s="61">
        <f>'Filter-new'!O542</f>
        <v>0</v>
      </c>
      <c r="BS470" s="61"/>
      <c r="BT470" s="61"/>
      <c r="BU470" s="45">
        <f>'Filter-old'!Q541</f>
        <v>0</v>
      </c>
      <c r="BV470" s="61">
        <f>'Filter-new'!Q542</f>
        <v>0</v>
      </c>
      <c r="BW470" s="61"/>
      <c r="BX470" s="61"/>
      <c r="BY470" s="61"/>
      <c r="BZ470" s="61"/>
      <c r="CA470" s="45">
        <f>'Filter-old'!R541</f>
        <v>0</v>
      </c>
      <c r="CB470" s="61">
        <f>'Filter-new'!R542</f>
        <v>0</v>
      </c>
      <c r="CC470" s="57"/>
      <c r="CD470" s="58"/>
      <c r="CE470" s="57"/>
      <c r="CF470" s="57"/>
      <c r="CG470" s="4"/>
    </row>
    <row r="471" spans="1:85" hidden="1" x14ac:dyDescent="0.2">
      <c r="A471">
        <v>0</v>
      </c>
      <c r="B471" s="59">
        <v>38443</v>
      </c>
      <c r="C471" s="59">
        <f t="shared" si="64"/>
        <v>38443</v>
      </c>
      <c r="D471" s="60">
        <f t="shared" si="61"/>
        <v>2005</v>
      </c>
      <c r="E471" s="60">
        <f>VLOOKUP($C471,calendar!$A$2:$D$121,4,FALSE)</f>
        <v>336</v>
      </c>
      <c r="F471" s="60"/>
      <c r="G471" s="36">
        <f t="shared" si="65"/>
        <v>65048</v>
      </c>
      <c r="H471" s="36">
        <f t="shared" si="66"/>
        <v>70584</v>
      </c>
      <c r="I471" s="36"/>
      <c r="J471" s="41"/>
      <c r="K471" s="45">
        <f>'Filter-old'!E542</f>
        <v>65048</v>
      </c>
      <c r="L471" s="61">
        <f>'Filter-new'!E543</f>
        <v>70584</v>
      </c>
      <c r="M471" s="61"/>
      <c r="N471" s="61"/>
      <c r="O471" s="429"/>
      <c r="P471" s="61"/>
      <c r="Q471" s="45">
        <f>'Filter-old'!H542</f>
        <v>0</v>
      </c>
      <c r="R471" s="61">
        <f>'Filter-new'!H543</f>
        <v>0</v>
      </c>
      <c r="S471" s="61"/>
      <c r="T471" s="61"/>
      <c r="U471" s="445"/>
      <c r="V471" s="61"/>
      <c r="W471" s="45">
        <f>'Filter-old'!J542</f>
        <v>0</v>
      </c>
      <c r="X471" s="61">
        <f>'Filter-new'!J543</f>
        <v>0</v>
      </c>
      <c r="Y471" s="61"/>
      <c r="Z471" s="61"/>
      <c r="AA471" s="45">
        <f>'Filter-old'!F542</f>
        <v>0</v>
      </c>
      <c r="AB471" s="61">
        <f>'Filter-new'!F542</f>
        <v>0</v>
      </c>
      <c r="AC471" s="61"/>
      <c r="AD471" s="61"/>
      <c r="AE471" s="45">
        <f>'Filter-old'!P542</f>
        <v>0</v>
      </c>
      <c r="AF471" s="61">
        <f>'Filter-new'!P542</f>
        <v>0</v>
      </c>
      <c r="AG471" s="61"/>
      <c r="AH471" s="61"/>
      <c r="AI471" s="45">
        <f>'Filter-old'!L542</f>
        <v>0</v>
      </c>
      <c r="AJ471" s="61">
        <f>'Filter-new'!L542</f>
        <v>0</v>
      </c>
      <c r="AK471" s="61"/>
      <c r="AL471" s="61"/>
      <c r="AM471" s="61"/>
      <c r="AN471" s="61"/>
      <c r="AO471" s="45">
        <f>'Filter-old'!G542</f>
        <v>0</v>
      </c>
      <c r="AP471" s="61">
        <f>'Filter-new'!G543</f>
        <v>0</v>
      </c>
      <c r="AQ471" s="61"/>
      <c r="AR471" s="61"/>
      <c r="AS471" s="45"/>
      <c r="AT471" s="61"/>
      <c r="AU471" s="61"/>
      <c r="AV471" s="61"/>
      <c r="AW471" s="45">
        <f>'Filter-old'!I542</f>
        <v>0</v>
      </c>
      <c r="AX471" s="61">
        <f>'Filter-new'!I543</f>
        <v>0</v>
      </c>
      <c r="AY471" s="61"/>
      <c r="AZ471" s="61"/>
      <c r="BA471" s="61"/>
      <c r="BB471" s="61"/>
      <c r="BC471" s="45">
        <f>'Filter-old'!K542</f>
        <v>0</v>
      </c>
      <c r="BD471" s="61">
        <f>'Filter-new'!K543</f>
        <v>0</v>
      </c>
      <c r="BE471" s="61"/>
      <c r="BF471" s="61"/>
      <c r="BG471" s="45">
        <f>'Filter-old'!M542</f>
        <v>0</v>
      </c>
      <c r="BH471" s="61"/>
      <c r="BI471" s="61"/>
      <c r="BJ471" s="61">
        <f>'Filter-new'!M542</f>
        <v>0</v>
      </c>
      <c r="BK471" s="61"/>
      <c r="BL471" s="61"/>
      <c r="BM471" s="61"/>
      <c r="BN471" s="406"/>
      <c r="BO471" s="61"/>
      <c r="BP471" s="61"/>
      <c r="BQ471" s="45">
        <f>'Filter-old'!O542</f>
        <v>0</v>
      </c>
      <c r="BR471" s="61">
        <f>'Filter-new'!O543</f>
        <v>0</v>
      </c>
      <c r="BS471" s="61"/>
      <c r="BT471" s="61"/>
      <c r="BU471" s="45">
        <f>'Filter-old'!Q542</f>
        <v>0</v>
      </c>
      <c r="BV471" s="61">
        <f>'Filter-new'!Q543</f>
        <v>0</v>
      </c>
      <c r="BW471" s="61"/>
      <c r="BX471" s="61"/>
      <c r="BY471" s="61"/>
      <c r="BZ471" s="61"/>
      <c r="CA471" s="45">
        <f>'Filter-old'!R542</f>
        <v>0</v>
      </c>
      <c r="CB471" s="61">
        <f>'Filter-new'!R543</f>
        <v>0</v>
      </c>
      <c r="CC471" s="57"/>
      <c r="CD471" s="58"/>
      <c r="CE471" s="57"/>
      <c r="CF471" s="57"/>
      <c r="CG471" s="4"/>
    </row>
    <row r="472" spans="1:85" hidden="1" x14ac:dyDescent="0.2">
      <c r="A472">
        <v>0</v>
      </c>
      <c r="B472" s="59">
        <v>38473</v>
      </c>
      <c r="C472" s="59">
        <f t="shared" si="64"/>
        <v>38473</v>
      </c>
      <c r="D472" s="60">
        <f t="shared" si="61"/>
        <v>2005</v>
      </c>
      <c r="E472" s="60">
        <f>VLOOKUP($C472,calendar!$A$2:$D$121,4,FALSE)</f>
        <v>336</v>
      </c>
      <c r="F472" s="60"/>
      <c r="G472" s="36">
        <f t="shared" si="65"/>
        <v>66259</v>
      </c>
      <c r="H472" s="36">
        <f t="shared" si="66"/>
        <v>63664</v>
      </c>
      <c r="I472" s="36"/>
      <c r="J472" s="41"/>
      <c r="K472" s="45">
        <f>'Filter-old'!E543</f>
        <v>66259</v>
      </c>
      <c r="L472" s="61">
        <f>'Filter-new'!E544</f>
        <v>63664</v>
      </c>
      <c r="M472" s="61"/>
      <c r="N472" s="61"/>
      <c r="O472" s="429"/>
      <c r="P472" s="61"/>
      <c r="Q472" s="45">
        <f>'Filter-old'!H543</f>
        <v>0</v>
      </c>
      <c r="R472" s="61">
        <f>'Filter-new'!H544</f>
        <v>0</v>
      </c>
      <c r="S472" s="61"/>
      <c r="T472" s="61"/>
      <c r="U472" s="445"/>
      <c r="V472" s="61"/>
      <c r="W472" s="45">
        <f>'Filter-old'!J543</f>
        <v>0</v>
      </c>
      <c r="X472" s="61">
        <f>'Filter-new'!J544</f>
        <v>0</v>
      </c>
      <c r="Y472" s="61"/>
      <c r="Z472" s="61"/>
      <c r="AA472" s="45">
        <f>'Filter-old'!F543</f>
        <v>0</v>
      </c>
      <c r="AB472" s="61">
        <f>'Filter-new'!F543</f>
        <v>0</v>
      </c>
      <c r="AC472" s="61"/>
      <c r="AD472" s="61"/>
      <c r="AE472" s="45">
        <f>'Filter-old'!P543</f>
        <v>0</v>
      </c>
      <c r="AF472" s="61">
        <f>'Filter-new'!P543</f>
        <v>0</v>
      </c>
      <c r="AG472" s="61"/>
      <c r="AH472" s="61"/>
      <c r="AI472" s="45">
        <f>'Filter-old'!L543</f>
        <v>0</v>
      </c>
      <c r="AJ472" s="61">
        <f>'Filter-new'!L543</f>
        <v>0</v>
      </c>
      <c r="AK472" s="61"/>
      <c r="AL472" s="61"/>
      <c r="AM472" s="61"/>
      <c r="AN472" s="61"/>
      <c r="AO472" s="45">
        <f>'Filter-old'!G543</f>
        <v>0</v>
      </c>
      <c r="AP472" s="61">
        <f>'Filter-new'!G544</f>
        <v>0</v>
      </c>
      <c r="AQ472" s="61"/>
      <c r="AR472" s="61"/>
      <c r="AS472" s="45"/>
      <c r="AT472" s="61"/>
      <c r="AU472" s="61"/>
      <c r="AV472" s="61"/>
      <c r="AW472" s="45">
        <f>'Filter-old'!I543</f>
        <v>0</v>
      </c>
      <c r="AX472" s="61">
        <f>'Filter-new'!I544</f>
        <v>0</v>
      </c>
      <c r="AY472" s="61"/>
      <c r="AZ472" s="61"/>
      <c r="BA472" s="61"/>
      <c r="BB472" s="61"/>
      <c r="BC472" s="45">
        <f>'Filter-old'!K543</f>
        <v>0</v>
      </c>
      <c r="BD472" s="61">
        <f>'Filter-new'!K544</f>
        <v>0</v>
      </c>
      <c r="BE472" s="61"/>
      <c r="BF472" s="61"/>
      <c r="BG472" s="45">
        <f>'Filter-old'!M543</f>
        <v>0</v>
      </c>
      <c r="BH472" s="61"/>
      <c r="BI472" s="61"/>
      <c r="BJ472" s="61">
        <f>'Filter-new'!M543</f>
        <v>0</v>
      </c>
      <c r="BK472" s="61"/>
      <c r="BL472" s="61"/>
      <c r="BM472" s="61"/>
      <c r="BN472" s="406"/>
      <c r="BO472" s="61"/>
      <c r="BP472" s="61"/>
      <c r="BQ472" s="45">
        <f>'Filter-old'!O543</f>
        <v>0</v>
      </c>
      <c r="BR472" s="61">
        <f>'Filter-new'!O544</f>
        <v>0</v>
      </c>
      <c r="BS472" s="61"/>
      <c r="BT472" s="61"/>
      <c r="BU472" s="45">
        <f>'Filter-old'!Q543</f>
        <v>0</v>
      </c>
      <c r="BV472" s="61">
        <f>'Filter-new'!Q544</f>
        <v>0</v>
      </c>
      <c r="BW472" s="61"/>
      <c r="BX472" s="61"/>
      <c r="BY472" s="61"/>
      <c r="BZ472" s="61"/>
      <c r="CA472" s="45">
        <f>'Filter-old'!R543</f>
        <v>0</v>
      </c>
      <c r="CB472" s="61">
        <f>'Filter-new'!R544</f>
        <v>0</v>
      </c>
      <c r="CC472" s="57"/>
      <c r="CD472" s="58"/>
      <c r="CE472" s="57"/>
      <c r="CF472" s="57"/>
      <c r="CG472" s="4"/>
    </row>
    <row r="473" spans="1:85" hidden="1" x14ac:dyDescent="0.2">
      <c r="A473">
        <v>0</v>
      </c>
      <c r="B473" s="59">
        <v>38504</v>
      </c>
      <c r="C473" s="59">
        <f t="shared" si="64"/>
        <v>38504</v>
      </c>
      <c r="D473" s="60">
        <f t="shared" si="61"/>
        <v>2005</v>
      </c>
      <c r="E473" s="60">
        <f>VLOOKUP($C473,calendar!$A$2:$D$121,4,FALSE)</f>
        <v>352</v>
      </c>
      <c r="F473" s="60"/>
      <c r="G473" s="36">
        <f t="shared" si="65"/>
        <v>70584</v>
      </c>
      <c r="H473" s="36">
        <f t="shared" si="66"/>
        <v>73352</v>
      </c>
      <c r="I473" s="36"/>
      <c r="J473" s="41"/>
      <c r="K473" s="45">
        <f>'Filter-old'!E544</f>
        <v>70584</v>
      </c>
      <c r="L473" s="61">
        <f>'Filter-new'!E545</f>
        <v>73352</v>
      </c>
      <c r="M473" s="61"/>
      <c r="N473" s="61"/>
      <c r="O473" s="429"/>
      <c r="P473" s="61"/>
      <c r="Q473" s="45">
        <f>'Filter-old'!H544</f>
        <v>0</v>
      </c>
      <c r="R473" s="61">
        <f>'Filter-new'!H545</f>
        <v>0</v>
      </c>
      <c r="S473" s="61"/>
      <c r="T473" s="61"/>
      <c r="U473" s="445"/>
      <c r="V473" s="61"/>
      <c r="W473" s="45">
        <f>'Filter-old'!J544</f>
        <v>0</v>
      </c>
      <c r="X473" s="61">
        <f>'Filter-new'!J545</f>
        <v>0</v>
      </c>
      <c r="Y473" s="61"/>
      <c r="Z473" s="61"/>
      <c r="AA473" s="45">
        <f>'Filter-old'!F544</f>
        <v>0</v>
      </c>
      <c r="AB473" s="61">
        <f>'Filter-new'!F544</f>
        <v>0</v>
      </c>
      <c r="AC473" s="61"/>
      <c r="AD473" s="61"/>
      <c r="AE473" s="45">
        <f>'Filter-old'!P544</f>
        <v>0</v>
      </c>
      <c r="AF473" s="61">
        <f>'Filter-new'!P544</f>
        <v>0</v>
      </c>
      <c r="AG473" s="61"/>
      <c r="AH473" s="61"/>
      <c r="AI473" s="45">
        <f>'Filter-old'!L544</f>
        <v>0</v>
      </c>
      <c r="AJ473" s="61">
        <f>'Filter-new'!L544</f>
        <v>0</v>
      </c>
      <c r="AK473" s="61"/>
      <c r="AL473" s="61"/>
      <c r="AM473" s="61"/>
      <c r="AN473" s="61"/>
      <c r="AO473" s="45">
        <f>'Filter-old'!G544</f>
        <v>0</v>
      </c>
      <c r="AP473" s="61">
        <f>'Filter-new'!G545</f>
        <v>0</v>
      </c>
      <c r="AQ473" s="61"/>
      <c r="AR473" s="61"/>
      <c r="AS473" s="45"/>
      <c r="AT473" s="61"/>
      <c r="AU473" s="61"/>
      <c r="AV473" s="61"/>
      <c r="AW473" s="45">
        <f>'Filter-old'!I544</f>
        <v>0</v>
      </c>
      <c r="AX473" s="61">
        <f>'Filter-new'!I545</f>
        <v>0</v>
      </c>
      <c r="AY473" s="61"/>
      <c r="AZ473" s="61"/>
      <c r="BA473" s="61"/>
      <c r="BB473" s="61"/>
      <c r="BC473" s="45">
        <f>'Filter-old'!K544</f>
        <v>0</v>
      </c>
      <c r="BD473" s="61">
        <f>'Filter-new'!K545</f>
        <v>0</v>
      </c>
      <c r="BE473" s="61"/>
      <c r="BF473" s="61"/>
      <c r="BG473" s="45">
        <f>'Filter-old'!M544</f>
        <v>0</v>
      </c>
      <c r="BH473" s="61"/>
      <c r="BI473" s="61"/>
      <c r="BJ473" s="61">
        <f>'Filter-new'!M544</f>
        <v>0</v>
      </c>
      <c r="BK473" s="61"/>
      <c r="BL473" s="61"/>
      <c r="BM473" s="61"/>
      <c r="BN473" s="406"/>
      <c r="BO473" s="61"/>
      <c r="BP473" s="61"/>
      <c r="BQ473" s="45">
        <f>'Filter-old'!O544</f>
        <v>0</v>
      </c>
      <c r="BR473" s="61">
        <f>'Filter-new'!O545</f>
        <v>0</v>
      </c>
      <c r="BS473" s="61"/>
      <c r="BT473" s="61"/>
      <c r="BU473" s="45">
        <f>'Filter-old'!Q544</f>
        <v>0</v>
      </c>
      <c r="BV473" s="61">
        <f>'Filter-new'!Q545</f>
        <v>0</v>
      </c>
      <c r="BW473" s="61"/>
      <c r="BX473" s="61"/>
      <c r="BY473" s="61"/>
      <c r="BZ473" s="61"/>
      <c r="CA473" s="45">
        <f>'Filter-old'!R544</f>
        <v>0</v>
      </c>
      <c r="CB473" s="61">
        <f>'Filter-new'!R545</f>
        <v>0</v>
      </c>
      <c r="CC473" s="57"/>
      <c r="CD473" s="58"/>
      <c r="CE473" s="57"/>
      <c r="CF473" s="57"/>
      <c r="CG473" s="4"/>
    </row>
    <row r="474" spans="1:85" hidden="1" x14ac:dyDescent="0.2">
      <c r="A474">
        <v>0</v>
      </c>
      <c r="B474" s="59">
        <v>38534</v>
      </c>
      <c r="C474" s="59">
        <f t="shared" si="64"/>
        <v>38534</v>
      </c>
      <c r="D474" s="60">
        <f t="shared" si="61"/>
        <v>2005</v>
      </c>
      <c r="E474" s="60">
        <f>VLOOKUP($C474,calendar!$A$2:$D$121,4,FALSE)</f>
        <v>320</v>
      </c>
      <c r="F474" s="60"/>
      <c r="G474" s="36">
        <f t="shared" si="65"/>
        <v>63664</v>
      </c>
      <c r="H474" s="36">
        <f t="shared" si="66"/>
        <v>65048</v>
      </c>
      <c r="I474" s="36"/>
      <c r="J474" s="41"/>
      <c r="K474" s="45">
        <f>'Filter-old'!E545</f>
        <v>63664</v>
      </c>
      <c r="L474" s="61">
        <f>'Filter-new'!E546</f>
        <v>65048</v>
      </c>
      <c r="M474" s="61"/>
      <c r="N474" s="61"/>
      <c r="O474" s="429"/>
      <c r="P474" s="61"/>
      <c r="Q474" s="45">
        <f>'Filter-old'!H545</f>
        <v>0</v>
      </c>
      <c r="R474" s="61">
        <f>'Filter-new'!H546</f>
        <v>0</v>
      </c>
      <c r="S474" s="61"/>
      <c r="T474" s="61"/>
      <c r="U474" s="445"/>
      <c r="V474" s="61"/>
      <c r="W474" s="45">
        <f>'Filter-old'!J545</f>
        <v>0</v>
      </c>
      <c r="X474" s="61">
        <f>'Filter-new'!J546</f>
        <v>0</v>
      </c>
      <c r="Y474" s="61"/>
      <c r="Z474" s="61"/>
      <c r="AA474" s="45">
        <f>'Filter-old'!F545</f>
        <v>0</v>
      </c>
      <c r="AB474" s="61">
        <f>'Filter-new'!F545</f>
        <v>0</v>
      </c>
      <c r="AC474" s="61"/>
      <c r="AD474" s="61"/>
      <c r="AE474" s="45">
        <f>'Filter-old'!P545</f>
        <v>0</v>
      </c>
      <c r="AF474" s="61">
        <f>'Filter-new'!P545</f>
        <v>0</v>
      </c>
      <c r="AG474" s="61"/>
      <c r="AH474" s="61"/>
      <c r="AI474" s="45">
        <f>'Filter-old'!L545</f>
        <v>0</v>
      </c>
      <c r="AJ474" s="61">
        <f>'Filter-new'!L545</f>
        <v>0</v>
      </c>
      <c r="AK474" s="61"/>
      <c r="AL474" s="61"/>
      <c r="AM474" s="61"/>
      <c r="AN474" s="61"/>
      <c r="AO474" s="45">
        <f>'Filter-old'!G545</f>
        <v>0</v>
      </c>
      <c r="AP474" s="61">
        <f>'Filter-new'!G546</f>
        <v>0</v>
      </c>
      <c r="AQ474" s="61"/>
      <c r="AR474" s="61"/>
      <c r="AS474" s="45"/>
      <c r="AT474" s="61"/>
      <c r="AU474" s="61"/>
      <c r="AV474" s="61"/>
      <c r="AW474" s="45">
        <f>'Filter-old'!I545</f>
        <v>0</v>
      </c>
      <c r="AX474" s="61">
        <f>'Filter-new'!I546</f>
        <v>0</v>
      </c>
      <c r="AY474" s="61"/>
      <c r="AZ474" s="61"/>
      <c r="BA474" s="61"/>
      <c r="BB474" s="61"/>
      <c r="BC474" s="45">
        <f>'Filter-old'!K545</f>
        <v>0</v>
      </c>
      <c r="BD474" s="61">
        <f>'Filter-new'!K546</f>
        <v>0</v>
      </c>
      <c r="BE474" s="61"/>
      <c r="BF474" s="61"/>
      <c r="BG474" s="45">
        <f>'Filter-old'!M545</f>
        <v>0</v>
      </c>
      <c r="BH474" s="61"/>
      <c r="BI474" s="61"/>
      <c r="BJ474" s="61">
        <f>'Filter-new'!M545</f>
        <v>0</v>
      </c>
      <c r="BK474" s="61"/>
      <c r="BL474" s="61"/>
      <c r="BM474" s="61"/>
      <c r="BN474" s="406"/>
      <c r="BO474" s="61"/>
      <c r="BP474" s="61"/>
      <c r="BQ474" s="45">
        <f>'Filter-old'!O545</f>
        <v>0</v>
      </c>
      <c r="BR474" s="61">
        <f>'Filter-new'!O546</f>
        <v>0</v>
      </c>
      <c r="BS474" s="61"/>
      <c r="BT474" s="61"/>
      <c r="BU474" s="45">
        <f>'Filter-old'!Q545</f>
        <v>0</v>
      </c>
      <c r="BV474" s="61">
        <f>'Filter-new'!Q546</f>
        <v>0</v>
      </c>
      <c r="BW474" s="61"/>
      <c r="BX474" s="61"/>
      <c r="BY474" s="61"/>
      <c r="BZ474" s="61"/>
      <c r="CA474" s="45">
        <f>'Filter-old'!R545</f>
        <v>0</v>
      </c>
      <c r="CB474" s="61">
        <f>'Filter-new'!R546</f>
        <v>0</v>
      </c>
      <c r="CC474" s="57"/>
      <c r="CD474" s="58"/>
      <c r="CE474" s="57"/>
      <c r="CF474" s="57"/>
      <c r="CG474" s="4"/>
    </row>
    <row r="475" spans="1:85" hidden="1" x14ac:dyDescent="0.2">
      <c r="A475">
        <v>0</v>
      </c>
      <c r="B475" s="59">
        <v>38565</v>
      </c>
      <c r="C475" s="59">
        <f t="shared" si="64"/>
        <v>38565</v>
      </c>
      <c r="D475" s="60">
        <f t="shared" si="61"/>
        <v>2005</v>
      </c>
      <c r="E475" s="60">
        <f>VLOOKUP($C475,calendar!$A$2:$D$121,4,FALSE)</f>
        <v>368</v>
      </c>
      <c r="F475" s="60"/>
      <c r="G475" s="36">
        <f t="shared" si="65"/>
        <v>73352</v>
      </c>
      <c r="H475" s="36">
        <f t="shared" si="66"/>
        <v>66432</v>
      </c>
      <c r="I475" s="36"/>
      <c r="J475" s="41"/>
      <c r="K475" s="45">
        <f>'Filter-old'!E546</f>
        <v>73352</v>
      </c>
      <c r="L475" s="61">
        <f>'Filter-new'!E547</f>
        <v>66432</v>
      </c>
      <c r="M475" s="61"/>
      <c r="N475" s="61"/>
      <c r="O475" s="429"/>
      <c r="P475" s="61"/>
      <c r="Q475" s="45">
        <f>'Filter-old'!H546</f>
        <v>0</v>
      </c>
      <c r="R475" s="61">
        <f>'Filter-new'!H547</f>
        <v>0</v>
      </c>
      <c r="S475" s="61"/>
      <c r="T475" s="61"/>
      <c r="U475" s="445"/>
      <c r="V475" s="61"/>
      <c r="W475" s="45">
        <f>'Filter-old'!J546</f>
        <v>0</v>
      </c>
      <c r="X475" s="61">
        <f>'Filter-new'!J547</f>
        <v>0</v>
      </c>
      <c r="Y475" s="61"/>
      <c r="Z475" s="61"/>
      <c r="AA475" s="45">
        <f>'Filter-old'!F546</f>
        <v>0</v>
      </c>
      <c r="AB475" s="61">
        <f>'Filter-new'!F546</f>
        <v>0</v>
      </c>
      <c r="AC475" s="61"/>
      <c r="AD475" s="61"/>
      <c r="AE475" s="45">
        <f>'Filter-old'!P546</f>
        <v>0</v>
      </c>
      <c r="AF475" s="61">
        <f>'Filter-new'!P546</f>
        <v>0</v>
      </c>
      <c r="AG475" s="61"/>
      <c r="AH475" s="61"/>
      <c r="AI475" s="45">
        <f>'Filter-old'!L546</f>
        <v>0</v>
      </c>
      <c r="AJ475" s="61">
        <f>'Filter-new'!L546</f>
        <v>0</v>
      </c>
      <c r="AK475" s="61"/>
      <c r="AL475" s="61"/>
      <c r="AM475" s="61"/>
      <c r="AN475" s="61"/>
      <c r="AO475" s="45">
        <f>'Filter-old'!G546</f>
        <v>0</v>
      </c>
      <c r="AP475" s="61">
        <f>'Filter-new'!G547</f>
        <v>0</v>
      </c>
      <c r="AQ475" s="61"/>
      <c r="AR475" s="61"/>
      <c r="AS475" s="45"/>
      <c r="AT475" s="61"/>
      <c r="AU475" s="61"/>
      <c r="AV475" s="61"/>
      <c r="AW475" s="45">
        <f>'Filter-old'!I546</f>
        <v>0</v>
      </c>
      <c r="AX475" s="61">
        <f>'Filter-new'!I547</f>
        <v>0</v>
      </c>
      <c r="AY475" s="61"/>
      <c r="AZ475" s="61"/>
      <c r="BA475" s="61"/>
      <c r="BB475" s="61"/>
      <c r="BC475" s="45">
        <f>'Filter-old'!K546</f>
        <v>0</v>
      </c>
      <c r="BD475" s="61">
        <f>'Filter-new'!K547</f>
        <v>0</v>
      </c>
      <c r="BE475" s="61"/>
      <c r="BF475" s="61"/>
      <c r="BG475" s="45">
        <f>'Filter-old'!M546</f>
        <v>0</v>
      </c>
      <c r="BH475" s="61"/>
      <c r="BI475" s="61"/>
      <c r="BJ475" s="61">
        <f>'Filter-new'!M546</f>
        <v>0</v>
      </c>
      <c r="BK475" s="61"/>
      <c r="BL475" s="61"/>
      <c r="BM475" s="61"/>
      <c r="BN475" s="406"/>
      <c r="BO475" s="61"/>
      <c r="BP475" s="61"/>
      <c r="BQ475" s="45">
        <f>'Filter-old'!O546</f>
        <v>0</v>
      </c>
      <c r="BR475" s="61">
        <f>'Filter-new'!O547</f>
        <v>0</v>
      </c>
      <c r="BS475" s="61"/>
      <c r="BT475" s="61"/>
      <c r="BU475" s="45">
        <f>'Filter-old'!Q546</f>
        <v>0</v>
      </c>
      <c r="BV475" s="61">
        <f>'Filter-new'!Q547</f>
        <v>0</v>
      </c>
      <c r="BW475" s="61"/>
      <c r="BX475" s="61"/>
      <c r="BY475" s="61"/>
      <c r="BZ475" s="61"/>
      <c r="CA475" s="45">
        <f>'Filter-old'!R546</f>
        <v>0</v>
      </c>
      <c r="CB475" s="61">
        <f>'Filter-new'!R547</f>
        <v>0</v>
      </c>
      <c r="CC475" s="57"/>
      <c r="CD475" s="58"/>
      <c r="CE475" s="57"/>
      <c r="CF475" s="57"/>
      <c r="CG475" s="4"/>
    </row>
    <row r="476" spans="1:85" hidden="1" x14ac:dyDescent="0.2">
      <c r="A476">
        <v>0</v>
      </c>
      <c r="B476" s="59">
        <v>38596</v>
      </c>
      <c r="C476" s="59">
        <f t="shared" si="64"/>
        <v>38596</v>
      </c>
      <c r="D476" s="60">
        <f t="shared" si="61"/>
        <v>2005</v>
      </c>
      <c r="E476" s="60">
        <f>VLOOKUP($C476,calendar!$A$2:$D$121,4,FALSE)</f>
        <v>336</v>
      </c>
      <c r="F476" s="60"/>
      <c r="G476" s="36">
        <f t="shared" si="65"/>
        <v>65048</v>
      </c>
      <c r="H476" s="36">
        <f t="shared" si="66"/>
        <v>70757</v>
      </c>
      <c r="I476" s="36"/>
      <c r="J476" s="41"/>
      <c r="K476" s="45">
        <f>'Filter-old'!E547</f>
        <v>65048</v>
      </c>
      <c r="L476" s="61">
        <f>'Filter-new'!E548</f>
        <v>70757</v>
      </c>
      <c r="M476" s="61"/>
      <c r="N476" s="61"/>
      <c r="O476" s="429"/>
      <c r="P476" s="61"/>
      <c r="Q476" s="45">
        <f>'Filter-old'!H547</f>
        <v>0</v>
      </c>
      <c r="R476" s="61">
        <f>'Filter-new'!H548</f>
        <v>0</v>
      </c>
      <c r="S476" s="61"/>
      <c r="T476" s="61"/>
      <c r="U476" s="445"/>
      <c r="V476" s="61"/>
      <c r="W476" s="45">
        <f>'Filter-old'!J547</f>
        <v>0</v>
      </c>
      <c r="X476" s="61">
        <f>'Filter-new'!J548</f>
        <v>0</v>
      </c>
      <c r="Y476" s="61"/>
      <c r="Z476" s="61"/>
      <c r="AA476" s="45">
        <f>'Filter-old'!F547</f>
        <v>0</v>
      </c>
      <c r="AB476" s="61">
        <f>'Filter-new'!F547</f>
        <v>0</v>
      </c>
      <c r="AC476" s="61"/>
      <c r="AD476" s="61"/>
      <c r="AE476" s="45">
        <f>'Filter-old'!P547</f>
        <v>0</v>
      </c>
      <c r="AF476" s="61">
        <f>'Filter-new'!P547</f>
        <v>0</v>
      </c>
      <c r="AG476" s="61"/>
      <c r="AH476" s="61"/>
      <c r="AI476" s="45">
        <f>'Filter-old'!L547</f>
        <v>0</v>
      </c>
      <c r="AJ476" s="61">
        <f>'Filter-new'!L547</f>
        <v>0</v>
      </c>
      <c r="AK476" s="61"/>
      <c r="AL476" s="61"/>
      <c r="AM476" s="61"/>
      <c r="AN476" s="61"/>
      <c r="AO476" s="45">
        <f>'Filter-old'!G547</f>
        <v>0</v>
      </c>
      <c r="AP476" s="61">
        <f>'Filter-new'!G548</f>
        <v>0</v>
      </c>
      <c r="AQ476" s="61"/>
      <c r="AR476" s="61"/>
      <c r="AS476" s="45"/>
      <c r="AT476" s="61"/>
      <c r="AU476" s="61"/>
      <c r="AV476" s="61"/>
      <c r="AW476" s="45">
        <f>'Filter-old'!I547</f>
        <v>0</v>
      </c>
      <c r="AX476" s="61">
        <f>'Filter-new'!I548</f>
        <v>0</v>
      </c>
      <c r="AY476" s="61"/>
      <c r="AZ476" s="61"/>
      <c r="BA476" s="61"/>
      <c r="BB476" s="61"/>
      <c r="BC476" s="45">
        <f>'Filter-old'!K547</f>
        <v>0</v>
      </c>
      <c r="BD476" s="61">
        <f>'Filter-new'!K548</f>
        <v>0</v>
      </c>
      <c r="BE476" s="61"/>
      <c r="BF476" s="61"/>
      <c r="BG476" s="45">
        <f>'Filter-old'!M547</f>
        <v>0</v>
      </c>
      <c r="BH476" s="61"/>
      <c r="BI476" s="61"/>
      <c r="BJ476" s="61">
        <f>'Filter-new'!M547</f>
        <v>0</v>
      </c>
      <c r="BK476" s="61"/>
      <c r="BL476" s="61"/>
      <c r="BM476" s="61"/>
      <c r="BN476" s="406"/>
      <c r="BO476" s="61"/>
      <c r="BP476" s="61"/>
      <c r="BQ476" s="45">
        <f>'Filter-old'!O547</f>
        <v>0</v>
      </c>
      <c r="BR476" s="61">
        <f>'Filter-new'!O548</f>
        <v>0</v>
      </c>
      <c r="BS476" s="61"/>
      <c r="BT476" s="61"/>
      <c r="BU476" s="45">
        <f>'Filter-old'!Q547</f>
        <v>0</v>
      </c>
      <c r="BV476" s="61">
        <f>'Filter-new'!Q548</f>
        <v>0</v>
      </c>
      <c r="BW476" s="61"/>
      <c r="BX476" s="61"/>
      <c r="BY476" s="61"/>
      <c r="BZ476" s="61"/>
      <c r="CA476" s="45">
        <f>'Filter-old'!R547</f>
        <v>0</v>
      </c>
      <c r="CB476" s="61">
        <f>'Filter-new'!R548</f>
        <v>0</v>
      </c>
      <c r="CC476" s="57"/>
      <c r="CD476" s="58"/>
      <c r="CE476" s="57"/>
      <c r="CF476" s="57"/>
      <c r="CG476" s="4"/>
    </row>
    <row r="477" spans="1:85" hidden="1" x14ac:dyDescent="0.2">
      <c r="A477">
        <v>0</v>
      </c>
      <c r="B477" s="59">
        <v>38626</v>
      </c>
      <c r="C477" s="59">
        <f t="shared" si="64"/>
        <v>38626</v>
      </c>
      <c r="D477" s="60">
        <f t="shared" si="61"/>
        <v>2005</v>
      </c>
      <c r="E477" s="60">
        <f>VLOOKUP($C477,calendar!$A$2:$D$121,4,FALSE)</f>
        <v>336</v>
      </c>
      <c r="F477" s="60"/>
      <c r="G477" s="36">
        <f t="shared" si="65"/>
        <v>66432</v>
      </c>
      <c r="H477" s="36">
        <f t="shared" si="66"/>
        <v>66432</v>
      </c>
      <c r="I477" s="36"/>
      <c r="J477" s="41"/>
      <c r="K477" s="45">
        <f>'Filter-old'!E548</f>
        <v>66432</v>
      </c>
      <c r="L477" s="61">
        <f>'Filter-new'!E549</f>
        <v>66432</v>
      </c>
      <c r="M477" s="61"/>
      <c r="N477" s="61"/>
      <c r="O477" s="429"/>
      <c r="P477" s="61"/>
      <c r="Q477" s="45">
        <f>'Filter-old'!H548</f>
        <v>0</v>
      </c>
      <c r="R477" s="61">
        <f>'Filter-new'!H549</f>
        <v>0</v>
      </c>
      <c r="S477" s="61"/>
      <c r="T477" s="61"/>
      <c r="U477" s="445"/>
      <c r="V477" s="61"/>
      <c r="W477" s="45">
        <f>'Filter-old'!J548</f>
        <v>0</v>
      </c>
      <c r="X477" s="61">
        <f>'Filter-new'!J549</f>
        <v>0</v>
      </c>
      <c r="Y477" s="61"/>
      <c r="Z477" s="61"/>
      <c r="AA477" s="45">
        <f>'Filter-old'!F548</f>
        <v>0</v>
      </c>
      <c r="AB477" s="61">
        <f>'Filter-new'!F548</f>
        <v>0</v>
      </c>
      <c r="AC477" s="61"/>
      <c r="AD477" s="61"/>
      <c r="AE477" s="45">
        <f>'Filter-old'!P548</f>
        <v>0</v>
      </c>
      <c r="AF477" s="61">
        <f>'Filter-new'!P548</f>
        <v>0</v>
      </c>
      <c r="AG477" s="61"/>
      <c r="AH477" s="61"/>
      <c r="AI477" s="45">
        <f>'Filter-old'!L548</f>
        <v>0</v>
      </c>
      <c r="AJ477" s="61">
        <f>'Filter-new'!L548</f>
        <v>0</v>
      </c>
      <c r="AK477" s="61"/>
      <c r="AL477" s="61"/>
      <c r="AM477" s="61"/>
      <c r="AN477" s="61"/>
      <c r="AO477" s="45">
        <f>'Filter-old'!G548</f>
        <v>0</v>
      </c>
      <c r="AP477" s="61">
        <f>'Filter-new'!G549</f>
        <v>0</v>
      </c>
      <c r="AQ477" s="61"/>
      <c r="AR477" s="61"/>
      <c r="AS477" s="45"/>
      <c r="AT477" s="61"/>
      <c r="AU477" s="61"/>
      <c r="AV477" s="61"/>
      <c r="AW477" s="45">
        <f>'Filter-old'!I548</f>
        <v>0</v>
      </c>
      <c r="AX477" s="61">
        <f>'Filter-new'!I549</f>
        <v>0</v>
      </c>
      <c r="AY477" s="61"/>
      <c r="AZ477" s="61"/>
      <c r="BA477" s="61"/>
      <c r="BB477" s="61"/>
      <c r="BC477" s="45">
        <f>'Filter-old'!K548</f>
        <v>0</v>
      </c>
      <c r="BD477" s="61">
        <f>'Filter-new'!K549</f>
        <v>0</v>
      </c>
      <c r="BE477" s="61"/>
      <c r="BF477" s="61"/>
      <c r="BG477" s="45">
        <f>'Filter-old'!M548</f>
        <v>0</v>
      </c>
      <c r="BH477" s="61"/>
      <c r="BI477" s="61"/>
      <c r="BJ477" s="61">
        <f>'Filter-new'!M548</f>
        <v>0</v>
      </c>
      <c r="BK477" s="61"/>
      <c r="BL477" s="61"/>
      <c r="BM477" s="61"/>
      <c r="BN477" s="406"/>
      <c r="BO477" s="61"/>
      <c r="BP477" s="61"/>
      <c r="BQ477" s="45">
        <f>'Filter-old'!O548</f>
        <v>0</v>
      </c>
      <c r="BR477" s="61">
        <f>'Filter-new'!O549</f>
        <v>0</v>
      </c>
      <c r="BS477" s="61"/>
      <c r="BT477" s="61"/>
      <c r="BU477" s="45">
        <f>'Filter-old'!Q548</f>
        <v>0</v>
      </c>
      <c r="BV477" s="61">
        <f>'Filter-new'!Q549</f>
        <v>0</v>
      </c>
      <c r="BW477" s="61"/>
      <c r="BX477" s="61"/>
      <c r="BY477" s="61"/>
      <c r="BZ477" s="61"/>
      <c r="CA477" s="45">
        <f>'Filter-old'!R548</f>
        <v>0</v>
      </c>
      <c r="CB477" s="61">
        <f>'Filter-new'!R549</f>
        <v>0</v>
      </c>
      <c r="CC477" s="57"/>
      <c r="CD477" s="58"/>
      <c r="CE477" s="57"/>
      <c r="CF477" s="57"/>
      <c r="CG477" s="4"/>
    </row>
    <row r="478" spans="1:85" hidden="1" x14ac:dyDescent="0.2">
      <c r="A478">
        <v>0</v>
      </c>
      <c r="B478" s="59">
        <v>38657</v>
      </c>
      <c r="C478" s="59">
        <f t="shared" si="64"/>
        <v>38657</v>
      </c>
      <c r="D478" s="60">
        <f t="shared" si="61"/>
        <v>2005</v>
      </c>
      <c r="E478" s="60">
        <f>VLOOKUP($C478,calendar!$A$2:$D$121,4,FALSE)</f>
        <v>336</v>
      </c>
      <c r="F478" s="60"/>
      <c r="G478" s="36">
        <f t="shared" si="65"/>
        <v>70757</v>
      </c>
      <c r="H478" s="36">
        <f t="shared" si="66"/>
        <v>70584</v>
      </c>
      <c r="I478" s="36"/>
      <c r="J478" s="41"/>
      <c r="K478" s="45">
        <f>'Filter-old'!E549</f>
        <v>70757</v>
      </c>
      <c r="L478" s="61">
        <f>'Filter-new'!E550</f>
        <v>70584</v>
      </c>
      <c r="M478" s="61"/>
      <c r="N478" s="61"/>
      <c r="O478" s="429"/>
      <c r="P478" s="61"/>
      <c r="Q478" s="45">
        <f>'Filter-old'!H549</f>
        <v>0</v>
      </c>
      <c r="R478" s="61">
        <f>'Filter-new'!H550</f>
        <v>0</v>
      </c>
      <c r="S478" s="61"/>
      <c r="T478" s="61"/>
      <c r="U478" s="445"/>
      <c r="V478" s="61"/>
      <c r="W478" s="45">
        <f>'Filter-old'!J549</f>
        <v>0</v>
      </c>
      <c r="X478" s="61">
        <f>'Filter-new'!J550</f>
        <v>0</v>
      </c>
      <c r="Y478" s="61"/>
      <c r="Z478" s="61"/>
      <c r="AA478" s="45">
        <f>'Filter-old'!F549</f>
        <v>0</v>
      </c>
      <c r="AB478" s="61">
        <f>'Filter-new'!F549</f>
        <v>0</v>
      </c>
      <c r="AC478" s="61"/>
      <c r="AD478" s="61"/>
      <c r="AE478" s="45">
        <f>'Filter-old'!P549</f>
        <v>0</v>
      </c>
      <c r="AF478" s="61">
        <f>'Filter-new'!P549</f>
        <v>0</v>
      </c>
      <c r="AG478" s="61"/>
      <c r="AH478" s="61"/>
      <c r="AI478" s="45">
        <f>'Filter-old'!L549</f>
        <v>0</v>
      </c>
      <c r="AJ478" s="61">
        <f>'Filter-new'!L549</f>
        <v>0</v>
      </c>
      <c r="AK478" s="61"/>
      <c r="AL478" s="61"/>
      <c r="AM478" s="61"/>
      <c r="AN478" s="61"/>
      <c r="AO478" s="45">
        <f>'Filter-old'!G549</f>
        <v>0</v>
      </c>
      <c r="AP478" s="61">
        <f>'Filter-new'!G550</f>
        <v>0</v>
      </c>
      <c r="AQ478" s="61"/>
      <c r="AR478" s="61"/>
      <c r="AS478" s="45"/>
      <c r="AT478" s="61"/>
      <c r="AU478" s="61"/>
      <c r="AV478" s="61"/>
      <c r="AW478" s="45">
        <f>'Filter-old'!I549</f>
        <v>0</v>
      </c>
      <c r="AX478" s="61">
        <f>'Filter-new'!I550</f>
        <v>0</v>
      </c>
      <c r="AY478" s="61"/>
      <c r="AZ478" s="61"/>
      <c r="BA478" s="61"/>
      <c r="BB478" s="61"/>
      <c r="BC478" s="45">
        <f>'Filter-old'!K549</f>
        <v>0</v>
      </c>
      <c r="BD478" s="61">
        <f>'Filter-new'!K550</f>
        <v>0</v>
      </c>
      <c r="BE478" s="61"/>
      <c r="BF478" s="61"/>
      <c r="BG478" s="45">
        <f>'Filter-old'!M549</f>
        <v>0</v>
      </c>
      <c r="BH478" s="61"/>
      <c r="BI478" s="61"/>
      <c r="BJ478" s="61">
        <f>'Filter-new'!M549</f>
        <v>0</v>
      </c>
      <c r="BK478" s="61"/>
      <c r="BL478" s="61"/>
      <c r="BM478" s="61"/>
      <c r="BN478" s="406"/>
      <c r="BO478" s="61"/>
      <c r="BP478" s="61"/>
      <c r="BQ478" s="45">
        <f>'Filter-old'!O549</f>
        <v>0</v>
      </c>
      <c r="BR478" s="61">
        <f>'Filter-new'!O550</f>
        <v>0</v>
      </c>
      <c r="BS478" s="61"/>
      <c r="BT478" s="61"/>
      <c r="BU478" s="45">
        <f>'Filter-old'!Q549</f>
        <v>0</v>
      </c>
      <c r="BV478" s="61">
        <f>'Filter-new'!Q550</f>
        <v>0</v>
      </c>
      <c r="BW478" s="61"/>
      <c r="BX478" s="61"/>
      <c r="BY478" s="61"/>
      <c r="BZ478" s="61"/>
      <c r="CA478" s="45">
        <f>'Filter-old'!R549</f>
        <v>0</v>
      </c>
      <c r="CB478" s="61">
        <f>'Filter-new'!R550</f>
        <v>0</v>
      </c>
      <c r="CC478" s="57"/>
      <c r="CD478" s="58"/>
      <c r="CE478" s="57"/>
      <c r="CF478" s="57"/>
      <c r="CG478" s="4"/>
    </row>
    <row r="479" spans="1:85" hidden="1" x14ac:dyDescent="0.2">
      <c r="A479">
        <v>0</v>
      </c>
      <c r="B479" s="59">
        <v>38687</v>
      </c>
      <c r="C479" s="59">
        <f t="shared" si="64"/>
        <v>38687</v>
      </c>
      <c r="D479" s="60">
        <f t="shared" si="61"/>
        <v>2005</v>
      </c>
      <c r="E479" s="60">
        <f>VLOOKUP($C479,calendar!$A$2:$D$121,4,FALSE)</f>
        <v>336</v>
      </c>
      <c r="F479" s="60"/>
      <c r="G479" s="36">
        <f t="shared" si="65"/>
        <v>66432</v>
      </c>
      <c r="H479" s="36">
        <f t="shared" si="66"/>
        <v>-816</v>
      </c>
      <c r="I479" s="36"/>
      <c r="J479" s="41"/>
      <c r="K479" s="45">
        <f>'Filter-old'!E550</f>
        <v>66432</v>
      </c>
      <c r="L479" s="61">
        <f>'Filter-new'!E551</f>
        <v>29784</v>
      </c>
      <c r="M479" s="61"/>
      <c r="N479" s="61"/>
      <c r="O479" s="429"/>
      <c r="P479" s="61"/>
      <c r="Q479" s="45">
        <f>'Filter-old'!H550</f>
        <v>0</v>
      </c>
      <c r="R479" s="61">
        <f>'Filter-new'!H551</f>
        <v>-30600</v>
      </c>
      <c r="S479" s="61"/>
      <c r="T479" s="61"/>
      <c r="U479" s="445"/>
      <c r="V479" s="61"/>
      <c r="W479" s="45">
        <f>'Filter-old'!J550</f>
        <v>0</v>
      </c>
      <c r="X479" s="61">
        <f>'Filter-new'!J551</f>
        <v>0</v>
      </c>
      <c r="Y479" s="61"/>
      <c r="Z479" s="61"/>
      <c r="AA479" s="45">
        <f>'Filter-old'!F550</f>
        <v>0</v>
      </c>
      <c r="AB479" s="61">
        <f>'Filter-new'!F550</f>
        <v>0</v>
      </c>
      <c r="AC479" s="61"/>
      <c r="AD479" s="61"/>
      <c r="AE479" s="45">
        <f>'Filter-old'!P550</f>
        <v>0</v>
      </c>
      <c r="AF479" s="61">
        <f>'Filter-new'!P550</f>
        <v>0</v>
      </c>
      <c r="AG479" s="61"/>
      <c r="AH479" s="61"/>
      <c r="AI479" s="45">
        <f>'Filter-old'!L550</f>
        <v>0</v>
      </c>
      <c r="AJ479" s="61">
        <f>'Filter-new'!L550</f>
        <v>0</v>
      </c>
      <c r="AK479" s="61"/>
      <c r="AL479" s="61"/>
      <c r="AM479" s="61"/>
      <c r="AN479" s="61"/>
      <c r="AO479" s="45">
        <f>'Filter-old'!G550</f>
        <v>0</v>
      </c>
      <c r="AP479" s="61">
        <f>'Filter-new'!G551</f>
        <v>0</v>
      </c>
      <c r="AQ479" s="61"/>
      <c r="AR479" s="61"/>
      <c r="AS479" s="45"/>
      <c r="AT479" s="61"/>
      <c r="AU479" s="61"/>
      <c r="AV479" s="61"/>
      <c r="AW479" s="45">
        <f>'Filter-old'!I550</f>
        <v>0</v>
      </c>
      <c r="AX479" s="61">
        <f>'Filter-new'!I551</f>
        <v>0</v>
      </c>
      <c r="AY479" s="61"/>
      <c r="AZ479" s="61"/>
      <c r="BA479" s="61"/>
      <c r="BB479" s="61"/>
      <c r="BC479" s="45">
        <f>'Filter-old'!K550</f>
        <v>0</v>
      </c>
      <c r="BD479" s="61">
        <f>'Filter-new'!K551</f>
        <v>0</v>
      </c>
      <c r="BE479" s="61"/>
      <c r="BF479" s="61"/>
      <c r="BG479" s="45">
        <f>'Filter-old'!M550</f>
        <v>0</v>
      </c>
      <c r="BH479" s="61"/>
      <c r="BI479" s="61"/>
      <c r="BJ479" s="61">
        <f>'Filter-new'!M550</f>
        <v>0</v>
      </c>
      <c r="BK479" s="61"/>
      <c r="BL479" s="61"/>
      <c r="BM479" s="61"/>
      <c r="BN479" s="406"/>
      <c r="BO479" s="61"/>
      <c r="BP479" s="61"/>
      <c r="BQ479" s="45">
        <f>'Filter-old'!O550</f>
        <v>0</v>
      </c>
      <c r="BR479" s="61">
        <f>'Filter-new'!O551</f>
        <v>0</v>
      </c>
      <c r="BS479" s="61"/>
      <c r="BT479" s="61"/>
      <c r="BU479" s="45">
        <f>'Filter-old'!Q550</f>
        <v>0</v>
      </c>
      <c r="BV479" s="61">
        <f>'Filter-new'!Q551</f>
        <v>0</v>
      </c>
      <c r="BW479" s="61"/>
      <c r="BX479" s="61"/>
      <c r="BY479" s="61"/>
      <c r="BZ479" s="61"/>
      <c r="CA479" s="45">
        <f>'Filter-old'!R550</f>
        <v>0</v>
      </c>
      <c r="CB479" s="61">
        <f>'Filter-new'!R551</f>
        <v>0</v>
      </c>
      <c r="CC479" s="57"/>
      <c r="CD479" s="58"/>
      <c r="CE479" s="57"/>
      <c r="CF479" s="57"/>
      <c r="CG479" s="4"/>
    </row>
    <row r="480" spans="1:85" hidden="1" x14ac:dyDescent="0.2">
      <c r="A480">
        <v>0</v>
      </c>
      <c r="B480" s="59">
        <v>38718</v>
      </c>
      <c r="C480" s="59">
        <f t="shared" si="64"/>
        <v>38718</v>
      </c>
      <c r="D480" s="60">
        <f t="shared" si="61"/>
        <v>2006</v>
      </c>
      <c r="E480" s="60">
        <f>VLOOKUP($C480,calendar!$A$2:$D$121,4,FALSE)</f>
        <v>336</v>
      </c>
      <c r="F480" s="60"/>
      <c r="G480" s="36">
        <f t="shared" si="65"/>
        <v>70584</v>
      </c>
      <c r="H480" s="36">
        <f t="shared" si="66"/>
        <v>0</v>
      </c>
      <c r="I480" s="36"/>
      <c r="J480" s="41"/>
      <c r="K480" s="45">
        <f>'Filter-old'!E551</f>
        <v>70584</v>
      </c>
      <c r="L480" s="61">
        <f>'Filter-new'!E552</f>
        <v>25696</v>
      </c>
      <c r="M480" s="61"/>
      <c r="N480" s="61"/>
      <c r="O480" s="429"/>
      <c r="P480" s="61"/>
      <c r="Q480" s="45">
        <f>'Filter-old'!H551</f>
        <v>0</v>
      </c>
      <c r="R480" s="61">
        <f>'Filter-new'!H552</f>
        <v>-25696</v>
      </c>
      <c r="S480" s="61"/>
      <c r="T480" s="61"/>
      <c r="U480" s="445"/>
      <c r="V480" s="61"/>
      <c r="W480" s="45">
        <f>'Filter-old'!J551</f>
        <v>0</v>
      </c>
      <c r="X480" s="61">
        <f>'Filter-new'!J552</f>
        <v>0</v>
      </c>
      <c r="Y480" s="61"/>
      <c r="Z480" s="61"/>
      <c r="AA480" s="45">
        <f>'Filter-old'!F551</f>
        <v>0</v>
      </c>
      <c r="AB480" s="61">
        <f>'Filter-new'!F551</f>
        <v>0</v>
      </c>
      <c r="AC480" s="61"/>
      <c r="AD480" s="61"/>
      <c r="AE480" s="45">
        <f>'Filter-old'!P551</f>
        <v>0</v>
      </c>
      <c r="AF480" s="61">
        <f>'Filter-new'!P551</f>
        <v>0</v>
      </c>
      <c r="AG480" s="61"/>
      <c r="AH480" s="61"/>
      <c r="AI480" s="45">
        <f>'Filter-old'!L551</f>
        <v>0</v>
      </c>
      <c r="AJ480" s="61">
        <f>'Filter-new'!L551</f>
        <v>0</v>
      </c>
      <c r="AK480" s="61"/>
      <c r="AL480" s="61"/>
      <c r="AM480" s="61"/>
      <c r="AN480" s="61"/>
      <c r="AO480" s="45">
        <f>'Filter-old'!G551</f>
        <v>0</v>
      </c>
      <c r="AP480" s="61">
        <f>'Filter-new'!G552</f>
        <v>0</v>
      </c>
      <c r="AQ480" s="61"/>
      <c r="AR480" s="61"/>
      <c r="AS480" s="45"/>
      <c r="AT480" s="61"/>
      <c r="AU480" s="61"/>
      <c r="AV480" s="61"/>
      <c r="AW480" s="45">
        <f>'Filter-old'!I551</f>
        <v>0</v>
      </c>
      <c r="AX480" s="61">
        <f>'Filter-new'!I552</f>
        <v>0</v>
      </c>
      <c r="AY480" s="61"/>
      <c r="AZ480" s="61"/>
      <c r="BA480" s="61"/>
      <c r="BB480" s="61"/>
      <c r="BC480" s="45">
        <f>'Filter-old'!K551</f>
        <v>0</v>
      </c>
      <c r="BD480" s="61">
        <f>'Filter-new'!K552</f>
        <v>0</v>
      </c>
      <c r="BE480" s="61"/>
      <c r="BF480" s="61"/>
      <c r="BG480" s="45">
        <f>'Filter-old'!M551</f>
        <v>0</v>
      </c>
      <c r="BH480" s="61"/>
      <c r="BI480" s="61"/>
      <c r="BJ480" s="61">
        <f>'Filter-new'!M551</f>
        <v>0</v>
      </c>
      <c r="BK480" s="61"/>
      <c r="BL480" s="61"/>
      <c r="BM480" s="61"/>
      <c r="BN480" s="406"/>
      <c r="BO480" s="61"/>
      <c r="BP480" s="61"/>
      <c r="BQ480" s="45">
        <f>'Filter-old'!O551</f>
        <v>0</v>
      </c>
      <c r="BR480" s="61">
        <f>'Filter-new'!O552</f>
        <v>0</v>
      </c>
      <c r="BS480" s="61"/>
      <c r="BT480" s="61"/>
      <c r="BU480" s="45">
        <f>'Filter-old'!Q551</f>
        <v>0</v>
      </c>
      <c r="BV480" s="61">
        <f>'Filter-new'!Q552</f>
        <v>0</v>
      </c>
      <c r="BW480" s="61"/>
      <c r="BX480" s="61"/>
      <c r="BY480" s="61"/>
      <c r="BZ480" s="61"/>
      <c r="CA480" s="45">
        <f>'Filter-old'!R551</f>
        <v>0</v>
      </c>
      <c r="CB480" s="61">
        <f>'Filter-new'!R552</f>
        <v>0</v>
      </c>
      <c r="CC480" s="57"/>
      <c r="CD480" s="58"/>
      <c r="CE480" s="57"/>
      <c r="CF480" s="57"/>
      <c r="CG480" s="4"/>
    </row>
    <row r="481" spans="1:85" hidden="1" x14ac:dyDescent="0.2">
      <c r="A481">
        <v>0</v>
      </c>
      <c r="B481" s="59">
        <v>38749</v>
      </c>
      <c r="C481" s="59">
        <f t="shared" si="64"/>
        <v>38749</v>
      </c>
      <c r="D481" s="60">
        <f t="shared" si="61"/>
        <v>2006</v>
      </c>
      <c r="E481" s="60">
        <f>VLOOKUP($C481,calendar!$A$2:$D$121,4,FALSE)</f>
        <v>320</v>
      </c>
      <c r="F481" s="60"/>
      <c r="G481" s="36">
        <f t="shared" si="65"/>
        <v>-816</v>
      </c>
      <c r="H481" s="36">
        <f t="shared" si="66"/>
        <v>-752</v>
      </c>
      <c r="I481" s="36"/>
      <c r="J481" s="41"/>
      <c r="K481" s="45">
        <f>'Filter-old'!E552</f>
        <v>29784</v>
      </c>
      <c r="L481" s="61">
        <f>'Filter-new'!E553</f>
        <v>27448</v>
      </c>
      <c r="M481" s="61"/>
      <c r="N481" s="61"/>
      <c r="O481" s="429"/>
      <c r="P481" s="61"/>
      <c r="Q481" s="45">
        <f>'Filter-old'!H552</f>
        <v>-30600</v>
      </c>
      <c r="R481" s="61">
        <f>'Filter-new'!H553</f>
        <v>-28200</v>
      </c>
      <c r="S481" s="61"/>
      <c r="T481" s="61"/>
      <c r="U481" s="445"/>
      <c r="V481" s="61"/>
      <c r="W481" s="45">
        <f>'Filter-old'!J552</f>
        <v>0</v>
      </c>
      <c r="X481" s="61">
        <f>'Filter-new'!J553</f>
        <v>0</v>
      </c>
      <c r="Y481" s="61"/>
      <c r="Z481" s="61"/>
      <c r="AA481" s="45">
        <f>'Filter-old'!F552</f>
        <v>0</v>
      </c>
      <c r="AB481" s="61">
        <f>'Filter-new'!F552</f>
        <v>0</v>
      </c>
      <c r="AC481" s="61"/>
      <c r="AD481" s="61"/>
      <c r="AE481" s="45">
        <f>'Filter-old'!P552</f>
        <v>0</v>
      </c>
      <c r="AF481" s="61">
        <f>'Filter-new'!P552</f>
        <v>0</v>
      </c>
      <c r="AG481" s="61"/>
      <c r="AH481" s="61"/>
      <c r="AI481" s="45">
        <f>'Filter-old'!L552</f>
        <v>0</v>
      </c>
      <c r="AJ481" s="61">
        <f>'Filter-new'!L552</f>
        <v>0</v>
      </c>
      <c r="AK481" s="61"/>
      <c r="AL481" s="61"/>
      <c r="AM481" s="61"/>
      <c r="AN481" s="61"/>
      <c r="AO481" s="45">
        <f>'Filter-old'!G552</f>
        <v>0</v>
      </c>
      <c r="AP481" s="61">
        <f>'Filter-new'!G553</f>
        <v>0</v>
      </c>
      <c r="AQ481" s="61"/>
      <c r="AR481" s="61"/>
      <c r="AS481" s="45"/>
      <c r="AT481" s="61"/>
      <c r="AU481" s="61"/>
      <c r="AV481" s="61"/>
      <c r="AW481" s="45">
        <f>'Filter-old'!I552</f>
        <v>0</v>
      </c>
      <c r="AX481" s="61">
        <f>'Filter-new'!I553</f>
        <v>0</v>
      </c>
      <c r="AY481" s="61"/>
      <c r="AZ481" s="61"/>
      <c r="BA481" s="61"/>
      <c r="BB481" s="61"/>
      <c r="BC481" s="45">
        <f>'Filter-old'!K552</f>
        <v>0</v>
      </c>
      <c r="BD481" s="61">
        <f>'Filter-new'!K553</f>
        <v>0</v>
      </c>
      <c r="BE481" s="61"/>
      <c r="BF481" s="61"/>
      <c r="BG481" s="45">
        <f>'Filter-old'!M552</f>
        <v>0</v>
      </c>
      <c r="BH481" s="61"/>
      <c r="BI481" s="61"/>
      <c r="BJ481" s="61">
        <f>'Filter-new'!M552</f>
        <v>0</v>
      </c>
      <c r="BK481" s="61"/>
      <c r="BL481" s="61"/>
      <c r="BM481" s="61"/>
      <c r="BN481" s="406"/>
      <c r="BO481" s="61"/>
      <c r="BP481" s="61"/>
      <c r="BQ481" s="45">
        <f>'Filter-old'!O552</f>
        <v>0</v>
      </c>
      <c r="BR481" s="61">
        <f>'Filter-new'!O553</f>
        <v>0</v>
      </c>
      <c r="BS481" s="61"/>
      <c r="BT481" s="61"/>
      <c r="BU481" s="45">
        <f>'Filter-old'!Q552</f>
        <v>0</v>
      </c>
      <c r="BV481" s="61">
        <f>'Filter-new'!Q553</f>
        <v>0</v>
      </c>
      <c r="BW481" s="61"/>
      <c r="BX481" s="61"/>
      <c r="BY481" s="61"/>
      <c r="BZ481" s="61"/>
      <c r="CA481" s="45">
        <f>'Filter-old'!R552</f>
        <v>0</v>
      </c>
      <c r="CB481" s="61">
        <f>'Filter-new'!R553</f>
        <v>0</v>
      </c>
      <c r="CC481" s="57"/>
      <c r="CD481" s="58"/>
      <c r="CE481" s="57"/>
      <c r="CF481" s="57"/>
      <c r="CG481" s="4"/>
    </row>
    <row r="482" spans="1:85" hidden="1" x14ac:dyDescent="0.2">
      <c r="A482">
        <v>0</v>
      </c>
      <c r="B482" s="59">
        <v>38777</v>
      </c>
      <c r="C482" s="59">
        <f t="shared" si="64"/>
        <v>38777</v>
      </c>
      <c r="D482" s="60">
        <f t="shared" si="61"/>
        <v>2006</v>
      </c>
      <c r="E482" s="60">
        <f>VLOOKUP($C482,calendar!$A$2:$D$121,4,FALSE)</f>
        <v>368</v>
      </c>
      <c r="F482" s="60"/>
      <c r="G482" s="36">
        <f t="shared" si="65"/>
        <v>0</v>
      </c>
      <c r="H482" s="36">
        <f t="shared" si="66"/>
        <v>-423</v>
      </c>
      <c r="I482" s="36"/>
      <c r="J482" s="41"/>
      <c r="K482" s="45">
        <f>'Filter-old'!E553</f>
        <v>25696</v>
      </c>
      <c r="L482" s="61">
        <f>'Filter-new'!E554</f>
        <v>29127</v>
      </c>
      <c r="M482" s="61"/>
      <c r="N482" s="61"/>
      <c r="O482" s="429"/>
      <c r="P482" s="61"/>
      <c r="Q482" s="45">
        <f>'Filter-old'!H553</f>
        <v>-25696</v>
      </c>
      <c r="R482" s="61">
        <f>'Filter-new'!H554</f>
        <v>-29550</v>
      </c>
      <c r="S482" s="61"/>
      <c r="T482" s="61"/>
      <c r="U482" s="445"/>
      <c r="V482" s="61"/>
      <c r="W482" s="45">
        <f>'Filter-old'!J553</f>
        <v>0</v>
      </c>
      <c r="X482" s="61">
        <f>'Filter-new'!J554</f>
        <v>0</v>
      </c>
      <c r="Y482" s="61"/>
      <c r="Z482" s="61"/>
      <c r="AA482" s="45">
        <f>'Filter-old'!F553</f>
        <v>0</v>
      </c>
      <c r="AB482" s="61">
        <f>'Filter-new'!F553</f>
        <v>0</v>
      </c>
      <c r="AC482" s="61"/>
      <c r="AD482" s="61"/>
      <c r="AE482" s="45">
        <f>'Filter-old'!P553</f>
        <v>0</v>
      </c>
      <c r="AF482" s="61">
        <f>'Filter-new'!P553</f>
        <v>0</v>
      </c>
      <c r="AG482" s="61"/>
      <c r="AH482" s="61"/>
      <c r="AI482" s="45">
        <f>'Filter-old'!L553</f>
        <v>0</v>
      </c>
      <c r="AJ482" s="61">
        <f>'Filter-new'!L553</f>
        <v>0</v>
      </c>
      <c r="AK482" s="61"/>
      <c r="AL482" s="61"/>
      <c r="AM482" s="61"/>
      <c r="AN482" s="61"/>
      <c r="AO482" s="45">
        <f>'Filter-old'!G553</f>
        <v>0</v>
      </c>
      <c r="AP482" s="61">
        <f>'Filter-new'!G554</f>
        <v>0</v>
      </c>
      <c r="AQ482" s="61"/>
      <c r="AR482" s="61"/>
      <c r="AS482" s="45"/>
      <c r="AT482" s="61"/>
      <c r="AU482" s="61"/>
      <c r="AV482" s="61"/>
      <c r="AW482" s="45">
        <f>'Filter-old'!I553</f>
        <v>0</v>
      </c>
      <c r="AX482" s="61">
        <f>'Filter-new'!I554</f>
        <v>0</v>
      </c>
      <c r="AY482" s="61"/>
      <c r="AZ482" s="61"/>
      <c r="BA482" s="61"/>
      <c r="BB482" s="61"/>
      <c r="BC482" s="45">
        <f>'Filter-old'!K553</f>
        <v>0</v>
      </c>
      <c r="BD482" s="61">
        <f>'Filter-new'!K554</f>
        <v>0</v>
      </c>
      <c r="BE482" s="61"/>
      <c r="BF482" s="61"/>
      <c r="BG482" s="45">
        <f>'Filter-old'!M553</f>
        <v>0</v>
      </c>
      <c r="BH482" s="61"/>
      <c r="BI482" s="61"/>
      <c r="BJ482" s="61">
        <f>'Filter-new'!M553</f>
        <v>0</v>
      </c>
      <c r="BK482" s="61"/>
      <c r="BL482" s="61"/>
      <c r="BM482" s="61"/>
      <c r="BN482" s="406"/>
      <c r="BO482" s="61"/>
      <c r="BP482" s="61"/>
      <c r="BQ482" s="45">
        <f>'Filter-old'!O553</f>
        <v>0</v>
      </c>
      <c r="BR482" s="61">
        <f>'Filter-new'!O554</f>
        <v>0</v>
      </c>
      <c r="BS482" s="61"/>
      <c r="BT482" s="61"/>
      <c r="BU482" s="45">
        <f>'Filter-old'!Q553</f>
        <v>0</v>
      </c>
      <c r="BV482" s="61">
        <f>'Filter-new'!Q554</f>
        <v>0</v>
      </c>
      <c r="BW482" s="61"/>
      <c r="BX482" s="61"/>
      <c r="BY482" s="61"/>
      <c r="BZ482" s="61"/>
      <c r="CA482" s="45">
        <f>'Filter-old'!R553</f>
        <v>0</v>
      </c>
      <c r="CB482" s="61">
        <f>'Filter-new'!R554</f>
        <v>0</v>
      </c>
      <c r="CC482" s="57"/>
      <c r="CD482" s="58"/>
      <c r="CE482" s="57"/>
      <c r="CF482" s="57"/>
      <c r="CG482" s="4"/>
    </row>
    <row r="483" spans="1:85" hidden="1" x14ac:dyDescent="0.2">
      <c r="A483">
        <v>0</v>
      </c>
      <c r="B483" s="59">
        <v>38808</v>
      </c>
      <c r="C483" s="59">
        <f t="shared" si="64"/>
        <v>38808</v>
      </c>
      <c r="D483" s="60">
        <f t="shared" si="61"/>
        <v>2006</v>
      </c>
      <c r="E483" s="60">
        <f>VLOOKUP($C483,calendar!$A$2:$D$121,4,FALSE)</f>
        <v>320</v>
      </c>
      <c r="F483" s="60"/>
      <c r="G483" s="36">
        <f t="shared" si="65"/>
        <v>-752</v>
      </c>
      <c r="H483" s="36">
        <f t="shared" si="66"/>
        <v>3136</v>
      </c>
      <c r="I483" s="36"/>
      <c r="J483" s="41"/>
      <c r="K483" s="45">
        <f>'Filter-old'!E554</f>
        <v>27448</v>
      </c>
      <c r="L483" s="61">
        <f>'Filter-new'!E555</f>
        <v>28616</v>
      </c>
      <c r="M483" s="61"/>
      <c r="N483" s="61"/>
      <c r="O483" s="429"/>
      <c r="P483" s="61"/>
      <c r="Q483" s="45">
        <f>'Filter-old'!H554</f>
        <v>-28200</v>
      </c>
      <c r="R483" s="61">
        <f>'Filter-new'!H555</f>
        <v>-25480</v>
      </c>
      <c r="S483" s="61"/>
      <c r="T483" s="61"/>
      <c r="U483" s="445"/>
      <c r="V483" s="61"/>
      <c r="W483" s="45">
        <f>'Filter-old'!J554</f>
        <v>0</v>
      </c>
      <c r="X483" s="61">
        <f>'Filter-new'!J555</f>
        <v>0</v>
      </c>
      <c r="Y483" s="61"/>
      <c r="Z483" s="61"/>
      <c r="AA483" s="45">
        <f>'Filter-old'!F554</f>
        <v>0</v>
      </c>
      <c r="AB483" s="61">
        <f>'Filter-new'!F554</f>
        <v>0</v>
      </c>
      <c r="AC483" s="61"/>
      <c r="AD483" s="61"/>
      <c r="AE483" s="45">
        <f>'Filter-old'!P554</f>
        <v>0</v>
      </c>
      <c r="AF483" s="61">
        <f>'Filter-new'!P554</f>
        <v>0</v>
      </c>
      <c r="AG483" s="61"/>
      <c r="AH483" s="61"/>
      <c r="AI483" s="45">
        <f>'Filter-old'!L554</f>
        <v>0</v>
      </c>
      <c r="AJ483" s="61">
        <f>'Filter-new'!L554</f>
        <v>0</v>
      </c>
      <c r="AK483" s="61"/>
      <c r="AL483" s="61"/>
      <c r="AM483" s="61"/>
      <c r="AN483" s="61"/>
      <c r="AO483" s="45">
        <f>'Filter-old'!G554</f>
        <v>0</v>
      </c>
      <c r="AP483" s="61">
        <f>'Filter-new'!G555</f>
        <v>0</v>
      </c>
      <c r="AQ483" s="61"/>
      <c r="AR483" s="61"/>
      <c r="AS483" s="45"/>
      <c r="AT483" s="61"/>
      <c r="AU483" s="61"/>
      <c r="AV483" s="61"/>
      <c r="AW483" s="45">
        <f>'Filter-old'!I554</f>
        <v>0</v>
      </c>
      <c r="AX483" s="61">
        <f>'Filter-new'!I555</f>
        <v>0</v>
      </c>
      <c r="AY483" s="61"/>
      <c r="AZ483" s="61"/>
      <c r="BA483" s="61"/>
      <c r="BB483" s="61"/>
      <c r="BC483" s="45">
        <f>'Filter-old'!K554</f>
        <v>0</v>
      </c>
      <c r="BD483" s="61">
        <f>'Filter-new'!K555</f>
        <v>0</v>
      </c>
      <c r="BE483" s="61"/>
      <c r="BF483" s="61"/>
      <c r="BG483" s="45">
        <f>'Filter-old'!M554</f>
        <v>0</v>
      </c>
      <c r="BH483" s="61"/>
      <c r="BI483" s="61"/>
      <c r="BJ483" s="61">
        <f>'Filter-new'!M554</f>
        <v>0</v>
      </c>
      <c r="BK483" s="61"/>
      <c r="BL483" s="61"/>
      <c r="BM483" s="61"/>
      <c r="BN483" s="406"/>
      <c r="BO483" s="61"/>
      <c r="BP483" s="61"/>
      <c r="BQ483" s="45">
        <f>'Filter-old'!O554</f>
        <v>0</v>
      </c>
      <c r="BR483" s="61">
        <f>'Filter-new'!O555</f>
        <v>0</v>
      </c>
      <c r="BS483" s="61"/>
      <c r="BT483" s="61"/>
      <c r="BU483" s="45">
        <f>'Filter-old'!Q554</f>
        <v>0</v>
      </c>
      <c r="BV483" s="61">
        <f>'Filter-new'!Q555</f>
        <v>0</v>
      </c>
      <c r="BW483" s="61"/>
      <c r="BX483" s="61"/>
      <c r="BY483" s="61"/>
      <c r="BZ483" s="61"/>
      <c r="CA483" s="45">
        <f>'Filter-old'!R554</f>
        <v>0</v>
      </c>
      <c r="CB483" s="61">
        <f>'Filter-new'!R555</f>
        <v>0</v>
      </c>
      <c r="CC483" s="57"/>
      <c r="CD483" s="58"/>
      <c r="CE483" s="57"/>
      <c r="CF483" s="57"/>
      <c r="CG483" s="4"/>
    </row>
    <row r="484" spans="1:85" hidden="1" x14ac:dyDescent="0.2">
      <c r="A484">
        <v>0</v>
      </c>
      <c r="B484" s="59">
        <v>38838</v>
      </c>
      <c r="C484" s="59">
        <f t="shared" si="64"/>
        <v>38838</v>
      </c>
      <c r="D484" s="60">
        <f t="shared" ref="D484:D539" si="67">YEAR(C484)</f>
        <v>2006</v>
      </c>
      <c r="E484" s="60">
        <f>VLOOKUP($C484,calendar!$A$2:$D$121,4,FALSE)</f>
        <v>352</v>
      </c>
      <c r="F484" s="60"/>
      <c r="G484" s="36">
        <f t="shared" ref="G484:G515" si="68">SUM(K484,AA484,AO484,Q484,AW484,W484,BC484,AI484,BG484,BQ484,AE484,BU484,CA484)</f>
        <v>-423</v>
      </c>
      <c r="H484" s="36">
        <f t="shared" ref="H484:H515" si="69">SUM(L484,AB484,AP484,R484,AX484,X484,BD484,AJ484,BJ484,BR484,AF484,BV484,CB484)</f>
        <v>4048</v>
      </c>
      <c r="I484" s="36"/>
      <c r="J484" s="41"/>
      <c r="K484" s="45">
        <f>'Filter-old'!E555</f>
        <v>29127</v>
      </c>
      <c r="L484" s="61">
        <f>'Filter-new'!E556</f>
        <v>26864</v>
      </c>
      <c r="M484" s="61"/>
      <c r="N484" s="61"/>
      <c r="O484" s="429"/>
      <c r="P484" s="61"/>
      <c r="Q484" s="45">
        <f>'Filter-old'!H555</f>
        <v>-29550</v>
      </c>
      <c r="R484" s="61">
        <f>'Filter-new'!H556</f>
        <v>-22816</v>
      </c>
      <c r="S484" s="61"/>
      <c r="T484" s="61"/>
      <c r="U484" s="445"/>
      <c r="V484" s="61"/>
      <c r="W484" s="45">
        <f>'Filter-old'!J555</f>
        <v>0</v>
      </c>
      <c r="X484" s="61">
        <f>'Filter-new'!J556</f>
        <v>0</v>
      </c>
      <c r="Y484" s="61"/>
      <c r="Z484" s="61"/>
      <c r="AA484" s="45">
        <f>'Filter-old'!F555</f>
        <v>0</v>
      </c>
      <c r="AB484" s="61">
        <f>'Filter-new'!F555</f>
        <v>0</v>
      </c>
      <c r="AC484" s="61"/>
      <c r="AD484" s="61"/>
      <c r="AE484" s="45">
        <f>'Filter-old'!P555</f>
        <v>0</v>
      </c>
      <c r="AF484" s="61">
        <f>'Filter-new'!P555</f>
        <v>0</v>
      </c>
      <c r="AG484" s="61"/>
      <c r="AH484" s="61"/>
      <c r="AI484" s="45">
        <f>'Filter-old'!L555</f>
        <v>0</v>
      </c>
      <c r="AJ484" s="61">
        <f>'Filter-new'!L555</f>
        <v>0</v>
      </c>
      <c r="AK484" s="61"/>
      <c r="AL484" s="61"/>
      <c r="AM484" s="61"/>
      <c r="AN484" s="61"/>
      <c r="AO484" s="45">
        <f>'Filter-old'!G555</f>
        <v>0</v>
      </c>
      <c r="AP484" s="61">
        <f>'Filter-new'!G556</f>
        <v>0</v>
      </c>
      <c r="AQ484" s="61"/>
      <c r="AR484" s="61"/>
      <c r="AS484" s="45"/>
      <c r="AT484" s="61"/>
      <c r="AU484" s="61"/>
      <c r="AV484" s="61"/>
      <c r="AW484" s="45">
        <f>'Filter-old'!I555</f>
        <v>0</v>
      </c>
      <c r="AX484" s="61">
        <f>'Filter-new'!I556</f>
        <v>0</v>
      </c>
      <c r="AY484" s="61"/>
      <c r="AZ484" s="61"/>
      <c r="BA484" s="61"/>
      <c r="BB484" s="61"/>
      <c r="BC484" s="45">
        <f>'Filter-old'!K555</f>
        <v>0</v>
      </c>
      <c r="BD484" s="61">
        <f>'Filter-new'!K556</f>
        <v>0</v>
      </c>
      <c r="BE484" s="61"/>
      <c r="BF484" s="61"/>
      <c r="BG484" s="45">
        <f>'Filter-old'!M555</f>
        <v>0</v>
      </c>
      <c r="BH484" s="61"/>
      <c r="BI484" s="61"/>
      <c r="BJ484" s="61">
        <f>'Filter-new'!M555</f>
        <v>0</v>
      </c>
      <c r="BK484" s="61"/>
      <c r="BL484" s="61"/>
      <c r="BM484" s="61"/>
      <c r="BN484" s="406"/>
      <c r="BO484" s="61"/>
      <c r="BP484" s="61"/>
      <c r="BQ484" s="45">
        <f>'Filter-old'!O555</f>
        <v>0</v>
      </c>
      <c r="BR484" s="61">
        <f>'Filter-new'!O556</f>
        <v>0</v>
      </c>
      <c r="BS484" s="61"/>
      <c r="BT484" s="61"/>
      <c r="BU484" s="45">
        <f>'Filter-old'!Q555</f>
        <v>0</v>
      </c>
      <c r="BV484" s="61">
        <f>'Filter-new'!Q556</f>
        <v>0</v>
      </c>
      <c r="BW484" s="61"/>
      <c r="BX484" s="61"/>
      <c r="BY484" s="61"/>
      <c r="BZ484" s="61"/>
      <c r="CA484" s="45">
        <f>'Filter-old'!R555</f>
        <v>0</v>
      </c>
      <c r="CB484" s="61">
        <f>'Filter-new'!R556</f>
        <v>0</v>
      </c>
      <c r="CC484" s="57"/>
      <c r="CD484" s="58"/>
      <c r="CE484" s="57"/>
      <c r="CF484" s="57"/>
      <c r="CG484" s="4"/>
    </row>
    <row r="485" spans="1:85" hidden="1" x14ac:dyDescent="0.2">
      <c r="A485">
        <v>0</v>
      </c>
      <c r="B485" s="59">
        <v>38869</v>
      </c>
      <c r="C485" s="59">
        <f t="shared" ref="C485:C516" si="70">C71</f>
        <v>38869</v>
      </c>
      <c r="D485" s="60">
        <f t="shared" si="67"/>
        <v>2006</v>
      </c>
      <c r="E485" s="60">
        <f>VLOOKUP($C485,calendar!$A$2:$D$121,4,FALSE)</f>
        <v>352</v>
      </c>
      <c r="F485" s="60"/>
      <c r="G485" s="36">
        <f t="shared" si="68"/>
        <v>3136</v>
      </c>
      <c r="H485" s="36">
        <f t="shared" si="69"/>
        <v>5936</v>
      </c>
      <c r="I485" s="36"/>
      <c r="J485" s="41"/>
      <c r="K485" s="45">
        <f>'Filter-old'!E556</f>
        <v>28616</v>
      </c>
      <c r="L485" s="61">
        <f>'Filter-new'!E557</f>
        <v>30952</v>
      </c>
      <c r="M485" s="61"/>
      <c r="N485" s="61"/>
      <c r="O485" s="429"/>
      <c r="P485" s="61"/>
      <c r="Q485" s="45">
        <f>'Filter-old'!H556</f>
        <v>-25480</v>
      </c>
      <c r="R485" s="61">
        <f>'Filter-new'!H557</f>
        <v>-25016</v>
      </c>
      <c r="S485" s="61"/>
      <c r="T485" s="61"/>
      <c r="U485" s="445"/>
      <c r="V485" s="61"/>
      <c r="W485" s="45">
        <f>'Filter-old'!J556</f>
        <v>0</v>
      </c>
      <c r="X485" s="61">
        <f>'Filter-new'!J557</f>
        <v>0</v>
      </c>
      <c r="Y485" s="61"/>
      <c r="Z485" s="61"/>
      <c r="AA485" s="45">
        <f>'Filter-old'!F556</f>
        <v>0</v>
      </c>
      <c r="AB485" s="61">
        <f>'Filter-new'!F556</f>
        <v>0</v>
      </c>
      <c r="AC485" s="61"/>
      <c r="AD485" s="61"/>
      <c r="AE485" s="45">
        <f>'Filter-old'!P556</f>
        <v>0</v>
      </c>
      <c r="AF485" s="61">
        <f>'Filter-new'!P556</f>
        <v>0</v>
      </c>
      <c r="AG485" s="61"/>
      <c r="AH485" s="61"/>
      <c r="AI485" s="45">
        <f>'Filter-old'!L556</f>
        <v>0</v>
      </c>
      <c r="AJ485" s="61">
        <f>'Filter-new'!L556</f>
        <v>0</v>
      </c>
      <c r="AK485" s="61"/>
      <c r="AL485" s="61"/>
      <c r="AM485" s="61"/>
      <c r="AN485" s="61"/>
      <c r="AO485" s="45">
        <f>'Filter-old'!G556</f>
        <v>0</v>
      </c>
      <c r="AP485" s="61">
        <f>'Filter-new'!G557</f>
        <v>0</v>
      </c>
      <c r="AQ485" s="61"/>
      <c r="AR485" s="61"/>
      <c r="AS485" s="45"/>
      <c r="AT485" s="61"/>
      <c r="AU485" s="61"/>
      <c r="AV485" s="61"/>
      <c r="AW485" s="45">
        <f>'Filter-old'!I556</f>
        <v>0</v>
      </c>
      <c r="AX485" s="61">
        <f>'Filter-new'!I557</f>
        <v>0</v>
      </c>
      <c r="AY485" s="61"/>
      <c r="AZ485" s="61"/>
      <c r="BA485" s="61"/>
      <c r="BB485" s="61"/>
      <c r="BC485" s="45">
        <f>'Filter-old'!K556</f>
        <v>0</v>
      </c>
      <c r="BD485" s="61">
        <f>'Filter-new'!K557</f>
        <v>0</v>
      </c>
      <c r="BE485" s="61"/>
      <c r="BF485" s="61"/>
      <c r="BG485" s="45">
        <f>'Filter-old'!M556</f>
        <v>0</v>
      </c>
      <c r="BH485" s="61"/>
      <c r="BI485" s="61"/>
      <c r="BJ485" s="61">
        <f>'Filter-new'!M556</f>
        <v>0</v>
      </c>
      <c r="BK485" s="61"/>
      <c r="BL485" s="61"/>
      <c r="BM485" s="61"/>
      <c r="BN485" s="406"/>
      <c r="BO485" s="61"/>
      <c r="BP485" s="61"/>
      <c r="BQ485" s="45">
        <f>'Filter-old'!O556</f>
        <v>0</v>
      </c>
      <c r="BR485" s="61">
        <f>'Filter-new'!O557</f>
        <v>0</v>
      </c>
      <c r="BS485" s="61"/>
      <c r="BT485" s="61"/>
      <c r="BU485" s="45">
        <f>'Filter-old'!Q556</f>
        <v>0</v>
      </c>
      <c r="BV485" s="61">
        <f>'Filter-new'!Q557</f>
        <v>0</v>
      </c>
      <c r="BW485" s="61"/>
      <c r="BX485" s="61"/>
      <c r="BY485" s="61"/>
      <c r="BZ485" s="61"/>
      <c r="CA485" s="45">
        <f>'Filter-old'!R556</f>
        <v>0</v>
      </c>
      <c r="CB485" s="61">
        <f>'Filter-new'!R557</f>
        <v>0</v>
      </c>
      <c r="CC485" s="57"/>
      <c r="CD485" s="58"/>
      <c r="CE485" s="57"/>
      <c r="CF485" s="57"/>
      <c r="CG485" s="4"/>
    </row>
    <row r="486" spans="1:85" hidden="1" x14ac:dyDescent="0.2">
      <c r="A486">
        <v>0</v>
      </c>
      <c r="B486" s="59">
        <v>38899</v>
      </c>
      <c r="C486" s="59">
        <f t="shared" si="70"/>
        <v>38899</v>
      </c>
      <c r="D486" s="60">
        <f t="shared" si="67"/>
        <v>2006</v>
      </c>
      <c r="E486" s="60">
        <f>VLOOKUP($C486,calendar!$A$2:$D$121,4,FALSE)</f>
        <v>320</v>
      </c>
      <c r="F486" s="60"/>
      <c r="G486" s="36">
        <f t="shared" si="68"/>
        <v>4048</v>
      </c>
      <c r="H486" s="36">
        <f t="shared" si="69"/>
        <v>5264</v>
      </c>
      <c r="I486" s="36"/>
      <c r="J486" s="41"/>
      <c r="K486" s="45">
        <f>'Filter-old'!E557</f>
        <v>26864</v>
      </c>
      <c r="L486" s="61">
        <f>'Filter-new'!E558</f>
        <v>27448</v>
      </c>
      <c r="M486" s="61"/>
      <c r="N486" s="61"/>
      <c r="O486" s="429"/>
      <c r="P486" s="61"/>
      <c r="Q486" s="45">
        <f>'Filter-old'!H557</f>
        <v>-22816</v>
      </c>
      <c r="R486" s="61">
        <f>'Filter-new'!H558</f>
        <v>-22184</v>
      </c>
      <c r="S486" s="61"/>
      <c r="T486" s="61"/>
      <c r="U486" s="445"/>
      <c r="V486" s="61"/>
      <c r="W486" s="45">
        <f>'Filter-old'!J557</f>
        <v>0</v>
      </c>
      <c r="X486" s="61">
        <f>'Filter-new'!J558</f>
        <v>0</v>
      </c>
      <c r="Y486" s="61"/>
      <c r="Z486" s="61"/>
      <c r="AA486" s="45">
        <f>'Filter-old'!F557</f>
        <v>0</v>
      </c>
      <c r="AB486" s="61">
        <f>'Filter-new'!F557</f>
        <v>0</v>
      </c>
      <c r="AC486" s="61"/>
      <c r="AD486" s="61"/>
      <c r="AE486" s="45">
        <f>'Filter-old'!P557</f>
        <v>0</v>
      </c>
      <c r="AF486" s="61">
        <f>'Filter-new'!P557</f>
        <v>0</v>
      </c>
      <c r="AG486" s="61"/>
      <c r="AH486" s="61"/>
      <c r="AI486" s="45">
        <f>'Filter-old'!L557</f>
        <v>0</v>
      </c>
      <c r="AJ486" s="61">
        <f>'Filter-new'!L557</f>
        <v>0</v>
      </c>
      <c r="AK486" s="61"/>
      <c r="AL486" s="61"/>
      <c r="AM486" s="61"/>
      <c r="AN486" s="61"/>
      <c r="AO486" s="45">
        <f>'Filter-old'!G557</f>
        <v>0</v>
      </c>
      <c r="AP486" s="61">
        <f>'Filter-new'!G558</f>
        <v>0</v>
      </c>
      <c r="AQ486" s="61"/>
      <c r="AR486" s="61"/>
      <c r="AS486" s="45"/>
      <c r="AT486" s="61"/>
      <c r="AU486" s="61"/>
      <c r="AV486" s="61"/>
      <c r="AW486" s="45">
        <f>'Filter-old'!I557</f>
        <v>0</v>
      </c>
      <c r="AX486" s="61">
        <f>'Filter-new'!I558</f>
        <v>0</v>
      </c>
      <c r="AY486" s="61"/>
      <c r="AZ486" s="61"/>
      <c r="BA486" s="61"/>
      <c r="BB486" s="61"/>
      <c r="BC486" s="45">
        <f>'Filter-old'!K557</f>
        <v>0</v>
      </c>
      <c r="BD486" s="61">
        <f>'Filter-new'!K558</f>
        <v>0</v>
      </c>
      <c r="BE486" s="61"/>
      <c r="BF486" s="61"/>
      <c r="BG486" s="45">
        <f>'Filter-old'!M557</f>
        <v>0</v>
      </c>
      <c r="BH486" s="61"/>
      <c r="BI486" s="61"/>
      <c r="BJ486" s="61">
        <f>'Filter-new'!M557</f>
        <v>0</v>
      </c>
      <c r="BK486" s="61"/>
      <c r="BL486" s="61"/>
      <c r="BM486" s="61"/>
      <c r="BN486" s="406"/>
      <c r="BO486" s="61"/>
      <c r="BP486" s="61"/>
      <c r="BQ486" s="45">
        <f>'Filter-old'!O557</f>
        <v>0</v>
      </c>
      <c r="BR486" s="61">
        <f>'Filter-new'!O558</f>
        <v>0</v>
      </c>
      <c r="BS486" s="61"/>
      <c r="BT486" s="61"/>
      <c r="BU486" s="45">
        <f>'Filter-old'!Q557</f>
        <v>0</v>
      </c>
      <c r="BV486" s="61">
        <f>'Filter-new'!Q558</f>
        <v>0</v>
      </c>
      <c r="BW486" s="61"/>
      <c r="BX486" s="61"/>
      <c r="BY486" s="61"/>
      <c r="BZ486" s="61"/>
      <c r="CA486" s="45">
        <f>'Filter-old'!R557</f>
        <v>0</v>
      </c>
      <c r="CB486" s="61">
        <f>'Filter-new'!R558</f>
        <v>0</v>
      </c>
      <c r="CC486" s="57"/>
      <c r="CD486" s="58"/>
      <c r="CE486" s="57"/>
      <c r="CF486" s="57"/>
      <c r="CG486" s="4"/>
    </row>
    <row r="487" spans="1:85" hidden="1" x14ac:dyDescent="0.2">
      <c r="A487">
        <v>0</v>
      </c>
      <c r="B487" s="59">
        <v>38930</v>
      </c>
      <c r="C487" s="59">
        <f t="shared" si="70"/>
        <v>38930</v>
      </c>
      <c r="D487" s="60">
        <f t="shared" si="67"/>
        <v>2006</v>
      </c>
      <c r="E487" s="60">
        <f>VLOOKUP($C487,calendar!$A$2:$D$121,4,FALSE)</f>
        <v>368</v>
      </c>
      <c r="F487" s="60"/>
      <c r="G487" s="36">
        <f t="shared" si="68"/>
        <v>5936</v>
      </c>
      <c r="H487" s="36">
        <f t="shared" si="69"/>
        <v>3200</v>
      </c>
      <c r="I487" s="36"/>
      <c r="J487" s="41"/>
      <c r="K487" s="45">
        <f>'Filter-old'!E558</f>
        <v>30952</v>
      </c>
      <c r="L487" s="61">
        <f>'Filter-new'!E559</f>
        <v>29200</v>
      </c>
      <c r="M487" s="61"/>
      <c r="N487" s="61"/>
      <c r="O487" s="429"/>
      <c r="P487" s="61"/>
      <c r="Q487" s="45">
        <f>'Filter-old'!H558</f>
        <v>-25016</v>
      </c>
      <c r="R487" s="61">
        <f>'Filter-new'!H559</f>
        <v>-26000</v>
      </c>
      <c r="S487" s="61"/>
      <c r="T487" s="61"/>
      <c r="U487" s="445"/>
      <c r="V487" s="61"/>
      <c r="W487" s="45">
        <f>'Filter-old'!J558</f>
        <v>0</v>
      </c>
      <c r="X487" s="61">
        <f>'Filter-new'!J559</f>
        <v>0</v>
      </c>
      <c r="Y487" s="61"/>
      <c r="Z487" s="61"/>
      <c r="AA487" s="45">
        <f>'Filter-old'!F558</f>
        <v>0</v>
      </c>
      <c r="AB487" s="61">
        <f>'Filter-new'!F558</f>
        <v>0</v>
      </c>
      <c r="AC487" s="61"/>
      <c r="AD487" s="61"/>
      <c r="AE487" s="45">
        <f>'Filter-old'!P558</f>
        <v>0</v>
      </c>
      <c r="AF487" s="61">
        <f>'Filter-new'!P558</f>
        <v>0</v>
      </c>
      <c r="AG487" s="61"/>
      <c r="AH487" s="61"/>
      <c r="AI487" s="45">
        <f>'Filter-old'!L558</f>
        <v>0</v>
      </c>
      <c r="AJ487" s="61">
        <f>'Filter-new'!L558</f>
        <v>0</v>
      </c>
      <c r="AK487" s="61"/>
      <c r="AL487" s="61"/>
      <c r="AM487" s="61"/>
      <c r="AN487" s="61"/>
      <c r="AO487" s="45">
        <f>'Filter-old'!G558</f>
        <v>0</v>
      </c>
      <c r="AP487" s="61">
        <f>'Filter-new'!G559</f>
        <v>0</v>
      </c>
      <c r="AQ487" s="61"/>
      <c r="AR487" s="61"/>
      <c r="AS487" s="45"/>
      <c r="AT487" s="61"/>
      <c r="AU487" s="61"/>
      <c r="AV487" s="61"/>
      <c r="AW487" s="45">
        <f>'Filter-old'!I558</f>
        <v>0</v>
      </c>
      <c r="AX487" s="61">
        <f>'Filter-new'!I559</f>
        <v>0</v>
      </c>
      <c r="AY487" s="61"/>
      <c r="AZ487" s="61"/>
      <c r="BA487" s="61"/>
      <c r="BB487" s="61"/>
      <c r="BC487" s="45">
        <f>'Filter-old'!K558</f>
        <v>0</v>
      </c>
      <c r="BD487" s="61">
        <f>'Filter-new'!K559</f>
        <v>0</v>
      </c>
      <c r="BE487" s="61"/>
      <c r="BF487" s="61"/>
      <c r="BG487" s="45">
        <f>'Filter-old'!M558</f>
        <v>0</v>
      </c>
      <c r="BH487" s="61"/>
      <c r="BI487" s="61"/>
      <c r="BJ487" s="61">
        <f>'Filter-new'!M558</f>
        <v>0</v>
      </c>
      <c r="BK487" s="61"/>
      <c r="BL487" s="61"/>
      <c r="BM487" s="61"/>
      <c r="BN487" s="406"/>
      <c r="BO487" s="61"/>
      <c r="BP487" s="61"/>
      <c r="BQ487" s="45">
        <f>'Filter-old'!O558</f>
        <v>0</v>
      </c>
      <c r="BR487" s="61">
        <f>'Filter-new'!O559</f>
        <v>0</v>
      </c>
      <c r="BS487" s="61"/>
      <c r="BT487" s="61"/>
      <c r="BU487" s="45">
        <f>'Filter-old'!Q558</f>
        <v>0</v>
      </c>
      <c r="BV487" s="61">
        <f>'Filter-new'!Q559</f>
        <v>0</v>
      </c>
      <c r="BW487" s="61"/>
      <c r="BX487" s="61"/>
      <c r="BY487" s="61"/>
      <c r="BZ487" s="61"/>
      <c r="CA487" s="45">
        <f>'Filter-old'!R558</f>
        <v>0</v>
      </c>
      <c r="CB487" s="61">
        <f>'Filter-new'!R559</f>
        <v>0</v>
      </c>
      <c r="CC487" s="57"/>
      <c r="CD487" s="58"/>
      <c r="CE487" s="57"/>
      <c r="CF487" s="57"/>
      <c r="CG487" s="4"/>
    </row>
    <row r="488" spans="1:85" hidden="1" x14ac:dyDescent="0.2">
      <c r="A488">
        <v>0</v>
      </c>
      <c r="B488" s="59">
        <v>38961</v>
      </c>
      <c r="C488" s="59">
        <f t="shared" si="70"/>
        <v>38961</v>
      </c>
      <c r="D488" s="60">
        <f t="shared" si="67"/>
        <v>2006</v>
      </c>
      <c r="E488" s="60">
        <f>VLOOKUP($C488,calendar!$A$2:$D$121,4,FALSE)</f>
        <v>320</v>
      </c>
      <c r="F488" s="60"/>
      <c r="G488" s="36">
        <f t="shared" si="68"/>
        <v>5264</v>
      </c>
      <c r="H488" s="36">
        <f t="shared" si="69"/>
        <v>2767</v>
      </c>
      <c r="I488" s="36"/>
      <c r="J488" s="41"/>
      <c r="K488" s="45">
        <f>'Filter-old'!E559</f>
        <v>27448</v>
      </c>
      <c r="L488" s="61">
        <f>'Filter-new'!E560</f>
        <v>28689</v>
      </c>
      <c r="M488" s="61"/>
      <c r="N488" s="61"/>
      <c r="O488" s="429"/>
      <c r="P488" s="61"/>
      <c r="Q488" s="45">
        <f>'Filter-old'!H559</f>
        <v>-22184</v>
      </c>
      <c r="R488" s="61">
        <f>'Filter-new'!H560</f>
        <v>-25922</v>
      </c>
      <c r="S488" s="61"/>
      <c r="T488" s="61"/>
      <c r="U488" s="445"/>
      <c r="V488" s="61"/>
      <c r="W488" s="45">
        <f>'Filter-old'!J559</f>
        <v>0</v>
      </c>
      <c r="X488" s="61">
        <f>'Filter-new'!J560</f>
        <v>0</v>
      </c>
      <c r="Y488" s="61"/>
      <c r="Z488" s="61"/>
      <c r="AA488" s="45">
        <f>'Filter-old'!F559</f>
        <v>0</v>
      </c>
      <c r="AB488" s="61">
        <f>'Filter-new'!F559</f>
        <v>0</v>
      </c>
      <c r="AC488" s="61"/>
      <c r="AD488" s="61"/>
      <c r="AE488" s="45">
        <f>'Filter-old'!P559</f>
        <v>0</v>
      </c>
      <c r="AF488" s="61">
        <f>'Filter-new'!P559</f>
        <v>0</v>
      </c>
      <c r="AG488" s="61"/>
      <c r="AH488" s="61"/>
      <c r="AI488" s="45">
        <f>'Filter-old'!L559</f>
        <v>0</v>
      </c>
      <c r="AJ488" s="61">
        <f>'Filter-new'!L559</f>
        <v>0</v>
      </c>
      <c r="AK488" s="61"/>
      <c r="AL488" s="61"/>
      <c r="AM488" s="61"/>
      <c r="AN488" s="61"/>
      <c r="AO488" s="45">
        <f>'Filter-old'!G559</f>
        <v>0</v>
      </c>
      <c r="AP488" s="61">
        <f>'Filter-new'!G560</f>
        <v>0</v>
      </c>
      <c r="AQ488" s="61"/>
      <c r="AR488" s="61"/>
      <c r="AS488" s="45"/>
      <c r="AT488" s="61"/>
      <c r="AU488" s="61"/>
      <c r="AV488" s="61"/>
      <c r="AW488" s="45">
        <f>'Filter-old'!I559</f>
        <v>0</v>
      </c>
      <c r="AX488" s="61">
        <f>'Filter-new'!I560</f>
        <v>0</v>
      </c>
      <c r="AY488" s="61"/>
      <c r="AZ488" s="61"/>
      <c r="BA488" s="61"/>
      <c r="BB488" s="61"/>
      <c r="BC488" s="45">
        <f>'Filter-old'!K559</f>
        <v>0</v>
      </c>
      <c r="BD488" s="61">
        <f>'Filter-new'!K560</f>
        <v>0</v>
      </c>
      <c r="BE488" s="61"/>
      <c r="BF488" s="61"/>
      <c r="BG488" s="45">
        <f>'Filter-old'!M559</f>
        <v>0</v>
      </c>
      <c r="BH488" s="61"/>
      <c r="BI488" s="61"/>
      <c r="BJ488" s="61">
        <f>'Filter-new'!M559</f>
        <v>0</v>
      </c>
      <c r="BK488" s="61"/>
      <c r="BL488" s="61"/>
      <c r="BM488" s="61"/>
      <c r="BN488" s="406"/>
      <c r="BO488" s="61"/>
      <c r="BP488" s="61"/>
      <c r="BQ488" s="45">
        <f>'Filter-old'!O559</f>
        <v>0</v>
      </c>
      <c r="BR488" s="61">
        <f>'Filter-new'!O560</f>
        <v>0</v>
      </c>
      <c r="BS488" s="61"/>
      <c r="BT488" s="61"/>
      <c r="BU488" s="45">
        <f>'Filter-old'!Q559</f>
        <v>0</v>
      </c>
      <c r="BV488" s="61">
        <f>'Filter-new'!Q560</f>
        <v>0</v>
      </c>
      <c r="BW488" s="61"/>
      <c r="BX488" s="61"/>
      <c r="BY488" s="61"/>
      <c r="BZ488" s="61"/>
      <c r="CA488" s="45">
        <f>'Filter-old'!R559</f>
        <v>0</v>
      </c>
      <c r="CB488" s="61">
        <f>'Filter-new'!R560</f>
        <v>0</v>
      </c>
      <c r="CC488" s="57"/>
      <c r="CD488" s="58"/>
      <c r="CE488" s="57"/>
      <c r="CF488" s="57"/>
      <c r="CG488" s="4"/>
    </row>
    <row r="489" spans="1:85" hidden="1" x14ac:dyDescent="0.2">
      <c r="A489">
        <v>0</v>
      </c>
      <c r="B489" s="59">
        <v>38991</v>
      </c>
      <c r="C489" s="59">
        <f t="shared" si="70"/>
        <v>38991</v>
      </c>
      <c r="D489" s="60">
        <f t="shared" si="67"/>
        <v>2006</v>
      </c>
      <c r="E489" s="60">
        <f>VLOOKUP($C489,calendar!$A$2:$D$121,4,FALSE)</f>
        <v>352</v>
      </c>
      <c r="F489" s="60"/>
      <c r="G489" s="36">
        <f t="shared" si="68"/>
        <v>3200</v>
      </c>
      <c r="H489" s="36">
        <f t="shared" si="69"/>
        <v>-384</v>
      </c>
      <c r="I489" s="36"/>
      <c r="J489" s="41"/>
      <c r="K489" s="45">
        <f>'Filter-old'!E560</f>
        <v>29200</v>
      </c>
      <c r="L489" s="61">
        <f>'Filter-new'!E561</f>
        <v>28032</v>
      </c>
      <c r="M489" s="61"/>
      <c r="N489" s="61"/>
      <c r="O489" s="429"/>
      <c r="P489" s="61"/>
      <c r="Q489" s="45">
        <f>'Filter-old'!H560</f>
        <v>-26000</v>
      </c>
      <c r="R489" s="61">
        <f>'Filter-new'!H561</f>
        <v>-28416</v>
      </c>
      <c r="S489" s="61"/>
      <c r="T489" s="61"/>
      <c r="U489" s="445"/>
      <c r="V489" s="61"/>
      <c r="W489" s="45">
        <f>'Filter-old'!J560</f>
        <v>0</v>
      </c>
      <c r="X489" s="61">
        <f>'Filter-new'!J561</f>
        <v>0</v>
      </c>
      <c r="Y489" s="61"/>
      <c r="Z489" s="61"/>
      <c r="AA489" s="45">
        <f>'Filter-old'!F560</f>
        <v>0</v>
      </c>
      <c r="AB489" s="61">
        <f>'Filter-new'!F560</f>
        <v>0</v>
      </c>
      <c r="AC489" s="61"/>
      <c r="AD489" s="61"/>
      <c r="AE489" s="45">
        <f>'Filter-old'!P560</f>
        <v>0</v>
      </c>
      <c r="AF489" s="61">
        <f>'Filter-new'!P560</f>
        <v>0</v>
      </c>
      <c r="AG489" s="61"/>
      <c r="AH489" s="61"/>
      <c r="AI489" s="45">
        <f>'Filter-old'!L560</f>
        <v>0</v>
      </c>
      <c r="AJ489" s="61">
        <f>'Filter-new'!L560</f>
        <v>0</v>
      </c>
      <c r="AK489" s="61"/>
      <c r="AL489" s="61"/>
      <c r="AM489" s="61"/>
      <c r="AN489" s="61"/>
      <c r="AO489" s="45">
        <f>'Filter-old'!G560</f>
        <v>0</v>
      </c>
      <c r="AP489" s="61">
        <f>'Filter-new'!G561</f>
        <v>0</v>
      </c>
      <c r="AQ489" s="61"/>
      <c r="AR489" s="61"/>
      <c r="AS489" s="45"/>
      <c r="AT489" s="61"/>
      <c r="AU489" s="61"/>
      <c r="AV489" s="61"/>
      <c r="AW489" s="45">
        <f>'Filter-old'!I560</f>
        <v>0</v>
      </c>
      <c r="AX489" s="61">
        <f>'Filter-new'!I561</f>
        <v>0</v>
      </c>
      <c r="AY489" s="61"/>
      <c r="AZ489" s="61"/>
      <c r="BA489" s="61"/>
      <c r="BB489" s="61"/>
      <c r="BC489" s="45">
        <f>'Filter-old'!K560</f>
        <v>0</v>
      </c>
      <c r="BD489" s="61">
        <f>'Filter-new'!K561</f>
        <v>0</v>
      </c>
      <c r="BE489" s="61"/>
      <c r="BF489" s="61"/>
      <c r="BG489" s="45">
        <f>'Filter-old'!M560</f>
        <v>0</v>
      </c>
      <c r="BH489" s="61"/>
      <c r="BI489" s="61"/>
      <c r="BJ489" s="61">
        <f>'Filter-new'!M560</f>
        <v>0</v>
      </c>
      <c r="BK489" s="61"/>
      <c r="BL489" s="61"/>
      <c r="BM489" s="61"/>
      <c r="BN489" s="406"/>
      <c r="BO489" s="61"/>
      <c r="BP489" s="61"/>
      <c r="BQ489" s="45">
        <f>'Filter-old'!O560</f>
        <v>0</v>
      </c>
      <c r="BR489" s="61">
        <f>'Filter-new'!O561</f>
        <v>0</v>
      </c>
      <c r="BS489" s="61"/>
      <c r="BT489" s="61"/>
      <c r="BU489" s="45">
        <f>'Filter-old'!Q560</f>
        <v>0</v>
      </c>
      <c r="BV489" s="61">
        <f>'Filter-new'!Q561</f>
        <v>0</v>
      </c>
      <c r="BW489" s="61"/>
      <c r="BX489" s="61"/>
      <c r="BY489" s="61"/>
      <c r="BZ489" s="61"/>
      <c r="CA489" s="45">
        <f>'Filter-old'!R560</f>
        <v>0</v>
      </c>
      <c r="CB489" s="61">
        <f>'Filter-new'!R561</f>
        <v>0</v>
      </c>
      <c r="CC489" s="57"/>
      <c r="CD489" s="58"/>
      <c r="CE489" s="57"/>
      <c r="CF489" s="57"/>
      <c r="CG489" s="4"/>
    </row>
    <row r="490" spans="1:85" hidden="1" x14ac:dyDescent="0.2">
      <c r="A490">
        <v>0</v>
      </c>
      <c r="B490" s="59">
        <v>39022</v>
      </c>
      <c r="C490" s="59">
        <f t="shared" si="70"/>
        <v>39022</v>
      </c>
      <c r="D490" s="60">
        <f t="shared" si="67"/>
        <v>2006</v>
      </c>
      <c r="E490" s="60">
        <f>VLOOKUP($C490,calendar!$A$2:$D$121,4,FALSE)</f>
        <v>336</v>
      </c>
      <c r="F490" s="60"/>
      <c r="G490" s="36">
        <f t="shared" si="68"/>
        <v>2767</v>
      </c>
      <c r="H490" s="36">
        <f t="shared" si="69"/>
        <v>0</v>
      </c>
      <c r="I490" s="36"/>
      <c r="J490" s="41"/>
      <c r="K490" s="45">
        <f>'Filter-old'!E561</f>
        <v>28689</v>
      </c>
      <c r="L490" s="61">
        <f>'Filter-new'!E562</f>
        <v>30952</v>
      </c>
      <c r="M490" s="61"/>
      <c r="N490" s="61"/>
      <c r="O490" s="429"/>
      <c r="P490" s="61"/>
      <c r="Q490" s="45">
        <f>'Filter-old'!H561</f>
        <v>-25922</v>
      </c>
      <c r="R490" s="61">
        <f>'Filter-new'!H562</f>
        <v>-30952</v>
      </c>
      <c r="S490" s="61"/>
      <c r="T490" s="61"/>
      <c r="U490" s="445"/>
      <c r="V490" s="61"/>
      <c r="W490" s="45">
        <f>'Filter-old'!J561</f>
        <v>0</v>
      </c>
      <c r="X490" s="61">
        <f>'Filter-new'!J562</f>
        <v>0</v>
      </c>
      <c r="Y490" s="61"/>
      <c r="Z490" s="61"/>
      <c r="AA490" s="45">
        <f>'Filter-old'!F561</f>
        <v>0</v>
      </c>
      <c r="AB490" s="61">
        <f>'Filter-new'!F561</f>
        <v>0</v>
      </c>
      <c r="AC490" s="61"/>
      <c r="AD490" s="61"/>
      <c r="AE490" s="45">
        <f>'Filter-old'!P561</f>
        <v>0</v>
      </c>
      <c r="AF490" s="61">
        <f>'Filter-new'!P561</f>
        <v>0</v>
      </c>
      <c r="AG490" s="61"/>
      <c r="AH490" s="61"/>
      <c r="AI490" s="45">
        <f>'Filter-old'!L561</f>
        <v>0</v>
      </c>
      <c r="AJ490" s="61">
        <f>'Filter-new'!L561</f>
        <v>0</v>
      </c>
      <c r="AK490" s="61"/>
      <c r="AL490" s="61"/>
      <c r="AM490" s="61"/>
      <c r="AN490" s="61"/>
      <c r="AO490" s="45">
        <f>'Filter-old'!G561</f>
        <v>0</v>
      </c>
      <c r="AP490" s="61">
        <f>'Filter-new'!G562</f>
        <v>0</v>
      </c>
      <c r="AQ490" s="61"/>
      <c r="AR490" s="61"/>
      <c r="AS490" s="45"/>
      <c r="AT490" s="61"/>
      <c r="AU490" s="61"/>
      <c r="AV490" s="61"/>
      <c r="AW490" s="45">
        <f>'Filter-old'!I561</f>
        <v>0</v>
      </c>
      <c r="AX490" s="61">
        <f>'Filter-new'!I562</f>
        <v>0</v>
      </c>
      <c r="AY490" s="61"/>
      <c r="AZ490" s="61"/>
      <c r="BA490" s="61"/>
      <c r="BB490" s="61"/>
      <c r="BC490" s="45">
        <f>'Filter-old'!K561</f>
        <v>0</v>
      </c>
      <c r="BD490" s="61">
        <f>'Filter-new'!K562</f>
        <v>0</v>
      </c>
      <c r="BE490" s="61"/>
      <c r="BF490" s="61"/>
      <c r="BG490" s="45">
        <f>'Filter-old'!M561</f>
        <v>0</v>
      </c>
      <c r="BH490" s="61"/>
      <c r="BI490" s="61"/>
      <c r="BJ490" s="61">
        <f>'Filter-new'!M561</f>
        <v>0</v>
      </c>
      <c r="BK490" s="61"/>
      <c r="BL490" s="61"/>
      <c r="BM490" s="61"/>
      <c r="BN490" s="406"/>
      <c r="BO490" s="61"/>
      <c r="BP490" s="61"/>
      <c r="BQ490" s="45">
        <f>'Filter-old'!O561</f>
        <v>0</v>
      </c>
      <c r="BR490" s="61">
        <f>'Filter-new'!O562</f>
        <v>0</v>
      </c>
      <c r="BS490" s="61"/>
      <c r="BT490" s="61"/>
      <c r="BU490" s="45">
        <f>'Filter-old'!Q561</f>
        <v>0</v>
      </c>
      <c r="BV490" s="61">
        <f>'Filter-new'!Q562</f>
        <v>0</v>
      </c>
      <c r="BW490" s="61"/>
      <c r="BX490" s="61"/>
      <c r="BY490" s="61"/>
      <c r="BZ490" s="61"/>
      <c r="CA490" s="45">
        <f>'Filter-old'!R561</f>
        <v>0</v>
      </c>
      <c r="CB490" s="61">
        <f>'Filter-new'!R562</f>
        <v>0</v>
      </c>
      <c r="CC490" s="57"/>
      <c r="CD490" s="58"/>
      <c r="CE490" s="57"/>
      <c r="CF490" s="57"/>
      <c r="CG490" s="4"/>
    </row>
    <row r="491" spans="1:85" hidden="1" x14ac:dyDescent="0.2">
      <c r="A491">
        <v>0</v>
      </c>
      <c r="B491" s="59">
        <v>39052</v>
      </c>
      <c r="C491" s="59">
        <f t="shared" si="70"/>
        <v>39052</v>
      </c>
      <c r="D491" s="60">
        <f t="shared" si="67"/>
        <v>2006</v>
      </c>
      <c r="E491" s="60">
        <f>VLOOKUP($C491,calendar!$A$2:$D$121,4,FALSE)</f>
        <v>320</v>
      </c>
      <c r="F491" s="60"/>
      <c r="G491" s="36">
        <f t="shared" si="68"/>
        <v>-384</v>
      </c>
      <c r="H491" s="36">
        <f t="shared" si="69"/>
        <v>-20384</v>
      </c>
      <c r="I491" s="36"/>
      <c r="J491" s="41"/>
      <c r="K491" s="45">
        <f>'Filter-old'!E562</f>
        <v>28032</v>
      </c>
      <c r="L491" s="61">
        <f>'Filter-new'!E563</f>
        <v>9016</v>
      </c>
      <c r="M491" s="61"/>
      <c r="N491" s="61"/>
      <c r="O491" s="429"/>
      <c r="P491" s="61"/>
      <c r="Q491" s="45">
        <f>'Filter-old'!H562</f>
        <v>-28416</v>
      </c>
      <c r="R491" s="61">
        <f>'Filter-new'!H563</f>
        <v>-29400</v>
      </c>
      <c r="S491" s="61"/>
      <c r="T491" s="61"/>
      <c r="U491" s="445"/>
      <c r="V491" s="61"/>
      <c r="W491" s="45">
        <f>'Filter-old'!J562</f>
        <v>0</v>
      </c>
      <c r="X491" s="61">
        <f>'Filter-new'!J563</f>
        <v>0</v>
      </c>
      <c r="Y491" s="61"/>
      <c r="Z491" s="61"/>
      <c r="AA491" s="45">
        <f>'Filter-old'!F562</f>
        <v>0</v>
      </c>
      <c r="AB491" s="61">
        <f>'Filter-new'!F562</f>
        <v>0</v>
      </c>
      <c r="AC491" s="61"/>
      <c r="AD491" s="61"/>
      <c r="AE491" s="45">
        <f>'Filter-old'!P562</f>
        <v>0</v>
      </c>
      <c r="AF491" s="61">
        <f>'Filter-new'!P562</f>
        <v>0</v>
      </c>
      <c r="AG491" s="61"/>
      <c r="AH491" s="61"/>
      <c r="AI491" s="45">
        <f>'Filter-old'!L562</f>
        <v>0</v>
      </c>
      <c r="AJ491" s="61">
        <f>'Filter-new'!L562</f>
        <v>0</v>
      </c>
      <c r="AK491" s="61"/>
      <c r="AL491" s="61"/>
      <c r="AM491" s="61"/>
      <c r="AN491" s="61"/>
      <c r="AO491" s="45">
        <f>'Filter-old'!G562</f>
        <v>0</v>
      </c>
      <c r="AP491" s="61">
        <f>'Filter-new'!G563</f>
        <v>0</v>
      </c>
      <c r="AQ491" s="61"/>
      <c r="AR491" s="61"/>
      <c r="AS491" s="45"/>
      <c r="AT491" s="61"/>
      <c r="AU491" s="61"/>
      <c r="AV491" s="61"/>
      <c r="AW491" s="45">
        <f>'Filter-old'!I562</f>
        <v>0</v>
      </c>
      <c r="AX491" s="61">
        <f>'Filter-new'!I563</f>
        <v>0</v>
      </c>
      <c r="AY491" s="61"/>
      <c r="AZ491" s="61"/>
      <c r="BA491" s="61"/>
      <c r="BB491" s="61"/>
      <c r="BC491" s="45">
        <f>'Filter-old'!K562</f>
        <v>0</v>
      </c>
      <c r="BD491" s="61">
        <f>'Filter-new'!K563</f>
        <v>0</v>
      </c>
      <c r="BE491" s="61"/>
      <c r="BF491" s="61"/>
      <c r="BG491" s="45">
        <f>'Filter-old'!M562</f>
        <v>0</v>
      </c>
      <c r="BH491" s="61"/>
      <c r="BI491" s="61"/>
      <c r="BJ491" s="61">
        <f>'Filter-new'!M562</f>
        <v>0</v>
      </c>
      <c r="BK491" s="61"/>
      <c r="BL491" s="61"/>
      <c r="BM491" s="61"/>
      <c r="BN491" s="406"/>
      <c r="BO491" s="61"/>
      <c r="BP491" s="61"/>
      <c r="BQ491" s="45">
        <f>'Filter-old'!O562</f>
        <v>0</v>
      </c>
      <c r="BR491" s="61">
        <f>'Filter-new'!O563</f>
        <v>0</v>
      </c>
      <c r="BS491" s="61"/>
      <c r="BT491" s="61"/>
      <c r="BU491" s="45">
        <f>'Filter-old'!Q562</f>
        <v>0</v>
      </c>
      <c r="BV491" s="61">
        <f>'Filter-new'!Q563</f>
        <v>0</v>
      </c>
      <c r="BW491" s="61"/>
      <c r="BX491" s="61"/>
      <c r="BY491" s="61"/>
      <c r="BZ491" s="61"/>
      <c r="CA491" s="45">
        <f>'Filter-old'!R562</f>
        <v>0</v>
      </c>
      <c r="CB491" s="61">
        <f>'Filter-new'!R563</f>
        <v>0</v>
      </c>
      <c r="CC491" s="57"/>
      <c r="CD491" s="58"/>
      <c r="CE491" s="57"/>
      <c r="CF491" s="57"/>
      <c r="CG491" s="4"/>
    </row>
    <row r="492" spans="1:85" hidden="1" x14ac:dyDescent="0.2">
      <c r="A492">
        <v>0</v>
      </c>
      <c r="B492" s="59">
        <v>39083</v>
      </c>
      <c r="C492" s="59">
        <f t="shared" si="70"/>
        <v>39083</v>
      </c>
      <c r="D492" s="60">
        <f t="shared" si="67"/>
        <v>2007</v>
      </c>
      <c r="E492" s="60">
        <f>VLOOKUP($C492,calendar!$A$2:$D$121,4,FALSE)</f>
        <v>352</v>
      </c>
      <c r="F492" s="60"/>
      <c r="G492" s="36">
        <f t="shared" si="68"/>
        <v>0</v>
      </c>
      <c r="H492" s="36">
        <f t="shared" si="69"/>
        <v>-17600</v>
      </c>
      <c r="I492" s="36"/>
      <c r="J492" s="41"/>
      <c r="K492" s="45">
        <f>'Filter-old'!E563</f>
        <v>30952</v>
      </c>
      <c r="L492" s="61">
        <f>'Filter-new'!E564</f>
        <v>8096</v>
      </c>
      <c r="M492" s="61"/>
      <c r="N492" s="61"/>
      <c r="O492" s="429"/>
      <c r="P492" s="61"/>
      <c r="Q492" s="45">
        <f>'Filter-old'!H563</f>
        <v>-30952</v>
      </c>
      <c r="R492" s="61">
        <f>'Filter-new'!H564</f>
        <v>-25696</v>
      </c>
      <c r="S492" s="61"/>
      <c r="T492" s="61"/>
      <c r="U492" s="445"/>
      <c r="V492" s="61"/>
      <c r="W492" s="45">
        <f>'Filter-old'!J563</f>
        <v>0</v>
      </c>
      <c r="X492" s="61">
        <f>'Filter-new'!J564</f>
        <v>0</v>
      </c>
      <c r="Y492" s="61"/>
      <c r="Z492" s="61"/>
      <c r="AA492" s="45">
        <f>'Filter-old'!F563</f>
        <v>0</v>
      </c>
      <c r="AB492" s="61">
        <f>'Filter-new'!F563</f>
        <v>0</v>
      </c>
      <c r="AC492" s="61"/>
      <c r="AD492" s="61"/>
      <c r="AE492" s="45">
        <f>'Filter-old'!P563</f>
        <v>0</v>
      </c>
      <c r="AF492" s="61">
        <f>'Filter-new'!P563</f>
        <v>0</v>
      </c>
      <c r="AG492" s="61"/>
      <c r="AH492" s="61"/>
      <c r="AI492" s="45">
        <f>'Filter-old'!L563</f>
        <v>0</v>
      </c>
      <c r="AJ492" s="61">
        <f>'Filter-new'!L563</f>
        <v>0</v>
      </c>
      <c r="AK492" s="61"/>
      <c r="AL492" s="61"/>
      <c r="AM492" s="61"/>
      <c r="AN492" s="61"/>
      <c r="AO492" s="45">
        <f>'Filter-old'!G563</f>
        <v>0</v>
      </c>
      <c r="AP492" s="61">
        <f>'Filter-new'!G564</f>
        <v>0</v>
      </c>
      <c r="AQ492" s="61"/>
      <c r="AR492" s="61"/>
      <c r="AS492" s="45"/>
      <c r="AT492" s="61"/>
      <c r="AU492" s="61"/>
      <c r="AV492" s="61"/>
      <c r="AW492" s="45">
        <f>'Filter-old'!I563</f>
        <v>0</v>
      </c>
      <c r="AX492" s="61">
        <f>'Filter-new'!I564</f>
        <v>0</v>
      </c>
      <c r="AY492" s="61"/>
      <c r="AZ492" s="61"/>
      <c r="BA492" s="61"/>
      <c r="BB492" s="61"/>
      <c r="BC492" s="45">
        <f>'Filter-old'!K563</f>
        <v>0</v>
      </c>
      <c r="BD492" s="61">
        <f>'Filter-new'!K564</f>
        <v>0</v>
      </c>
      <c r="BE492" s="61"/>
      <c r="BF492" s="61"/>
      <c r="BG492" s="45">
        <f>'Filter-old'!M563</f>
        <v>0</v>
      </c>
      <c r="BH492" s="61"/>
      <c r="BI492" s="61"/>
      <c r="BJ492" s="61">
        <f>'Filter-new'!M563</f>
        <v>0</v>
      </c>
      <c r="BK492" s="61"/>
      <c r="BL492" s="61"/>
      <c r="BM492" s="61"/>
      <c r="BN492" s="406"/>
      <c r="BO492" s="61"/>
      <c r="BP492" s="61"/>
      <c r="BQ492" s="45">
        <f>'Filter-old'!O563</f>
        <v>0</v>
      </c>
      <c r="BR492" s="61">
        <f>'Filter-new'!O564</f>
        <v>0</v>
      </c>
      <c r="BS492" s="61"/>
      <c r="BT492" s="61"/>
      <c r="BU492" s="45">
        <f>'Filter-old'!Q563</f>
        <v>0</v>
      </c>
      <c r="BV492" s="61">
        <f>'Filter-new'!Q564</f>
        <v>0</v>
      </c>
      <c r="BW492" s="61"/>
      <c r="BX492" s="61"/>
      <c r="BY492" s="61"/>
      <c r="BZ492" s="61"/>
      <c r="CA492" s="45">
        <f>'Filter-old'!R563</f>
        <v>0</v>
      </c>
      <c r="CB492" s="61">
        <f>'Filter-new'!R564</f>
        <v>0</v>
      </c>
      <c r="CC492" s="57"/>
      <c r="CD492" s="58"/>
      <c r="CE492" s="57"/>
      <c r="CF492" s="57"/>
      <c r="CG492" s="4"/>
    </row>
    <row r="493" spans="1:85" hidden="1" x14ac:dyDescent="0.2">
      <c r="A493">
        <v>0</v>
      </c>
      <c r="B493" s="59">
        <v>39114</v>
      </c>
      <c r="C493" s="59">
        <f t="shared" si="70"/>
        <v>39114</v>
      </c>
      <c r="D493" s="60">
        <f t="shared" si="67"/>
        <v>2007</v>
      </c>
      <c r="E493" s="60">
        <f>VLOOKUP($C493,calendar!$A$2:$D$121,4,FALSE)</f>
        <v>320</v>
      </c>
      <c r="F493" s="60"/>
      <c r="G493" s="36">
        <f t="shared" si="68"/>
        <v>-20384</v>
      </c>
      <c r="H493" s="36">
        <f t="shared" si="69"/>
        <v>-20384</v>
      </c>
      <c r="I493" s="36"/>
      <c r="J493" s="41"/>
      <c r="K493" s="45">
        <f>'Filter-old'!E564</f>
        <v>9016</v>
      </c>
      <c r="L493" s="61">
        <f>'Filter-new'!E565</f>
        <v>9016</v>
      </c>
      <c r="M493" s="61"/>
      <c r="N493" s="61"/>
      <c r="O493" s="429"/>
      <c r="P493" s="61"/>
      <c r="Q493" s="45">
        <f>'Filter-old'!H564</f>
        <v>-29400</v>
      </c>
      <c r="R493" s="61">
        <f>'Filter-new'!H565</f>
        <v>-29400</v>
      </c>
      <c r="S493" s="61"/>
      <c r="T493" s="61"/>
      <c r="U493" s="445"/>
      <c r="V493" s="61"/>
      <c r="W493" s="45">
        <f>'Filter-old'!J564</f>
        <v>0</v>
      </c>
      <c r="X493" s="61">
        <f>'Filter-new'!J565</f>
        <v>0</v>
      </c>
      <c r="Y493" s="61"/>
      <c r="Z493" s="61"/>
      <c r="AA493" s="45">
        <f>'Filter-old'!F564</f>
        <v>0</v>
      </c>
      <c r="AB493" s="61">
        <f>'Filter-new'!F564</f>
        <v>0</v>
      </c>
      <c r="AC493" s="61"/>
      <c r="AD493" s="61"/>
      <c r="AE493" s="45">
        <f>'Filter-old'!P564</f>
        <v>0</v>
      </c>
      <c r="AF493" s="61">
        <f>'Filter-new'!P564</f>
        <v>0</v>
      </c>
      <c r="AG493" s="61"/>
      <c r="AH493" s="61"/>
      <c r="AI493" s="45">
        <f>'Filter-old'!L564</f>
        <v>0</v>
      </c>
      <c r="AJ493" s="61">
        <f>'Filter-new'!L564</f>
        <v>0</v>
      </c>
      <c r="AK493" s="61"/>
      <c r="AL493" s="61"/>
      <c r="AM493" s="61"/>
      <c r="AN493" s="61"/>
      <c r="AO493" s="45">
        <f>'Filter-old'!G564</f>
        <v>0</v>
      </c>
      <c r="AP493" s="61">
        <f>'Filter-new'!G565</f>
        <v>0</v>
      </c>
      <c r="AQ493" s="61"/>
      <c r="AR493" s="61"/>
      <c r="AS493" s="45"/>
      <c r="AT493" s="61"/>
      <c r="AU493" s="61"/>
      <c r="AV493" s="61"/>
      <c r="AW493" s="45">
        <f>'Filter-old'!I564</f>
        <v>0</v>
      </c>
      <c r="AX493" s="61">
        <f>'Filter-new'!I565</f>
        <v>0</v>
      </c>
      <c r="AY493" s="61"/>
      <c r="AZ493" s="61"/>
      <c r="BA493" s="61"/>
      <c r="BB493" s="61"/>
      <c r="BC493" s="45">
        <f>'Filter-old'!K564</f>
        <v>0</v>
      </c>
      <c r="BD493" s="61">
        <f>'Filter-new'!K565</f>
        <v>0</v>
      </c>
      <c r="BE493" s="61"/>
      <c r="BF493" s="61"/>
      <c r="BG493" s="45">
        <f>'Filter-old'!M564</f>
        <v>0</v>
      </c>
      <c r="BH493" s="61"/>
      <c r="BI493" s="61"/>
      <c r="BJ493" s="61">
        <f>'Filter-new'!M564</f>
        <v>0</v>
      </c>
      <c r="BK493" s="61"/>
      <c r="BL493" s="61"/>
      <c r="BM493" s="61"/>
      <c r="BN493" s="406"/>
      <c r="BO493" s="61"/>
      <c r="BP493" s="61"/>
      <c r="BQ493" s="45">
        <f>'Filter-old'!O564</f>
        <v>0</v>
      </c>
      <c r="BR493" s="61">
        <f>'Filter-new'!O565</f>
        <v>0</v>
      </c>
      <c r="BS493" s="61"/>
      <c r="BT493" s="61"/>
      <c r="BU493" s="45">
        <f>'Filter-old'!Q564</f>
        <v>0</v>
      </c>
      <c r="BV493" s="61">
        <f>'Filter-new'!Q565</f>
        <v>0</v>
      </c>
      <c r="BW493" s="61"/>
      <c r="BX493" s="61"/>
      <c r="BY493" s="61"/>
      <c r="BZ493" s="61"/>
      <c r="CA493" s="45">
        <f>'Filter-old'!R564</f>
        <v>0</v>
      </c>
      <c r="CB493" s="61">
        <f>'Filter-new'!R565</f>
        <v>0</v>
      </c>
      <c r="CC493" s="57"/>
      <c r="CD493" s="58"/>
      <c r="CE493" s="57"/>
      <c r="CF493" s="57"/>
      <c r="CG493" s="4"/>
    </row>
    <row r="494" spans="1:85" hidden="1" x14ac:dyDescent="0.2">
      <c r="A494">
        <v>0</v>
      </c>
      <c r="B494" s="59">
        <v>39142</v>
      </c>
      <c r="C494" s="59">
        <f t="shared" si="70"/>
        <v>39142</v>
      </c>
      <c r="D494" s="60">
        <f t="shared" si="67"/>
        <v>2007</v>
      </c>
      <c r="E494" s="60">
        <f>VLOOKUP($C494,calendar!$A$2:$D$121,4,FALSE)</f>
        <v>352</v>
      </c>
      <c r="F494" s="60"/>
      <c r="G494" s="36">
        <f t="shared" si="68"/>
        <v>-17600</v>
      </c>
      <c r="H494" s="36">
        <f t="shared" si="69"/>
        <v>-19557</v>
      </c>
      <c r="I494" s="36"/>
      <c r="J494" s="41"/>
      <c r="K494" s="45">
        <f>'Filter-old'!E565</f>
        <v>8096</v>
      </c>
      <c r="L494" s="61">
        <f>'Filter-new'!E566</f>
        <v>8809</v>
      </c>
      <c r="M494" s="61"/>
      <c r="N494" s="61"/>
      <c r="O494" s="429"/>
      <c r="P494" s="61"/>
      <c r="Q494" s="45">
        <f>'Filter-old'!H565</f>
        <v>-25696</v>
      </c>
      <c r="R494" s="61">
        <f>'Filter-new'!H566</f>
        <v>-28366</v>
      </c>
      <c r="S494" s="61"/>
      <c r="T494" s="61"/>
      <c r="U494" s="445"/>
      <c r="V494" s="61"/>
      <c r="W494" s="45">
        <f>'Filter-old'!J565</f>
        <v>0</v>
      </c>
      <c r="X494" s="61">
        <f>'Filter-new'!J566</f>
        <v>0</v>
      </c>
      <c r="Y494" s="61"/>
      <c r="Z494" s="61"/>
      <c r="AA494" s="45">
        <f>'Filter-old'!F565</f>
        <v>0</v>
      </c>
      <c r="AB494" s="61">
        <f>'Filter-new'!F565</f>
        <v>0</v>
      </c>
      <c r="AC494" s="61"/>
      <c r="AD494" s="61"/>
      <c r="AE494" s="45">
        <f>'Filter-old'!P565</f>
        <v>0</v>
      </c>
      <c r="AF494" s="61">
        <f>'Filter-new'!P565</f>
        <v>0</v>
      </c>
      <c r="AG494" s="61"/>
      <c r="AH494" s="61"/>
      <c r="AI494" s="45">
        <f>'Filter-old'!L565</f>
        <v>0</v>
      </c>
      <c r="AJ494" s="61">
        <f>'Filter-new'!L565</f>
        <v>0</v>
      </c>
      <c r="AK494" s="61"/>
      <c r="AL494" s="61"/>
      <c r="AM494" s="61"/>
      <c r="AN494" s="61"/>
      <c r="AO494" s="45">
        <f>'Filter-old'!G565</f>
        <v>0</v>
      </c>
      <c r="AP494" s="61">
        <f>'Filter-new'!G566</f>
        <v>0</v>
      </c>
      <c r="AQ494" s="61"/>
      <c r="AR494" s="61"/>
      <c r="AS494" s="45"/>
      <c r="AT494" s="61"/>
      <c r="AU494" s="61"/>
      <c r="AV494" s="61"/>
      <c r="AW494" s="45">
        <f>'Filter-old'!I565</f>
        <v>0</v>
      </c>
      <c r="AX494" s="61">
        <f>'Filter-new'!I566</f>
        <v>0</v>
      </c>
      <c r="AY494" s="61"/>
      <c r="AZ494" s="61"/>
      <c r="BA494" s="61"/>
      <c r="BB494" s="61"/>
      <c r="BC494" s="45">
        <f>'Filter-old'!K565</f>
        <v>0</v>
      </c>
      <c r="BD494" s="61">
        <f>'Filter-new'!K566</f>
        <v>0</v>
      </c>
      <c r="BE494" s="61"/>
      <c r="BF494" s="61"/>
      <c r="BG494" s="45">
        <f>'Filter-old'!M565</f>
        <v>0</v>
      </c>
      <c r="BH494" s="61"/>
      <c r="BI494" s="61"/>
      <c r="BJ494" s="61">
        <f>'Filter-new'!M565</f>
        <v>0</v>
      </c>
      <c r="BK494" s="61"/>
      <c r="BL494" s="61"/>
      <c r="BM494" s="61"/>
      <c r="BN494" s="406"/>
      <c r="BO494" s="61"/>
      <c r="BP494" s="61"/>
      <c r="BQ494" s="45">
        <f>'Filter-old'!O565</f>
        <v>0</v>
      </c>
      <c r="BR494" s="61">
        <f>'Filter-new'!O566</f>
        <v>0</v>
      </c>
      <c r="BS494" s="61"/>
      <c r="BT494" s="61"/>
      <c r="BU494" s="45">
        <f>'Filter-old'!Q565</f>
        <v>0</v>
      </c>
      <c r="BV494" s="61">
        <f>'Filter-new'!Q566</f>
        <v>0</v>
      </c>
      <c r="BW494" s="61"/>
      <c r="BX494" s="61"/>
      <c r="BY494" s="61"/>
      <c r="BZ494" s="61"/>
      <c r="CA494" s="45">
        <f>'Filter-old'!R565</f>
        <v>0</v>
      </c>
      <c r="CB494" s="61">
        <f>'Filter-new'!R566</f>
        <v>0</v>
      </c>
      <c r="CC494" s="57"/>
      <c r="CD494" s="58"/>
      <c r="CE494" s="57"/>
      <c r="CF494" s="57"/>
      <c r="CG494" s="4"/>
    </row>
    <row r="495" spans="1:85" hidden="1" x14ac:dyDescent="0.2">
      <c r="A495">
        <v>0</v>
      </c>
      <c r="B495" s="59">
        <v>39173</v>
      </c>
      <c r="C495" s="59">
        <f t="shared" si="70"/>
        <v>39173</v>
      </c>
      <c r="D495" s="60">
        <f t="shared" si="67"/>
        <v>2007</v>
      </c>
      <c r="E495" s="60">
        <f>VLOOKUP($C495,calendar!$A$2:$D$121,4,FALSE)</f>
        <v>336</v>
      </c>
      <c r="F495" s="60"/>
      <c r="G495" s="36">
        <f t="shared" si="68"/>
        <v>-20384</v>
      </c>
      <c r="H495" s="36">
        <f t="shared" si="69"/>
        <v>-16464</v>
      </c>
      <c r="I495" s="36"/>
      <c r="J495" s="41"/>
      <c r="K495" s="45">
        <f>'Filter-old'!E566</f>
        <v>9016</v>
      </c>
      <c r="L495" s="61">
        <f>'Filter-new'!E567</f>
        <v>9016</v>
      </c>
      <c r="M495" s="61"/>
      <c r="N495" s="61"/>
      <c r="O495" s="429"/>
      <c r="P495" s="61"/>
      <c r="Q495" s="45">
        <f>'Filter-old'!H566</f>
        <v>-29400</v>
      </c>
      <c r="R495" s="61">
        <f>'Filter-new'!H567</f>
        <v>-25480</v>
      </c>
      <c r="S495" s="61"/>
      <c r="T495" s="61"/>
      <c r="U495" s="445"/>
      <c r="V495" s="61"/>
      <c r="W495" s="45">
        <f>'Filter-old'!J566</f>
        <v>0</v>
      </c>
      <c r="X495" s="61">
        <f>'Filter-new'!J567</f>
        <v>0</v>
      </c>
      <c r="Y495" s="61"/>
      <c r="Z495" s="61"/>
      <c r="AA495" s="45">
        <f>'Filter-old'!F566</f>
        <v>0</v>
      </c>
      <c r="AB495" s="61">
        <f>'Filter-new'!F566</f>
        <v>0</v>
      </c>
      <c r="AC495" s="61"/>
      <c r="AD495" s="61"/>
      <c r="AE495" s="45">
        <f>'Filter-old'!P566</f>
        <v>0</v>
      </c>
      <c r="AF495" s="61">
        <f>'Filter-new'!P566</f>
        <v>0</v>
      </c>
      <c r="AG495" s="61"/>
      <c r="AH495" s="61"/>
      <c r="AI495" s="45">
        <f>'Filter-old'!L566</f>
        <v>0</v>
      </c>
      <c r="AJ495" s="61">
        <f>'Filter-new'!L566</f>
        <v>0</v>
      </c>
      <c r="AK495" s="61"/>
      <c r="AL495" s="61"/>
      <c r="AM495" s="61"/>
      <c r="AN495" s="61"/>
      <c r="AO495" s="45">
        <f>'Filter-old'!G566</f>
        <v>0</v>
      </c>
      <c r="AP495" s="61">
        <f>'Filter-new'!G567</f>
        <v>0</v>
      </c>
      <c r="AQ495" s="61"/>
      <c r="AR495" s="61"/>
      <c r="AS495" s="45"/>
      <c r="AT495" s="61"/>
      <c r="AU495" s="61"/>
      <c r="AV495" s="61"/>
      <c r="AW495" s="45">
        <f>'Filter-old'!I566</f>
        <v>0</v>
      </c>
      <c r="AX495" s="61">
        <f>'Filter-new'!I567</f>
        <v>0</v>
      </c>
      <c r="AY495" s="61"/>
      <c r="AZ495" s="61"/>
      <c r="BA495" s="61"/>
      <c r="BB495" s="61"/>
      <c r="BC495" s="45">
        <f>'Filter-old'!K566</f>
        <v>0</v>
      </c>
      <c r="BD495" s="61">
        <f>'Filter-new'!K567</f>
        <v>0</v>
      </c>
      <c r="BE495" s="61"/>
      <c r="BF495" s="61"/>
      <c r="BG495" s="45">
        <f>'Filter-old'!M566</f>
        <v>0</v>
      </c>
      <c r="BH495" s="61"/>
      <c r="BI495" s="61"/>
      <c r="BJ495" s="61">
        <f>'Filter-new'!M566</f>
        <v>0</v>
      </c>
      <c r="BK495" s="61"/>
      <c r="BL495" s="61"/>
      <c r="BM495" s="61"/>
      <c r="BN495" s="406"/>
      <c r="BO495" s="61"/>
      <c r="BP495" s="61"/>
      <c r="BQ495" s="45">
        <f>'Filter-old'!O566</f>
        <v>0</v>
      </c>
      <c r="BR495" s="61">
        <f>'Filter-new'!O567</f>
        <v>0</v>
      </c>
      <c r="BS495" s="61"/>
      <c r="BT495" s="61"/>
      <c r="BU495" s="45">
        <f>'Filter-old'!Q566</f>
        <v>0</v>
      </c>
      <c r="BV495" s="61">
        <f>'Filter-new'!Q567</f>
        <v>0</v>
      </c>
      <c r="BW495" s="61"/>
      <c r="BX495" s="61"/>
      <c r="BY495" s="61"/>
      <c r="BZ495" s="61"/>
      <c r="CA495" s="45">
        <f>'Filter-old'!R566</f>
        <v>0</v>
      </c>
      <c r="CB495" s="61">
        <f>'Filter-new'!R567</f>
        <v>0</v>
      </c>
      <c r="CC495" s="57"/>
      <c r="CD495" s="58"/>
      <c r="CE495" s="57"/>
      <c r="CF495" s="57"/>
      <c r="CG495" s="4"/>
    </row>
    <row r="496" spans="1:85" hidden="1" x14ac:dyDescent="0.2">
      <c r="A496">
        <v>0</v>
      </c>
      <c r="B496" s="59">
        <v>39203</v>
      </c>
      <c r="C496" s="59">
        <f t="shared" si="70"/>
        <v>39203</v>
      </c>
      <c r="D496" s="60">
        <f t="shared" si="67"/>
        <v>2007</v>
      </c>
      <c r="E496" s="60">
        <f>VLOOKUP($C496,calendar!$A$2:$D$121,4,FALSE)</f>
        <v>352</v>
      </c>
      <c r="F496" s="60"/>
      <c r="G496" s="36">
        <f t="shared" si="68"/>
        <v>-19557</v>
      </c>
      <c r="H496" s="36">
        <f t="shared" si="69"/>
        <v>-14976</v>
      </c>
      <c r="I496" s="36"/>
      <c r="J496" s="41"/>
      <c r="K496" s="45">
        <f>'Filter-old'!E567</f>
        <v>8809</v>
      </c>
      <c r="L496" s="61">
        <f>'Filter-new'!E568</f>
        <v>8832</v>
      </c>
      <c r="M496" s="61"/>
      <c r="N496" s="61"/>
      <c r="O496" s="429"/>
      <c r="P496" s="61"/>
      <c r="Q496" s="45">
        <f>'Filter-old'!H567</f>
        <v>-28366</v>
      </c>
      <c r="R496" s="61">
        <f>'Filter-new'!H568</f>
        <v>-23808</v>
      </c>
      <c r="S496" s="61"/>
      <c r="T496" s="61"/>
      <c r="U496" s="445"/>
      <c r="V496" s="61"/>
      <c r="W496" s="45">
        <f>'Filter-old'!J567</f>
        <v>0</v>
      </c>
      <c r="X496" s="61">
        <f>'Filter-new'!J568</f>
        <v>0</v>
      </c>
      <c r="Y496" s="61"/>
      <c r="Z496" s="61"/>
      <c r="AA496" s="45">
        <f>'Filter-old'!F567</f>
        <v>0</v>
      </c>
      <c r="AB496" s="61">
        <f>'Filter-new'!F567</f>
        <v>0</v>
      </c>
      <c r="AC496" s="61"/>
      <c r="AD496" s="61"/>
      <c r="AE496" s="45">
        <f>'Filter-old'!P567</f>
        <v>0</v>
      </c>
      <c r="AF496" s="61">
        <f>'Filter-new'!P567</f>
        <v>0</v>
      </c>
      <c r="AG496" s="61"/>
      <c r="AH496" s="61"/>
      <c r="AI496" s="45">
        <f>'Filter-old'!L567</f>
        <v>0</v>
      </c>
      <c r="AJ496" s="61">
        <f>'Filter-new'!L567</f>
        <v>0</v>
      </c>
      <c r="AK496" s="61"/>
      <c r="AL496" s="61"/>
      <c r="AM496" s="61"/>
      <c r="AN496" s="61"/>
      <c r="AO496" s="45">
        <f>'Filter-old'!G567</f>
        <v>0</v>
      </c>
      <c r="AP496" s="61">
        <f>'Filter-new'!G568</f>
        <v>0</v>
      </c>
      <c r="AQ496" s="61"/>
      <c r="AR496" s="61"/>
      <c r="AS496" s="45"/>
      <c r="AT496" s="61"/>
      <c r="AU496" s="61"/>
      <c r="AV496" s="61"/>
      <c r="AW496" s="45">
        <f>'Filter-old'!I567</f>
        <v>0</v>
      </c>
      <c r="AX496" s="61">
        <f>'Filter-new'!I568</f>
        <v>0</v>
      </c>
      <c r="AY496" s="61"/>
      <c r="AZ496" s="61"/>
      <c r="BA496" s="61"/>
      <c r="BB496" s="61"/>
      <c r="BC496" s="45">
        <f>'Filter-old'!K567</f>
        <v>0</v>
      </c>
      <c r="BD496" s="61">
        <f>'Filter-new'!K568</f>
        <v>0</v>
      </c>
      <c r="BE496" s="61"/>
      <c r="BF496" s="61"/>
      <c r="BG496" s="45">
        <f>'Filter-old'!M567</f>
        <v>0</v>
      </c>
      <c r="BH496" s="61"/>
      <c r="BI496" s="61"/>
      <c r="BJ496" s="61">
        <f>'Filter-new'!M567</f>
        <v>0</v>
      </c>
      <c r="BK496" s="61"/>
      <c r="BL496" s="61"/>
      <c r="BM496" s="61"/>
      <c r="BN496" s="406"/>
      <c r="BO496" s="61"/>
      <c r="BP496" s="61"/>
      <c r="BQ496" s="45">
        <f>'Filter-old'!O567</f>
        <v>0</v>
      </c>
      <c r="BR496" s="61">
        <f>'Filter-new'!O568</f>
        <v>0</v>
      </c>
      <c r="BS496" s="61"/>
      <c r="BT496" s="61"/>
      <c r="BU496" s="45">
        <f>'Filter-old'!Q567</f>
        <v>0</v>
      </c>
      <c r="BV496" s="61">
        <f>'Filter-new'!Q568</f>
        <v>0</v>
      </c>
      <c r="BW496" s="61"/>
      <c r="BX496" s="61"/>
      <c r="BY496" s="61"/>
      <c r="BZ496" s="61"/>
      <c r="CA496" s="45">
        <f>'Filter-old'!R567</f>
        <v>0</v>
      </c>
      <c r="CB496" s="61">
        <f>'Filter-new'!R568</f>
        <v>0</v>
      </c>
      <c r="CC496" s="57"/>
      <c r="CD496" s="58"/>
      <c r="CE496" s="57"/>
      <c r="CF496" s="57"/>
      <c r="CG496" s="4"/>
    </row>
    <row r="497" spans="1:85" hidden="1" x14ac:dyDescent="0.2">
      <c r="A497">
        <v>0</v>
      </c>
      <c r="B497" s="59">
        <v>39234</v>
      </c>
      <c r="C497" s="59">
        <f t="shared" si="70"/>
        <v>39234</v>
      </c>
      <c r="D497" s="60">
        <f t="shared" si="67"/>
        <v>2007</v>
      </c>
      <c r="E497" s="60">
        <f>VLOOKUP($C497,calendar!$A$2:$D$121,4,FALSE)</f>
        <v>336</v>
      </c>
      <c r="F497" s="60"/>
      <c r="G497" s="36">
        <f t="shared" si="68"/>
        <v>-16464</v>
      </c>
      <c r="H497" s="36">
        <f t="shared" si="69"/>
        <v>-14688</v>
      </c>
      <c r="I497" s="36"/>
      <c r="J497" s="41"/>
      <c r="K497" s="45">
        <f>'Filter-old'!E568</f>
        <v>9016</v>
      </c>
      <c r="L497" s="61">
        <f>'Filter-new'!E569</f>
        <v>9384</v>
      </c>
      <c r="M497" s="61"/>
      <c r="N497" s="61"/>
      <c r="O497" s="429"/>
      <c r="P497" s="61"/>
      <c r="Q497" s="45">
        <f>'Filter-old'!H568</f>
        <v>-25480</v>
      </c>
      <c r="R497" s="61">
        <f>'Filter-new'!H569</f>
        <v>-24072</v>
      </c>
      <c r="S497" s="61"/>
      <c r="T497" s="61"/>
      <c r="U497" s="445"/>
      <c r="V497" s="61"/>
      <c r="W497" s="45">
        <f>'Filter-old'!J568</f>
        <v>0</v>
      </c>
      <c r="X497" s="61">
        <f>'Filter-new'!J569</f>
        <v>0</v>
      </c>
      <c r="Y497" s="61"/>
      <c r="Z497" s="61"/>
      <c r="AA497" s="45">
        <f>'Filter-old'!F568</f>
        <v>0</v>
      </c>
      <c r="AB497" s="61">
        <f>'Filter-new'!F568</f>
        <v>0</v>
      </c>
      <c r="AC497" s="61"/>
      <c r="AD497" s="61"/>
      <c r="AE497" s="45">
        <f>'Filter-old'!P568</f>
        <v>0</v>
      </c>
      <c r="AF497" s="61">
        <f>'Filter-new'!P568</f>
        <v>0</v>
      </c>
      <c r="AG497" s="61"/>
      <c r="AH497" s="61"/>
      <c r="AI497" s="45">
        <f>'Filter-old'!L568</f>
        <v>0</v>
      </c>
      <c r="AJ497" s="61">
        <f>'Filter-new'!L568</f>
        <v>0</v>
      </c>
      <c r="AK497" s="61"/>
      <c r="AL497" s="61"/>
      <c r="AM497" s="61"/>
      <c r="AN497" s="61"/>
      <c r="AO497" s="45">
        <f>'Filter-old'!G568</f>
        <v>0</v>
      </c>
      <c r="AP497" s="61">
        <f>'Filter-new'!G569</f>
        <v>0</v>
      </c>
      <c r="AQ497" s="61"/>
      <c r="AR497" s="61"/>
      <c r="AS497" s="45"/>
      <c r="AT497" s="61"/>
      <c r="AU497" s="61"/>
      <c r="AV497" s="61"/>
      <c r="AW497" s="45">
        <f>'Filter-old'!I568</f>
        <v>0</v>
      </c>
      <c r="AX497" s="61">
        <f>'Filter-new'!I569</f>
        <v>0</v>
      </c>
      <c r="AY497" s="61"/>
      <c r="AZ497" s="61"/>
      <c r="BA497" s="61"/>
      <c r="BB497" s="61"/>
      <c r="BC497" s="45">
        <f>'Filter-old'!K568</f>
        <v>0</v>
      </c>
      <c r="BD497" s="61">
        <f>'Filter-new'!K569</f>
        <v>0</v>
      </c>
      <c r="BE497" s="61"/>
      <c r="BF497" s="61"/>
      <c r="BG497" s="45">
        <f>'Filter-old'!M568</f>
        <v>0</v>
      </c>
      <c r="BH497" s="61"/>
      <c r="BI497" s="61"/>
      <c r="BJ497" s="61">
        <f>'Filter-new'!M568</f>
        <v>0</v>
      </c>
      <c r="BK497" s="61"/>
      <c r="BL497" s="61"/>
      <c r="BM497" s="61"/>
      <c r="BN497" s="406"/>
      <c r="BO497" s="61"/>
      <c r="BP497" s="61"/>
      <c r="BQ497" s="45">
        <f>'Filter-old'!O568</f>
        <v>0</v>
      </c>
      <c r="BR497" s="61">
        <f>'Filter-new'!O569</f>
        <v>0</v>
      </c>
      <c r="BS497" s="61"/>
      <c r="BT497" s="61"/>
      <c r="BU497" s="45">
        <f>'Filter-old'!Q568</f>
        <v>0</v>
      </c>
      <c r="BV497" s="61">
        <f>'Filter-new'!Q569</f>
        <v>0</v>
      </c>
      <c r="BW497" s="61"/>
      <c r="BX497" s="61"/>
      <c r="BY497" s="61"/>
      <c r="BZ497" s="61"/>
      <c r="CA497" s="45">
        <f>'Filter-old'!R568</f>
        <v>0</v>
      </c>
      <c r="CB497" s="61">
        <f>'Filter-new'!R569</f>
        <v>0</v>
      </c>
      <c r="CC497" s="57"/>
      <c r="CD497" s="58"/>
      <c r="CE497" s="57"/>
      <c r="CF497" s="57"/>
      <c r="CG497" s="4"/>
    </row>
    <row r="498" spans="1:85" hidden="1" x14ac:dyDescent="0.2">
      <c r="A498">
        <v>0</v>
      </c>
      <c r="B498" s="59">
        <v>39264</v>
      </c>
      <c r="C498" s="59">
        <f t="shared" si="70"/>
        <v>39264</v>
      </c>
      <c r="D498" s="60">
        <f t="shared" si="67"/>
        <v>2007</v>
      </c>
      <c r="E498" s="60">
        <f>VLOOKUP($C498,calendar!$A$2:$D$121,4,FALSE)</f>
        <v>336</v>
      </c>
      <c r="F498" s="60"/>
      <c r="G498" s="36">
        <f t="shared" si="68"/>
        <v>-14976</v>
      </c>
      <c r="H498" s="36">
        <f t="shared" si="69"/>
        <v>-13536</v>
      </c>
      <c r="I498" s="36"/>
      <c r="J498" s="41"/>
      <c r="K498" s="45">
        <f>'Filter-old'!E569</f>
        <v>8832</v>
      </c>
      <c r="L498" s="61">
        <f>'Filter-new'!E570</f>
        <v>8648</v>
      </c>
      <c r="M498" s="61"/>
      <c r="N498" s="61"/>
      <c r="O498" s="429"/>
      <c r="P498" s="61"/>
      <c r="Q498" s="45">
        <f>'Filter-old'!H569</f>
        <v>-23808</v>
      </c>
      <c r="R498" s="61">
        <f>'Filter-new'!H570</f>
        <v>-22184</v>
      </c>
      <c r="S498" s="61"/>
      <c r="T498" s="61"/>
      <c r="U498" s="445"/>
      <c r="V498" s="61"/>
      <c r="W498" s="45">
        <f>'Filter-old'!J569</f>
        <v>0</v>
      </c>
      <c r="X498" s="61">
        <f>'Filter-new'!J570</f>
        <v>0</v>
      </c>
      <c r="Y498" s="61"/>
      <c r="Z498" s="61"/>
      <c r="AA498" s="45">
        <f>'Filter-old'!F569</f>
        <v>0</v>
      </c>
      <c r="AB498" s="61">
        <f>'Filter-new'!F569</f>
        <v>0</v>
      </c>
      <c r="AC498" s="61"/>
      <c r="AD498" s="61"/>
      <c r="AE498" s="45">
        <f>'Filter-old'!P569</f>
        <v>0</v>
      </c>
      <c r="AF498" s="61">
        <f>'Filter-new'!P569</f>
        <v>0</v>
      </c>
      <c r="AG498" s="61"/>
      <c r="AH498" s="61"/>
      <c r="AI498" s="45">
        <f>'Filter-old'!L569</f>
        <v>0</v>
      </c>
      <c r="AJ498" s="61">
        <f>'Filter-new'!L569</f>
        <v>0</v>
      </c>
      <c r="AK498" s="61"/>
      <c r="AL498" s="61"/>
      <c r="AM498" s="61"/>
      <c r="AN498" s="61"/>
      <c r="AO498" s="45">
        <f>'Filter-old'!G569</f>
        <v>0</v>
      </c>
      <c r="AP498" s="61">
        <f>'Filter-new'!G570</f>
        <v>0</v>
      </c>
      <c r="AQ498" s="61"/>
      <c r="AR498" s="61"/>
      <c r="AS498" s="45"/>
      <c r="AT498" s="61"/>
      <c r="AU498" s="61"/>
      <c r="AV498" s="61"/>
      <c r="AW498" s="45">
        <f>'Filter-old'!I569</f>
        <v>0</v>
      </c>
      <c r="AX498" s="61">
        <f>'Filter-new'!I570</f>
        <v>0</v>
      </c>
      <c r="AY498" s="61"/>
      <c r="AZ498" s="61"/>
      <c r="BA498" s="61"/>
      <c r="BB498" s="61"/>
      <c r="BC498" s="45">
        <f>'Filter-old'!K569</f>
        <v>0</v>
      </c>
      <c r="BD498" s="61">
        <f>'Filter-new'!K570</f>
        <v>0</v>
      </c>
      <c r="BE498" s="61"/>
      <c r="BF498" s="61"/>
      <c r="BG498" s="45">
        <f>'Filter-old'!M569</f>
        <v>0</v>
      </c>
      <c r="BH498" s="61"/>
      <c r="BI498" s="61"/>
      <c r="BJ498" s="61">
        <f>'Filter-new'!M569</f>
        <v>0</v>
      </c>
      <c r="BK498" s="61"/>
      <c r="BL498" s="61"/>
      <c r="BM498" s="61"/>
      <c r="BN498" s="406"/>
      <c r="BO498" s="61"/>
      <c r="BP498" s="61"/>
      <c r="BQ498" s="45">
        <f>'Filter-old'!O569</f>
        <v>0</v>
      </c>
      <c r="BR498" s="61">
        <f>'Filter-new'!O570</f>
        <v>0</v>
      </c>
      <c r="BS498" s="61"/>
      <c r="BT498" s="61"/>
      <c r="BU498" s="45">
        <f>'Filter-old'!Q569</f>
        <v>0</v>
      </c>
      <c r="BV498" s="61">
        <f>'Filter-new'!Q570</f>
        <v>0</v>
      </c>
      <c r="BW498" s="61"/>
      <c r="BX498" s="61"/>
      <c r="BY498" s="61"/>
      <c r="BZ498" s="61"/>
      <c r="CA498" s="45">
        <f>'Filter-old'!R569</f>
        <v>0</v>
      </c>
      <c r="CB498" s="61">
        <f>'Filter-new'!R570</f>
        <v>0</v>
      </c>
      <c r="CC498" s="57"/>
      <c r="CD498" s="58"/>
      <c r="CE498" s="57"/>
      <c r="CF498" s="57"/>
      <c r="CG498" s="4"/>
    </row>
    <row r="499" spans="1:85" hidden="1" x14ac:dyDescent="0.2">
      <c r="A499">
        <v>0</v>
      </c>
      <c r="B499" s="59">
        <v>39295</v>
      </c>
      <c r="C499" s="59">
        <f t="shared" si="70"/>
        <v>39295</v>
      </c>
      <c r="D499" s="60">
        <f t="shared" si="67"/>
        <v>2007</v>
      </c>
      <c r="E499" s="60">
        <f>VLOOKUP($C499,calendar!$A$2:$D$121,4,FALSE)</f>
        <v>368</v>
      </c>
      <c r="F499" s="60"/>
      <c r="G499" s="36">
        <f t="shared" si="68"/>
        <v>-14688</v>
      </c>
      <c r="H499" s="36">
        <f t="shared" si="69"/>
        <v>-17472</v>
      </c>
      <c r="I499" s="36"/>
      <c r="J499" s="41"/>
      <c r="K499" s="45">
        <f>'Filter-old'!E570</f>
        <v>9384</v>
      </c>
      <c r="L499" s="61">
        <f>'Filter-new'!E571</f>
        <v>9568</v>
      </c>
      <c r="M499" s="61"/>
      <c r="N499" s="61"/>
      <c r="O499" s="429"/>
      <c r="P499" s="61"/>
      <c r="Q499" s="45">
        <f>'Filter-old'!H570</f>
        <v>-24072</v>
      </c>
      <c r="R499" s="61">
        <f>'Filter-new'!H571</f>
        <v>-27040</v>
      </c>
      <c r="S499" s="61"/>
      <c r="T499" s="61"/>
      <c r="U499" s="445"/>
      <c r="V499" s="61"/>
      <c r="W499" s="45">
        <f>'Filter-old'!J570</f>
        <v>0</v>
      </c>
      <c r="X499" s="61">
        <f>'Filter-new'!J571</f>
        <v>0</v>
      </c>
      <c r="Y499" s="61"/>
      <c r="Z499" s="61"/>
      <c r="AA499" s="45">
        <f>'Filter-old'!F570</f>
        <v>0</v>
      </c>
      <c r="AB499" s="61">
        <f>'Filter-new'!F570</f>
        <v>0</v>
      </c>
      <c r="AC499" s="61"/>
      <c r="AD499" s="61"/>
      <c r="AE499" s="45">
        <f>'Filter-old'!P570</f>
        <v>0</v>
      </c>
      <c r="AF499" s="61">
        <f>'Filter-new'!P570</f>
        <v>0</v>
      </c>
      <c r="AG499" s="61"/>
      <c r="AH499" s="61"/>
      <c r="AI499" s="45">
        <f>'Filter-old'!L570</f>
        <v>0</v>
      </c>
      <c r="AJ499" s="61">
        <f>'Filter-new'!L570</f>
        <v>0</v>
      </c>
      <c r="AK499" s="61"/>
      <c r="AL499" s="61"/>
      <c r="AM499" s="61"/>
      <c r="AN499" s="61"/>
      <c r="AO499" s="45">
        <f>'Filter-old'!G570</f>
        <v>0</v>
      </c>
      <c r="AP499" s="61">
        <f>'Filter-new'!G571</f>
        <v>0</v>
      </c>
      <c r="AQ499" s="61"/>
      <c r="AR499" s="61"/>
      <c r="AS499" s="45"/>
      <c r="AT499" s="61"/>
      <c r="AU499" s="61"/>
      <c r="AV499" s="61"/>
      <c r="AW499" s="45">
        <f>'Filter-old'!I570</f>
        <v>0</v>
      </c>
      <c r="AX499" s="61">
        <f>'Filter-new'!I571</f>
        <v>0</v>
      </c>
      <c r="AY499" s="61"/>
      <c r="AZ499" s="61"/>
      <c r="BA499" s="61"/>
      <c r="BB499" s="61"/>
      <c r="BC499" s="45">
        <f>'Filter-old'!K570</f>
        <v>0</v>
      </c>
      <c r="BD499" s="61">
        <f>'Filter-new'!K571</f>
        <v>0</v>
      </c>
      <c r="BE499" s="61"/>
      <c r="BF499" s="61"/>
      <c r="BG499" s="45">
        <f>'Filter-old'!M570</f>
        <v>0</v>
      </c>
      <c r="BH499" s="61"/>
      <c r="BI499" s="61"/>
      <c r="BJ499" s="61">
        <f>'Filter-new'!M570</f>
        <v>0</v>
      </c>
      <c r="BK499" s="61"/>
      <c r="BL499" s="61"/>
      <c r="BM499" s="61"/>
      <c r="BN499" s="406"/>
      <c r="BO499" s="61"/>
      <c r="BP499" s="61"/>
      <c r="BQ499" s="45">
        <f>'Filter-old'!O570</f>
        <v>0</v>
      </c>
      <c r="BR499" s="61">
        <f>'Filter-new'!O571</f>
        <v>0</v>
      </c>
      <c r="BS499" s="61"/>
      <c r="BT499" s="61"/>
      <c r="BU499" s="45">
        <f>'Filter-old'!Q570</f>
        <v>0</v>
      </c>
      <c r="BV499" s="61">
        <f>'Filter-new'!Q571</f>
        <v>0</v>
      </c>
      <c r="BW499" s="61"/>
      <c r="BX499" s="61"/>
      <c r="BY499" s="61"/>
      <c r="BZ499" s="61"/>
      <c r="CA499" s="45">
        <f>'Filter-old'!R570</f>
        <v>0</v>
      </c>
      <c r="CB499" s="61">
        <f>'Filter-new'!R571</f>
        <v>0</v>
      </c>
      <c r="CC499" s="57"/>
      <c r="CD499" s="58"/>
      <c r="CE499" s="57"/>
      <c r="CF499" s="57"/>
      <c r="CG499" s="4"/>
    </row>
    <row r="500" spans="1:85" hidden="1" x14ac:dyDescent="0.2">
      <c r="A500">
        <v>0</v>
      </c>
      <c r="B500" s="59">
        <v>39326</v>
      </c>
      <c r="C500" s="59">
        <f t="shared" si="70"/>
        <v>39326</v>
      </c>
      <c r="D500" s="60">
        <f t="shared" si="67"/>
        <v>2007</v>
      </c>
      <c r="E500" s="60">
        <f>VLOOKUP($C500,calendar!$A$2:$D$121,4,FALSE)</f>
        <v>304</v>
      </c>
      <c r="F500" s="60"/>
      <c r="G500" s="36">
        <f t="shared" si="68"/>
        <v>-13536</v>
      </c>
      <c r="H500" s="36">
        <f t="shared" si="69"/>
        <v>-16195</v>
      </c>
      <c r="I500" s="36"/>
      <c r="J500" s="41"/>
      <c r="K500" s="45">
        <f>'Filter-old'!E571</f>
        <v>8648</v>
      </c>
      <c r="L500" s="61">
        <f>'Filter-new'!E572</f>
        <v>8671</v>
      </c>
      <c r="M500" s="61"/>
      <c r="N500" s="61"/>
      <c r="O500" s="429"/>
      <c r="P500" s="61"/>
      <c r="Q500" s="45">
        <f>'Filter-old'!H571</f>
        <v>-22184</v>
      </c>
      <c r="R500" s="61">
        <f>'Filter-new'!H572</f>
        <v>-24866</v>
      </c>
      <c r="S500" s="61"/>
      <c r="T500" s="61"/>
      <c r="U500" s="445"/>
      <c r="V500" s="61"/>
      <c r="W500" s="45">
        <f>'Filter-old'!J571</f>
        <v>0</v>
      </c>
      <c r="X500" s="61">
        <f>'Filter-new'!J572</f>
        <v>0</v>
      </c>
      <c r="Y500" s="61"/>
      <c r="Z500" s="61"/>
      <c r="AA500" s="45">
        <f>'Filter-old'!F571</f>
        <v>0</v>
      </c>
      <c r="AB500" s="61">
        <f>'Filter-new'!F571</f>
        <v>0</v>
      </c>
      <c r="AC500" s="61"/>
      <c r="AD500" s="61"/>
      <c r="AE500" s="45">
        <f>'Filter-old'!P571</f>
        <v>0</v>
      </c>
      <c r="AF500" s="61">
        <f>'Filter-new'!P571</f>
        <v>0</v>
      </c>
      <c r="AG500" s="61"/>
      <c r="AH500" s="61"/>
      <c r="AI500" s="45">
        <f>'Filter-old'!L571</f>
        <v>0</v>
      </c>
      <c r="AJ500" s="61">
        <f>'Filter-new'!L571</f>
        <v>0</v>
      </c>
      <c r="AK500" s="61"/>
      <c r="AL500" s="61"/>
      <c r="AM500" s="61"/>
      <c r="AN500" s="61"/>
      <c r="AO500" s="45">
        <f>'Filter-old'!G571</f>
        <v>0</v>
      </c>
      <c r="AP500" s="61">
        <f>'Filter-new'!G572</f>
        <v>0</v>
      </c>
      <c r="AQ500" s="61"/>
      <c r="AR500" s="61"/>
      <c r="AS500" s="45"/>
      <c r="AT500" s="61"/>
      <c r="AU500" s="61"/>
      <c r="AV500" s="61"/>
      <c r="AW500" s="45">
        <f>'Filter-old'!I571</f>
        <v>0</v>
      </c>
      <c r="AX500" s="61">
        <f>'Filter-new'!I572</f>
        <v>0</v>
      </c>
      <c r="AY500" s="61"/>
      <c r="AZ500" s="61"/>
      <c r="BA500" s="61"/>
      <c r="BB500" s="61"/>
      <c r="BC500" s="45">
        <f>'Filter-old'!K571</f>
        <v>0</v>
      </c>
      <c r="BD500" s="61">
        <f>'Filter-new'!K572</f>
        <v>0</v>
      </c>
      <c r="BE500" s="61"/>
      <c r="BF500" s="61"/>
      <c r="BG500" s="45">
        <f>'Filter-old'!M571</f>
        <v>0</v>
      </c>
      <c r="BH500" s="61"/>
      <c r="BI500" s="61"/>
      <c r="BJ500" s="61">
        <f>'Filter-new'!M571</f>
        <v>0</v>
      </c>
      <c r="BK500" s="61"/>
      <c r="BL500" s="61"/>
      <c r="BM500" s="61"/>
      <c r="BN500" s="406"/>
      <c r="BO500" s="61"/>
      <c r="BP500" s="61"/>
      <c r="BQ500" s="45">
        <f>'Filter-old'!O571</f>
        <v>0</v>
      </c>
      <c r="BR500" s="61">
        <f>'Filter-new'!O572</f>
        <v>0</v>
      </c>
      <c r="BS500" s="61"/>
      <c r="BT500" s="61"/>
      <c r="BU500" s="45">
        <f>'Filter-old'!Q571</f>
        <v>0</v>
      </c>
      <c r="BV500" s="61">
        <f>'Filter-new'!Q572</f>
        <v>0</v>
      </c>
      <c r="BW500" s="61"/>
      <c r="BX500" s="61"/>
      <c r="BY500" s="61"/>
      <c r="BZ500" s="61"/>
      <c r="CA500" s="45">
        <f>'Filter-old'!R571</f>
        <v>0</v>
      </c>
      <c r="CB500" s="61">
        <f>'Filter-new'!R572</f>
        <v>0</v>
      </c>
      <c r="CC500" s="57"/>
      <c r="CD500" s="58"/>
      <c r="CE500" s="57"/>
      <c r="CF500" s="57"/>
      <c r="CG500" s="4"/>
    </row>
    <row r="501" spans="1:85" hidden="1" x14ac:dyDescent="0.2">
      <c r="A501">
        <v>0</v>
      </c>
      <c r="B501" s="59">
        <v>39356</v>
      </c>
      <c r="C501" s="59">
        <f t="shared" si="70"/>
        <v>39356</v>
      </c>
      <c r="D501" s="60">
        <f t="shared" si="67"/>
        <v>2007</v>
      </c>
      <c r="E501" s="60">
        <f>VLOOKUP($C501,calendar!$A$2:$D$121,4,FALSE)</f>
        <v>368</v>
      </c>
      <c r="F501" s="60"/>
      <c r="G501" s="36">
        <f t="shared" si="68"/>
        <v>-17472</v>
      </c>
      <c r="H501" s="36">
        <f t="shared" si="69"/>
        <v>-19584</v>
      </c>
      <c r="I501" s="36"/>
      <c r="J501" s="41"/>
      <c r="K501" s="45">
        <f>'Filter-old'!E572</f>
        <v>9568</v>
      </c>
      <c r="L501" s="61">
        <f>'Filter-new'!E573</f>
        <v>8832</v>
      </c>
      <c r="M501" s="61"/>
      <c r="N501" s="61"/>
      <c r="O501" s="429"/>
      <c r="P501" s="61"/>
      <c r="Q501" s="45">
        <f>'Filter-old'!H572</f>
        <v>-27040</v>
      </c>
      <c r="R501" s="61">
        <f>'Filter-new'!H573</f>
        <v>-28416</v>
      </c>
      <c r="S501" s="61"/>
      <c r="T501" s="61"/>
      <c r="U501" s="445"/>
      <c r="V501" s="61"/>
      <c r="W501" s="45">
        <f>'Filter-old'!J572</f>
        <v>0</v>
      </c>
      <c r="X501" s="61">
        <f>'Filter-new'!J573</f>
        <v>0</v>
      </c>
      <c r="Y501" s="61"/>
      <c r="Z501" s="61"/>
      <c r="AA501" s="45">
        <f>'Filter-old'!F572</f>
        <v>0</v>
      </c>
      <c r="AB501" s="61">
        <f>'Filter-new'!F572</f>
        <v>0</v>
      </c>
      <c r="AC501" s="61"/>
      <c r="AD501" s="61"/>
      <c r="AE501" s="45">
        <f>'Filter-old'!P572</f>
        <v>0</v>
      </c>
      <c r="AF501" s="61">
        <f>'Filter-new'!P572</f>
        <v>0</v>
      </c>
      <c r="AG501" s="61"/>
      <c r="AH501" s="61"/>
      <c r="AI501" s="45">
        <f>'Filter-old'!L572</f>
        <v>0</v>
      </c>
      <c r="AJ501" s="61">
        <f>'Filter-new'!L572</f>
        <v>0</v>
      </c>
      <c r="AK501" s="61"/>
      <c r="AL501" s="61"/>
      <c r="AM501" s="61"/>
      <c r="AN501" s="61"/>
      <c r="AO501" s="45">
        <f>'Filter-old'!G572</f>
        <v>0</v>
      </c>
      <c r="AP501" s="61">
        <f>'Filter-new'!G573</f>
        <v>0</v>
      </c>
      <c r="AQ501" s="61"/>
      <c r="AR501" s="61"/>
      <c r="AS501" s="45"/>
      <c r="AT501" s="61"/>
      <c r="AU501" s="61"/>
      <c r="AV501" s="61"/>
      <c r="AW501" s="45">
        <f>'Filter-old'!I572</f>
        <v>0</v>
      </c>
      <c r="AX501" s="61">
        <f>'Filter-new'!I573</f>
        <v>0</v>
      </c>
      <c r="AY501" s="61"/>
      <c r="AZ501" s="61"/>
      <c r="BA501" s="61"/>
      <c r="BB501" s="61"/>
      <c r="BC501" s="45">
        <f>'Filter-old'!K572</f>
        <v>0</v>
      </c>
      <c r="BD501" s="61">
        <f>'Filter-new'!K573</f>
        <v>0</v>
      </c>
      <c r="BE501" s="61"/>
      <c r="BF501" s="61"/>
      <c r="BG501" s="45">
        <f>'Filter-old'!M572</f>
        <v>0</v>
      </c>
      <c r="BH501" s="61"/>
      <c r="BI501" s="61"/>
      <c r="BJ501" s="61">
        <f>'Filter-new'!M572</f>
        <v>0</v>
      </c>
      <c r="BK501" s="61"/>
      <c r="BL501" s="61"/>
      <c r="BM501" s="61"/>
      <c r="BN501" s="406"/>
      <c r="BO501" s="61"/>
      <c r="BP501" s="61"/>
      <c r="BQ501" s="45">
        <f>'Filter-old'!O572</f>
        <v>0</v>
      </c>
      <c r="BR501" s="61">
        <f>'Filter-new'!O573</f>
        <v>0</v>
      </c>
      <c r="BS501" s="61"/>
      <c r="BT501" s="61"/>
      <c r="BU501" s="45">
        <f>'Filter-old'!Q572</f>
        <v>0</v>
      </c>
      <c r="BV501" s="61">
        <f>'Filter-new'!Q573</f>
        <v>0</v>
      </c>
      <c r="BW501" s="61"/>
      <c r="BX501" s="61"/>
      <c r="BY501" s="61"/>
      <c r="BZ501" s="61"/>
      <c r="CA501" s="45">
        <f>'Filter-old'!R572</f>
        <v>0</v>
      </c>
      <c r="CB501" s="61">
        <f>'Filter-new'!R573</f>
        <v>0</v>
      </c>
      <c r="CC501" s="57"/>
      <c r="CD501" s="58"/>
      <c r="CE501" s="57"/>
      <c r="CF501" s="57"/>
      <c r="CG501" s="4"/>
    </row>
    <row r="502" spans="1:85" hidden="1" x14ac:dyDescent="0.2">
      <c r="A502">
        <v>0</v>
      </c>
      <c r="B502" s="59">
        <v>39387</v>
      </c>
      <c r="C502" s="59">
        <f t="shared" si="70"/>
        <v>39387</v>
      </c>
      <c r="D502" s="60">
        <f t="shared" si="67"/>
        <v>2007</v>
      </c>
      <c r="E502" s="60">
        <f>VLOOKUP($C502,calendar!$A$2:$D$121,4,FALSE)</f>
        <v>336</v>
      </c>
      <c r="F502" s="60"/>
      <c r="G502" s="36">
        <f t="shared" si="68"/>
        <v>-16195</v>
      </c>
      <c r="H502" s="36">
        <f t="shared" si="69"/>
        <v>-21200</v>
      </c>
      <c r="I502" s="36"/>
      <c r="J502" s="41"/>
      <c r="K502" s="45">
        <f>'Filter-old'!E573</f>
        <v>8671</v>
      </c>
      <c r="L502" s="61">
        <f>'Filter-new'!E574</f>
        <v>9752</v>
      </c>
      <c r="M502" s="61"/>
      <c r="N502" s="61"/>
      <c r="O502" s="429"/>
      <c r="P502" s="61"/>
      <c r="Q502" s="45">
        <f>'Filter-old'!H573</f>
        <v>-24866</v>
      </c>
      <c r="R502" s="61">
        <f>'Filter-new'!H574</f>
        <v>-30952</v>
      </c>
      <c r="S502" s="61"/>
      <c r="T502" s="61"/>
      <c r="U502" s="445"/>
      <c r="V502" s="61"/>
      <c r="W502" s="45">
        <f>'Filter-old'!J573</f>
        <v>0</v>
      </c>
      <c r="X502" s="61">
        <f>'Filter-new'!J574</f>
        <v>0</v>
      </c>
      <c r="Y502" s="61"/>
      <c r="Z502" s="61"/>
      <c r="AA502" s="45">
        <f>'Filter-old'!F573</f>
        <v>0</v>
      </c>
      <c r="AB502" s="61">
        <f>'Filter-new'!F573</f>
        <v>0</v>
      </c>
      <c r="AC502" s="61"/>
      <c r="AD502" s="61"/>
      <c r="AE502" s="45">
        <f>'Filter-old'!P573</f>
        <v>0</v>
      </c>
      <c r="AF502" s="61">
        <f>'Filter-new'!P573</f>
        <v>0</v>
      </c>
      <c r="AG502" s="61"/>
      <c r="AH502" s="61"/>
      <c r="AI502" s="45">
        <f>'Filter-old'!L573</f>
        <v>0</v>
      </c>
      <c r="AJ502" s="61">
        <f>'Filter-new'!L573</f>
        <v>0</v>
      </c>
      <c r="AK502" s="61"/>
      <c r="AL502" s="61"/>
      <c r="AM502" s="61"/>
      <c r="AN502" s="61"/>
      <c r="AO502" s="45">
        <f>'Filter-old'!G573</f>
        <v>0</v>
      </c>
      <c r="AP502" s="61">
        <f>'Filter-new'!G574</f>
        <v>0</v>
      </c>
      <c r="AQ502" s="61"/>
      <c r="AR502" s="61"/>
      <c r="AS502" s="45"/>
      <c r="AT502" s="61"/>
      <c r="AU502" s="61"/>
      <c r="AV502" s="61"/>
      <c r="AW502" s="45">
        <f>'Filter-old'!I573</f>
        <v>0</v>
      </c>
      <c r="AX502" s="61">
        <f>'Filter-new'!I574</f>
        <v>0</v>
      </c>
      <c r="AY502" s="61"/>
      <c r="AZ502" s="61"/>
      <c r="BA502" s="61"/>
      <c r="BB502" s="61"/>
      <c r="BC502" s="45">
        <f>'Filter-old'!K573</f>
        <v>0</v>
      </c>
      <c r="BD502" s="61">
        <f>'Filter-new'!K574</f>
        <v>0</v>
      </c>
      <c r="BE502" s="61"/>
      <c r="BF502" s="61"/>
      <c r="BG502" s="45">
        <f>'Filter-old'!M573</f>
        <v>0</v>
      </c>
      <c r="BH502" s="61"/>
      <c r="BI502" s="61"/>
      <c r="BJ502" s="61">
        <f>'Filter-new'!M573</f>
        <v>0</v>
      </c>
      <c r="BK502" s="61"/>
      <c r="BL502" s="61"/>
      <c r="BM502" s="61"/>
      <c r="BN502" s="406"/>
      <c r="BO502" s="61"/>
      <c r="BP502" s="61"/>
      <c r="BQ502" s="45">
        <f>'Filter-old'!O573</f>
        <v>0</v>
      </c>
      <c r="BR502" s="61">
        <f>'Filter-new'!O574</f>
        <v>0</v>
      </c>
      <c r="BS502" s="61"/>
      <c r="BT502" s="61"/>
      <c r="BU502" s="45">
        <f>'Filter-old'!Q573</f>
        <v>0</v>
      </c>
      <c r="BV502" s="61">
        <f>'Filter-new'!Q574</f>
        <v>0</v>
      </c>
      <c r="BW502" s="61"/>
      <c r="BX502" s="61"/>
      <c r="BY502" s="61"/>
      <c r="BZ502" s="61"/>
      <c r="CA502" s="45">
        <f>'Filter-old'!R573</f>
        <v>0</v>
      </c>
      <c r="CB502" s="61">
        <f>'Filter-new'!R574</f>
        <v>0</v>
      </c>
      <c r="CC502" s="57"/>
      <c r="CD502" s="58"/>
      <c r="CE502" s="57"/>
      <c r="CF502" s="57"/>
      <c r="CG502" s="4"/>
    </row>
    <row r="503" spans="1:85" hidden="1" x14ac:dyDescent="0.2">
      <c r="A503">
        <v>0</v>
      </c>
      <c r="B503" s="59">
        <v>39417</v>
      </c>
      <c r="C503" s="59">
        <f t="shared" si="70"/>
        <v>39417</v>
      </c>
      <c r="D503" s="60">
        <f t="shared" si="67"/>
        <v>2007</v>
      </c>
      <c r="E503" s="60">
        <f>VLOOKUP($C503,calendar!$A$2:$D$121,4,FALSE)</f>
        <v>320</v>
      </c>
      <c r="F503" s="60"/>
      <c r="G503" s="36">
        <f t="shared" si="68"/>
        <v>-19584</v>
      </c>
      <c r="H503" s="36">
        <f t="shared" si="69"/>
        <v>-59584</v>
      </c>
      <c r="I503" s="36"/>
      <c r="J503" s="41"/>
      <c r="K503" s="45">
        <f>'Filter-old'!E574</f>
        <v>8832</v>
      </c>
      <c r="L503" s="61">
        <f>'Filter-new'!E575</f>
        <v>-10584</v>
      </c>
      <c r="M503" s="61"/>
      <c r="N503" s="61"/>
      <c r="O503" s="429"/>
      <c r="P503" s="61"/>
      <c r="Q503" s="45">
        <f>'Filter-old'!H574</f>
        <v>-28416</v>
      </c>
      <c r="R503" s="61">
        <f>'Filter-new'!H575</f>
        <v>-29400</v>
      </c>
      <c r="S503" s="61"/>
      <c r="T503" s="61"/>
      <c r="U503" s="445"/>
      <c r="V503" s="61"/>
      <c r="W503" s="45">
        <f>'Filter-old'!J574</f>
        <v>0</v>
      </c>
      <c r="X503" s="61">
        <f>'Filter-new'!J575</f>
        <v>0</v>
      </c>
      <c r="Y503" s="61"/>
      <c r="Z503" s="61"/>
      <c r="AA503" s="45">
        <f>'Filter-old'!F574</f>
        <v>0</v>
      </c>
      <c r="AB503" s="61">
        <f>'Filter-new'!F574</f>
        <v>0</v>
      </c>
      <c r="AC503" s="61"/>
      <c r="AD503" s="61"/>
      <c r="AE503" s="45">
        <f>'Filter-old'!P574</f>
        <v>0</v>
      </c>
      <c r="AF503" s="61">
        <f>'Filter-new'!P574</f>
        <v>0</v>
      </c>
      <c r="AG503" s="61"/>
      <c r="AH503" s="61"/>
      <c r="AI503" s="45">
        <f>'Filter-old'!L574</f>
        <v>0</v>
      </c>
      <c r="AJ503" s="61">
        <f>'Filter-new'!L574</f>
        <v>0</v>
      </c>
      <c r="AK503" s="61"/>
      <c r="AL503" s="61"/>
      <c r="AM503" s="61"/>
      <c r="AN503" s="61"/>
      <c r="AO503" s="45">
        <f>'Filter-old'!G574</f>
        <v>0</v>
      </c>
      <c r="AP503" s="61">
        <f>'Filter-new'!G575</f>
        <v>0</v>
      </c>
      <c r="AQ503" s="61"/>
      <c r="AR503" s="61"/>
      <c r="AS503" s="45"/>
      <c r="AT503" s="61"/>
      <c r="AU503" s="61"/>
      <c r="AV503" s="61"/>
      <c r="AW503" s="45">
        <f>'Filter-old'!I574</f>
        <v>0</v>
      </c>
      <c r="AX503" s="61">
        <f>'Filter-new'!I575</f>
        <v>-19600</v>
      </c>
      <c r="AY503" s="61"/>
      <c r="AZ503" s="61"/>
      <c r="BA503" s="61"/>
      <c r="BB503" s="61"/>
      <c r="BC503" s="45">
        <f>'Filter-old'!K574</f>
        <v>0</v>
      </c>
      <c r="BD503" s="61">
        <f>'Filter-new'!K575</f>
        <v>0</v>
      </c>
      <c r="BE503" s="61"/>
      <c r="BF503" s="61"/>
      <c r="BG503" s="45">
        <f>'Filter-old'!M574</f>
        <v>0</v>
      </c>
      <c r="BH503" s="61"/>
      <c r="BI503" s="61"/>
      <c r="BJ503" s="61">
        <f>'Filter-new'!M574</f>
        <v>0</v>
      </c>
      <c r="BK503" s="61"/>
      <c r="BL503" s="61"/>
      <c r="BM503" s="61"/>
      <c r="BN503" s="406"/>
      <c r="BO503" s="61"/>
      <c r="BP503" s="61"/>
      <c r="BQ503" s="45">
        <f>'Filter-old'!O574</f>
        <v>0</v>
      </c>
      <c r="BR503" s="61">
        <f>'Filter-new'!O575</f>
        <v>0</v>
      </c>
      <c r="BS503" s="61"/>
      <c r="BT503" s="61"/>
      <c r="BU503" s="45">
        <f>'Filter-old'!Q574</f>
        <v>0</v>
      </c>
      <c r="BV503" s="61">
        <f>'Filter-new'!Q575</f>
        <v>0</v>
      </c>
      <c r="BW503" s="61"/>
      <c r="BX503" s="61"/>
      <c r="BY503" s="61"/>
      <c r="BZ503" s="61"/>
      <c r="CA503" s="45">
        <f>'Filter-old'!R574</f>
        <v>0</v>
      </c>
      <c r="CB503" s="61">
        <f>'Filter-new'!R575</f>
        <v>0</v>
      </c>
      <c r="CC503" s="57"/>
      <c r="CD503" s="58"/>
      <c r="CE503" s="57"/>
      <c r="CF503" s="57"/>
      <c r="CG503" s="4"/>
    </row>
    <row r="504" spans="1:85" hidden="1" x14ac:dyDescent="0.2">
      <c r="A504">
        <v>0</v>
      </c>
      <c r="B504" s="59">
        <v>39448</v>
      </c>
      <c r="C504" s="59">
        <f t="shared" si="70"/>
        <v>39448</v>
      </c>
      <c r="D504" s="60">
        <f t="shared" si="67"/>
        <v>2008</v>
      </c>
      <c r="E504" s="60">
        <f>VLOOKUP($C504,calendar!$A$2:$D$121,4,FALSE)</f>
        <v>352</v>
      </c>
      <c r="F504" s="60"/>
      <c r="G504" s="36">
        <f t="shared" si="68"/>
        <v>-21200</v>
      </c>
      <c r="H504" s="36">
        <f t="shared" si="69"/>
        <v>-54000</v>
      </c>
      <c r="I504" s="36"/>
      <c r="J504" s="41"/>
      <c r="K504" s="45">
        <f>'Filter-old'!E575</f>
        <v>9752</v>
      </c>
      <c r="L504" s="61">
        <f>'Filter-new'!E576</f>
        <v>-9720</v>
      </c>
      <c r="M504" s="61"/>
      <c r="N504" s="61"/>
      <c r="O504" s="429"/>
      <c r="P504" s="61"/>
      <c r="Q504" s="45">
        <f>'Filter-old'!H575</f>
        <v>-30952</v>
      </c>
      <c r="R504" s="61">
        <f>'Filter-new'!H576</f>
        <v>-26280</v>
      </c>
      <c r="S504" s="61"/>
      <c r="T504" s="61"/>
      <c r="U504" s="445"/>
      <c r="V504" s="61"/>
      <c r="W504" s="45">
        <f>'Filter-old'!J575</f>
        <v>0</v>
      </c>
      <c r="X504" s="61">
        <f>'Filter-new'!J576</f>
        <v>0</v>
      </c>
      <c r="Y504" s="61"/>
      <c r="Z504" s="61"/>
      <c r="AA504" s="45">
        <f>'Filter-old'!F575</f>
        <v>0</v>
      </c>
      <c r="AB504" s="61">
        <f>'Filter-new'!F575</f>
        <v>0</v>
      </c>
      <c r="AC504" s="61"/>
      <c r="AD504" s="61"/>
      <c r="AE504" s="45">
        <f>'Filter-old'!P575</f>
        <v>0</v>
      </c>
      <c r="AF504" s="61">
        <f>'Filter-new'!P575</f>
        <v>0</v>
      </c>
      <c r="AG504" s="61"/>
      <c r="AH504" s="61"/>
      <c r="AI504" s="45">
        <f>'Filter-old'!L575</f>
        <v>0</v>
      </c>
      <c r="AJ504" s="61">
        <f>'Filter-new'!L575</f>
        <v>0</v>
      </c>
      <c r="AK504" s="61"/>
      <c r="AL504" s="61"/>
      <c r="AM504" s="61"/>
      <c r="AN504" s="61"/>
      <c r="AO504" s="45">
        <f>'Filter-old'!G575</f>
        <v>0</v>
      </c>
      <c r="AP504" s="61">
        <f>'Filter-new'!G576</f>
        <v>0</v>
      </c>
      <c r="AQ504" s="61"/>
      <c r="AR504" s="61"/>
      <c r="AS504" s="45"/>
      <c r="AT504" s="61"/>
      <c r="AU504" s="61"/>
      <c r="AV504" s="61"/>
      <c r="AW504" s="45">
        <f>'Filter-old'!I575</f>
        <v>0</v>
      </c>
      <c r="AX504" s="61">
        <f>'Filter-new'!I576</f>
        <v>-18000</v>
      </c>
      <c r="AY504" s="61"/>
      <c r="AZ504" s="61"/>
      <c r="BA504" s="61"/>
      <c r="BB504" s="61"/>
      <c r="BC504" s="45">
        <f>'Filter-old'!K575</f>
        <v>0</v>
      </c>
      <c r="BD504" s="61">
        <f>'Filter-new'!K576</f>
        <v>0</v>
      </c>
      <c r="BE504" s="61"/>
      <c r="BF504" s="61"/>
      <c r="BG504" s="45">
        <f>'Filter-old'!M575</f>
        <v>0</v>
      </c>
      <c r="BH504" s="61"/>
      <c r="BI504" s="61"/>
      <c r="BJ504" s="61">
        <f>'Filter-new'!M575</f>
        <v>0</v>
      </c>
      <c r="BK504" s="61"/>
      <c r="BL504" s="61"/>
      <c r="BM504" s="61"/>
      <c r="BN504" s="406"/>
      <c r="BO504" s="61"/>
      <c r="BP504" s="61"/>
      <c r="BQ504" s="45">
        <f>'Filter-old'!O575</f>
        <v>0</v>
      </c>
      <c r="BR504" s="61">
        <f>'Filter-new'!O576</f>
        <v>0</v>
      </c>
      <c r="BS504" s="61"/>
      <c r="BT504" s="61"/>
      <c r="BU504" s="45">
        <f>'Filter-old'!Q575</f>
        <v>0</v>
      </c>
      <c r="BV504" s="61">
        <f>'Filter-new'!Q576</f>
        <v>0</v>
      </c>
      <c r="BW504" s="61"/>
      <c r="BX504" s="61"/>
      <c r="BY504" s="61"/>
      <c r="BZ504" s="61"/>
      <c r="CA504" s="45">
        <f>'Filter-old'!R575</f>
        <v>0</v>
      </c>
      <c r="CB504" s="61">
        <f>'Filter-new'!R576</f>
        <v>0</v>
      </c>
      <c r="CC504" s="57"/>
      <c r="CD504" s="58"/>
      <c r="CE504" s="57"/>
      <c r="CF504" s="57"/>
      <c r="CG504" s="4"/>
    </row>
    <row r="505" spans="1:85" hidden="1" x14ac:dyDescent="0.2">
      <c r="A505">
        <v>0</v>
      </c>
      <c r="B505" s="59">
        <v>39479</v>
      </c>
      <c r="C505" s="59">
        <f t="shared" si="70"/>
        <v>39479</v>
      </c>
      <c r="D505" s="60">
        <f t="shared" si="67"/>
        <v>2008</v>
      </c>
      <c r="E505" s="60">
        <f>VLOOKUP($C505,calendar!$A$2:$D$121,4,FALSE)</f>
        <v>336</v>
      </c>
      <c r="F505" s="60"/>
      <c r="G505" s="36">
        <f t="shared" si="68"/>
        <v>-39984</v>
      </c>
      <c r="H505" s="36">
        <f t="shared" si="69"/>
        <v>-62016</v>
      </c>
      <c r="I505" s="36"/>
      <c r="J505" s="41"/>
      <c r="K505" s="45">
        <f>'Filter-old'!E576</f>
        <v>-10584</v>
      </c>
      <c r="L505" s="61">
        <f>'Filter-new'!E577</f>
        <v>-11016</v>
      </c>
      <c r="M505" s="61"/>
      <c r="N505" s="61"/>
      <c r="O505" s="429"/>
      <c r="P505" s="61"/>
      <c r="Q505" s="45">
        <f>'Filter-old'!H576</f>
        <v>-29400</v>
      </c>
      <c r="R505" s="61">
        <f>'Filter-new'!H577</f>
        <v>-30600</v>
      </c>
      <c r="S505" s="61"/>
      <c r="T505" s="61"/>
      <c r="U505" s="445"/>
      <c r="V505" s="61"/>
      <c r="W505" s="45">
        <f>'Filter-old'!J576</f>
        <v>0</v>
      </c>
      <c r="X505" s="61">
        <f>'Filter-new'!J577</f>
        <v>0</v>
      </c>
      <c r="Y505" s="61"/>
      <c r="Z505" s="61"/>
      <c r="AA505" s="45">
        <f>'Filter-old'!F576</f>
        <v>0</v>
      </c>
      <c r="AB505" s="61">
        <f>'Filter-new'!F576</f>
        <v>0</v>
      </c>
      <c r="AC505" s="61"/>
      <c r="AD505" s="61"/>
      <c r="AE505" s="45">
        <f>'Filter-old'!P576</f>
        <v>0</v>
      </c>
      <c r="AF505" s="61">
        <f>'Filter-new'!P576</f>
        <v>0</v>
      </c>
      <c r="AG505" s="61"/>
      <c r="AH505" s="61"/>
      <c r="AI505" s="45">
        <f>'Filter-old'!L576</f>
        <v>0</v>
      </c>
      <c r="AJ505" s="61">
        <f>'Filter-new'!L576</f>
        <v>0</v>
      </c>
      <c r="AK505" s="61"/>
      <c r="AL505" s="61"/>
      <c r="AM505" s="61"/>
      <c r="AN505" s="61"/>
      <c r="AO505" s="45">
        <f>'Filter-old'!G576</f>
        <v>0</v>
      </c>
      <c r="AP505" s="61">
        <f>'Filter-new'!G577</f>
        <v>0</v>
      </c>
      <c r="AQ505" s="61"/>
      <c r="AR505" s="61"/>
      <c r="AS505" s="45"/>
      <c r="AT505" s="61"/>
      <c r="AU505" s="61"/>
      <c r="AV505" s="61"/>
      <c r="AW505" s="45">
        <f>'Filter-old'!I576</f>
        <v>0</v>
      </c>
      <c r="AX505" s="61">
        <f>'Filter-new'!I577</f>
        <v>-20400</v>
      </c>
      <c r="AY505" s="61"/>
      <c r="AZ505" s="61"/>
      <c r="BA505" s="61"/>
      <c r="BB505" s="61"/>
      <c r="BC505" s="45">
        <f>'Filter-old'!K576</f>
        <v>0</v>
      </c>
      <c r="BD505" s="61">
        <f>'Filter-new'!K577</f>
        <v>0</v>
      </c>
      <c r="BE505" s="61"/>
      <c r="BF505" s="61"/>
      <c r="BG505" s="45">
        <f>'Filter-old'!M576</f>
        <v>0</v>
      </c>
      <c r="BH505" s="61"/>
      <c r="BI505" s="61"/>
      <c r="BJ505" s="61">
        <f>'Filter-new'!M576</f>
        <v>0</v>
      </c>
      <c r="BK505" s="61"/>
      <c r="BL505" s="61"/>
      <c r="BM505" s="61"/>
      <c r="BN505" s="406"/>
      <c r="BO505" s="61"/>
      <c r="BP505" s="61"/>
      <c r="BQ505" s="45">
        <f>'Filter-old'!O576</f>
        <v>0</v>
      </c>
      <c r="BR505" s="61">
        <f>'Filter-new'!O577</f>
        <v>0</v>
      </c>
      <c r="BS505" s="61"/>
      <c r="BT505" s="61"/>
      <c r="BU505" s="45">
        <f>'Filter-old'!Q576</f>
        <v>0</v>
      </c>
      <c r="BV505" s="61">
        <f>'Filter-new'!Q577</f>
        <v>0</v>
      </c>
      <c r="BW505" s="61"/>
      <c r="BX505" s="61"/>
      <c r="BY505" s="61"/>
      <c r="BZ505" s="61"/>
      <c r="CA505" s="45">
        <f>'Filter-old'!R576</f>
        <v>0</v>
      </c>
      <c r="CB505" s="61">
        <f>'Filter-new'!R577</f>
        <v>0</v>
      </c>
      <c r="CC505" s="57"/>
      <c r="CD505" s="58"/>
      <c r="CE505" s="57"/>
      <c r="CF505" s="57"/>
      <c r="CG505" s="4"/>
    </row>
    <row r="506" spans="1:85" hidden="1" x14ac:dyDescent="0.2">
      <c r="A506">
        <v>0</v>
      </c>
      <c r="B506" s="59">
        <v>39508</v>
      </c>
      <c r="C506" s="59">
        <f t="shared" si="70"/>
        <v>39508</v>
      </c>
      <c r="D506" s="60">
        <f t="shared" si="67"/>
        <v>2008</v>
      </c>
      <c r="E506" s="60">
        <f>VLOOKUP($C506,calendar!$A$2:$D$121,4,FALSE)</f>
        <v>336</v>
      </c>
      <c r="F506" s="60"/>
      <c r="G506" s="36">
        <f t="shared" si="68"/>
        <v>-36000</v>
      </c>
      <c r="H506" s="36">
        <f t="shared" si="69"/>
        <v>-55441</v>
      </c>
      <c r="I506" s="36"/>
      <c r="J506" s="41"/>
      <c r="K506" s="45">
        <f>'Filter-old'!E577</f>
        <v>-9720</v>
      </c>
      <c r="L506" s="61">
        <f>'Filter-new'!E578</f>
        <v>-9909</v>
      </c>
      <c r="M506" s="61"/>
      <c r="N506" s="61"/>
      <c r="O506" s="429"/>
      <c r="P506" s="61"/>
      <c r="Q506" s="45">
        <f>'Filter-old'!H577</f>
        <v>-26280</v>
      </c>
      <c r="R506" s="61">
        <f>'Filter-new'!H578</f>
        <v>-27182</v>
      </c>
      <c r="S506" s="61"/>
      <c r="T506" s="61"/>
      <c r="U506" s="445"/>
      <c r="V506" s="61"/>
      <c r="W506" s="45">
        <f>'Filter-old'!J577</f>
        <v>0</v>
      </c>
      <c r="X506" s="61">
        <f>'Filter-new'!J578</f>
        <v>0</v>
      </c>
      <c r="Y506" s="61"/>
      <c r="Z506" s="61"/>
      <c r="AA506" s="45">
        <f>'Filter-old'!F577</f>
        <v>0</v>
      </c>
      <c r="AB506" s="61">
        <f>'Filter-new'!F577</f>
        <v>0</v>
      </c>
      <c r="AC506" s="61"/>
      <c r="AD506" s="61"/>
      <c r="AE506" s="45">
        <f>'Filter-old'!P577</f>
        <v>0</v>
      </c>
      <c r="AF506" s="61">
        <f>'Filter-new'!P577</f>
        <v>0</v>
      </c>
      <c r="AG506" s="61"/>
      <c r="AH506" s="61"/>
      <c r="AI506" s="45">
        <f>'Filter-old'!L577</f>
        <v>0</v>
      </c>
      <c r="AJ506" s="61">
        <f>'Filter-new'!L577</f>
        <v>0</v>
      </c>
      <c r="AK506" s="61"/>
      <c r="AL506" s="61"/>
      <c r="AM506" s="61"/>
      <c r="AN506" s="61"/>
      <c r="AO506" s="45">
        <f>'Filter-old'!G577</f>
        <v>0</v>
      </c>
      <c r="AP506" s="61">
        <f>'Filter-new'!G578</f>
        <v>0</v>
      </c>
      <c r="AQ506" s="61"/>
      <c r="AR506" s="61"/>
      <c r="AS506" s="45"/>
      <c r="AT506" s="61"/>
      <c r="AU506" s="61"/>
      <c r="AV506" s="61"/>
      <c r="AW506" s="45">
        <f>'Filter-old'!I577</f>
        <v>0</v>
      </c>
      <c r="AX506" s="61">
        <f>'Filter-new'!I578</f>
        <v>-18350</v>
      </c>
      <c r="AY506" s="61"/>
      <c r="AZ506" s="61"/>
      <c r="BA506" s="61"/>
      <c r="BB506" s="61"/>
      <c r="BC506" s="45">
        <f>'Filter-old'!K577</f>
        <v>0</v>
      </c>
      <c r="BD506" s="61">
        <f>'Filter-new'!K578</f>
        <v>0</v>
      </c>
      <c r="BE506" s="61"/>
      <c r="BF506" s="61"/>
      <c r="BG506" s="45">
        <f>'Filter-old'!M577</f>
        <v>0</v>
      </c>
      <c r="BH506" s="61"/>
      <c r="BI506" s="61"/>
      <c r="BJ506" s="61">
        <f>'Filter-new'!M577</f>
        <v>0</v>
      </c>
      <c r="BK506" s="61"/>
      <c r="BL506" s="61"/>
      <c r="BM506" s="61"/>
      <c r="BN506" s="406"/>
      <c r="BO506" s="61"/>
      <c r="BP506" s="61"/>
      <c r="BQ506" s="45">
        <f>'Filter-old'!O577</f>
        <v>0</v>
      </c>
      <c r="BR506" s="61">
        <f>'Filter-new'!O578</f>
        <v>0</v>
      </c>
      <c r="BS506" s="61"/>
      <c r="BT506" s="61"/>
      <c r="BU506" s="45">
        <f>'Filter-old'!Q577</f>
        <v>0</v>
      </c>
      <c r="BV506" s="61">
        <f>'Filter-new'!Q578</f>
        <v>0</v>
      </c>
      <c r="BW506" s="61"/>
      <c r="BX506" s="61"/>
      <c r="BY506" s="61"/>
      <c r="BZ506" s="61"/>
      <c r="CA506" s="45">
        <f>'Filter-old'!R577</f>
        <v>0</v>
      </c>
      <c r="CB506" s="61">
        <f>'Filter-new'!R578</f>
        <v>0</v>
      </c>
      <c r="CC506" s="57"/>
      <c r="CD506" s="58"/>
      <c r="CE506" s="57"/>
      <c r="CF506" s="57"/>
      <c r="CG506" s="4"/>
    </row>
    <row r="507" spans="1:85" hidden="1" x14ac:dyDescent="0.2">
      <c r="A507">
        <v>0</v>
      </c>
      <c r="B507" s="59">
        <v>39539</v>
      </c>
      <c r="C507" s="59">
        <f t="shared" si="70"/>
        <v>39539</v>
      </c>
      <c r="D507" s="60">
        <f t="shared" si="67"/>
        <v>2008</v>
      </c>
      <c r="E507" s="60">
        <f>VLOOKUP($C507,calendar!$A$2:$D$121,4,FALSE)</f>
        <v>352</v>
      </c>
      <c r="F507" s="60"/>
      <c r="G507" s="36">
        <f t="shared" si="68"/>
        <v>-41616</v>
      </c>
      <c r="H507" s="36">
        <f t="shared" si="69"/>
        <v>-57936</v>
      </c>
      <c r="I507" s="36"/>
      <c r="J507" s="41"/>
      <c r="K507" s="45">
        <f>'Filter-old'!E578</f>
        <v>-11016</v>
      </c>
      <c r="L507" s="61">
        <f>'Filter-new'!E579</f>
        <v>-11016</v>
      </c>
      <c r="M507" s="61"/>
      <c r="N507" s="61"/>
      <c r="O507" s="429"/>
      <c r="P507" s="61"/>
      <c r="Q507" s="45">
        <f>'Filter-old'!H578</f>
        <v>-30600</v>
      </c>
      <c r="R507" s="61">
        <f>'Filter-new'!H579</f>
        <v>-26520</v>
      </c>
      <c r="S507" s="61"/>
      <c r="T507" s="61"/>
      <c r="U507" s="445"/>
      <c r="V507" s="61"/>
      <c r="W507" s="45">
        <f>'Filter-old'!J578</f>
        <v>0</v>
      </c>
      <c r="X507" s="61">
        <f>'Filter-new'!J579</f>
        <v>0</v>
      </c>
      <c r="Y507" s="61"/>
      <c r="Z507" s="61"/>
      <c r="AA507" s="45">
        <f>'Filter-old'!F578</f>
        <v>0</v>
      </c>
      <c r="AB507" s="61">
        <f>'Filter-new'!F578</f>
        <v>0</v>
      </c>
      <c r="AC507" s="61"/>
      <c r="AD507" s="61"/>
      <c r="AE507" s="45">
        <f>'Filter-old'!P578</f>
        <v>0</v>
      </c>
      <c r="AF507" s="61">
        <f>'Filter-new'!P578</f>
        <v>0</v>
      </c>
      <c r="AG507" s="61"/>
      <c r="AH507" s="61"/>
      <c r="AI507" s="45">
        <f>'Filter-old'!L578</f>
        <v>0</v>
      </c>
      <c r="AJ507" s="61">
        <f>'Filter-new'!L578</f>
        <v>0</v>
      </c>
      <c r="AK507" s="61"/>
      <c r="AL507" s="61"/>
      <c r="AM507" s="61"/>
      <c r="AN507" s="61"/>
      <c r="AO507" s="45">
        <f>'Filter-old'!G578</f>
        <v>0</v>
      </c>
      <c r="AP507" s="61">
        <f>'Filter-new'!G579</f>
        <v>0</v>
      </c>
      <c r="AQ507" s="61"/>
      <c r="AR507" s="61"/>
      <c r="AS507" s="45"/>
      <c r="AT507" s="61"/>
      <c r="AU507" s="61"/>
      <c r="AV507" s="61"/>
      <c r="AW507" s="45">
        <f>'Filter-old'!I578</f>
        <v>0</v>
      </c>
      <c r="AX507" s="61">
        <f>'Filter-new'!I579</f>
        <v>-20400</v>
      </c>
      <c r="AY507" s="61"/>
      <c r="AZ507" s="61"/>
      <c r="BA507" s="61"/>
      <c r="BB507" s="61"/>
      <c r="BC507" s="45">
        <f>'Filter-old'!K578</f>
        <v>0</v>
      </c>
      <c r="BD507" s="61">
        <f>'Filter-new'!K579</f>
        <v>0</v>
      </c>
      <c r="BE507" s="61"/>
      <c r="BF507" s="61"/>
      <c r="BG507" s="45">
        <f>'Filter-old'!M578</f>
        <v>0</v>
      </c>
      <c r="BH507" s="61"/>
      <c r="BI507" s="61"/>
      <c r="BJ507" s="61">
        <f>'Filter-new'!M578</f>
        <v>0</v>
      </c>
      <c r="BK507" s="61"/>
      <c r="BL507" s="61"/>
      <c r="BM507" s="61"/>
      <c r="BN507" s="406"/>
      <c r="BO507" s="61"/>
      <c r="BP507" s="61"/>
      <c r="BQ507" s="45">
        <f>'Filter-old'!O578</f>
        <v>0</v>
      </c>
      <c r="BR507" s="61">
        <f>'Filter-new'!O579</f>
        <v>0</v>
      </c>
      <c r="BS507" s="61"/>
      <c r="BT507" s="61"/>
      <c r="BU507" s="45">
        <f>'Filter-old'!Q578</f>
        <v>0</v>
      </c>
      <c r="BV507" s="61">
        <f>'Filter-new'!Q579</f>
        <v>0</v>
      </c>
      <c r="BW507" s="61"/>
      <c r="BX507" s="61"/>
      <c r="BY507" s="61"/>
      <c r="BZ507" s="61"/>
      <c r="CA507" s="45">
        <f>'Filter-old'!R578</f>
        <v>0</v>
      </c>
      <c r="CB507" s="61">
        <f>'Filter-new'!R579</f>
        <v>0</v>
      </c>
      <c r="CC507" s="57"/>
      <c r="CD507" s="58"/>
      <c r="CE507" s="57"/>
      <c r="CF507" s="57"/>
      <c r="CG507" s="4"/>
    </row>
    <row r="508" spans="1:85" hidden="1" x14ac:dyDescent="0.2">
      <c r="A508">
        <v>0</v>
      </c>
      <c r="B508" s="59">
        <v>39569</v>
      </c>
      <c r="C508" s="59">
        <f t="shared" si="70"/>
        <v>39569</v>
      </c>
      <c r="D508" s="60">
        <f t="shared" si="67"/>
        <v>2008</v>
      </c>
      <c r="E508" s="60">
        <f>VLOOKUP($C508,calendar!$A$2:$D$121,4,FALSE)</f>
        <v>336</v>
      </c>
      <c r="F508" s="60"/>
      <c r="G508" s="36">
        <f t="shared" si="68"/>
        <v>-37091</v>
      </c>
      <c r="H508" s="36">
        <f t="shared" si="69"/>
        <v>-53376</v>
      </c>
      <c r="I508" s="36"/>
      <c r="J508" s="41"/>
      <c r="K508" s="45">
        <f>'Filter-old'!E579</f>
        <v>-9909</v>
      </c>
      <c r="L508" s="61">
        <f>'Filter-new'!E580</f>
        <v>-10368</v>
      </c>
      <c r="M508" s="61"/>
      <c r="N508" s="61"/>
      <c r="O508" s="429"/>
      <c r="P508" s="61"/>
      <c r="Q508" s="45">
        <f>'Filter-old'!H579</f>
        <v>-27182</v>
      </c>
      <c r="R508" s="61">
        <f>'Filter-new'!H580</f>
        <v>-23808</v>
      </c>
      <c r="S508" s="61"/>
      <c r="T508" s="61"/>
      <c r="U508" s="445"/>
      <c r="V508" s="61"/>
      <c r="W508" s="45">
        <f>'Filter-old'!J579</f>
        <v>0</v>
      </c>
      <c r="X508" s="61">
        <f>'Filter-new'!J580</f>
        <v>0</v>
      </c>
      <c r="Y508" s="61"/>
      <c r="Z508" s="61"/>
      <c r="AA508" s="45">
        <f>'Filter-old'!F579</f>
        <v>0</v>
      </c>
      <c r="AB508" s="61">
        <f>'Filter-new'!F579</f>
        <v>0</v>
      </c>
      <c r="AC508" s="61"/>
      <c r="AD508" s="61"/>
      <c r="AE508" s="45">
        <f>'Filter-old'!P579</f>
        <v>0</v>
      </c>
      <c r="AF508" s="61">
        <f>'Filter-new'!P579</f>
        <v>0</v>
      </c>
      <c r="AG508" s="61"/>
      <c r="AH508" s="61"/>
      <c r="AI508" s="45">
        <f>'Filter-old'!L579</f>
        <v>0</v>
      </c>
      <c r="AJ508" s="61">
        <f>'Filter-new'!L579</f>
        <v>0</v>
      </c>
      <c r="AK508" s="61"/>
      <c r="AL508" s="61"/>
      <c r="AM508" s="61"/>
      <c r="AN508" s="61"/>
      <c r="AO508" s="45">
        <f>'Filter-old'!G579</f>
        <v>0</v>
      </c>
      <c r="AP508" s="61">
        <f>'Filter-new'!G580</f>
        <v>0</v>
      </c>
      <c r="AQ508" s="61"/>
      <c r="AR508" s="61"/>
      <c r="AS508" s="45"/>
      <c r="AT508" s="61"/>
      <c r="AU508" s="61"/>
      <c r="AV508" s="61"/>
      <c r="AW508" s="45">
        <f>'Filter-old'!I579</f>
        <v>0</v>
      </c>
      <c r="AX508" s="61">
        <f>'Filter-new'!I580</f>
        <v>-19200</v>
      </c>
      <c r="AY508" s="61"/>
      <c r="AZ508" s="61"/>
      <c r="BA508" s="61"/>
      <c r="BB508" s="61"/>
      <c r="BC508" s="45">
        <f>'Filter-old'!K579</f>
        <v>0</v>
      </c>
      <c r="BD508" s="61">
        <f>'Filter-new'!K580</f>
        <v>0</v>
      </c>
      <c r="BE508" s="61"/>
      <c r="BF508" s="61"/>
      <c r="BG508" s="45">
        <f>'Filter-old'!M579</f>
        <v>0</v>
      </c>
      <c r="BH508" s="61"/>
      <c r="BI508" s="61"/>
      <c r="BJ508" s="61">
        <f>'Filter-new'!M579</f>
        <v>0</v>
      </c>
      <c r="BK508" s="61"/>
      <c r="BL508" s="61"/>
      <c r="BM508" s="61"/>
      <c r="BN508" s="406"/>
      <c r="BO508" s="61"/>
      <c r="BP508" s="61"/>
      <c r="BQ508" s="45">
        <f>'Filter-old'!O579</f>
        <v>0</v>
      </c>
      <c r="BR508" s="61">
        <f>'Filter-new'!O580</f>
        <v>0</v>
      </c>
      <c r="BS508" s="61"/>
      <c r="BT508" s="61"/>
      <c r="BU508" s="45">
        <f>'Filter-old'!Q579</f>
        <v>0</v>
      </c>
      <c r="BV508" s="61">
        <f>'Filter-new'!Q580</f>
        <v>0</v>
      </c>
      <c r="BW508" s="61"/>
      <c r="BX508" s="61"/>
      <c r="BY508" s="61"/>
      <c r="BZ508" s="61"/>
      <c r="CA508" s="45">
        <f>'Filter-old'!R579</f>
        <v>0</v>
      </c>
      <c r="CB508" s="61">
        <f>'Filter-new'!R580</f>
        <v>0</v>
      </c>
      <c r="CC508" s="57"/>
      <c r="CD508" s="58"/>
      <c r="CE508" s="57"/>
      <c r="CF508" s="57"/>
      <c r="CG508" s="4"/>
    </row>
    <row r="509" spans="1:85" hidden="1" x14ac:dyDescent="0.2">
      <c r="A509">
        <v>0</v>
      </c>
      <c r="B509" s="59">
        <v>39600</v>
      </c>
      <c r="C509" s="59">
        <f t="shared" si="70"/>
        <v>39600</v>
      </c>
      <c r="D509" s="60">
        <f t="shared" si="67"/>
        <v>2008</v>
      </c>
      <c r="E509" s="60">
        <f>VLOOKUP($C509,calendar!$A$2:$D$121,4,FALSE)</f>
        <v>336</v>
      </c>
      <c r="F509" s="60"/>
      <c r="G509" s="36">
        <f t="shared" si="68"/>
        <v>-37536</v>
      </c>
      <c r="H509" s="36">
        <f t="shared" si="69"/>
        <v>-53312</v>
      </c>
      <c r="I509" s="36"/>
      <c r="J509" s="41"/>
      <c r="K509" s="45">
        <f>'Filter-old'!E580</f>
        <v>-11016</v>
      </c>
      <c r="L509" s="61">
        <f>'Filter-new'!E581</f>
        <v>-10584</v>
      </c>
      <c r="M509" s="61"/>
      <c r="N509" s="61"/>
      <c r="O509" s="429"/>
      <c r="P509" s="61"/>
      <c r="Q509" s="45">
        <f>'Filter-old'!H580</f>
        <v>-26520</v>
      </c>
      <c r="R509" s="61">
        <f>'Filter-new'!H581</f>
        <v>-23128</v>
      </c>
      <c r="S509" s="61"/>
      <c r="T509" s="61"/>
      <c r="U509" s="445"/>
      <c r="V509" s="61"/>
      <c r="W509" s="45">
        <f>'Filter-old'!J580</f>
        <v>0</v>
      </c>
      <c r="X509" s="61">
        <f>'Filter-new'!J581</f>
        <v>0</v>
      </c>
      <c r="Y509" s="61"/>
      <c r="Z509" s="61"/>
      <c r="AA509" s="45">
        <f>'Filter-old'!F580</f>
        <v>0</v>
      </c>
      <c r="AB509" s="61">
        <f>'Filter-new'!F580</f>
        <v>0</v>
      </c>
      <c r="AC509" s="61"/>
      <c r="AD509" s="61"/>
      <c r="AE509" s="45">
        <f>'Filter-old'!P580</f>
        <v>0</v>
      </c>
      <c r="AF509" s="61">
        <f>'Filter-new'!P580</f>
        <v>0</v>
      </c>
      <c r="AG509" s="61"/>
      <c r="AH509" s="61"/>
      <c r="AI509" s="45">
        <f>'Filter-old'!L580</f>
        <v>0</v>
      </c>
      <c r="AJ509" s="61">
        <f>'Filter-new'!L580</f>
        <v>0</v>
      </c>
      <c r="AK509" s="61"/>
      <c r="AL509" s="61"/>
      <c r="AM509" s="61"/>
      <c r="AN509" s="61"/>
      <c r="AO509" s="45">
        <f>'Filter-old'!G580</f>
        <v>0</v>
      </c>
      <c r="AP509" s="61">
        <f>'Filter-new'!G581</f>
        <v>0</v>
      </c>
      <c r="AQ509" s="61"/>
      <c r="AR509" s="61"/>
      <c r="AS509" s="45"/>
      <c r="AT509" s="61"/>
      <c r="AU509" s="61"/>
      <c r="AV509" s="61"/>
      <c r="AW509" s="45">
        <f>'Filter-old'!I580</f>
        <v>0</v>
      </c>
      <c r="AX509" s="61">
        <f>'Filter-new'!I581</f>
        <v>-19600</v>
      </c>
      <c r="AY509" s="61"/>
      <c r="AZ509" s="61"/>
      <c r="BA509" s="61"/>
      <c r="BB509" s="61"/>
      <c r="BC509" s="45">
        <f>'Filter-old'!K580</f>
        <v>0</v>
      </c>
      <c r="BD509" s="61">
        <f>'Filter-new'!K581</f>
        <v>0</v>
      </c>
      <c r="BE509" s="61"/>
      <c r="BF509" s="61"/>
      <c r="BG509" s="45">
        <f>'Filter-old'!M580</f>
        <v>0</v>
      </c>
      <c r="BH509" s="61"/>
      <c r="BI509" s="61"/>
      <c r="BJ509" s="61">
        <f>'Filter-new'!M580</f>
        <v>0</v>
      </c>
      <c r="BK509" s="61"/>
      <c r="BL509" s="61"/>
      <c r="BM509" s="61"/>
      <c r="BN509" s="406"/>
      <c r="BO509" s="61"/>
      <c r="BP509" s="61"/>
      <c r="BQ509" s="45">
        <f>'Filter-old'!O580</f>
        <v>0</v>
      </c>
      <c r="BR509" s="61">
        <f>'Filter-new'!O581</f>
        <v>0</v>
      </c>
      <c r="BS509" s="61"/>
      <c r="BT509" s="61"/>
      <c r="BU509" s="45">
        <f>'Filter-old'!Q580</f>
        <v>0</v>
      </c>
      <c r="BV509" s="61">
        <f>'Filter-new'!Q581</f>
        <v>0</v>
      </c>
      <c r="BW509" s="61"/>
      <c r="BX509" s="61"/>
      <c r="BY509" s="61"/>
      <c r="BZ509" s="61"/>
      <c r="CA509" s="45">
        <f>'Filter-old'!R580</f>
        <v>0</v>
      </c>
      <c r="CB509" s="61">
        <f>'Filter-new'!R581</f>
        <v>0</v>
      </c>
      <c r="CC509" s="57"/>
      <c r="CD509" s="58"/>
      <c r="CE509" s="57"/>
      <c r="CF509" s="57"/>
      <c r="CG509" s="4"/>
    </row>
    <row r="510" spans="1:85" hidden="1" x14ac:dyDescent="0.2">
      <c r="A510">
        <v>0</v>
      </c>
      <c r="B510" s="59">
        <v>39630</v>
      </c>
      <c r="C510" s="59">
        <f t="shared" si="70"/>
        <v>39630</v>
      </c>
      <c r="D510" s="60">
        <f t="shared" si="67"/>
        <v>2008</v>
      </c>
      <c r="E510" s="60">
        <f>VLOOKUP($C510,calendar!$A$2:$D$121,4,FALSE)</f>
        <v>352</v>
      </c>
      <c r="F510" s="60"/>
      <c r="G510" s="36">
        <f t="shared" si="68"/>
        <v>-34176</v>
      </c>
      <c r="H510" s="36">
        <f t="shared" si="69"/>
        <v>-55488</v>
      </c>
      <c r="I510" s="36"/>
      <c r="J510" s="41"/>
      <c r="K510" s="45">
        <f>'Filter-old'!E581</f>
        <v>-10368</v>
      </c>
      <c r="L510" s="61">
        <f>'Filter-new'!E582</f>
        <v>-11016</v>
      </c>
      <c r="M510" s="61"/>
      <c r="N510" s="61"/>
      <c r="O510" s="429"/>
      <c r="P510" s="61"/>
      <c r="Q510" s="45">
        <f>'Filter-old'!H581</f>
        <v>-23808</v>
      </c>
      <c r="R510" s="61">
        <f>'Filter-new'!H582</f>
        <v>-24072</v>
      </c>
      <c r="S510" s="61"/>
      <c r="T510" s="61"/>
      <c r="U510" s="445"/>
      <c r="V510" s="61"/>
      <c r="W510" s="45">
        <f>'Filter-old'!J581</f>
        <v>0</v>
      </c>
      <c r="X510" s="61">
        <f>'Filter-new'!J582</f>
        <v>0</v>
      </c>
      <c r="Y510" s="61"/>
      <c r="Z510" s="61"/>
      <c r="AA510" s="45">
        <f>'Filter-old'!F581</f>
        <v>0</v>
      </c>
      <c r="AB510" s="61">
        <f>'Filter-new'!F581</f>
        <v>0</v>
      </c>
      <c r="AC510" s="61"/>
      <c r="AD510" s="61"/>
      <c r="AE510" s="45">
        <f>'Filter-old'!P581</f>
        <v>0</v>
      </c>
      <c r="AF510" s="61">
        <f>'Filter-new'!P581</f>
        <v>0</v>
      </c>
      <c r="AG510" s="61"/>
      <c r="AH510" s="61"/>
      <c r="AI510" s="45">
        <f>'Filter-old'!L581</f>
        <v>0</v>
      </c>
      <c r="AJ510" s="61">
        <f>'Filter-new'!L581</f>
        <v>0</v>
      </c>
      <c r="AK510" s="61"/>
      <c r="AL510" s="61"/>
      <c r="AM510" s="61"/>
      <c r="AN510" s="61"/>
      <c r="AO510" s="45">
        <f>'Filter-old'!G581</f>
        <v>0</v>
      </c>
      <c r="AP510" s="61">
        <f>'Filter-new'!G582</f>
        <v>0</v>
      </c>
      <c r="AQ510" s="61"/>
      <c r="AR510" s="61"/>
      <c r="AS510" s="45"/>
      <c r="AT510" s="61"/>
      <c r="AU510" s="61"/>
      <c r="AV510" s="61"/>
      <c r="AW510" s="45">
        <f>'Filter-old'!I581</f>
        <v>0</v>
      </c>
      <c r="AX510" s="61">
        <f>'Filter-new'!I582</f>
        <v>-20400</v>
      </c>
      <c r="AY510" s="61"/>
      <c r="AZ510" s="61"/>
      <c r="BA510" s="61"/>
      <c r="BB510" s="61"/>
      <c r="BC510" s="45">
        <f>'Filter-old'!K581</f>
        <v>0</v>
      </c>
      <c r="BD510" s="61">
        <f>'Filter-new'!K582</f>
        <v>0</v>
      </c>
      <c r="BE510" s="61"/>
      <c r="BF510" s="61"/>
      <c r="BG510" s="45">
        <f>'Filter-old'!M581</f>
        <v>0</v>
      </c>
      <c r="BH510" s="61"/>
      <c r="BI510" s="61"/>
      <c r="BJ510" s="61">
        <f>'Filter-new'!M581</f>
        <v>0</v>
      </c>
      <c r="BK510" s="61"/>
      <c r="BL510" s="61"/>
      <c r="BM510" s="61"/>
      <c r="BN510" s="406"/>
      <c r="BO510" s="61"/>
      <c r="BP510" s="61"/>
      <c r="BQ510" s="45">
        <f>'Filter-old'!O581</f>
        <v>0</v>
      </c>
      <c r="BR510" s="61">
        <f>'Filter-new'!O582</f>
        <v>0</v>
      </c>
      <c r="BS510" s="61"/>
      <c r="BT510" s="61"/>
      <c r="BU510" s="45">
        <f>'Filter-old'!Q581</f>
        <v>0</v>
      </c>
      <c r="BV510" s="61">
        <f>'Filter-new'!Q582</f>
        <v>0</v>
      </c>
      <c r="BW510" s="61"/>
      <c r="BX510" s="61"/>
      <c r="BY510" s="61"/>
      <c r="BZ510" s="61"/>
      <c r="CA510" s="45">
        <f>'Filter-old'!R581</f>
        <v>0</v>
      </c>
      <c r="CB510" s="61">
        <f>'Filter-new'!R582</f>
        <v>0</v>
      </c>
      <c r="CC510" s="57"/>
      <c r="CD510" s="58"/>
      <c r="CE510" s="57"/>
      <c r="CF510" s="57"/>
      <c r="CG510" s="4"/>
    </row>
    <row r="511" spans="1:85" hidden="1" x14ac:dyDescent="0.2">
      <c r="A511">
        <v>0</v>
      </c>
      <c r="B511" s="59">
        <v>39661</v>
      </c>
      <c r="C511" s="59">
        <f t="shared" si="70"/>
        <v>39661</v>
      </c>
      <c r="D511" s="60">
        <f t="shared" si="67"/>
        <v>2008</v>
      </c>
      <c r="E511" s="60">
        <f>VLOOKUP($C511,calendar!$A$2:$D$121,4,FALSE)</f>
        <v>336</v>
      </c>
      <c r="F511" s="60"/>
      <c r="G511" s="36">
        <f t="shared" si="68"/>
        <v>-33712</v>
      </c>
      <c r="H511" s="36">
        <f t="shared" si="69"/>
        <v>-48768</v>
      </c>
      <c r="I511" s="36"/>
      <c r="J511" s="41"/>
      <c r="K511" s="45">
        <f>'Filter-old'!E582</f>
        <v>-10584</v>
      </c>
      <c r="L511" s="61">
        <f>'Filter-new'!E583</f>
        <v>-10368</v>
      </c>
      <c r="M511" s="61"/>
      <c r="N511" s="61"/>
      <c r="O511" s="429"/>
      <c r="P511" s="61"/>
      <c r="Q511" s="45">
        <f>'Filter-old'!H582</f>
        <v>-23128</v>
      </c>
      <c r="R511" s="61">
        <f>'Filter-new'!H583</f>
        <v>-19200</v>
      </c>
      <c r="S511" s="61"/>
      <c r="T511" s="61"/>
      <c r="U511" s="445"/>
      <c r="V511" s="61"/>
      <c r="W511" s="45">
        <f>'Filter-old'!J582</f>
        <v>0</v>
      </c>
      <c r="X511" s="61">
        <f>'Filter-new'!J583</f>
        <v>0</v>
      </c>
      <c r="Y511" s="61"/>
      <c r="Z511" s="61"/>
      <c r="AA511" s="45">
        <f>'Filter-old'!F582</f>
        <v>0</v>
      </c>
      <c r="AB511" s="61">
        <f>'Filter-new'!F582</f>
        <v>0</v>
      </c>
      <c r="AC511" s="61"/>
      <c r="AD511" s="61"/>
      <c r="AE511" s="45">
        <f>'Filter-old'!P582</f>
        <v>0</v>
      </c>
      <c r="AF511" s="61">
        <f>'Filter-new'!P582</f>
        <v>0</v>
      </c>
      <c r="AG511" s="61"/>
      <c r="AH511" s="61"/>
      <c r="AI511" s="45">
        <f>'Filter-old'!L582</f>
        <v>0</v>
      </c>
      <c r="AJ511" s="61">
        <f>'Filter-new'!L582</f>
        <v>0</v>
      </c>
      <c r="AK511" s="61"/>
      <c r="AL511" s="61"/>
      <c r="AM511" s="61"/>
      <c r="AN511" s="61"/>
      <c r="AO511" s="45">
        <f>'Filter-old'!G582</f>
        <v>0</v>
      </c>
      <c r="AP511" s="61">
        <f>'Filter-new'!G583</f>
        <v>0</v>
      </c>
      <c r="AQ511" s="61"/>
      <c r="AR511" s="61"/>
      <c r="AS511" s="45"/>
      <c r="AT511" s="61"/>
      <c r="AU511" s="61"/>
      <c r="AV511" s="61"/>
      <c r="AW511" s="45">
        <f>'Filter-old'!I582</f>
        <v>0</v>
      </c>
      <c r="AX511" s="61">
        <f>'Filter-new'!I583</f>
        <v>-19200</v>
      </c>
      <c r="AY511" s="61"/>
      <c r="AZ511" s="61"/>
      <c r="BA511" s="61"/>
      <c r="BB511" s="61"/>
      <c r="BC511" s="45">
        <f>'Filter-old'!K582</f>
        <v>0</v>
      </c>
      <c r="BD511" s="61">
        <f>'Filter-new'!K583</f>
        <v>0</v>
      </c>
      <c r="BE511" s="61"/>
      <c r="BF511" s="61"/>
      <c r="BG511" s="45">
        <f>'Filter-old'!M582</f>
        <v>0</v>
      </c>
      <c r="BH511" s="61"/>
      <c r="BI511" s="61"/>
      <c r="BJ511" s="61">
        <f>'Filter-new'!M582</f>
        <v>0</v>
      </c>
      <c r="BK511" s="61"/>
      <c r="BL511" s="61"/>
      <c r="BM511" s="61"/>
      <c r="BN511" s="406"/>
      <c r="BO511" s="61"/>
      <c r="BP511" s="61"/>
      <c r="BQ511" s="45">
        <f>'Filter-old'!O582</f>
        <v>0</v>
      </c>
      <c r="BR511" s="61">
        <f>'Filter-new'!O583</f>
        <v>0</v>
      </c>
      <c r="BS511" s="61"/>
      <c r="BT511" s="61"/>
      <c r="BU511" s="45">
        <f>'Filter-old'!Q582</f>
        <v>0</v>
      </c>
      <c r="BV511" s="61">
        <f>'Filter-new'!Q583</f>
        <v>0</v>
      </c>
      <c r="BW511" s="61"/>
      <c r="BX511" s="61"/>
      <c r="BY511" s="61"/>
      <c r="BZ511" s="61"/>
      <c r="CA511" s="45">
        <f>'Filter-old'!R582</f>
        <v>0</v>
      </c>
      <c r="CB511" s="61">
        <f>'Filter-new'!R583</f>
        <v>0</v>
      </c>
      <c r="CC511" s="57"/>
      <c r="CD511" s="58"/>
      <c r="CE511" s="57"/>
      <c r="CF511" s="57"/>
      <c r="CG511" s="4"/>
    </row>
    <row r="512" spans="1:85" hidden="1" x14ac:dyDescent="0.2">
      <c r="A512">
        <v>0</v>
      </c>
      <c r="B512" s="59">
        <v>39692</v>
      </c>
      <c r="C512" s="59">
        <f t="shared" si="70"/>
        <v>39692</v>
      </c>
      <c r="D512" s="60">
        <f t="shared" si="67"/>
        <v>2008</v>
      </c>
      <c r="E512" s="60">
        <f>VLOOKUP($C512,calendar!$A$2:$D$121,4,FALSE)</f>
        <v>336</v>
      </c>
      <c r="F512" s="60"/>
      <c r="G512" s="36">
        <f t="shared" si="68"/>
        <v>-35088</v>
      </c>
      <c r="H512" s="36">
        <f t="shared" si="69"/>
        <v>-47879</v>
      </c>
      <c r="I512" s="36"/>
      <c r="J512" s="41"/>
      <c r="K512" s="45">
        <f>'Filter-old'!E583</f>
        <v>-11016</v>
      </c>
      <c r="L512" s="61">
        <f>'Filter-new'!E584</f>
        <v>-10179</v>
      </c>
      <c r="M512" s="61"/>
      <c r="N512" s="61"/>
      <c r="O512" s="429"/>
      <c r="P512" s="61"/>
      <c r="Q512" s="45">
        <f>'Filter-old'!H583</f>
        <v>-24072</v>
      </c>
      <c r="R512" s="61">
        <f>'Filter-new'!H584</f>
        <v>-18850</v>
      </c>
      <c r="S512" s="61"/>
      <c r="T512" s="61"/>
      <c r="U512" s="445"/>
      <c r="V512" s="61"/>
      <c r="W512" s="45">
        <f>'Filter-old'!J583</f>
        <v>0</v>
      </c>
      <c r="X512" s="61">
        <f>'Filter-new'!J584</f>
        <v>0</v>
      </c>
      <c r="Y512" s="61"/>
      <c r="Z512" s="61"/>
      <c r="AA512" s="45">
        <f>'Filter-old'!F583</f>
        <v>0</v>
      </c>
      <c r="AB512" s="61">
        <f>'Filter-new'!F583</f>
        <v>0</v>
      </c>
      <c r="AC512" s="61"/>
      <c r="AD512" s="61"/>
      <c r="AE512" s="45">
        <f>'Filter-old'!P583</f>
        <v>0</v>
      </c>
      <c r="AF512" s="61">
        <f>'Filter-new'!P583</f>
        <v>0</v>
      </c>
      <c r="AG512" s="61"/>
      <c r="AH512" s="61"/>
      <c r="AI512" s="45">
        <f>'Filter-old'!L583</f>
        <v>0</v>
      </c>
      <c r="AJ512" s="61">
        <f>'Filter-new'!L583</f>
        <v>0</v>
      </c>
      <c r="AK512" s="61"/>
      <c r="AL512" s="61"/>
      <c r="AM512" s="61"/>
      <c r="AN512" s="61"/>
      <c r="AO512" s="45">
        <f>'Filter-old'!G583</f>
        <v>0</v>
      </c>
      <c r="AP512" s="61">
        <f>'Filter-new'!G584</f>
        <v>0</v>
      </c>
      <c r="AQ512" s="61"/>
      <c r="AR512" s="61"/>
      <c r="AS512" s="45"/>
      <c r="AT512" s="61"/>
      <c r="AU512" s="61"/>
      <c r="AV512" s="61"/>
      <c r="AW512" s="45">
        <f>'Filter-old'!I583</f>
        <v>0</v>
      </c>
      <c r="AX512" s="61">
        <f>'Filter-new'!I584</f>
        <v>-18850</v>
      </c>
      <c r="AY512" s="61"/>
      <c r="AZ512" s="61"/>
      <c r="BA512" s="61"/>
      <c r="BB512" s="61"/>
      <c r="BC512" s="45">
        <f>'Filter-old'!K583</f>
        <v>0</v>
      </c>
      <c r="BD512" s="61">
        <f>'Filter-new'!K584</f>
        <v>0</v>
      </c>
      <c r="BE512" s="61"/>
      <c r="BF512" s="61"/>
      <c r="BG512" s="45">
        <f>'Filter-old'!M583</f>
        <v>0</v>
      </c>
      <c r="BH512" s="61"/>
      <c r="BI512" s="61"/>
      <c r="BJ512" s="61">
        <f>'Filter-new'!M583</f>
        <v>0</v>
      </c>
      <c r="BK512" s="61"/>
      <c r="BL512" s="61"/>
      <c r="BM512" s="61"/>
      <c r="BN512" s="406"/>
      <c r="BO512" s="61"/>
      <c r="BP512" s="61"/>
      <c r="BQ512" s="45">
        <f>'Filter-old'!O583</f>
        <v>0</v>
      </c>
      <c r="BR512" s="61">
        <f>'Filter-new'!O584</f>
        <v>0</v>
      </c>
      <c r="BS512" s="61"/>
      <c r="BT512" s="61"/>
      <c r="BU512" s="45">
        <f>'Filter-old'!Q583</f>
        <v>0</v>
      </c>
      <c r="BV512" s="61">
        <f>'Filter-new'!Q584</f>
        <v>0</v>
      </c>
      <c r="BW512" s="61"/>
      <c r="BX512" s="61"/>
      <c r="BY512" s="61"/>
      <c r="BZ512" s="61"/>
      <c r="CA512" s="45">
        <f>'Filter-old'!R583</f>
        <v>0</v>
      </c>
      <c r="CB512" s="61">
        <f>'Filter-new'!R584</f>
        <v>0</v>
      </c>
      <c r="CC512" s="57"/>
      <c r="CD512" s="58"/>
      <c r="CE512" s="57"/>
      <c r="CF512" s="57"/>
      <c r="CG512" s="4"/>
    </row>
    <row r="513" spans="1:85" hidden="1" x14ac:dyDescent="0.2">
      <c r="A513">
        <v>0</v>
      </c>
      <c r="B513" s="59">
        <v>39722</v>
      </c>
      <c r="C513" s="59">
        <f t="shared" si="70"/>
        <v>39722</v>
      </c>
      <c r="D513" s="60">
        <f t="shared" si="67"/>
        <v>2008</v>
      </c>
      <c r="E513" s="60">
        <f>VLOOKUP($C513,calendar!$A$2:$D$121,4,FALSE)</f>
        <v>368</v>
      </c>
      <c r="F513" s="60"/>
      <c r="G513" s="36">
        <f t="shared" si="68"/>
        <v>-29568</v>
      </c>
      <c r="H513" s="36">
        <f t="shared" si="69"/>
        <v>-52832</v>
      </c>
      <c r="I513" s="36"/>
      <c r="J513" s="41"/>
      <c r="K513" s="45">
        <f>'Filter-old'!E584</f>
        <v>-10368</v>
      </c>
      <c r="L513" s="61">
        <f>'Filter-new'!E585</f>
        <v>-11232</v>
      </c>
      <c r="M513" s="61"/>
      <c r="N513" s="61"/>
      <c r="O513" s="429"/>
      <c r="P513" s="61"/>
      <c r="Q513" s="45">
        <f>'Filter-old'!H584</f>
        <v>-19200</v>
      </c>
      <c r="R513" s="61">
        <f>'Filter-new'!H585</f>
        <v>-20800</v>
      </c>
      <c r="S513" s="61"/>
      <c r="T513" s="61"/>
      <c r="U513" s="445"/>
      <c r="V513" s="61"/>
      <c r="W513" s="45">
        <f>'Filter-old'!J584</f>
        <v>0</v>
      </c>
      <c r="X513" s="61">
        <f>'Filter-new'!J585</f>
        <v>0</v>
      </c>
      <c r="Y513" s="61"/>
      <c r="Z513" s="61"/>
      <c r="AA513" s="45">
        <f>'Filter-old'!F584</f>
        <v>0</v>
      </c>
      <c r="AB513" s="61">
        <f>'Filter-new'!F584</f>
        <v>0</v>
      </c>
      <c r="AC513" s="61"/>
      <c r="AD513" s="61"/>
      <c r="AE513" s="45">
        <f>'Filter-old'!P584</f>
        <v>0</v>
      </c>
      <c r="AF513" s="61">
        <f>'Filter-new'!P584</f>
        <v>0</v>
      </c>
      <c r="AG513" s="61"/>
      <c r="AH513" s="61"/>
      <c r="AI513" s="45">
        <f>'Filter-old'!L584</f>
        <v>0</v>
      </c>
      <c r="AJ513" s="61">
        <f>'Filter-new'!L584</f>
        <v>0</v>
      </c>
      <c r="AK513" s="61"/>
      <c r="AL513" s="61"/>
      <c r="AM513" s="61"/>
      <c r="AN513" s="61"/>
      <c r="AO513" s="45">
        <f>'Filter-old'!G584</f>
        <v>0</v>
      </c>
      <c r="AP513" s="61">
        <f>'Filter-new'!G585</f>
        <v>0</v>
      </c>
      <c r="AQ513" s="61"/>
      <c r="AR513" s="61"/>
      <c r="AS513" s="45"/>
      <c r="AT513" s="61"/>
      <c r="AU513" s="61"/>
      <c r="AV513" s="61"/>
      <c r="AW513" s="45">
        <f>'Filter-old'!I584</f>
        <v>0</v>
      </c>
      <c r="AX513" s="61">
        <f>'Filter-new'!I585</f>
        <v>-20800</v>
      </c>
      <c r="AY513" s="61"/>
      <c r="AZ513" s="61"/>
      <c r="BA513" s="61"/>
      <c r="BB513" s="61"/>
      <c r="BC513" s="45">
        <f>'Filter-old'!K584</f>
        <v>0</v>
      </c>
      <c r="BD513" s="61">
        <f>'Filter-new'!K585</f>
        <v>0</v>
      </c>
      <c r="BE513" s="61"/>
      <c r="BF513" s="61"/>
      <c r="BG513" s="45">
        <f>'Filter-old'!M584</f>
        <v>0</v>
      </c>
      <c r="BH513" s="61"/>
      <c r="BI513" s="61"/>
      <c r="BJ513" s="61">
        <f>'Filter-new'!M584</f>
        <v>0</v>
      </c>
      <c r="BK513" s="61"/>
      <c r="BL513" s="61"/>
      <c r="BM513" s="61"/>
      <c r="BN513" s="406"/>
      <c r="BO513" s="61"/>
      <c r="BP513" s="61"/>
      <c r="BQ513" s="45">
        <f>'Filter-old'!O584</f>
        <v>0</v>
      </c>
      <c r="BR513" s="61">
        <f>'Filter-new'!O585</f>
        <v>0</v>
      </c>
      <c r="BS513" s="61"/>
      <c r="BT513" s="61"/>
      <c r="BU513" s="45">
        <f>'Filter-old'!Q584</f>
        <v>0</v>
      </c>
      <c r="BV513" s="61">
        <f>'Filter-new'!Q585</f>
        <v>0</v>
      </c>
      <c r="BW513" s="61"/>
      <c r="BX513" s="61"/>
      <c r="BY513" s="61"/>
      <c r="BZ513" s="61"/>
      <c r="CA513" s="45">
        <f>'Filter-old'!R584</f>
        <v>0</v>
      </c>
      <c r="CB513" s="61">
        <f>'Filter-new'!R585</f>
        <v>0</v>
      </c>
      <c r="CC513" s="57"/>
      <c r="CD513" s="58"/>
      <c r="CE513" s="57"/>
      <c r="CF513" s="57"/>
      <c r="CG513" s="4"/>
    </row>
    <row r="514" spans="1:85" hidden="1" x14ac:dyDescent="0.2">
      <c r="A514">
        <v>0</v>
      </c>
      <c r="B514" s="59">
        <v>39753</v>
      </c>
      <c r="C514" s="59">
        <f t="shared" si="70"/>
        <v>39753</v>
      </c>
      <c r="D514" s="60">
        <f t="shared" si="67"/>
        <v>2008</v>
      </c>
      <c r="E514" s="60">
        <f>VLOOKUP($C514,calendar!$A$2:$D$121,4,FALSE)</f>
        <v>304</v>
      </c>
      <c r="F514" s="60"/>
      <c r="G514" s="36">
        <f t="shared" si="68"/>
        <v>-29029</v>
      </c>
      <c r="H514" s="36">
        <f t="shared" si="69"/>
        <v>-49784</v>
      </c>
      <c r="I514" s="36"/>
      <c r="J514" s="41"/>
      <c r="K514" s="45">
        <f>'Filter-old'!E585</f>
        <v>-10179</v>
      </c>
      <c r="L514" s="61">
        <f>'Filter-new'!E586</f>
        <v>-10584</v>
      </c>
      <c r="M514" s="61"/>
      <c r="N514" s="61"/>
      <c r="O514" s="429"/>
      <c r="P514" s="61"/>
      <c r="Q514" s="45">
        <f>'Filter-old'!H585</f>
        <v>-18850</v>
      </c>
      <c r="R514" s="61">
        <f>'Filter-new'!H586</f>
        <v>-19600</v>
      </c>
      <c r="S514" s="61"/>
      <c r="T514" s="61"/>
      <c r="U514" s="445"/>
      <c r="V514" s="61"/>
      <c r="W514" s="45">
        <f>'Filter-old'!J585</f>
        <v>0</v>
      </c>
      <c r="X514" s="61">
        <f>'Filter-new'!J586</f>
        <v>0</v>
      </c>
      <c r="Y514" s="61"/>
      <c r="Z514" s="61"/>
      <c r="AA514" s="45">
        <f>'Filter-old'!F585</f>
        <v>0</v>
      </c>
      <c r="AB514" s="61">
        <f>'Filter-new'!F585</f>
        <v>0</v>
      </c>
      <c r="AC514" s="61"/>
      <c r="AD514" s="61"/>
      <c r="AE514" s="45">
        <f>'Filter-old'!P585</f>
        <v>0</v>
      </c>
      <c r="AF514" s="61">
        <f>'Filter-new'!P585</f>
        <v>0</v>
      </c>
      <c r="AG514" s="61"/>
      <c r="AH514" s="61"/>
      <c r="AI514" s="45">
        <f>'Filter-old'!L585</f>
        <v>0</v>
      </c>
      <c r="AJ514" s="61">
        <f>'Filter-new'!L585</f>
        <v>0</v>
      </c>
      <c r="AK514" s="61"/>
      <c r="AL514" s="61"/>
      <c r="AM514" s="61"/>
      <c r="AN514" s="61"/>
      <c r="AO514" s="45">
        <f>'Filter-old'!G585</f>
        <v>0</v>
      </c>
      <c r="AP514" s="61">
        <f>'Filter-new'!G586</f>
        <v>0</v>
      </c>
      <c r="AQ514" s="61"/>
      <c r="AR514" s="61"/>
      <c r="AS514" s="45"/>
      <c r="AT514" s="61"/>
      <c r="AU514" s="61"/>
      <c r="AV514" s="61"/>
      <c r="AW514" s="45">
        <f>'Filter-old'!I585</f>
        <v>0</v>
      </c>
      <c r="AX514" s="61">
        <f>'Filter-new'!I586</f>
        <v>-19600</v>
      </c>
      <c r="AY514" s="61"/>
      <c r="AZ514" s="61"/>
      <c r="BA514" s="61"/>
      <c r="BB514" s="61"/>
      <c r="BC514" s="45">
        <f>'Filter-old'!K585</f>
        <v>0</v>
      </c>
      <c r="BD514" s="61">
        <f>'Filter-new'!K586</f>
        <v>0</v>
      </c>
      <c r="BE514" s="61"/>
      <c r="BF514" s="61"/>
      <c r="BG514" s="45">
        <f>'Filter-old'!M585</f>
        <v>0</v>
      </c>
      <c r="BH514" s="61"/>
      <c r="BI514" s="61"/>
      <c r="BJ514" s="61">
        <f>'Filter-new'!M585</f>
        <v>0</v>
      </c>
      <c r="BK514" s="61"/>
      <c r="BL514" s="61"/>
      <c r="BM514" s="61"/>
      <c r="BN514" s="406"/>
      <c r="BO514" s="61"/>
      <c r="BP514" s="61"/>
      <c r="BQ514" s="45">
        <f>'Filter-old'!O585</f>
        <v>0</v>
      </c>
      <c r="BR514" s="61">
        <f>'Filter-new'!O586</f>
        <v>0</v>
      </c>
      <c r="BS514" s="61"/>
      <c r="BT514" s="61"/>
      <c r="BU514" s="45">
        <f>'Filter-old'!Q585</f>
        <v>0</v>
      </c>
      <c r="BV514" s="61">
        <f>'Filter-new'!Q586</f>
        <v>0</v>
      </c>
      <c r="BW514" s="61"/>
      <c r="BX514" s="61"/>
      <c r="BY514" s="61"/>
      <c r="BZ514" s="61"/>
      <c r="CA514" s="45">
        <f>'Filter-old'!R585</f>
        <v>0</v>
      </c>
      <c r="CB514" s="61">
        <f>'Filter-new'!R586</f>
        <v>0</v>
      </c>
      <c r="CC514" s="57"/>
      <c r="CD514" s="58"/>
      <c r="CE514" s="57"/>
      <c r="CF514" s="57"/>
      <c r="CG514" s="4"/>
    </row>
    <row r="515" spans="1:85" hidden="1" x14ac:dyDescent="0.2">
      <c r="A515">
        <v>0</v>
      </c>
      <c r="B515" s="59">
        <v>39783</v>
      </c>
      <c r="C515" s="59">
        <f t="shared" si="70"/>
        <v>39783</v>
      </c>
      <c r="D515" s="60">
        <f t="shared" si="67"/>
        <v>2008</v>
      </c>
      <c r="E515" s="60">
        <f>VLOOKUP($C515,calendar!$A$2:$D$121,4,FALSE)</f>
        <v>352</v>
      </c>
      <c r="F515" s="60"/>
      <c r="G515" s="36">
        <f t="shared" si="68"/>
        <v>-32032</v>
      </c>
      <c r="H515" s="36">
        <f t="shared" si="69"/>
        <v>-20400</v>
      </c>
      <c r="I515" s="36"/>
      <c r="J515" s="41"/>
      <c r="K515" s="45">
        <f>'Filter-old'!E586</f>
        <v>-11232</v>
      </c>
      <c r="L515" s="61">
        <f>'Filter-new'!E587</f>
        <v>0</v>
      </c>
      <c r="M515" s="61"/>
      <c r="N515" s="61"/>
      <c r="O515" s="429"/>
      <c r="P515" s="61"/>
      <c r="Q515" s="45">
        <f>'Filter-old'!H586</f>
        <v>-20800</v>
      </c>
      <c r="R515" s="61">
        <f>'Filter-new'!H587</f>
        <v>-20400</v>
      </c>
      <c r="S515" s="61"/>
      <c r="T515" s="61"/>
      <c r="U515" s="445"/>
      <c r="V515" s="61"/>
      <c r="W515" s="45">
        <f>'Filter-old'!J586</f>
        <v>0</v>
      </c>
      <c r="X515" s="61">
        <f>'Filter-new'!J587</f>
        <v>0</v>
      </c>
      <c r="Y515" s="61"/>
      <c r="Z515" s="61"/>
      <c r="AA515" s="45">
        <f>'Filter-old'!F586</f>
        <v>0</v>
      </c>
      <c r="AB515" s="61">
        <f>'Filter-new'!F586</f>
        <v>0</v>
      </c>
      <c r="AC515" s="61"/>
      <c r="AD515" s="61"/>
      <c r="AE515" s="45">
        <f>'Filter-old'!P586</f>
        <v>0</v>
      </c>
      <c r="AF515" s="61">
        <f>'Filter-new'!P586</f>
        <v>0</v>
      </c>
      <c r="AG515" s="61"/>
      <c r="AH515" s="61"/>
      <c r="AI515" s="45">
        <f>'Filter-old'!L586</f>
        <v>0</v>
      </c>
      <c r="AJ515" s="61">
        <f>'Filter-new'!L586</f>
        <v>0</v>
      </c>
      <c r="AK515" s="61"/>
      <c r="AL515" s="61"/>
      <c r="AM515" s="61"/>
      <c r="AN515" s="61"/>
      <c r="AO515" s="45">
        <f>'Filter-old'!G586</f>
        <v>0</v>
      </c>
      <c r="AP515" s="61">
        <f>'Filter-new'!G587</f>
        <v>0</v>
      </c>
      <c r="AQ515" s="61"/>
      <c r="AR515" s="61"/>
      <c r="AS515" s="45"/>
      <c r="AT515" s="61"/>
      <c r="AU515" s="61"/>
      <c r="AV515" s="61"/>
      <c r="AW515" s="45">
        <f>'Filter-old'!I586</f>
        <v>0</v>
      </c>
      <c r="AX515" s="61">
        <f>'Filter-new'!I587</f>
        <v>0</v>
      </c>
      <c r="AY515" s="61"/>
      <c r="AZ515" s="61"/>
      <c r="BA515" s="61"/>
      <c r="BB515" s="61"/>
      <c r="BC515" s="45">
        <f>'Filter-old'!K586</f>
        <v>0</v>
      </c>
      <c r="BD515" s="61">
        <f>'Filter-new'!K587</f>
        <v>0</v>
      </c>
      <c r="BE515" s="61"/>
      <c r="BF515" s="61"/>
      <c r="BG515" s="45">
        <f>'Filter-old'!M586</f>
        <v>0</v>
      </c>
      <c r="BH515" s="61"/>
      <c r="BI515" s="61"/>
      <c r="BJ515" s="61">
        <f>'Filter-new'!M586</f>
        <v>0</v>
      </c>
      <c r="BK515" s="61"/>
      <c r="BL515" s="61"/>
      <c r="BM515" s="61"/>
      <c r="BN515" s="406"/>
      <c r="BO515" s="61"/>
      <c r="BP515" s="61"/>
      <c r="BQ515" s="45">
        <f>'Filter-old'!O586</f>
        <v>0</v>
      </c>
      <c r="BR515" s="61">
        <f>'Filter-new'!O587</f>
        <v>0</v>
      </c>
      <c r="BS515" s="61"/>
      <c r="BT515" s="61"/>
      <c r="BU515" s="45">
        <f>'Filter-old'!Q586</f>
        <v>0</v>
      </c>
      <c r="BV515" s="61">
        <f>'Filter-new'!Q587</f>
        <v>0</v>
      </c>
      <c r="BW515" s="61"/>
      <c r="BX515" s="61"/>
      <c r="BY515" s="61"/>
      <c r="BZ515" s="61"/>
      <c r="CA515" s="45">
        <f>'Filter-old'!R586</f>
        <v>0</v>
      </c>
      <c r="CB515" s="61">
        <f>'Filter-new'!R587</f>
        <v>0</v>
      </c>
      <c r="CC515" s="57"/>
      <c r="CD515" s="58"/>
      <c r="CE515" s="57"/>
      <c r="CF515" s="57"/>
      <c r="CG515" s="4"/>
    </row>
    <row r="516" spans="1:85" hidden="1" x14ac:dyDescent="0.2">
      <c r="A516">
        <v>0</v>
      </c>
      <c r="B516" s="59">
        <v>39814</v>
      </c>
      <c r="C516" s="59">
        <f t="shared" si="70"/>
        <v>39814</v>
      </c>
      <c r="D516" s="60">
        <f t="shared" si="67"/>
        <v>2009</v>
      </c>
      <c r="E516" s="60">
        <f>VLOOKUP($C516,calendar!$A$2:$D$121,4,FALSE)</f>
        <v>336</v>
      </c>
      <c r="F516" s="60"/>
      <c r="G516" s="36">
        <f t="shared" ref="G516:G539" si="71">SUM(K516,AA516,AO516,Q516,AW516,W516,BC516,AI516,BG516,BQ516,AE516,BU516,CA516)</f>
        <v>-30184</v>
      </c>
      <c r="H516" s="36">
        <f t="shared" ref="H516:H539" si="72">SUM(L516,AB516,AP516,R516,AX516,X516,BD516,AJ516,BJ516,BR516,AF516,BV516,CB516)</f>
        <v>-17600</v>
      </c>
      <c r="I516" s="36"/>
      <c r="J516" s="41"/>
      <c r="K516" s="45">
        <f>'Filter-old'!E587</f>
        <v>-10584</v>
      </c>
      <c r="L516" s="61">
        <f>'Filter-new'!E588</f>
        <v>0</v>
      </c>
      <c r="M516" s="61"/>
      <c r="N516" s="61"/>
      <c r="O516" s="429"/>
      <c r="P516" s="61"/>
      <c r="Q516" s="45">
        <f>'Filter-old'!H587</f>
        <v>-19600</v>
      </c>
      <c r="R516" s="61">
        <f>'Filter-new'!H588</f>
        <v>-17600</v>
      </c>
      <c r="S516" s="61"/>
      <c r="T516" s="61"/>
      <c r="U516" s="445"/>
      <c r="V516" s="61"/>
      <c r="W516" s="45">
        <f>'Filter-old'!J587</f>
        <v>0</v>
      </c>
      <c r="X516" s="61">
        <f>'Filter-new'!J588</f>
        <v>0</v>
      </c>
      <c r="Y516" s="61"/>
      <c r="Z516" s="61"/>
      <c r="AA516" s="45">
        <f>'Filter-old'!F587</f>
        <v>0</v>
      </c>
      <c r="AB516" s="61">
        <f>'Filter-new'!F587</f>
        <v>0</v>
      </c>
      <c r="AC516" s="61"/>
      <c r="AD516" s="61"/>
      <c r="AE516" s="45">
        <f>'Filter-old'!P587</f>
        <v>0</v>
      </c>
      <c r="AF516" s="61">
        <f>'Filter-new'!P587</f>
        <v>0</v>
      </c>
      <c r="AG516" s="61"/>
      <c r="AH516" s="61"/>
      <c r="AI516" s="45">
        <f>'Filter-old'!L587</f>
        <v>0</v>
      </c>
      <c r="AJ516" s="61">
        <f>'Filter-new'!L587</f>
        <v>0</v>
      </c>
      <c r="AK516" s="61"/>
      <c r="AL516" s="61"/>
      <c r="AM516" s="61"/>
      <c r="AN516" s="61"/>
      <c r="AO516" s="45">
        <f>'Filter-old'!G587</f>
        <v>0</v>
      </c>
      <c r="AP516" s="61">
        <f>'Filter-new'!G588</f>
        <v>0</v>
      </c>
      <c r="AQ516" s="61"/>
      <c r="AR516" s="61"/>
      <c r="AS516" s="45"/>
      <c r="AT516" s="61"/>
      <c r="AU516" s="61"/>
      <c r="AV516" s="61"/>
      <c r="AW516" s="45">
        <f>'Filter-old'!I587</f>
        <v>0</v>
      </c>
      <c r="AX516" s="61">
        <f>'Filter-new'!I588</f>
        <v>0</v>
      </c>
      <c r="AY516" s="61"/>
      <c r="AZ516" s="61"/>
      <c r="BA516" s="61"/>
      <c r="BB516" s="61"/>
      <c r="BC516" s="45">
        <f>'Filter-old'!K587</f>
        <v>0</v>
      </c>
      <c r="BD516" s="61">
        <f>'Filter-new'!K588</f>
        <v>0</v>
      </c>
      <c r="BE516" s="61"/>
      <c r="BF516" s="61"/>
      <c r="BG516" s="45">
        <f>'Filter-old'!M587</f>
        <v>0</v>
      </c>
      <c r="BH516" s="61"/>
      <c r="BI516" s="61"/>
      <c r="BJ516" s="61">
        <f>'Filter-new'!M587</f>
        <v>0</v>
      </c>
      <c r="BK516" s="61"/>
      <c r="BL516" s="61"/>
      <c r="BM516" s="61"/>
      <c r="BN516" s="406"/>
      <c r="BO516" s="61"/>
      <c r="BP516" s="61"/>
      <c r="BQ516" s="45">
        <f>'Filter-old'!O587</f>
        <v>0</v>
      </c>
      <c r="BR516" s="61">
        <f>'Filter-new'!O588</f>
        <v>0</v>
      </c>
      <c r="BS516" s="61"/>
      <c r="BT516" s="61"/>
      <c r="BU516" s="45">
        <f>'Filter-old'!Q587</f>
        <v>0</v>
      </c>
      <c r="BV516" s="61">
        <f>'Filter-new'!Q588</f>
        <v>0</v>
      </c>
      <c r="BW516" s="61"/>
      <c r="BX516" s="61"/>
      <c r="BY516" s="61"/>
      <c r="BZ516" s="61"/>
      <c r="CA516" s="45">
        <f>'Filter-old'!R587</f>
        <v>0</v>
      </c>
      <c r="CB516" s="61">
        <f>'Filter-new'!R588</f>
        <v>0</v>
      </c>
      <c r="CC516" s="57"/>
      <c r="CD516" s="58"/>
      <c r="CE516" s="57"/>
      <c r="CF516" s="57"/>
      <c r="CG516" s="4"/>
    </row>
    <row r="517" spans="1:85" hidden="1" x14ac:dyDescent="0.2">
      <c r="A517">
        <v>0</v>
      </c>
      <c r="B517" s="59">
        <v>39845</v>
      </c>
      <c r="C517" s="59">
        <f t="shared" ref="C517:C539" si="73">C103</f>
        <v>39845</v>
      </c>
      <c r="D517" s="60">
        <f t="shared" si="67"/>
        <v>2009</v>
      </c>
      <c r="E517" s="60">
        <f>VLOOKUP($C517,calendar!$A$2:$D$121,4,FALSE)</f>
        <v>320</v>
      </c>
      <c r="F517" s="60"/>
      <c r="G517" s="36">
        <f t="shared" si="71"/>
        <v>-20400</v>
      </c>
      <c r="H517" s="36">
        <f t="shared" si="72"/>
        <v>-19600</v>
      </c>
      <c r="I517" s="36"/>
      <c r="J517" s="41"/>
      <c r="K517" s="45">
        <f>'Filter-old'!E588</f>
        <v>0</v>
      </c>
      <c r="L517" s="61">
        <f>'Filter-new'!E589</f>
        <v>0</v>
      </c>
      <c r="M517" s="61"/>
      <c r="N517" s="61"/>
      <c r="O517" s="429"/>
      <c r="P517" s="61"/>
      <c r="Q517" s="45">
        <f>'Filter-old'!H588</f>
        <v>-20400</v>
      </c>
      <c r="R517" s="61">
        <f>'Filter-new'!H589</f>
        <v>-19600</v>
      </c>
      <c r="S517" s="61"/>
      <c r="T517" s="61"/>
      <c r="U517" s="445"/>
      <c r="V517" s="61"/>
      <c r="W517" s="45">
        <f>'Filter-old'!J588</f>
        <v>0</v>
      </c>
      <c r="X517" s="61">
        <f>'Filter-new'!J589</f>
        <v>0</v>
      </c>
      <c r="Y517" s="61"/>
      <c r="Z517" s="61"/>
      <c r="AA517" s="45">
        <f>'Filter-old'!F588</f>
        <v>0</v>
      </c>
      <c r="AB517" s="61">
        <f>'Filter-new'!F588</f>
        <v>0</v>
      </c>
      <c r="AC517" s="61"/>
      <c r="AD517" s="61"/>
      <c r="AE517" s="45">
        <f>'Filter-old'!P588</f>
        <v>0</v>
      </c>
      <c r="AF517" s="61">
        <f>'Filter-new'!P588</f>
        <v>0</v>
      </c>
      <c r="AG517" s="61"/>
      <c r="AH517" s="61"/>
      <c r="AI517" s="45">
        <f>'Filter-old'!L588</f>
        <v>0</v>
      </c>
      <c r="AJ517" s="61">
        <f>'Filter-new'!L588</f>
        <v>0</v>
      </c>
      <c r="AK517" s="61"/>
      <c r="AL517" s="61"/>
      <c r="AM517" s="61"/>
      <c r="AN517" s="61"/>
      <c r="AO517" s="45">
        <f>'Filter-old'!G588</f>
        <v>0</v>
      </c>
      <c r="AP517" s="61">
        <f>'Filter-new'!G589</f>
        <v>0</v>
      </c>
      <c r="AQ517" s="61"/>
      <c r="AR517" s="61"/>
      <c r="AS517" s="45"/>
      <c r="AT517" s="61"/>
      <c r="AU517" s="61"/>
      <c r="AV517" s="61"/>
      <c r="AW517" s="45">
        <f>'Filter-old'!I588</f>
        <v>0</v>
      </c>
      <c r="AX517" s="61">
        <f>'Filter-new'!I589</f>
        <v>0</v>
      </c>
      <c r="AY517" s="61"/>
      <c r="AZ517" s="61"/>
      <c r="BA517" s="61"/>
      <c r="BB517" s="61"/>
      <c r="BC517" s="45">
        <f>'Filter-old'!K588</f>
        <v>0</v>
      </c>
      <c r="BD517" s="61">
        <f>'Filter-new'!K589</f>
        <v>0</v>
      </c>
      <c r="BE517" s="61"/>
      <c r="BF517" s="61"/>
      <c r="BG517" s="45">
        <f>'Filter-old'!M588</f>
        <v>0</v>
      </c>
      <c r="BH517" s="61"/>
      <c r="BI517" s="61"/>
      <c r="BJ517" s="61">
        <f>'Filter-new'!M588</f>
        <v>0</v>
      </c>
      <c r="BK517" s="61"/>
      <c r="BL517" s="61"/>
      <c r="BM517" s="61"/>
      <c r="BN517" s="406"/>
      <c r="BO517" s="61"/>
      <c r="BP517" s="61"/>
      <c r="BQ517" s="45">
        <f>'Filter-old'!O588</f>
        <v>0</v>
      </c>
      <c r="BR517" s="61">
        <f>'Filter-new'!O589</f>
        <v>0</v>
      </c>
      <c r="BS517" s="61"/>
      <c r="BT517" s="61"/>
      <c r="BU517" s="45">
        <f>'Filter-old'!Q588</f>
        <v>0</v>
      </c>
      <c r="BV517" s="61">
        <f>'Filter-new'!Q589</f>
        <v>0</v>
      </c>
      <c r="BW517" s="61"/>
      <c r="BX517" s="61"/>
      <c r="BY517" s="61"/>
      <c r="BZ517" s="61"/>
      <c r="CA517" s="45">
        <f>'Filter-old'!R588</f>
        <v>0</v>
      </c>
      <c r="CB517" s="61">
        <f>'Filter-new'!R589</f>
        <v>0</v>
      </c>
      <c r="CC517" s="57"/>
      <c r="CD517" s="58"/>
      <c r="CE517" s="57"/>
      <c r="CF517" s="57"/>
      <c r="CG517" s="4"/>
    </row>
    <row r="518" spans="1:85" hidden="1" x14ac:dyDescent="0.2">
      <c r="A518">
        <v>0</v>
      </c>
      <c r="B518" s="59">
        <v>39873</v>
      </c>
      <c r="C518" s="59">
        <f t="shared" si="73"/>
        <v>39873</v>
      </c>
      <c r="D518" s="60">
        <f t="shared" si="67"/>
        <v>2009</v>
      </c>
      <c r="E518" s="60">
        <f>VLOOKUP($C518,calendar!$A$2:$D$121,4,FALSE)</f>
        <v>352</v>
      </c>
      <c r="F518" s="60"/>
      <c r="G518" s="36">
        <f t="shared" si="71"/>
        <v>-17600</v>
      </c>
      <c r="H518" s="36">
        <f t="shared" si="72"/>
        <v>-18350</v>
      </c>
      <c r="I518" s="36"/>
      <c r="J518" s="41"/>
      <c r="K518" s="45">
        <f>'Filter-old'!E589</f>
        <v>0</v>
      </c>
      <c r="L518" s="61">
        <f>'Filter-new'!E590</f>
        <v>0</v>
      </c>
      <c r="M518" s="61"/>
      <c r="N518" s="61"/>
      <c r="O518" s="429"/>
      <c r="P518" s="61"/>
      <c r="Q518" s="45">
        <f>'Filter-old'!H589</f>
        <v>-17600</v>
      </c>
      <c r="R518" s="61">
        <f>'Filter-new'!H590</f>
        <v>-18350</v>
      </c>
      <c r="S518" s="61"/>
      <c r="T518" s="61"/>
      <c r="U518" s="445"/>
      <c r="V518" s="61"/>
      <c r="W518" s="45">
        <f>'Filter-old'!J589</f>
        <v>0</v>
      </c>
      <c r="X518" s="61">
        <f>'Filter-new'!J590</f>
        <v>0</v>
      </c>
      <c r="Y518" s="61"/>
      <c r="Z518" s="61"/>
      <c r="AA518" s="45">
        <f>'Filter-old'!F589</f>
        <v>0</v>
      </c>
      <c r="AB518" s="61">
        <f>'Filter-new'!F589</f>
        <v>0</v>
      </c>
      <c r="AC518" s="61"/>
      <c r="AD518" s="61"/>
      <c r="AE518" s="45">
        <f>'Filter-old'!P589</f>
        <v>0</v>
      </c>
      <c r="AF518" s="61">
        <f>'Filter-new'!P589</f>
        <v>0</v>
      </c>
      <c r="AG518" s="61"/>
      <c r="AH518" s="61"/>
      <c r="AI518" s="45">
        <f>'Filter-old'!L589</f>
        <v>0</v>
      </c>
      <c r="AJ518" s="61">
        <f>'Filter-new'!L589</f>
        <v>0</v>
      </c>
      <c r="AK518" s="61"/>
      <c r="AL518" s="61"/>
      <c r="AM518" s="61"/>
      <c r="AN518" s="61"/>
      <c r="AO518" s="45">
        <f>'Filter-old'!G589</f>
        <v>0</v>
      </c>
      <c r="AP518" s="61">
        <f>'Filter-new'!G590</f>
        <v>0</v>
      </c>
      <c r="AQ518" s="61"/>
      <c r="AR518" s="61"/>
      <c r="AS518" s="45"/>
      <c r="AT518" s="61"/>
      <c r="AU518" s="61"/>
      <c r="AV518" s="61"/>
      <c r="AW518" s="45">
        <f>'Filter-old'!I589</f>
        <v>0</v>
      </c>
      <c r="AX518" s="61">
        <f>'Filter-new'!I590</f>
        <v>0</v>
      </c>
      <c r="AY518" s="61"/>
      <c r="AZ518" s="61"/>
      <c r="BA518" s="61"/>
      <c r="BB518" s="61"/>
      <c r="BC518" s="45">
        <f>'Filter-old'!K589</f>
        <v>0</v>
      </c>
      <c r="BD518" s="61">
        <f>'Filter-new'!K590</f>
        <v>0</v>
      </c>
      <c r="BE518" s="61"/>
      <c r="BF518" s="61"/>
      <c r="BG518" s="45">
        <f>'Filter-old'!M589</f>
        <v>0</v>
      </c>
      <c r="BH518" s="61"/>
      <c r="BI518" s="61"/>
      <c r="BJ518" s="61">
        <f>'Filter-new'!M589</f>
        <v>0</v>
      </c>
      <c r="BK518" s="61"/>
      <c r="BL518" s="61"/>
      <c r="BM518" s="61"/>
      <c r="BN518" s="406"/>
      <c r="BO518" s="61"/>
      <c r="BP518" s="61"/>
      <c r="BQ518" s="45">
        <f>'Filter-old'!O589</f>
        <v>0</v>
      </c>
      <c r="BR518" s="61">
        <f>'Filter-new'!O590</f>
        <v>0</v>
      </c>
      <c r="BS518" s="61"/>
      <c r="BT518" s="61"/>
      <c r="BU518" s="45">
        <f>'Filter-old'!Q589</f>
        <v>0</v>
      </c>
      <c r="BV518" s="61">
        <f>'Filter-new'!Q590</f>
        <v>0</v>
      </c>
      <c r="BW518" s="61"/>
      <c r="BX518" s="61"/>
      <c r="BY518" s="61"/>
      <c r="BZ518" s="61"/>
      <c r="CA518" s="45">
        <f>'Filter-old'!R589</f>
        <v>0</v>
      </c>
      <c r="CB518" s="61">
        <f>'Filter-new'!R590</f>
        <v>0</v>
      </c>
      <c r="CC518" s="57"/>
      <c r="CD518" s="58"/>
      <c r="CE518" s="57"/>
      <c r="CF518" s="57"/>
      <c r="CG518" s="4"/>
    </row>
    <row r="519" spans="1:85" hidden="1" x14ac:dyDescent="0.2">
      <c r="A519">
        <v>0</v>
      </c>
      <c r="B519" s="59">
        <v>39904</v>
      </c>
      <c r="C519" s="59">
        <f t="shared" si="73"/>
        <v>39904</v>
      </c>
      <c r="D519" s="60">
        <f t="shared" si="67"/>
        <v>2009</v>
      </c>
      <c r="E519" s="60">
        <f>VLOOKUP($C519,calendar!$A$2:$D$121,4,FALSE)</f>
        <v>352</v>
      </c>
      <c r="F519" s="60"/>
      <c r="G519" s="36">
        <f t="shared" si="71"/>
        <v>-19600</v>
      </c>
      <c r="H519" s="36">
        <f t="shared" si="72"/>
        <v>-21200</v>
      </c>
      <c r="I519" s="36"/>
      <c r="J519" s="41"/>
      <c r="K519" s="45">
        <f>'Filter-old'!E590</f>
        <v>0</v>
      </c>
      <c r="L519" s="61">
        <f>'Filter-new'!E591</f>
        <v>0</v>
      </c>
      <c r="M519" s="61"/>
      <c r="N519" s="61"/>
      <c r="O519" s="429"/>
      <c r="P519" s="61"/>
      <c r="Q519" s="45">
        <f>'Filter-old'!H590</f>
        <v>-19600</v>
      </c>
      <c r="R519" s="61">
        <f>'Filter-new'!H591</f>
        <v>-21200</v>
      </c>
      <c r="S519" s="61"/>
      <c r="T519" s="61"/>
      <c r="U519" s="445"/>
      <c r="V519" s="61"/>
      <c r="W519" s="45">
        <f>'Filter-old'!J590</f>
        <v>0</v>
      </c>
      <c r="X519" s="61">
        <f>'Filter-new'!J591</f>
        <v>0</v>
      </c>
      <c r="Y519" s="61"/>
      <c r="Z519" s="61"/>
      <c r="AA519" s="45">
        <f>'Filter-old'!F590</f>
        <v>0</v>
      </c>
      <c r="AB519" s="61">
        <f>'Filter-new'!F590</f>
        <v>0</v>
      </c>
      <c r="AC519" s="61"/>
      <c r="AD519" s="61"/>
      <c r="AE519" s="45">
        <f>'Filter-old'!P590</f>
        <v>0</v>
      </c>
      <c r="AF519" s="61">
        <f>'Filter-new'!P590</f>
        <v>0</v>
      </c>
      <c r="AG519" s="61"/>
      <c r="AH519" s="61"/>
      <c r="AI519" s="45">
        <f>'Filter-old'!L590</f>
        <v>0</v>
      </c>
      <c r="AJ519" s="61">
        <f>'Filter-new'!L590</f>
        <v>0</v>
      </c>
      <c r="AK519" s="61"/>
      <c r="AL519" s="61"/>
      <c r="AM519" s="61"/>
      <c r="AN519" s="61"/>
      <c r="AO519" s="45">
        <f>'Filter-old'!G590</f>
        <v>0</v>
      </c>
      <c r="AP519" s="61">
        <f>'Filter-new'!G591</f>
        <v>0</v>
      </c>
      <c r="AQ519" s="61"/>
      <c r="AR519" s="61"/>
      <c r="AS519" s="45"/>
      <c r="AT519" s="61"/>
      <c r="AU519" s="61"/>
      <c r="AV519" s="61"/>
      <c r="AW519" s="45">
        <f>'Filter-old'!I590</f>
        <v>0</v>
      </c>
      <c r="AX519" s="61">
        <f>'Filter-new'!I591</f>
        <v>0</v>
      </c>
      <c r="AY519" s="61"/>
      <c r="AZ519" s="61"/>
      <c r="BA519" s="61"/>
      <c r="BB519" s="61"/>
      <c r="BC519" s="45">
        <f>'Filter-old'!K590</f>
        <v>0</v>
      </c>
      <c r="BD519" s="61">
        <f>'Filter-new'!K591</f>
        <v>0</v>
      </c>
      <c r="BE519" s="61"/>
      <c r="BF519" s="61"/>
      <c r="BG519" s="45">
        <f>'Filter-old'!M590</f>
        <v>0</v>
      </c>
      <c r="BH519" s="61"/>
      <c r="BI519" s="61"/>
      <c r="BJ519" s="61">
        <f>'Filter-new'!M590</f>
        <v>0</v>
      </c>
      <c r="BK519" s="61"/>
      <c r="BL519" s="61"/>
      <c r="BM519" s="61"/>
      <c r="BN519" s="406"/>
      <c r="BO519" s="61"/>
      <c r="BP519" s="61"/>
      <c r="BQ519" s="45">
        <f>'Filter-old'!O590</f>
        <v>0</v>
      </c>
      <c r="BR519" s="61">
        <f>'Filter-new'!O591</f>
        <v>0</v>
      </c>
      <c r="BS519" s="61"/>
      <c r="BT519" s="61"/>
      <c r="BU519" s="45">
        <f>'Filter-old'!Q590</f>
        <v>0</v>
      </c>
      <c r="BV519" s="61">
        <f>'Filter-new'!Q591</f>
        <v>0</v>
      </c>
      <c r="BW519" s="61"/>
      <c r="BX519" s="61"/>
      <c r="BY519" s="61"/>
      <c r="BZ519" s="61"/>
      <c r="CA519" s="45">
        <f>'Filter-old'!R590</f>
        <v>0</v>
      </c>
      <c r="CB519" s="61">
        <f>'Filter-new'!R591</f>
        <v>0</v>
      </c>
      <c r="CC519" s="57"/>
      <c r="CD519" s="58"/>
      <c r="CE519" s="57"/>
      <c r="CF519" s="57"/>
      <c r="CG519" s="4"/>
    </row>
    <row r="520" spans="1:85" hidden="1" x14ac:dyDescent="0.2">
      <c r="A520">
        <v>0</v>
      </c>
      <c r="B520" s="59">
        <v>39934</v>
      </c>
      <c r="C520" s="59">
        <f t="shared" si="73"/>
        <v>39934</v>
      </c>
      <c r="D520" s="60">
        <f t="shared" si="67"/>
        <v>2009</v>
      </c>
      <c r="E520" s="60">
        <f>VLOOKUP($C520,calendar!$A$2:$D$121,4,FALSE)</f>
        <v>320</v>
      </c>
      <c r="F520" s="60"/>
      <c r="G520" s="36">
        <f t="shared" si="71"/>
        <v>-18350</v>
      </c>
      <c r="H520" s="36">
        <f t="shared" si="72"/>
        <v>-18400</v>
      </c>
      <c r="I520" s="36"/>
      <c r="J520" s="41"/>
      <c r="K520" s="45">
        <f>'Filter-old'!E591</f>
        <v>0</v>
      </c>
      <c r="L520" s="61">
        <f>'Filter-new'!E592</f>
        <v>0</v>
      </c>
      <c r="M520" s="61"/>
      <c r="N520" s="61"/>
      <c r="O520" s="429"/>
      <c r="P520" s="61"/>
      <c r="Q520" s="45">
        <f>'Filter-old'!H591</f>
        <v>-18350</v>
      </c>
      <c r="R520" s="61">
        <f>'Filter-new'!H592</f>
        <v>-18400</v>
      </c>
      <c r="S520" s="61"/>
      <c r="T520" s="61"/>
      <c r="U520" s="445"/>
      <c r="V520" s="61"/>
      <c r="W520" s="45">
        <f>'Filter-old'!J591</f>
        <v>0</v>
      </c>
      <c r="X520" s="61">
        <f>'Filter-new'!J592</f>
        <v>0</v>
      </c>
      <c r="Y520" s="61"/>
      <c r="Z520" s="61"/>
      <c r="AA520" s="45">
        <f>'Filter-old'!F591</f>
        <v>0</v>
      </c>
      <c r="AB520" s="61">
        <f>'Filter-new'!F591</f>
        <v>0</v>
      </c>
      <c r="AC520" s="61"/>
      <c r="AD520" s="61"/>
      <c r="AE520" s="45">
        <f>'Filter-old'!P591</f>
        <v>0</v>
      </c>
      <c r="AF520" s="61">
        <f>'Filter-new'!P591</f>
        <v>0</v>
      </c>
      <c r="AG520" s="61"/>
      <c r="AH520" s="61"/>
      <c r="AI520" s="45">
        <f>'Filter-old'!L591</f>
        <v>0</v>
      </c>
      <c r="AJ520" s="61">
        <f>'Filter-new'!L591</f>
        <v>0</v>
      </c>
      <c r="AK520" s="61"/>
      <c r="AL520" s="61"/>
      <c r="AM520" s="61"/>
      <c r="AN520" s="61"/>
      <c r="AO520" s="45">
        <f>'Filter-old'!G591</f>
        <v>0</v>
      </c>
      <c r="AP520" s="61">
        <f>'Filter-new'!G592</f>
        <v>0</v>
      </c>
      <c r="AQ520" s="61"/>
      <c r="AR520" s="61"/>
      <c r="AS520" s="45"/>
      <c r="AT520" s="61"/>
      <c r="AU520" s="61"/>
      <c r="AV520" s="61"/>
      <c r="AW520" s="45">
        <f>'Filter-old'!I591</f>
        <v>0</v>
      </c>
      <c r="AX520" s="61">
        <f>'Filter-new'!I592</f>
        <v>0</v>
      </c>
      <c r="AY520" s="61"/>
      <c r="AZ520" s="61"/>
      <c r="BA520" s="61"/>
      <c r="BB520" s="61"/>
      <c r="BC520" s="45">
        <f>'Filter-old'!K591</f>
        <v>0</v>
      </c>
      <c r="BD520" s="61">
        <f>'Filter-new'!K592</f>
        <v>0</v>
      </c>
      <c r="BE520" s="61"/>
      <c r="BF520" s="61"/>
      <c r="BG520" s="45">
        <f>'Filter-old'!M591</f>
        <v>0</v>
      </c>
      <c r="BH520" s="61"/>
      <c r="BI520" s="61"/>
      <c r="BJ520" s="61">
        <f>'Filter-new'!M591</f>
        <v>0</v>
      </c>
      <c r="BK520" s="61"/>
      <c r="BL520" s="61"/>
      <c r="BM520" s="61"/>
      <c r="BN520" s="406"/>
      <c r="BO520" s="61"/>
      <c r="BP520" s="61"/>
      <c r="BQ520" s="45">
        <f>'Filter-old'!O591</f>
        <v>0</v>
      </c>
      <c r="BR520" s="61">
        <f>'Filter-new'!O592</f>
        <v>0</v>
      </c>
      <c r="BS520" s="61"/>
      <c r="BT520" s="61"/>
      <c r="BU520" s="45">
        <f>'Filter-old'!Q591</f>
        <v>0</v>
      </c>
      <c r="BV520" s="61">
        <f>'Filter-new'!Q592</f>
        <v>0</v>
      </c>
      <c r="BW520" s="61"/>
      <c r="BX520" s="61"/>
      <c r="BY520" s="61"/>
      <c r="BZ520" s="61"/>
      <c r="CA520" s="45">
        <f>'Filter-old'!R591</f>
        <v>0</v>
      </c>
      <c r="CB520" s="61">
        <f>'Filter-new'!R592</f>
        <v>0</v>
      </c>
      <c r="CC520" s="57"/>
      <c r="CD520" s="58"/>
      <c r="CE520" s="57"/>
      <c r="CF520" s="57"/>
      <c r="CG520" s="4"/>
    </row>
    <row r="521" spans="1:85" hidden="1" x14ac:dyDescent="0.2">
      <c r="A521">
        <v>0</v>
      </c>
      <c r="B521" s="59">
        <v>39965</v>
      </c>
      <c r="C521" s="59">
        <f t="shared" si="73"/>
        <v>39965</v>
      </c>
      <c r="D521" s="60">
        <f t="shared" si="67"/>
        <v>2009</v>
      </c>
      <c r="E521" s="60">
        <f>VLOOKUP($C521,calendar!$A$2:$D$121,4,FALSE)</f>
        <v>352</v>
      </c>
      <c r="F521" s="60"/>
      <c r="G521" s="36">
        <f t="shared" si="71"/>
        <v>-21200</v>
      </c>
      <c r="H521" s="36">
        <f t="shared" si="72"/>
        <v>-18800</v>
      </c>
      <c r="I521" s="36"/>
      <c r="J521" s="41"/>
      <c r="K521" s="45">
        <f>'Filter-old'!E592</f>
        <v>0</v>
      </c>
      <c r="L521" s="61">
        <f>'Filter-new'!E593</f>
        <v>0</v>
      </c>
      <c r="M521" s="61"/>
      <c r="N521" s="61"/>
      <c r="O521" s="429"/>
      <c r="P521" s="61"/>
      <c r="Q521" s="45">
        <f>'Filter-old'!H592</f>
        <v>-21200</v>
      </c>
      <c r="R521" s="61">
        <f>'Filter-new'!H593</f>
        <v>-18800</v>
      </c>
      <c r="S521" s="61"/>
      <c r="T521" s="61"/>
      <c r="U521" s="445"/>
      <c r="V521" s="61"/>
      <c r="W521" s="45">
        <f>'Filter-old'!J592</f>
        <v>0</v>
      </c>
      <c r="X521" s="61">
        <f>'Filter-new'!J593</f>
        <v>0</v>
      </c>
      <c r="Y521" s="61"/>
      <c r="Z521" s="61"/>
      <c r="AA521" s="45">
        <f>'Filter-old'!F592</f>
        <v>0</v>
      </c>
      <c r="AB521" s="61">
        <f>'Filter-new'!F592</f>
        <v>0</v>
      </c>
      <c r="AC521" s="61"/>
      <c r="AD521" s="61"/>
      <c r="AE521" s="45">
        <f>'Filter-old'!P592</f>
        <v>0</v>
      </c>
      <c r="AF521" s="61">
        <f>'Filter-new'!P592</f>
        <v>0</v>
      </c>
      <c r="AG521" s="61"/>
      <c r="AH521" s="61"/>
      <c r="AI521" s="45">
        <f>'Filter-old'!L592</f>
        <v>0</v>
      </c>
      <c r="AJ521" s="61">
        <f>'Filter-new'!L592</f>
        <v>0</v>
      </c>
      <c r="AK521" s="61"/>
      <c r="AL521" s="61"/>
      <c r="AM521" s="61"/>
      <c r="AN521" s="61"/>
      <c r="AO521" s="45">
        <f>'Filter-old'!G592</f>
        <v>0</v>
      </c>
      <c r="AP521" s="61">
        <f>'Filter-new'!G593</f>
        <v>0</v>
      </c>
      <c r="AQ521" s="61"/>
      <c r="AR521" s="61"/>
      <c r="AS521" s="45"/>
      <c r="AT521" s="61"/>
      <c r="AU521" s="61"/>
      <c r="AV521" s="61"/>
      <c r="AW521" s="45">
        <f>'Filter-old'!I592</f>
        <v>0</v>
      </c>
      <c r="AX521" s="61">
        <f>'Filter-new'!I593</f>
        <v>0</v>
      </c>
      <c r="AY521" s="61"/>
      <c r="AZ521" s="61"/>
      <c r="BA521" s="61"/>
      <c r="BB521" s="61"/>
      <c r="BC521" s="45">
        <f>'Filter-old'!K592</f>
        <v>0</v>
      </c>
      <c r="BD521" s="61">
        <f>'Filter-new'!K593</f>
        <v>0</v>
      </c>
      <c r="BE521" s="61"/>
      <c r="BF521" s="61"/>
      <c r="BG521" s="45">
        <f>'Filter-old'!M592</f>
        <v>0</v>
      </c>
      <c r="BH521" s="61"/>
      <c r="BI521" s="61"/>
      <c r="BJ521" s="61">
        <f>'Filter-new'!M592</f>
        <v>0</v>
      </c>
      <c r="BK521" s="61"/>
      <c r="BL521" s="61"/>
      <c r="BM521" s="61"/>
      <c r="BN521" s="406"/>
      <c r="BO521" s="61"/>
      <c r="BP521" s="61"/>
      <c r="BQ521" s="45">
        <f>'Filter-old'!O592</f>
        <v>0</v>
      </c>
      <c r="BR521" s="61">
        <f>'Filter-new'!O593</f>
        <v>0</v>
      </c>
      <c r="BS521" s="61"/>
      <c r="BT521" s="61"/>
      <c r="BU521" s="45">
        <f>'Filter-old'!Q592</f>
        <v>0</v>
      </c>
      <c r="BV521" s="61">
        <f>'Filter-new'!Q593</f>
        <v>0</v>
      </c>
      <c r="BW521" s="61"/>
      <c r="BX521" s="61"/>
      <c r="BY521" s="61"/>
      <c r="BZ521" s="61"/>
      <c r="CA521" s="45">
        <f>'Filter-old'!R592</f>
        <v>0</v>
      </c>
      <c r="CB521" s="61">
        <f>'Filter-new'!R593</f>
        <v>0</v>
      </c>
      <c r="CC521" s="57"/>
      <c r="CD521" s="58"/>
      <c r="CE521" s="57"/>
      <c r="CF521" s="57"/>
      <c r="CG521" s="4"/>
    </row>
    <row r="522" spans="1:85" hidden="1" x14ac:dyDescent="0.2">
      <c r="A522">
        <v>0</v>
      </c>
      <c r="B522" s="59">
        <v>39995</v>
      </c>
      <c r="C522" s="59">
        <f t="shared" si="73"/>
        <v>39995</v>
      </c>
      <c r="D522" s="60">
        <f t="shared" si="67"/>
        <v>2009</v>
      </c>
      <c r="E522" s="60">
        <f>VLOOKUP($C522,calendar!$A$2:$D$121,4,FALSE)</f>
        <v>368</v>
      </c>
      <c r="F522" s="60"/>
      <c r="G522" s="36">
        <f t="shared" si="71"/>
        <v>-18400</v>
      </c>
      <c r="H522" s="36">
        <f t="shared" si="72"/>
        <v>-20400</v>
      </c>
      <c r="I522" s="36"/>
      <c r="J522" s="41"/>
      <c r="K522" s="45">
        <f>'Filter-old'!E593</f>
        <v>0</v>
      </c>
      <c r="L522" s="61">
        <f>'Filter-new'!E594</f>
        <v>0</v>
      </c>
      <c r="M522" s="61"/>
      <c r="N522" s="61"/>
      <c r="O522" s="429"/>
      <c r="P522" s="61"/>
      <c r="Q522" s="45">
        <f>'Filter-old'!H593</f>
        <v>-18400</v>
      </c>
      <c r="R522" s="61">
        <f>'Filter-new'!H594</f>
        <v>-20400</v>
      </c>
      <c r="S522" s="61"/>
      <c r="T522" s="61"/>
      <c r="U522" s="445"/>
      <c r="V522" s="61"/>
      <c r="W522" s="45">
        <f>'Filter-old'!J593</f>
        <v>0</v>
      </c>
      <c r="X522" s="61">
        <f>'Filter-new'!J594</f>
        <v>0</v>
      </c>
      <c r="Y522" s="61"/>
      <c r="Z522" s="61"/>
      <c r="AA522" s="45">
        <f>'Filter-old'!F593</f>
        <v>0</v>
      </c>
      <c r="AB522" s="61">
        <f>'Filter-new'!F593</f>
        <v>0</v>
      </c>
      <c r="AC522" s="61"/>
      <c r="AD522" s="61"/>
      <c r="AE522" s="45">
        <f>'Filter-old'!P593</f>
        <v>0</v>
      </c>
      <c r="AF522" s="61">
        <f>'Filter-new'!P593</f>
        <v>0</v>
      </c>
      <c r="AG522" s="61"/>
      <c r="AH522" s="61"/>
      <c r="AI522" s="45">
        <f>'Filter-old'!L593</f>
        <v>0</v>
      </c>
      <c r="AJ522" s="61">
        <f>'Filter-new'!L593</f>
        <v>0</v>
      </c>
      <c r="AK522" s="61"/>
      <c r="AL522" s="61"/>
      <c r="AM522" s="61"/>
      <c r="AN522" s="61"/>
      <c r="AO522" s="45">
        <f>'Filter-old'!G593</f>
        <v>0</v>
      </c>
      <c r="AP522" s="61">
        <f>'Filter-new'!G594</f>
        <v>0</v>
      </c>
      <c r="AQ522" s="61"/>
      <c r="AR522" s="61"/>
      <c r="AS522" s="45"/>
      <c r="AT522" s="61"/>
      <c r="AU522" s="61"/>
      <c r="AV522" s="61"/>
      <c r="AW522" s="45">
        <f>'Filter-old'!I593</f>
        <v>0</v>
      </c>
      <c r="AX522" s="61">
        <f>'Filter-new'!I594</f>
        <v>0</v>
      </c>
      <c r="AY522" s="61"/>
      <c r="AZ522" s="61"/>
      <c r="BA522" s="61"/>
      <c r="BB522" s="61"/>
      <c r="BC522" s="45">
        <f>'Filter-old'!K593</f>
        <v>0</v>
      </c>
      <c r="BD522" s="61">
        <f>'Filter-new'!K594</f>
        <v>0</v>
      </c>
      <c r="BE522" s="61"/>
      <c r="BF522" s="61"/>
      <c r="BG522" s="45">
        <f>'Filter-old'!M593</f>
        <v>0</v>
      </c>
      <c r="BH522" s="61"/>
      <c r="BI522" s="61"/>
      <c r="BJ522" s="61">
        <f>'Filter-new'!M593</f>
        <v>0</v>
      </c>
      <c r="BK522" s="61"/>
      <c r="BL522" s="61"/>
      <c r="BM522" s="61"/>
      <c r="BN522" s="406"/>
      <c r="BO522" s="61"/>
      <c r="BP522" s="61"/>
      <c r="BQ522" s="45">
        <f>'Filter-old'!O593</f>
        <v>0</v>
      </c>
      <c r="BR522" s="61">
        <f>'Filter-new'!O594</f>
        <v>0</v>
      </c>
      <c r="BS522" s="61"/>
      <c r="BT522" s="61"/>
      <c r="BU522" s="45">
        <f>'Filter-old'!Q593</f>
        <v>0</v>
      </c>
      <c r="BV522" s="61">
        <f>'Filter-new'!Q594</f>
        <v>0</v>
      </c>
      <c r="BW522" s="61"/>
      <c r="BX522" s="61"/>
      <c r="BY522" s="61"/>
      <c r="BZ522" s="61"/>
      <c r="CA522" s="45">
        <f>'Filter-old'!R593</f>
        <v>0</v>
      </c>
      <c r="CB522" s="61">
        <f>'Filter-new'!R594</f>
        <v>0</v>
      </c>
      <c r="CC522" s="57"/>
      <c r="CD522" s="58"/>
      <c r="CE522" s="57"/>
      <c r="CF522" s="57"/>
      <c r="CG522" s="4"/>
    </row>
    <row r="523" spans="1:85" hidden="1" x14ac:dyDescent="0.2">
      <c r="A523">
        <v>0</v>
      </c>
      <c r="B523" s="59">
        <v>40026</v>
      </c>
      <c r="C523" s="59">
        <f t="shared" si="73"/>
        <v>40026</v>
      </c>
      <c r="D523" s="60">
        <f t="shared" si="67"/>
        <v>2009</v>
      </c>
      <c r="E523" s="60">
        <f>VLOOKUP($C523,calendar!$A$2:$D$121,4,FALSE)</f>
        <v>336</v>
      </c>
      <c r="F523" s="60"/>
      <c r="G523" s="36">
        <f t="shared" si="71"/>
        <v>-18800</v>
      </c>
      <c r="H523" s="36">
        <f t="shared" si="72"/>
        <v>-19200</v>
      </c>
      <c r="I523" s="36"/>
      <c r="J523" s="41"/>
      <c r="K523" s="45">
        <f>'Filter-old'!E594</f>
        <v>0</v>
      </c>
      <c r="L523" s="61">
        <f>'Filter-new'!E595</f>
        <v>0</v>
      </c>
      <c r="M523" s="61"/>
      <c r="N523" s="61"/>
      <c r="O523" s="429"/>
      <c r="P523" s="61"/>
      <c r="Q523" s="45">
        <f>'Filter-old'!H594</f>
        <v>-18800</v>
      </c>
      <c r="R523" s="61">
        <f>'Filter-new'!H595</f>
        <v>-19200</v>
      </c>
      <c r="S523" s="61"/>
      <c r="T523" s="61"/>
      <c r="U523" s="445"/>
      <c r="V523" s="61"/>
      <c r="W523" s="45">
        <f>'Filter-old'!J594</f>
        <v>0</v>
      </c>
      <c r="X523" s="61">
        <f>'Filter-new'!J595</f>
        <v>0</v>
      </c>
      <c r="Y523" s="61"/>
      <c r="Z523" s="61"/>
      <c r="AA523" s="45">
        <f>'Filter-old'!F594</f>
        <v>0</v>
      </c>
      <c r="AB523" s="61">
        <f>'Filter-new'!F594</f>
        <v>0</v>
      </c>
      <c r="AC523" s="61"/>
      <c r="AD523" s="61"/>
      <c r="AE523" s="45">
        <f>'Filter-old'!P594</f>
        <v>0</v>
      </c>
      <c r="AF523" s="61">
        <f>'Filter-new'!P594</f>
        <v>0</v>
      </c>
      <c r="AG523" s="61"/>
      <c r="AH523" s="61"/>
      <c r="AI523" s="45">
        <f>'Filter-old'!L594</f>
        <v>0</v>
      </c>
      <c r="AJ523" s="61">
        <f>'Filter-new'!L594</f>
        <v>0</v>
      </c>
      <c r="AK523" s="61"/>
      <c r="AL523" s="61"/>
      <c r="AM523" s="61"/>
      <c r="AN523" s="61"/>
      <c r="AO523" s="45">
        <f>'Filter-old'!G594</f>
        <v>0</v>
      </c>
      <c r="AP523" s="61">
        <f>'Filter-new'!G595</f>
        <v>0</v>
      </c>
      <c r="AQ523" s="61"/>
      <c r="AR523" s="61"/>
      <c r="AS523" s="45"/>
      <c r="AT523" s="61"/>
      <c r="AU523" s="61"/>
      <c r="AV523" s="61"/>
      <c r="AW523" s="45">
        <f>'Filter-old'!I594</f>
        <v>0</v>
      </c>
      <c r="AX523" s="61">
        <f>'Filter-new'!I595</f>
        <v>0</v>
      </c>
      <c r="AY523" s="61"/>
      <c r="AZ523" s="61"/>
      <c r="BA523" s="61"/>
      <c r="BB523" s="61"/>
      <c r="BC523" s="45">
        <f>'Filter-old'!K594</f>
        <v>0</v>
      </c>
      <c r="BD523" s="61">
        <f>'Filter-new'!K595</f>
        <v>0</v>
      </c>
      <c r="BE523" s="61"/>
      <c r="BF523" s="61"/>
      <c r="BG523" s="45">
        <f>'Filter-old'!M594</f>
        <v>0</v>
      </c>
      <c r="BH523" s="61"/>
      <c r="BI523" s="61"/>
      <c r="BJ523" s="61">
        <f>'Filter-new'!M594</f>
        <v>0</v>
      </c>
      <c r="BK523" s="61"/>
      <c r="BL523" s="61"/>
      <c r="BM523" s="61"/>
      <c r="BN523" s="406"/>
      <c r="BO523" s="61"/>
      <c r="BP523" s="61"/>
      <c r="BQ523" s="45">
        <f>'Filter-old'!O594</f>
        <v>0</v>
      </c>
      <c r="BR523" s="61">
        <f>'Filter-new'!O595</f>
        <v>0</v>
      </c>
      <c r="BS523" s="61"/>
      <c r="BT523" s="61"/>
      <c r="BU523" s="45">
        <f>'Filter-old'!Q594</f>
        <v>0</v>
      </c>
      <c r="BV523" s="61">
        <f>'Filter-new'!Q595</f>
        <v>0</v>
      </c>
      <c r="BW523" s="61"/>
      <c r="BX523" s="61"/>
      <c r="BY523" s="61"/>
      <c r="BZ523" s="61"/>
      <c r="CA523" s="45">
        <f>'Filter-old'!R594</f>
        <v>0</v>
      </c>
      <c r="CB523" s="61">
        <f>'Filter-new'!R595</f>
        <v>0</v>
      </c>
      <c r="CC523" s="57"/>
      <c r="CD523" s="58"/>
      <c r="CE523" s="57"/>
      <c r="CF523" s="57"/>
      <c r="CG523" s="4"/>
    </row>
    <row r="524" spans="1:85" hidden="1" x14ac:dyDescent="0.2">
      <c r="A524">
        <v>0</v>
      </c>
      <c r="B524" s="59">
        <v>40057</v>
      </c>
      <c r="C524" s="59">
        <f t="shared" si="73"/>
        <v>40057</v>
      </c>
      <c r="D524" s="60">
        <f t="shared" si="67"/>
        <v>2009</v>
      </c>
      <c r="E524" s="60">
        <f>VLOOKUP($C524,calendar!$A$2:$D$121,4,FALSE)</f>
        <v>336</v>
      </c>
      <c r="F524" s="60"/>
      <c r="G524" s="36">
        <f t="shared" si="71"/>
        <v>-20400</v>
      </c>
      <c r="H524" s="36">
        <f t="shared" si="72"/>
        <v>-19650</v>
      </c>
      <c r="I524" s="36"/>
      <c r="J524" s="41"/>
      <c r="K524" s="45">
        <f>'Filter-old'!E595</f>
        <v>0</v>
      </c>
      <c r="L524" s="61">
        <f>'Filter-new'!E596</f>
        <v>0</v>
      </c>
      <c r="M524" s="61"/>
      <c r="N524" s="61"/>
      <c r="O524" s="429"/>
      <c r="P524" s="61"/>
      <c r="Q524" s="45">
        <f>'Filter-old'!H595</f>
        <v>-20400</v>
      </c>
      <c r="R524" s="61">
        <f>'Filter-new'!H596</f>
        <v>-19650</v>
      </c>
      <c r="S524" s="61"/>
      <c r="T524" s="61"/>
      <c r="U524" s="445"/>
      <c r="V524" s="61"/>
      <c r="W524" s="45">
        <f>'Filter-old'!J595</f>
        <v>0</v>
      </c>
      <c r="X524" s="61">
        <f>'Filter-new'!J596</f>
        <v>0</v>
      </c>
      <c r="Y524" s="61"/>
      <c r="Z524" s="61"/>
      <c r="AA524" s="45">
        <f>'Filter-old'!F595</f>
        <v>0</v>
      </c>
      <c r="AB524" s="61">
        <f>'Filter-new'!F595</f>
        <v>0</v>
      </c>
      <c r="AC524" s="61"/>
      <c r="AD524" s="61"/>
      <c r="AE524" s="45">
        <f>'Filter-old'!P595</f>
        <v>0</v>
      </c>
      <c r="AF524" s="61">
        <f>'Filter-new'!P595</f>
        <v>0</v>
      </c>
      <c r="AG524" s="61"/>
      <c r="AH524" s="61"/>
      <c r="AI524" s="45">
        <f>'Filter-old'!L595</f>
        <v>0</v>
      </c>
      <c r="AJ524" s="61">
        <f>'Filter-new'!L595</f>
        <v>0</v>
      </c>
      <c r="AK524" s="61"/>
      <c r="AL524" s="61"/>
      <c r="AM524" s="61"/>
      <c r="AN524" s="61"/>
      <c r="AO524" s="45">
        <f>'Filter-old'!G595</f>
        <v>0</v>
      </c>
      <c r="AP524" s="61">
        <f>'Filter-new'!G596</f>
        <v>0</v>
      </c>
      <c r="AQ524" s="61"/>
      <c r="AR524" s="61"/>
      <c r="AS524" s="45"/>
      <c r="AT524" s="61"/>
      <c r="AU524" s="61"/>
      <c r="AV524" s="61"/>
      <c r="AW524" s="45">
        <f>'Filter-old'!I595</f>
        <v>0</v>
      </c>
      <c r="AX524" s="61">
        <f>'Filter-new'!I596</f>
        <v>0</v>
      </c>
      <c r="AY524" s="61"/>
      <c r="AZ524" s="61"/>
      <c r="BA524" s="61"/>
      <c r="BB524" s="61"/>
      <c r="BC524" s="45">
        <f>'Filter-old'!K595</f>
        <v>0</v>
      </c>
      <c r="BD524" s="61">
        <f>'Filter-new'!K596</f>
        <v>0</v>
      </c>
      <c r="BE524" s="61"/>
      <c r="BF524" s="61"/>
      <c r="BG524" s="45">
        <f>'Filter-old'!M595</f>
        <v>0</v>
      </c>
      <c r="BH524" s="61"/>
      <c r="BI524" s="61"/>
      <c r="BJ524" s="61">
        <f>'Filter-new'!M595</f>
        <v>0</v>
      </c>
      <c r="BK524" s="61"/>
      <c r="BL524" s="61"/>
      <c r="BM524" s="61"/>
      <c r="BN524" s="406"/>
      <c r="BO524" s="61"/>
      <c r="BP524" s="61"/>
      <c r="BQ524" s="45">
        <f>'Filter-old'!O595</f>
        <v>0</v>
      </c>
      <c r="BR524" s="61">
        <f>'Filter-new'!O596</f>
        <v>0</v>
      </c>
      <c r="BS524" s="61"/>
      <c r="BT524" s="61"/>
      <c r="BU524" s="45">
        <f>'Filter-old'!Q595</f>
        <v>0</v>
      </c>
      <c r="BV524" s="61">
        <f>'Filter-new'!Q596</f>
        <v>0</v>
      </c>
      <c r="BW524" s="61"/>
      <c r="BX524" s="61"/>
      <c r="BY524" s="61"/>
      <c r="BZ524" s="61"/>
      <c r="CA524" s="45">
        <f>'Filter-old'!R595</f>
        <v>0</v>
      </c>
      <c r="CB524" s="61">
        <f>'Filter-new'!R596</f>
        <v>0</v>
      </c>
      <c r="CC524" s="57"/>
      <c r="CD524" s="58"/>
      <c r="CE524" s="57"/>
      <c r="CF524" s="57"/>
      <c r="CG524" s="4"/>
    </row>
    <row r="525" spans="1:85" hidden="1" x14ac:dyDescent="0.2">
      <c r="A525">
        <v>0</v>
      </c>
      <c r="B525" s="59">
        <v>40087</v>
      </c>
      <c r="C525" s="59">
        <f t="shared" si="73"/>
        <v>40087</v>
      </c>
      <c r="D525" s="60">
        <f t="shared" si="67"/>
        <v>2009</v>
      </c>
      <c r="E525" s="60">
        <f>VLOOKUP($C525,calendar!$A$2:$D$121,4,FALSE)</f>
        <v>352</v>
      </c>
      <c r="F525" s="60"/>
      <c r="G525" s="36">
        <f t="shared" si="71"/>
        <v>-19200</v>
      </c>
      <c r="H525" s="36">
        <f t="shared" si="72"/>
        <v>-20000</v>
      </c>
      <c r="I525" s="36"/>
      <c r="J525" s="41"/>
      <c r="K525" s="45">
        <f>'Filter-old'!E596</f>
        <v>0</v>
      </c>
      <c r="L525" s="61">
        <f>'Filter-new'!E597</f>
        <v>0</v>
      </c>
      <c r="M525" s="61"/>
      <c r="N525" s="61"/>
      <c r="O525" s="429"/>
      <c r="P525" s="61"/>
      <c r="Q525" s="45">
        <f>'Filter-old'!H596</f>
        <v>-19200</v>
      </c>
      <c r="R525" s="61">
        <f>'Filter-new'!H597</f>
        <v>-20000</v>
      </c>
      <c r="S525" s="61"/>
      <c r="T525" s="61"/>
      <c r="U525" s="445"/>
      <c r="V525" s="61"/>
      <c r="W525" s="45">
        <f>'Filter-old'!J596</f>
        <v>0</v>
      </c>
      <c r="X525" s="61">
        <f>'Filter-new'!J597</f>
        <v>0</v>
      </c>
      <c r="Y525" s="61"/>
      <c r="Z525" s="61"/>
      <c r="AA525" s="45">
        <f>'Filter-old'!F596</f>
        <v>0</v>
      </c>
      <c r="AB525" s="61">
        <f>'Filter-new'!F596</f>
        <v>0</v>
      </c>
      <c r="AC525" s="61"/>
      <c r="AD525" s="61"/>
      <c r="AE525" s="45">
        <f>'Filter-old'!P596</f>
        <v>0</v>
      </c>
      <c r="AF525" s="61">
        <f>'Filter-new'!P596</f>
        <v>0</v>
      </c>
      <c r="AG525" s="61"/>
      <c r="AH525" s="61"/>
      <c r="AI525" s="45">
        <f>'Filter-old'!L596</f>
        <v>0</v>
      </c>
      <c r="AJ525" s="61">
        <f>'Filter-new'!L596</f>
        <v>0</v>
      </c>
      <c r="AK525" s="61"/>
      <c r="AL525" s="61"/>
      <c r="AM525" s="61"/>
      <c r="AN525" s="61"/>
      <c r="AO525" s="45">
        <f>'Filter-old'!G596</f>
        <v>0</v>
      </c>
      <c r="AP525" s="61">
        <f>'Filter-new'!G597</f>
        <v>0</v>
      </c>
      <c r="AQ525" s="61"/>
      <c r="AR525" s="61"/>
      <c r="AS525" s="45"/>
      <c r="AT525" s="61"/>
      <c r="AU525" s="61"/>
      <c r="AV525" s="61"/>
      <c r="AW525" s="45">
        <f>'Filter-old'!I596</f>
        <v>0</v>
      </c>
      <c r="AX525" s="61">
        <f>'Filter-new'!I597</f>
        <v>0</v>
      </c>
      <c r="AY525" s="61"/>
      <c r="AZ525" s="61"/>
      <c r="BA525" s="61"/>
      <c r="BB525" s="61"/>
      <c r="BC525" s="45">
        <f>'Filter-old'!K596</f>
        <v>0</v>
      </c>
      <c r="BD525" s="61">
        <f>'Filter-new'!K597</f>
        <v>0</v>
      </c>
      <c r="BE525" s="61"/>
      <c r="BF525" s="61"/>
      <c r="BG525" s="45">
        <f>'Filter-old'!M596</f>
        <v>0</v>
      </c>
      <c r="BH525" s="61"/>
      <c r="BI525" s="61"/>
      <c r="BJ525" s="61">
        <f>'Filter-new'!M596</f>
        <v>0</v>
      </c>
      <c r="BK525" s="61"/>
      <c r="BL525" s="61"/>
      <c r="BM525" s="61"/>
      <c r="BN525" s="406"/>
      <c r="BO525" s="61"/>
      <c r="BP525" s="61"/>
      <c r="BQ525" s="45">
        <f>'Filter-old'!O596</f>
        <v>0</v>
      </c>
      <c r="BR525" s="61">
        <f>'Filter-new'!O597</f>
        <v>0</v>
      </c>
      <c r="BS525" s="61"/>
      <c r="BT525" s="61"/>
      <c r="BU525" s="45">
        <f>'Filter-old'!Q596</f>
        <v>0</v>
      </c>
      <c r="BV525" s="61">
        <f>'Filter-new'!Q597</f>
        <v>0</v>
      </c>
      <c r="BW525" s="61"/>
      <c r="BX525" s="61"/>
      <c r="BY525" s="61"/>
      <c r="BZ525" s="61"/>
      <c r="CA525" s="45">
        <f>'Filter-old'!R596</f>
        <v>0</v>
      </c>
      <c r="CB525" s="61">
        <f>'Filter-new'!R597</f>
        <v>0</v>
      </c>
      <c r="CC525" s="57"/>
      <c r="CD525" s="58"/>
      <c r="CE525" s="57"/>
      <c r="CF525" s="57"/>
      <c r="CG525" s="4"/>
    </row>
    <row r="526" spans="1:85" hidden="1" x14ac:dyDescent="0.2">
      <c r="A526">
        <v>0</v>
      </c>
      <c r="B526" s="59">
        <v>40118</v>
      </c>
      <c r="C526" s="59">
        <f t="shared" si="73"/>
        <v>40118</v>
      </c>
      <c r="D526" s="60">
        <f t="shared" si="67"/>
        <v>2009</v>
      </c>
      <c r="E526" s="60">
        <f>VLOOKUP($C526,calendar!$A$2:$D$121,4,FALSE)</f>
        <v>320</v>
      </c>
      <c r="F526" s="60"/>
      <c r="G526" s="36">
        <f t="shared" si="71"/>
        <v>-19650</v>
      </c>
      <c r="H526" s="36">
        <f t="shared" si="72"/>
        <v>-19600</v>
      </c>
      <c r="I526" s="36"/>
      <c r="J526" s="41"/>
      <c r="K526" s="45">
        <f>'Filter-old'!E597</f>
        <v>0</v>
      </c>
      <c r="L526" s="61">
        <f>'Filter-new'!E598</f>
        <v>0</v>
      </c>
      <c r="M526" s="61"/>
      <c r="N526" s="61"/>
      <c r="O526" s="429"/>
      <c r="P526" s="61"/>
      <c r="Q526" s="45">
        <f>'Filter-old'!H597</f>
        <v>-19650</v>
      </c>
      <c r="R526" s="61">
        <f>'Filter-new'!H598</f>
        <v>-19600</v>
      </c>
      <c r="S526" s="61"/>
      <c r="T526" s="61"/>
      <c r="U526" s="445"/>
      <c r="V526" s="61"/>
      <c r="W526" s="45">
        <f>'Filter-old'!J597</f>
        <v>0</v>
      </c>
      <c r="X526" s="61">
        <f>'Filter-new'!J598</f>
        <v>0</v>
      </c>
      <c r="Y526" s="61"/>
      <c r="Z526" s="61"/>
      <c r="AA526" s="45">
        <f>'Filter-old'!F597</f>
        <v>0</v>
      </c>
      <c r="AB526" s="61">
        <f>'Filter-new'!F597</f>
        <v>0</v>
      </c>
      <c r="AC526" s="61"/>
      <c r="AD526" s="61"/>
      <c r="AE526" s="45">
        <f>'Filter-old'!P597</f>
        <v>0</v>
      </c>
      <c r="AF526" s="61">
        <f>'Filter-new'!P597</f>
        <v>0</v>
      </c>
      <c r="AG526" s="61"/>
      <c r="AH526" s="61"/>
      <c r="AI526" s="45">
        <f>'Filter-old'!L597</f>
        <v>0</v>
      </c>
      <c r="AJ526" s="61">
        <f>'Filter-new'!L597</f>
        <v>0</v>
      </c>
      <c r="AK526" s="61"/>
      <c r="AL526" s="61"/>
      <c r="AM526" s="61"/>
      <c r="AN526" s="61"/>
      <c r="AO526" s="45">
        <f>'Filter-old'!G597</f>
        <v>0</v>
      </c>
      <c r="AP526" s="61">
        <f>'Filter-new'!G598</f>
        <v>0</v>
      </c>
      <c r="AQ526" s="61"/>
      <c r="AR526" s="61"/>
      <c r="AS526" s="45"/>
      <c r="AT526" s="61"/>
      <c r="AU526" s="61"/>
      <c r="AV526" s="61"/>
      <c r="AW526" s="45">
        <f>'Filter-old'!I597</f>
        <v>0</v>
      </c>
      <c r="AX526" s="61">
        <f>'Filter-new'!I598</f>
        <v>0</v>
      </c>
      <c r="AY526" s="61"/>
      <c r="AZ526" s="61"/>
      <c r="BA526" s="61"/>
      <c r="BB526" s="61"/>
      <c r="BC526" s="45">
        <f>'Filter-old'!K597</f>
        <v>0</v>
      </c>
      <c r="BD526" s="61">
        <f>'Filter-new'!K598</f>
        <v>0</v>
      </c>
      <c r="BE526" s="61"/>
      <c r="BF526" s="61"/>
      <c r="BG526" s="45">
        <f>'Filter-old'!M597</f>
        <v>0</v>
      </c>
      <c r="BH526" s="61"/>
      <c r="BI526" s="61"/>
      <c r="BJ526" s="61">
        <f>'Filter-new'!M597</f>
        <v>0</v>
      </c>
      <c r="BK526" s="61"/>
      <c r="BL526" s="61"/>
      <c r="BM526" s="61"/>
      <c r="BN526" s="406"/>
      <c r="BO526" s="61"/>
      <c r="BP526" s="61"/>
      <c r="BQ526" s="45">
        <f>'Filter-old'!O597</f>
        <v>0</v>
      </c>
      <c r="BR526" s="61">
        <f>'Filter-new'!O598</f>
        <v>0</v>
      </c>
      <c r="BS526" s="61"/>
      <c r="BT526" s="61"/>
      <c r="BU526" s="45">
        <f>'Filter-old'!Q597</f>
        <v>0</v>
      </c>
      <c r="BV526" s="61">
        <f>'Filter-new'!Q598</f>
        <v>0</v>
      </c>
      <c r="BW526" s="61"/>
      <c r="BX526" s="61"/>
      <c r="BY526" s="61"/>
      <c r="BZ526" s="61"/>
      <c r="CA526" s="45">
        <f>'Filter-old'!R597</f>
        <v>0</v>
      </c>
      <c r="CB526" s="61">
        <f>'Filter-new'!R598</f>
        <v>0</v>
      </c>
      <c r="CC526" s="57"/>
      <c r="CD526" s="58"/>
      <c r="CE526" s="57"/>
      <c r="CF526" s="57"/>
      <c r="CG526" s="4"/>
    </row>
    <row r="527" spans="1:85" hidden="1" x14ac:dyDescent="0.2">
      <c r="A527">
        <v>0</v>
      </c>
      <c r="B527" s="59">
        <v>40148</v>
      </c>
      <c r="C527" s="59">
        <f t="shared" si="73"/>
        <v>40148</v>
      </c>
      <c r="D527" s="60">
        <f t="shared" si="67"/>
        <v>2009</v>
      </c>
      <c r="E527" s="60">
        <f>VLOOKUP($C527,calendar!$A$2:$D$121,4,FALSE)</f>
        <v>352</v>
      </c>
      <c r="F527" s="60"/>
      <c r="G527" s="36">
        <f t="shared" si="71"/>
        <v>-20000</v>
      </c>
      <c r="H527" s="36">
        <f t="shared" si="72"/>
        <v>-21200</v>
      </c>
      <c r="I527" s="36"/>
      <c r="J527" s="41"/>
      <c r="K527" s="45">
        <f>'Filter-old'!E598</f>
        <v>0</v>
      </c>
      <c r="L527" s="61">
        <f>'Filter-new'!E599</f>
        <v>0</v>
      </c>
      <c r="M527" s="61"/>
      <c r="N527" s="61"/>
      <c r="O527" s="429"/>
      <c r="P527" s="61"/>
      <c r="Q527" s="45">
        <f>'Filter-old'!H598</f>
        <v>-20000</v>
      </c>
      <c r="R527" s="61">
        <f>'Filter-new'!H599</f>
        <v>-21200</v>
      </c>
      <c r="S527" s="61"/>
      <c r="T527" s="61"/>
      <c r="U527" s="445"/>
      <c r="V527" s="61"/>
      <c r="W527" s="45">
        <f>'Filter-old'!J598</f>
        <v>0</v>
      </c>
      <c r="X527" s="61">
        <f>'Filter-new'!J599</f>
        <v>0</v>
      </c>
      <c r="Y527" s="61"/>
      <c r="Z527" s="61"/>
      <c r="AA527" s="45">
        <f>'Filter-old'!F598</f>
        <v>0</v>
      </c>
      <c r="AB527" s="61">
        <f>'Filter-new'!F598</f>
        <v>0</v>
      </c>
      <c r="AC527" s="61"/>
      <c r="AD527" s="61"/>
      <c r="AE527" s="45">
        <f>'Filter-old'!P598</f>
        <v>0</v>
      </c>
      <c r="AF527" s="61">
        <f>'Filter-new'!P598</f>
        <v>0</v>
      </c>
      <c r="AG527" s="61"/>
      <c r="AH527" s="61"/>
      <c r="AI527" s="45">
        <f>'Filter-old'!L598</f>
        <v>0</v>
      </c>
      <c r="AJ527" s="61">
        <f>'Filter-new'!L598</f>
        <v>0</v>
      </c>
      <c r="AK527" s="61"/>
      <c r="AL527" s="61"/>
      <c r="AM527" s="61"/>
      <c r="AN527" s="61"/>
      <c r="AO527" s="45">
        <f>'Filter-old'!G598</f>
        <v>0</v>
      </c>
      <c r="AP527" s="61">
        <f>'Filter-new'!G599</f>
        <v>0</v>
      </c>
      <c r="AQ527" s="61"/>
      <c r="AR527" s="61"/>
      <c r="AS527" s="45"/>
      <c r="AT527" s="61"/>
      <c r="AU527" s="61"/>
      <c r="AV527" s="61"/>
      <c r="AW527" s="45">
        <f>'Filter-old'!I598</f>
        <v>0</v>
      </c>
      <c r="AX527" s="61">
        <f>'Filter-new'!I599</f>
        <v>0</v>
      </c>
      <c r="AY527" s="61"/>
      <c r="AZ527" s="61"/>
      <c r="BA527" s="61"/>
      <c r="BB527" s="61"/>
      <c r="BC527" s="45">
        <f>'Filter-old'!K598</f>
        <v>0</v>
      </c>
      <c r="BD527" s="61">
        <f>'Filter-new'!K599</f>
        <v>0</v>
      </c>
      <c r="BE527" s="61"/>
      <c r="BF527" s="61"/>
      <c r="BG527" s="45">
        <f>'Filter-old'!M598</f>
        <v>0</v>
      </c>
      <c r="BH527" s="61"/>
      <c r="BI527" s="61"/>
      <c r="BJ527" s="61">
        <f>'Filter-new'!M598</f>
        <v>0</v>
      </c>
      <c r="BK527" s="61"/>
      <c r="BL527" s="61"/>
      <c r="BM527" s="61"/>
      <c r="BN527" s="406"/>
      <c r="BO527" s="61"/>
      <c r="BP527" s="61"/>
      <c r="BQ527" s="45">
        <f>'Filter-old'!O598</f>
        <v>0</v>
      </c>
      <c r="BR527" s="61">
        <f>'Filter-new'!O599</f>
        <v>0</v>
      </c>
      <c r="BS527" s="61"/>
      <c r="BT527" s="61"/>
      <c r="BU527" s="45">
        <f>'Filter-old'!Q598</f>
        <v>0</v>
      </c>
      <c r="BV527" s="61">
        <f>'Filter-new'!Q599</f>
        <v>0</v>
      </c>
      <c r="BW527" s="61"/>
      <c r="BX527" s="61"/>
      <c r="BY527" s="61"/>
      <c r="BZ527" s="61"/>
      <c r="CA527" s="45">
        <f>'Filter-old'!R598</f>
        <v>0</v>
      </c>
      <c r="CB527" s="61">
        <f>'Filter-new'!R599</f>
        <v>0</v>
      </c>
      <c r="CC527" s="57"/>
      <c r="CD527" s="58"/>
      <c r="CE527" s="57"/>
      <c r="CF527" s="57"/>
      <c r="CG527" s="4"/>
    </row>
    <row r="528" spans="1:85" hidden="1" x14ac:dyDescent="0.2">
      <c r="A528">
        <v>0</v>
      </c>
      <c r="B528" s="59">
        <v>40179</v>
      </c>
      <c r="C528" s="59">
        <f t="shared" si="73"/>
        <v>40179</v>
      </c>
      <c r="D528" s="60">
        <f t="shared" si="67"/>
        <v>2010</v>
      </c>
      <c r="E528" s="60">
        <f>VLOOKUP($C528,calendar!$A$2:$D$121,4,FALSE)</f>
        <v>320</v>
      </c>
      <c r="F528" s="60"/>
      <c r="G528" s="36">
        <f t="shared" si="71"/>
        <v>-19600</v>
      </c>
      <c r="H528" s="36">
        <f t="shared" si="72"/>
        <v>-17600</v>
      </c>
      <c r="I528" s="36"/>
      <c r="J528" s="41"/>
      <c r="K528" s="45">
        <f>'Filter-old'!E599</f>
        <v>0</v>
      </c>
      <c r="L528" s="61">
        <f>'Filter-new'!E600</f>
        <v>0</v>
      </c>
      <c r="M528" s="61"/>
      <c r="N528" s="61"/>
      <c r="O528" s="429"/>
      <c r="P528" s="61"/>
      <c r="Q528" s="45">
        <f>'Filter-old'!H599</f>
        <v>-19600</v>
      </c>
      <c r="R528" s="61">
        <f>'Filter-new'!H600</f>
        <v>-17600</v>
      </c>
      <c r="S528" s="61"/>
      <c r="T528" s="61"/>
      <c r="U528" s="445"/>
      <c r="V528" s="61"/>
      <c r="W528" s="45">
        <f>'Filter-old'!J599</f>
        <v>0</v>
      </c>
      <c r="X528" s="61">
        <f>'Filter-new'!J600</f>
        <v>0</v>
      </c>
      <c r="Y528" s="61"/>
      <c r="Z528" s="61"/>
      <c r="AA528" s="45">
        <f>'Filter-old'!F599</f>
        <v>0</v>
      </c>
      <c r="AB528" s="61">
        <f>'Filter-new'!F599</f>
        <v>0</v>
      </c>
      <c r="AC528" s="61"/>
      <c r="AD528" s="61"/>
      <c r="AE528" s="45">
        <f>'Filter-old'!P599</f>
        <v>0</v>
      </c>
      <c r="AF528" s="61">
        <f>'Filter-new'!P599</f>
        <v>0</v>
      </c>
      <c r="AG528" s="61"/>
      <c r="AH528" s="61"/>
      <c r="AI528" s="45">
        <f>'Filter-old'!L599</f>
        <v>0</v>
      </c>
      <c r="AJ528" s="61">
        <f>'Filter-new'!L599</f>
        <v>0</v>
      </c>
      <c r="AK528" s="61"/>
      <c r="AL528" s="61"/>
      <c r="AM528" s="61"/>
      <c r="AN528" s="61"/>
      <c r="AO528" s="45">
        <f>'Filter-old'!G599</f>
        <v>0</v>
      </c>
      <c r="AP528" s="61">
        <f>'Filter-new'!G600</f>
        <v>0</v>
      </c>
      <c r="AQ528" s="61"/>
      <c r="AR528" s="61"/>
      <c r="AS528" s="45"/>
      <c r="AT528" s="61"/>
      <c r="AU528" s="61"/>
      <c r="AV528" s="61"/>
      <c r="AW528" s="45">
        <f>'Filter-old'!I599</f>
        <v>0</v>
      </c>
      <c r="AX528" s="61">
        <f>'Filter-new'!I600</f>
        <v>0</v>
      </c>
      <c r="AY528" s="61"/>
      <c r="AZ528" s="61"/>
      <c r="BA528" s="61"/>
      <c r="BB528" s="61"/>
      <c r="BC528" s="45">
        <f>'Filter-old'!K599</f>
        <v>0</v>
      </c>
      <c r="BD528" s="61">
        <f>'Filter-new'!K600</f>
        <v>0</v>
      </c>
      <c r="BE528" s="61"/>
      <c r="BF528" s="61"/>
      <c r="BG528" s="45">
        <f>'Filter-old'!M599</f>
        <v>0</v>
      </c>
      <c r="BH528" s="61"/>
      <c r="BI528" s="61"/>
      <c r="BJ528" s="61">
        <f>'Filter-new'!M599</f>
        <v>0</v>
      </c>
      <c r="BK528" s="61"/>
      <c r="BL528" s="61"/>
      <c r="BM528" s="61"/>
      <c r="BN528" s="406"/>
      <c r="BO528" s="61"/>
      <c r="BP528" s="61"/>
      <c r="BQ528" s="45">
        <f>'Filter-old'!O599</f>
        <v>0</v>
      </c>
      <c r="BR528" s="61">
        <f>'Filter-new'!O600</f>
        <v>0</v>
      </c>
      <c r="BS528" s="61"/>
      <c r="BT528" s="61"/>
      <c r="BU528" s="45">
        <f>'Filter-old'!Q599</f>
        <v>0</v>
      </c>
      <c r="BV528" s="61">
        <f>'Filter-new'!Q600</f>
        <v>0</v>
      </c>
      <c r="BW528" s="61"/>
      <c r="BX528" s="61"/>
      <c r="BY528" s="61"/>
      <c r="BZ528" s="61"/>
      <c r="CA528" s="45">
        <f>'Filter-old'!R599</f>
        <v>0</v>
      </c>
      <c r="CB528" s="61">
        <f>'Filter-new'!R600</f>
        <v>0</v>
      </c>
      <c r="CC528" s="57"/>
      <c r="CD528" s="58"/>
      <c r="CE528" s="57"/>
      <c r="CF528" s="57"/>
      <c r="CG528" s="4"/>
    </row>
    <row r="529" spans="1:85" hidden="1" x14ac:dyDescent="0.2">
      <c r="A529">
        <v>0</v>
      </c>
      <c r="B529" s="59">
        <v>40210</v>
      </c>
      <c r="C529" s="59">
        <f t="shared" si="73"/>
        <v>40210</v>
      </c>
      <c r="D529" s="60">
        <f t="shared" si="67"/>
        <v>2010</v>
      </c>
      <c r="E529" s="60">
        <f>VLOOKUP($C529,calendar!$A$2:$D$121,4,FALSE)</f>
        <v>320</v>
      </c>
      <c r="F529" s="60"/>
      <c r="G529" s="36">
        <f t="shared" si="71"/>
        <v>-21200</v>
      </c>
      <c r="H529" s="36">
        <f t="shared" si="72"/>
        <v>-18800</v>
      </c>
      <c r="I529" s="36"/>
      <c r="J529" s="41"/>
      <c r="K529" s="45">
        <f>'Filter-old'!E600</f>
        <v>0</v>
      </c>
      <c r="L529" s="61">
        <f>'Filter-new'!E601</f>
        <v>0</v>
      </c>
      <c r="M529" s="61"/>
      <c r="N529" s="61"/>
      <c r="O529" s="429"/>
      <c r="P529" s="61"/>
      <c r="Q529" s="45">
        <f>'Filter-old'!H600</f>
        <v>-21200</v>
      </c>
      <c r="R529" s="61">
        <f>'Filter-new'!H601</f>
        <v>-18800</v>
      </c>
      <c r="S529" s="61"/>
      <c r="T529" s="61"/>
      <c r="U529" s="445"/>
      <c r="V529" s="61"/>
      <c r="W529" s="45">
        <f>'Filter-old'!J600</f>
        <v>0</v>
      </c>
      <c r="X529" s="61">
        <f>'Filter-new'!J601</f>
        <v>0</v>
      </c>
      <c r="Y529" s="61"/>
      <c r="Z529" s="61"/>
      <c r="AA529" s="45">
        <f>'Filter-old'!F600</f>
        <v>0</v>
      </c>
      <c r="AB529" s="61">
        <f>'Filter-new'!F600</f>
        <v>0</v>
      </c>
      <c r="AC529" s="61"/>
      <c r="AD529" s="61"/>
      <c r="AE529" s="45">
        <f>'Filter-old'!P600</f>
        <v>0</v>
      </c>
      <c r="AF529" s="61">
        <f>'Filter-new'!P600</f>
        <v>0</v>
      </c>
      <c r="AG529" s="61"/>
      <c r="AH529" s="61"/>
      <c r="AI529" s="45">
        <f>'Filter-old'!L600</f>
        <v>0</v>
      </c>
      <c r="AJ529" s="61">
        <f>'Filter-new'!L600</f>
        <v>0</v>
      </c>
      <c r="AK529" s="61"/>
      <c r="AL529" s="61"/>
      <c r="AM529" s="61"/>
      <c r="AN529" s="61"/>
      <c r="AO529" s="45">
        <f>'Filter-old'!G600</f>
        <v>0</v>
      </c>
      <c r="AP529" s="61">
        <f>'Filter-new'!G601</f>
        <v>0</v>
      </c>
      <c r="AQ529" s="61"/>
      <c r="AR529" s="61"/>
      <c r="AS529" s="45"/>
      <c r="AT529" s="61"/>
      <c r="AU529" s="61"/>
      <c r="AV529" s="61"/>
      <c r="AW529" s="45">
        <f>'Filter-old'!I600</f>
        <v>0</v>
      </c>
      <c r="AX529" s="61">
        <f>'Filter-new'!I601</f>
        <v>0</v>
      </c>
      <c r="AY529" s="61"/>
      <c r="AZ529" s="61"/>
      <c r="BA529" s="61"/>
      <c r="BB529" s="61"/>
      <c r="BC529" s="45">
        <f>'Filter-old'!K600</f>
        <v>0</v>
      </c>
      <c r="BD529" s="61">
        <f>'Filter-new'!K601</f>
        <v>0</v>
      </c>
      <c r="BE529" s="61"/>
      <c r="BF529" s="61"/>
      <c r="BG529" s="45">
        <f>'Filter-old'!M600</f>
        <v>0</v>
      </c>
      <c r="BH529" s="61"/>
      <c r="BI529" s="61"/>
      <c r="BJ529" s="61">
        <f>'Filter-new'!M600</f>
        <v>0</v>
      </c>
      <c r="BK529" s="61"/>
      <c r="BL529" s="61"/>
      <c r="BM529" s="61"/>
      <c r="BN529" s="406"/>
      <c r="BO529" s="61"/>
      <c r="BP529" s="61"/>
      <c r="BQ529" s="45">
        <f>'Filter-old'!O600</f>
        <v>0</v>
      </c>
      <c r="BR529" s="61">
        <f>'Filter-new'!O601</f>
        <v>0</v>
      </c>
      <c r="BS529" s="61"/>
      <c r="BT529" s="61"/>
      <c r="BU529" s="45">
        <f>'Filter-old'!Q600</f>
        <v>0</v>
      </c>
      <c r="BV529" s="61">
        <f>'Filter-new'!Q601</f>
        <v>0</v>
      </c>
      <c r="BW529" s="61"/>
      <c r="BX529" s="61"/>
      <c r="BY529" s="61"/>
      <c r="BZ529" s="61"/>
      <c r="CA529" s="45">
        <f>'Filter-old'!R600</f>
        <v>0</v>
      </c>
      <c r="CB529" s="61">
        <f>'Filter-new'!R601</f>
        <v>0</v>
      </c>
      <c r="CC529" s="57"/>
      <c r="CD529" s="58"/>
      <c r="CE529" s="57"/>
      <c r="CF529" s="57"/>
      <c r="CG529" s="4"/>
    </row>
    <row r="530" spans="1:85" hidden="1" x14ac:dyDescent="0.2">
      <c r="A530">
        <v>0</v>
      </c>
      <c r="B530" s="59">
        <v>40238</v>
      </c>
      <c r="C530" s="59">
        <f t="shared" si="73"/>
        <v>40238</v>
      </c>
      <c r="D530" s="60">
        <f t="shared" si="67"/>
        <v>2010</v>
      </c>
      <c r="E530" s="60">
        <f>VLOOKUP($C530,calendar!$A$2:$D$121,4,FALSE)</f>
        <v>368</v>
      </c>
      <c r="F530" s="60"/>
      <c r="G530" s="36">
        <f t="shared" si="71"/>
        <v>-17600</v>
      </c>
      <c r="H530" s="36">
        <f t="shared" si="72"/>
        <v>-18350</v>
      </c>
      <c r="I530" s="36"/>
      <c r="J530" s="41"/>
      <c r="K530" s="45">
        <f>'Filter-old'!E601</f>
        <v>0</v>
      </c>
      <c r="L530" s="61">
        <f>'Filter-new'!E602</f>
        <v>0</v>
      </c>
      <c r="M530" s="61"/>
      <c r="N530" s="61"/>
      <c r="O530" s="429"/>
      <c r="P530" s="61"/>
      <c r="Q530" s="45">
        <f>'Filter-old'!H601</f>
        <v>-17600</v>
      </c>
      <c r="R530" s="61">
        <f>'Filter-new'!H602</f>
        <v>-18350</v>
      </c>
      <c r="S530" s="61"/>
      <c r="T530" s="61"/>
      <c r="U530" s="445"/>
      <c r="V530" s="61"/>
      <c r="W530" s="45">
        <f>'Filter-old'!J601</f>
        <v>0</v>
      </c>
      <c r="X530" s="61">
        <f>'Filter-new'!J602</f>
        <v>0</v>
      </c>
      <c r="Y530" s="61"/>
      <c r="Z530" s="61"/>
      <c r="AA530" s="45">
        <f>'Filter-old'!F601</f>
        <v>0</v>
      </c>
      <c r="AB530" s="61">
        <f>'Filter-new'!F601</f>
        <v>0</v>
      </c>
      <c r="AC530" s="61"/>
      <c r="AD530" s="61"/>
      <c r="AE530" s="45">
        <f>'Filter-old'!P601</f>
        <v>0</v>
      </c>
      <c r="AF530" s="61">
        <f>'Filter-new'!P601</f>
        <v>0</v>
      </c>
      <c r="AG530" s="61"/>
      <c r="AH530" s="61"/>
      <c r="AI530" s="45">
        <f>'Filter-old'!L601</f>
        <v>0</v>
      </c>
      <c r="AJ530" s="61">
        <f>'Filter-new'!L601</f>
        <v>0</v>
      </c>
      <c r="AK530" s="61"/>
      <c r="AL530" s="61"/>
      <c r="AM530" s="61"/>
      <c r="AN530" s="61"/>
      <c r="AO530" s="45">
        <f>'Filter-old'!G601</f>
        <v>0</v>
      </c>
      <c r="AP530" s="61">
        <f>'Filter-new'!G602</f>
        <v>0</v>
      </c>
      <c r="AQ530" s="61"/>
      <c r="AR530" s="61"/>
      <c r="AS530" s="45"/>
      <c r="AT530" s="61"/>
      <c r="AU530" s="61"/>
      <c r="AV530" s="61"/>
      <c r="AW530" s="45">
        <f>'Filter-old'!I601</f>
        <v>0</v>
      </c>
      <c r="AX530" s="61">
        <f>'Filter-new'!I602</f>
        <v>0</v>
      </c>
      <c r="AY530" s="61"/>
      <c r="AZ530" s="61"/>
      <c r="BA530" s="61"/>
      <c r="BB530" s="61"/>
      <c r="BC530" s="45">
        <f>'Filter-old'!K601</f>
        <v>0</v>
      </c>
      <c r="BD530" s="61">
        <f>'Filter-new'!K602</f>
        <v>0</v>
      </c>
      <c r="BE530" s="61"/>
      <c r="BF530" s="61"/>
      <c r="BG530" s="45">
        <f>'Filter-old'!M601</f>
        <v>0</v>
      </c>
      <c r="BH530" s="61"/>
      <c r="BI530" s="61"/>
      <c r="BJ530" s="61">
        <f>'Filter-new'!M601</f>
        <v>0</v>
      </c>
      <c r="BK530" s="61"/>
      <c r="BL530" s="61"/>
      <c r="BM530" s="61"/>
      <c r="BN530" s="406"/>
      <c r="BO530" s="61"/>
      <c r="BP530" s="61"/>
      <c r="BQ530" s="45">
        <f>'Filter-old'!O601</f>
        <v>0</v>
      </c>
      <c r="BR530" s="61">
        <f>'Filter-new'!O602</f>
        <v>0</v>
      </c>
      <c r="BS530" s="61"/>
      <c r="BT530" s="61"/>
      <c r="BU530" s="45">
        <f>'Filter-old'!Q601</f>
        <v>0</v>
      </c>
      <c r="BV530" s="61">
        <f>'Filter-new'!Q602</f>
        <v>0</v>
      </c>
      <c r="BW530" s="61"/>
      <c r="BX530" s="61"/>
      <c r="BY530" s="61"/>
      <c r="BZ530" s="61"/>
      <c r="CA530" s="45">
        <f>'Filter-old'!R601</f>
        <v>0</v>
      </c>
      <c r="CB530" s="61">
        <f>'Filter-new'!R602</f>
        <v>0</v>
      </c>
      <c r="CC530" s="57"/>
      <c r="CD530" s="58"/>
      <c r="CE530" s="57"/>
      <c r="CF530" s="57"/>
      <c r="CG530" s="4"/>
    </row>
    <row r="531" spans="1:85" hidden="1" x14ac:dyDescent="0.2">
      <c r="A531">
        <v>0</v>
      </c>
      <c r="B531" s="59">
        <v>40269</v>
      </c>
      <c r="C531" s="59">
        <f t="shared" si="73"/>
        <v>40269</v>
      </c>
      <c r="D531" s="60">
        <f t="shared" si="67"/>
        <v>2010</v>
      </c>
      <c r="E531" s="60">
        <f>VLOOKUP($C531,calendar!$A$2:$D$121,4,FALSE)</f>
        <v>352</v>
      </c>
      <c r="F531" s="60"/>
      <c r="G531" s="36">
        <f t="shared" si="71"/>
        <v>-18800</v>
      </c>
      <c r="H531" s="36">
        <f t="shared" si="72"/>
        <v>-21200</v>
      </c>
      <c r="I531" s="36"/>
      <c r="J531" s="41"/>
      <c r="K531" s="45">
        <f>'Filter-old'!E602</f>
        <v>0</v>
      </c>
      <c r="L531" s="61">
        <f>'Filter-new'!E603</f>
        <v>0</v>
      </c>
      <c r="M531" s="61"/>
      <c r="N531" s="61"/>
      <c r="O531" s="429"/>
      <c r="P531" s="61"/>
      <c r="Q531" s="45">
        <f>'Filter-old'!H602</f>
        <v>-18800</v>
      </c>
      <c r="R531" s="61">
        <f>'Filter-new'!H603</f>
        <v>-21200</v>
      </c>
      <c r="S531" s="61"/>
      <c r="T531" s="61"/>
      <c r="U531" s="445"/>
      <c r="V531" s="61"/>
      <c r="W531" s="45">
        <f>'Filter-old'!J602</f>
        <v>0</v>
      </c>
      <c r="X531" s="61">
        <f>'Filter-new'!J603</f>
        <v>0</v>
      </c>
      <c r="Y531" s="61"/>
      <c r="Z531" s="61"/>
      <c r="AA531" s="45">
        <f>'Filter-old'!F602</f>
        <v>0</v>
      </c>
      <c r="AB531" s="61">
        <f>'Filter-new'!F602</f>
        <v>0</v>
      </c>
      <c r="AC531" s="61"/>
      <c r="AD531" s="61"/>
      <c r="AE531" s="45">
        <f>'Filter-old'!P602</f>
        <v>0</v>
      </c>
      <c r="AF531" s="61">
        <f>'Filter-new'!P602</f>
        <v>0</v>
      </c>
      <c r="AG531" s="61"/>
      <c r="AH531" s="61"/>
      <c r="AI531" s="45">
        <f>'Filter-old'!L602</f>
        <v>0</v>
      </c>
      <c r="AJ531" s="61">
        <f>'Filter-new'!L602</f>
        <v>0</v>
      </c>
      <c r="AK531" s="61"/>
      <c r="AL531" s="61"/>
      <c r="AM531" s="61"/>
      <c r="AN531" s="61"/>
      <c r="AO531" s="45">
        <f>'Filter-old'!G602</f>
        <v>0</v>
      </c>
      <c r="AP531" s="61">
        <f>'Filter-new'!G603</f>
        <v>0</v>
      </c>
      <c r="AQ531" s="61"/>
      <c r="AR531" s="61"/>
      <c r="AS531" s="45"/>
      <c r="AT531" s="61"/>
      <c r="AU531" s="61"/>
      <c r="AV531" s="61"/>
      <c r="AW531" s="45">
        <f>'Filter-old'!I602</f>
        <v>0</v>
      </c>
      <c r="AX531" s="61">
        <f>'Filter-new'!I603</f>
        <v>0</v>
      </c>
      <c r="AY531" s="61"/>
      <c r="AZ531" s="61"/>
      <c r="BA531" s="61"/>
      <c r="BB531" s="61"/>
      <c r="BC531" s="45">
        <f>'Filter-old'!K602</f>
        <v>0</v>
      </c>
      <c r="BD531" s="61">
        <f>'Filter-new'!K603</f>
        <v>0</v>
      </c>
      <c r="BE531" s="61"/>
      <c r="BF531" s="61"/>
      <c r="BG531" s="45">
        <f>'Filter-old'!M602</f>
        <v>0</v>
      </c>
      <c r="BH531" s="61"/>
      <c r="BI531" s="61"/>
      <c r="BJ531" s="61">
        <f>'Filter-new'!M602</f>
        <v>0</v>
      </c>
      <c r="BK531" s="61"/>
      <c r="BL531" s="61"/>
      <c r="BM531" s="61"/>
      <c r="BN531" s="406"/>
      <c r="BO531" s="61"/>
      <c r="BP531" s="61"/>
      <c r="BQ531" s="45">
        <f>'Filter-old'!O602</f>
        <v>0</v>
      </c>
      <c r="BR531" s="61">
        <f>'Filter-new'!O603</f>
        <v>0</v>
      </c>
      <c r="BS531" s="61"/>
      <c r="BT531" s="61"/>
      <c r="BU531" s="45">
        <f>'Filter-old'!Q602</f>
        <v>0</v>
      </c>
      <c r="BV531" s="61">
        <f>'Filter-new'!Q603</f>
        <v>0</v>
      </c>
      <c r="BW531" s="61"/>
      <c r="BX531" s="61"/>
      <c r="BY531" s="61"/>
      <c r="BZ531" s="61"/>
      <c r="CA531" s="45">
        <f>'Filter-old'!R602</f>
        <v>0</v>
      </c>
      <c r="CB531" s="61">
        <f>'Filter-new'!R603</f>
        <v>0</v>
      </c>
      <c r="CC531" s="57"/>
      <c r="CD531" s="58"/>
      <c r="CE531" s="57"/>
      <c r="CF531" s="57"/>
      <c r="CG531" s="4"/>
    </row>
    <row r="532" spans="1:85" hidden="1" x14ac:dyDescent="0.2">
      <c r="A532">
        <v>0</v>
      </c>
      <c r="B532" s="59">
        <v>40299</v>
      </c>
      <c r="C532" s="59">
        <f t="shared" si="73"/>
        <v>40299</v>
      </c>
      <c r="D532" s="60">
        <f t="shared" si="67"/>
        <v>2010</v>
      </c>
      <c r="E532" s="60">
        <f>VLOOKUP($C532,calendar!$A$2:$D$121,4,FALSE)</f>
        <v>320</v>
      </c>
      <c r="F532" s="60"/>
      <c r="G532" s="36">
        <f t="shared" si="71"/>
        <v>-18350</v>
      </c>
      <c r="H532" s="36">
        <f t="shared" si="72"/>
        <v>-18400</v>
      </c>
      <c r="I532" s="36"/>
      <c r="J532" s="41"/>
      <c r="K532" s="45">
        <f>'Filter-old'!E603</f>
        <v>0</v>
      </c>
      <c r="L532" s="61">
        <f>'Filter-new'!E604</f>
        <v>0</v>
      </c>
      <c r="M532" s="61"/>
      <c r="N532" s="61"/>
      <c r="O532" s="429"/>
      <c r="P532" s="61"/>
      <c r="Q532" s="45">
        <f>'Filter-old'!H603</f>
        <v>-18350</v>
      </c>
      <c r="R532" s="61">
        <f>'Filter-new'!H604</f>
        <v>-18400</v>
      </c>
      <c r="S532" s="61"/>
      <c r="T532" s="61"/>
      <c r="U532" s="445"/>
      <c r="V532" s="61"/>
      <c r="W532" s="45">
        <f>'Filter-old'!J603</f>
        <v>0</v>
      </c>
      <c r="X532" s="61">
        <f>'Filter-new'!J604</f>
        <v>0</v>
      </c>
      <c r="Y532" s="61"/>
      <c r="Z532" s="61"/>
      <c r="AA532" s="45">
        <f>'Filter-old'!F603</f>
        <v>0</v>
      </c>
      <c r="AB532" s="61">
        <f>'Filter-new'!F603</f>
        <v>0</v>
      </c>
      <c r="AC532" s="61"/>
      <c r="AD532" s="61"/>
      <c r="AE532" s="45">
        <f>'Filter-old'!P603</f>
        <v>0</v>
      </c>
      <c r="AF532" s="61">
        <f>'Filter-new'!P603</f>
        <v>0</v>
      </c>
      <c r="AG532" s="61"/>
      <c r="AH532" s="61"/>
      <c r="AI532" s="45">
        <f>'Filter-old'!L603</f>
        <v>0</v>
      </c>
      <c r="AJ532" s="61">
        <f>'Filter-new'!L603</f>
        <v>0</v>
      </c>
      <c r="AK532" s="61"/>
      <c r="AL532" s="61"/>
      <c r="AM532" s="61"/>
      <c r="AN532" s="61"/>
      <c r="AO532" s="45">
        <f>'Filter-old'!G603</f>
        <v>0</v>
      </c>
      <c r="AP532" s="61">
        <f>'Filter-new'!G604</f>
        <v>0</v>
      </c>
      <c r="AQ532" s="61"/>
      <c r="AR532" s="61"/>
      <c r="AS532" s="45"/>
      <c r="AT532" s="61"/>
      <c r="AU532" s="61"/>
      <c r="AV532" s="61"/>
      <c r="AW532" s="45">
        <f>'Filter-old'!I603</f>
        <v>0</v>
      </c>
      <c r="AX532" s="61">
        <f>'Filter-new'!I604</f>
        <v>0</v>
      </c>
      <c r="AY532" s="61"/>
      <c r="AZ532" s="61"/>
      <c r="BA532" s="61"/>
      <c r="BB532" s="61"/>
      <c r="BC532" s="45">
        <f>'Filter-old'!K603</f>
        <v>0</v>
      </c>
      <c r="BD532" s="61">
        <f>'Filter-new'!K604</f>
        <v>0</v>
      </c>
      <c r="BE532" s="61"/>
      <c r="BF532" s="61"/>
      <c r="BG532" s="45">
        <f>'Filter-old'!M603</f>
        <v>0</v>
      </c>
      <c r="BH532" s="61"/>
      <c r="BI532" s="61"/>
      <c r="BJ532" s="61">
        <f>'Filter-new'!M603</f>
        <v>0</v>
      </c>
      <c r="BK532" s="61"/>
      <c r="BL532" s="61"/>
      <c r="BM532" s="61"/>
      <c r="BN532" s="406"/>
      <c r="BO532" s="61"/>
      <c r="BP532" s="61"/>
      <c r="BQ532" s="45">
        <f>'Filter-old'!O603</f>
        <v>0</v>
      </c>
      <c r="BR532" s="61">
        <f>'Filter-new'!O604</f>
        <v>0</v>
      </c>
      <c r="BS532" s="61"/>
      <c r="BT532" s="61"/>
      <c r="BU532" s="45">
        <f>'Filter-old'!Q603</f>
        <v>0</v>
      </c>
      <c r="BV532" s="61">
        <f>'Filter-new'!Q604</f>
        <v>0</v>
      </c>
      <c r="BW532" s="61"/>
      <c r="BX532" s="61"/>
      <c r="BY532" s="61"/>
      <c r="BZ532" s="61"/>
      <c r="CA532" s="45">
        <f>'Filter-old'!R603</f>
        <v>0</v>
      </c>
      <c r="CB532" s="61">
        <f>'Filter-new'!R604</f>
        <v>0</v>
      </c>
      <c r="CC532" s="57"/>
      <c r="CD532" s="58"/>
      <c r="CE532" s="57"/>
      <c r="CF532" s="57"/>
      <c r="CG532" s="4"/>
    </row>
    <row r="533" spans="1:85" hidden="1" x14ac:dyDescent="0.2">
      <c r="A533">
        <v>0</v>
      </c>
      <c r="B533" s="59">
        <v>40330</v>
      </c>
      <c r="C533" s="59">
        <f t="shared" si="73"/>
        <v>40330</v>
      </c>
      <c r="D533" s="60">
        <f t="shared" si="67"/>
        <v>2010</v>
      </c>
      <c r="E533" s="60">
        <f>VLOOKUP($C533,calendar!$A$2:$D$121,4,FALSE)</f>
        <v>352</v>
      </c>
      <c r="F533" s="60"/>
      <c r="G533" s="36">
        <f t="shared" si="71"/>
        <v>-21200</v>
      </c>
      <c r="H533" s="36">
        <f t="shared" si="72"/>
        <v>-20400</v>
      </c>
      <c r="I533" s="36"/>
      <c r="J533" s="41"/>
      <c r="K533" s="45">
        <f>'Filter-old'!E604</f>
        <v>0</v>
      </c>
      <c r="L533" s="61">
        <f>'Filter-new'!E605</f>
        <v>0</v>
      </c>
      <c r="M533" s="61"/>
      <c r="N533" s="61"/>
      <c r="O533" s="429"/>
      <c r="P533" s="61"/>
      <c r="Q533" s="45">
        <f>'Filter-old'!H604</f>
        <v>-21200</v>
      </c>
      <c r="R533" s="61">
        <f>'Filter-new'!H605</f>
        <v>-20400</v>
      </c>
      <c r="S533" s="61"/>
      <c r="T533" s="61"/>
      <c r="U533" s="445"/>
      <c r="V533" s="61"/>
      <c r="W533" s="45">
        <f>'Filter-old'!J604</f>
        <v>0</v>
      </c>
      <c r="X533" s="61">
        <f>'Filter-new'!J605</f>
        <v>0</v>
      </c>
      <c r="Y533" s="61"/>
      <c r="Z533" s="61"/>
      <c r="AA533" s="45">
        <f>'Filter-old'!F604</f>
        <v>0</v>
      </c>
      <c r="AB533" s="61">
        <f>'Filter-new'!F604</f>
        <v>0</v>
      </c>
      <c r="AC533" s="61"/>
      <c r="AD533" s="61"/>
      <c r="AE533" s="45">
        <f>'Filter-old'!P604</f>
        <v>0</v>
      </c>
      <c r="AF533" s="61">
        <f>'Filter-new'!P604</f>
        <v>0</v>
      </c>
      <c r="AG533" s="61"/>
      <c r="AH533" s="61"/>
      <c r="AI533" s="45">
        <f>'Filter-old'!L604</f>
        <v>0</v>
      </c>
      <c r="AJ533" s="61">
        <f>'Filter-new'!L604</f>
        <v>0</v>
      </c>
      <c r="AK533" s="61"/>
      <c r="AL533" s="61"/>
      <c r="AM533" s="61"/>
      <c r="AN533" s="61"/>
      <c r="AO533" s="45">
        <f>'Filter-old'!G604</f>
        <v>0</v>
      </c>
      <c r="AP533" s="61">
        <f>'Filter-new'!G605</f>
        <v>0</v>
      </c>
      <c r="AQ533" s="61"/>
      <c r="AR533" s="61"/>
      <c r="AS533" s="45"/>
      <c r="AT533" s="61"/>
      <c r="AU533" s="61"/>
      <c r="AV533" s="61"/>
      <c r="AW533" s="45">
        <f>'Filter-old'!I604</f>
        <v>0</v>
      </c>
      <c r="AX533" s="61">
        <f>'Filter-new'!I605</f>
        <v>0</v>
      </c>
      <c r="AY533" s="61"/>
      <c r="AZ533" s="61"/>
      <c r="BA533" s="61"/>
      <c r="BB533" s="61"/>
      <c r="BC533" s="45">
        <f>'Filter-old'!K604</f>
        <v>0</v>
      </c>
      <c r="BD533" s="61">
        <f>'Filter-new'!K605</f>
        <v>0</v>
      </c>
      <c r="BE533" s="61"/>
      <c r="BF533" s="61"/>
      <c r="BG533" s="45">
        <f>'Filter-old'!M604</f>
        <v>0</v>
      </c>
      <c r="BH533" s="61"/>
      <c r="BI533" s="61"/>
      <c r="BJ533" s="61">
        <f>'Filter-new'!M604</f>
        <v>0</v>
      </c>
      <c r="BK533" s="61"/>
      <c r="BL533" s="61"/>
      <c r="BM533" s="61"/>
      <c r="BN533" s="406"/>
      <c r="BO533" s="61"/>
      <c r="BP533" s="61"/>
      <c r="BQ533" s="45">
        <f>'Filter-old'!O604</f>
        <v>0</v>
      </c>
      <c r="BR533" s="61">
        <f>'Filter-new'!O605</f>
        <v>0</v>
      </c>
      <c r="BS533" s="61"/>
      <c r="BT533" s="61"/>
      <c r="BU533" s="45">
        <f>'Filter-old'!Q604</f>
        <v>0</v>
      </c>
      <c r="BV533" s="61">
        <f>'Filter-new'!Q605</f>
        <v>0</v>
      </c>
      <c r="BW533" s="61"/>
      <c r="BX533" s="61"/>
      <c r="BY533" s="61"/>
      <c r="BZ533" s="61"/>
      <c r="CA533" s="45">
        <f>'Filter-old'!R604</f>
        <v>0</v>
      </c>
      <c r="CB533" s="61">
        <f>'Filter-new'!R605</f>
        <v>0</v>
      </c>
      <c r="CC533" s="57"/>
      <c r="CD533" s="58"/>
      <c r="CE533" s="57"/>
      <c r="CF533" s="57"/>
      <c r="CG533" s="4"/>
    </row>
    <row r="534" spans="1:85" hidden="1" x14ac:dyDescent="0.2">
      <c r="A534">
        <v>0</v>
      </c>
      <c r="B534" s="59">
        <v>40360</v>
      </c>
      <c r="C534" s="59">
        <f t="shared" si="73"/>
        <v>40360</v>
      </c>
      <c r="D534" s="60">
        <f t="shared" si="67"/>
        <v>2010</v>
      </c>
      <c r="E534" s="60">
        <f>VLOOKUP($C534,calendar!$A$2:$D$121,4,FALSE)</f>
        <v>336</v>
      </c>
      <c r="F534" s="60"/>
      <c r="G534" s="36">
        <f t="shared" si="71"/>
        <v>-18400</v>
      </c>
      <c r="H534" s="36">
        <f t="shared" si="72"/>
        <v>-19600</v>
      </c>
      <c r="I534" s="36"/>
      <c r="J534" s="41"/>
      <c r="K534" s="45">
        <f>'Filter-old'!E605</f>
        <v>0</v>
      </c>
      <c r="L534" s="61">
        <f>'Filter-new'!E606</f>
        <v>0</v>
      </c>
      <c r="M534" s="61"/>
      <c r="N534" s="61"/>
      <c r="O534" s="429"/>
      <c r="P534" s="61"/>
      <c r="Q534" s="45">
        <f>'Filter-old'!H605</f>
        <v>-18400</v>
      </c>
      <c r="R534" s="61">
        <f>'Filter-new'!H606</f>
        <v>-19600</v>
      </c>
      <c r="S534" s="61"/>
      <c r="T534" s="61"/>
      <c r="U534" s="445"/>
      <c r="V534" s="61"/>
      <c r="W534" s="45">
        <f>'Filter-old'!J605</f>
        <v>0</v>
      </c>
      <c r="X534" s="61">
        <f>'Filter-new'!J606</f>
        <v>0</v>
      </c>
      <c r="Y534" s="61"/>
      <c r="Z534" s="61"/>
      <c r="AA534" s="45">
        <f>'Filter-old'!F605</f>
        <v>0</v>
      </c>
      <c r="AB534" s="61">
        <f>'Filter-new'!F605</f>
        <v>0</v>
      </c>
      <c r="AC534" s="61"/>
      <c r="AD534" s="61"/>
      <c r="AE534" s="45">
        <f>'Filter-old'!P605</f>
        <v>0</v>
      </c>
      <c r="AF534" s="61">
        <f>'Filter-new'!P605</f>
        <v>0</v>
      </c>
      <c r="AG534" s="61"/>
      <c r="AH534" s="61"/>
      <c r="AI534" s="45">
        <f>'Filter-old'!L605</f>
        <v>0</v>
      </c>
      <c r="AJ534" s="61">
        <f>'Filter-new'!L605</f>
        <v>0</v>
      </c>
      <c r="AK534" s="61"/>
      <c r="AL534" s="61"/>
      <c r="AM534" s="61"/>
      <c r="AN534" s="61"/>
      <c r="AO534" s="45">
        <f>'Filter-old'!G605</f>
        <v>0</v>
      </c>
      <c r="AP534" s="61">
        <f>'Filter-new'!G606</f>
        <v>0</v>
      </c>
      <c r="AQ534" s="61"/>
      <c r="AR534" s="61"/>
      <c r="AS534" s="45"/>
      <c r="AT534" s="61"/>
      <c r="AU534" s="61"/>
      <c r="AV534" s="61"/>
      <c r="AW534" s="45">
        <f>'Filter-old'!I605</f>
        <v>0</v>
      </c>
      <c r="AX534" s="61">
        <f>'Filter-new'!I606</f>
        <v>0</v>
      </c>
      <c r="AY534" s="61"/>
      <c r="AZ534" s="61"/>
      <c r="BA534" s="61"/>
      <c r="BB534" s="61"/>
      <c r="BC534" s="45">
        <f>'Filter-old'!K605</f>
        <v>0</v>
      </c>
      <c r="BD534" s="61">
        <f>'Filter-new'!K606</f>
        <v>0</v>
      </c>
      <c r="BE534" s="61"/>
      <c r="BF534" s="61"/>
      <c r="BG534" s="45">
        <f>'Filter-old'!M605</f>
        <v>0</v>
      </c>
      <c r="BH534" s="61"/>
      <c r="BI534" s="61"/>
      <c r="BJ534" s="61">
        <f>'Filter-new'!M605</f>
        <v>0</v>
      </c>
      <c r="BK534" s="61"/>
      <c r="BL534" s="61"/>
      <c r="BM534" s="61"/>
      <c r="BN534" s="406"/>
      <c r="BO534" s="61"/>
      <c r="BP534" s="61"/>
      <c r="BQ534" s="45">
        <f>'Filter-old'!O605</f>
        <v>0</v>
      </c>
      <c r="BR534" s="61">
        <f>'Filter-new'!O606</f>
        <v>0</v>
      </c>
      <c r="BS534" s="61"/>
      <c r="BT534" s="61"/>
      <c r="BU534" s="45">
        <f>'Filter-old'!Q605</f>
        <v>0</v>
      </c>
      <c r="BV534" s="61">
        <f>'Filter-new'!Q606</f>
        <v>0</v>
      </c>
      <c r="BW534" s="61"/>
      <c r="BX534" s="61"/>
      <c r="BY534" s="61"/>
      <c r="BZ534" s="61"/>
      <c r="CA534" s="45">
        <f>'Filter-old'!R605</f>
        <v>0</v>
      </c>
      <c r="CB534" s="61">
        <f>'Filter-new'!R606</f>
        <v>0</v>
      </c>
      <c r="CC534" s="57"/>
      <c r="CD534" s="58"/>
      <c r="CE534" s="57"/>
      <c r="CF534" s="57"/>
      <c r="CG534" s="4"/>
    </row>
    <row r="535" spans="1:85" hidden="1" x14ac:dyDescent="0.2">
      <c r="A535">
        <v>0</v>
      </c>
      <c r="B535" s="59">
        <v>40391</v>
      </c>
      <c r="C535" s="59">
        <f t="shared" si="73"/>
        <v>40391</v>
      </c>
      <c r="D535" s="60">
        <f t="shared" si="67"/>
        <v>2010</v>
      </c>
      <c r="E535" s="60">
        <f>VLOOKUP($C535,calendar!$A$2:$D$121,4,FALSE)</f>
        <v>352</v>
      </c>
      <c r="F535" s="60"/>
      <c r="G535" s="36">
        <f t="shared" si="71"/>
        <v>-20400</v>
      </c>
      <c r="H535" s="36">
        <f t="shared" si="72"/>
        <v>-19200</v>
      </c>
      <c r="I535" s="36"/>
      <c r="J535" s="41"/>
      <c r="K535" s="45">
        <f>'Filter-old'!E606</f>
        <v>0</v>
      </c>
      <c r="L535" s="61">
        <f>'Filter-new'!E607</f>
        <v>0</v>
      </c>
      <c r="M535" s="61"/>
      <c r="N535" s="61"/>
      <c r="O535" s="429"/>
      <c r="P535" s="61"/>
      <c r="Q535" s="45">
        <f>'Filter-old'!H606</f>
        <v>-20400</v>
      </c>
      <c r="R535" s="61">
        <f>'Filter-new'!H607</f>
        <v>-19200</v>
      </c>
      <c r="S535" s="61"/>
      <c r="T535" s="61"/>
      <c r="U535" s="445"/>
      <c r="V535" s="61"/>
      <c r="W535" s="45">
        <f>'Filter-old'!J606</f>
        <v>0</v>
      </c>
      <c r="X535" s="61">
        <f>'Filter-new'!J607</f>
        <v>0</v>
      </c>
      <c r="Y535" s="61"/>
      <c r="Z535" s="61"/>
      <c r="AA535" s="45">
        <f>'Filter-old'!F606</f>
        <v>0</v>
      </c>
      <c r="AB535" s="61">
        <f>'Filter-new'!F606</f>
        <v>0</v>
      </c>
      <c r="AC535" s="61"/>
      <c r="AD535" s="61"/>
      <c r="AE535" s="45">
        <f>'Filter-old'!P606</f>
        <v>0</v>
      </c>
      <c r="AF535" s="61">
        <f>'Filter-new'!P606</f>
        <v>0</v>
      </c>
      <c r="AG535" s="61"/>
      <c r="AH535" s="61"/>
      <c r="AI535" s="45">
        <f>'Filter-old'!L606</f>
        <v>0</v>
      </c>
      <c r="AJ535" s="61">
        <f>'Filter-new'!L606</f>
        <v>0</v>
      </c>
      <c r="AK535" s="61"/>
      <c r="AL535" s="61"/>
      <c r="AM535" s="61"/>
      <c r="AN535" s="61"/>
      <c r="AO535" s="45">
        <f>'Filter-old'!G606</f>
        <v>0</v>
      </c>
      <c r="AP535" s="61">
        <f>'Filter-new'!G607</f>
        <v>0</v>
      </c>
      <c r="AQ535" s="61"/>
      <c r="AR535" s="61"/>
      <c r="AS535" s="45"/>
      <c r="AT535" s="61"/>
      <c r="AU535" s="61"/>
      <c r="AV535" s="61"/>
      <c r="AW535" s="45">
        <f>'Filter-old'!I606</f>
        <v>0</v>
      </c>
      <c r="AX535" s="61">
        <f>'Filter-new'!I607</f>
        <v>0</v>
      </c>
      <c r="AY535" s="61"/>
      <c r="AZ535" s="61"/>
      <c r="BA535" s="61"/>
      <c r="BB535" s="61"/>
      <c r="BC535" s="45">
        <f>'Filter-old'!K606</f>
        <v>0</v>
      </c>
      <c r="BD535" s="61">
        <f>'Filter-new'!K607</f>
        <v>0</v>
      </c>
      <c r="BE535" s="61"/>
      <c r="BF535" s="61"/>
      <c r="BG535" s="45">
        <f>'Filter-old'!M606</f>
        <v>0</v>
      </c>
      <c r="BH535" s="61"/>
      <c r="BI535" s="61"/>
      <c r="BJ535" s="61">
        <f>'Filter-new'!M606</f>
        <v>0</v>
      </c>
      <c r="BK535" s="61"/>
      <c r="BL535" s="61"/>
      <c r="BM535" s="61"/>
      <c r="BN535" s="406"/>
      <c r="BO535" s="61"/>
      <c r="BP535" s="61"/>
      <c r="BQ535" s="45">
        <f>'Filter-old'!O606</f>
        <v>0</v>
      </c>
      <c r="BR535" s="61">
        <f>'Filter-new'!O607</f>
        <v>0</v>
      </c>
      <c r="BS535" s="61"/>
      <c r="BT535" s="61"/>
      <c r="BU535" s="45">
        <f>'Filter-old'!Q606</f>
        <v>0</v>
      </c>
      <c r="BV535" s="61">
        <f>'Filter-new'!Q607</f>
        <v>0</v>
      </c>
      <c r="BW535" s="61"/>
      <c r="BX535" s="61"/>
      <c r="BY535" s="61"/>
      <c r="BZ535" s="61"/>
      <c r="CA535" s="45">
        <f>'Filter-old'!R606</f>
        <v>0</v>
      </c>
      <c r="CB535" s="61">
        <f>'Filter-new'!R607</f>
        <v>0</v>
      </c>
      <c r="CC535" s="57"/>
      <c r="CD535" s="58"/>
      <c r="CE535" s="57"/>
      <c r="CF535" s="57"/>
      <c r="CG535" s="4"/>
    </row>
    <row r="536" spans="1:85" hidden="1" x14ac:dyDescent="0.2">
      <c r="A536">
        <v>0</v>
      </c>
      <c r="B536" s="59">
        <v>40422</v>
      </c>
      <c r="C536" s="59">
        <f t="shared" si="73"/>
        <v>40422</v>
      </c>
      <c r="D536" s="60">
        <f t="shared" si="67"/>
        <v>2010</v>
      </c>
      <c r="E536" s="60">
        <f>VLOOKUP($C536,calendar!$A$2:$D$121,4,FALSE)</f>
        <v>336</v>
      </c>
      <c r="F536" s="60"/>
      <c r="G536" s="36">
        <f t="shared" si="71"/>
        <v>-19600</v>
      </c>
      <c r="H536" s="36">
        <f t="shared" si="72"/>
        <v>-20450</v>
      </c>
      <c r="I536" s="36"/>
      <c r="J536" s="41"/>
      <c r="K536" s="45">
        <f>'Filter-old'!E607</f>
        <v>0</v>
      </c>
      <c r="L536" s="61">
        <f>'Filter-new'!E608</f>
        <v>0</v>
      </c>
      <c r="M536" s="61"/>
      <c r="N536" s="61"/>
      <c r="O536" s="429"/>
      <c r="P536" s="61"/>
      <c r="Q536" s="45">
        <f>'Filter-old'!H607</f>
        <v>-19600</v>
      </c>
      <c r="R536" s="61">
        <f>'Filter-new'!H608</f>
        <v>-20450</v>
      </c>
      <c r="S536" s="61"/>
      <c r="T536" s="61"/>
      <c r="U536" s="445"/>
      <c r="V536" s="61"/>
      <c r="W536" s="45">
        <f>'Filter-old'!J607</f>
        <v>0</v>
      </c>
      <c r="X536" s="61">
        <f>'Filter-new'!J608</f>
        <v>0</v>
      </c>
      <c r="Y536" s="61"/>
      <c r="Z536" s="61"/>
      <c r="AA536" s="45">
        <f>'Filter-old'!F607</f>
        <v>0</v>
      </c>
      <c r="AB536" s="61">
        <f>'Filter-new'!F607</f>
        <v>0</v>
      </c>
      <c r="AC536" s="61"/>
      <c r="AD536" s="61"/>
      <c r="AE536" s="45">
        <f>'Filter-old'!P607</f>
        <v>0</v>
      </c>
      <c r="AF536" s="61">
        <f>'Filter-new'!P607</f>
        <v>0</v>
      </c>
      <c r="AG536" s="61"/>
      <c r="AH536" s="61"/>
      <c r="AI536" s="45">
        <f>'Filter-old'!L607</f>
        <v>0</v>
      </c>
      <c r="AJ536" s="61">
        <f>'Filter-new'!L607</f>
        <v>0</v>
      </c>
      <c r="AK536" s="61"/>
      <c r="AL536" s="61"/>
      <c r="AM536" s="61"/>
      <c r="AN536" s="61"/>
      <c r="AO536" s="45">
        <f>'Filter-old'!G607</f>
        <v>0</v>
      </c>
      <c r="AP536" s="61">
        <f>'Filter-new'!G608</f>
        <v>0</v>
      </c>
      <c r="AQ536" s="61"/>
      <c r="AR536" s="61"/>
      <c r="AS536" s="45"/>
      <c r="AT536" s="61"/>
      <c r="AU536" s="61"/>
      <c r="AV536" s="61"/>
      <c r="AW536" s="45">
        <f>'Filter-old'!I607</f>
        <v>0</v>
      </c>
      <c r="AX536" s="61">
        <f>'Filter-new'!I608</f>
        <v>0</v>
      </c>
      <c r="AY536" s="61"/>
      <c r="AZ536" s="61"/>
      <c r="BA536" s="61"/>
      <c r="BB536" s="61"/>
      <c r="BC536" s="45">
        <f>'Filter-old'!K607</f>
        <v>0</v>
      </c>
      <c r="BD536" s="61">
        <f>'Filter-new'!K608</f>
        <v>0</v>
      </c>
      <c r="BE536" s="61"/>
      <c r="BF536" s="61"/>
      <c r="BG536" s="45">
        <f>'Filter-old'!M607</f>
        <v>0</v>
      </c>
      <c r="BH536" s="61"/>
      <c r="BI536" s="61"/>
      <c r="BJ536" s="61">
        <f>'Filter-new'!M607</f>
        <v>0</v>
      </c>
      <c r="BK536" s="61"/>
      <c r="BL536" s="61"/>
      <c r="BM536" s="61"/>
      <c r="BN536" s="406"/>
      <c r="BO536" s="61"/>
      <c r="BP536" s="61"/>
      <c r="BQ536" s="45">
        <f>'Filter-old'!O607</f>
        <v>0</v>
      </c>
      <c r="BR536" s="61">
        <f>'Filter-new'!O608</f>
        <v>0</v>
      </c>
      <c r="BS536" s="61"/>
      <c r="BT536" s="61"/>
      <c r="BU536" s="45">
        <f>'Filter-old'!Q607</f>
        <v>0</v>
      </c>
      <c r="BV536" s="61">
        <f>'Filter-new'!Q608</f>
        <v>0</v>
      </c>
      <c r="BW536" s="61"/>
      <c r="BX536" s="61"/>
      <c r="BY536" s="61"/>
      <c r="BZ536" s="61"/>
      <c r="CA536" s="45">
        <f>'Filter-old'!R607</f>
        <v>0</v>
      </c>
      <c r="CB536" s="61">
        <f>'Filter-new'!R608</f>
        <v>0</v>
      </c>
      <c r="CC536" s="57"/>
      <c r="CD536" s="58"/>
      <c r="CE536" s="57"/>
      <c r="CF536" s="57"/>
      <c r="CG536" s="4"/>
    </row>
    <row r="537" spans="1:85" hidden="1" x14ac:dyDescent="0.2">
      <c r="A537">
        <v>0</v>
      </c>
      <c r="B537" s="59">
        <v>40452</v>
      </c>
      <c r="C537" s="59">
        <f t="shared" si="73"/>
        <v>40452</v>
      </c>
      <c r="D537" s="60">
        <f t="shared" si="67"/>
        <v>2010</v>
      </c>
      <c r="E537" s="60">
        <f>VLOOKUP($C537,calendar!$A$2:$D$121,4,FALSE)</f>
        <v>336</v>
      </c>
      <c r="F537" s="60"/>
      <c r="G537" s="36">
        <f t="shared" si="71"/>
        <v>-19200</v>
      </c>
      <c r="H537" s="36">
        <f t="shared" si="72"/>
        <v>-19200</v>
      </c>
      <c r="I537" s="36"/>
      <c r="J537" s="41"/>
      <c r="K537" s="45">
        <f>'Filter-old'!E608</f>
        <v>0</v>
      </c>
      <c r="L537" s="61">
        <f>'Filter-new'!E609</f>
        <v>0</v>
      </c>
      <c r="M537" s="61"/>
      <c r="N537" s="61"/>
      <c r="O537" s="429"/>
      <c r="P537" s="61"/>
      <c r="Q537" s="45">
        <f>'Filter-old'!H608</f>
        <v>-19200</v>
      </c>
      <c r="R537" s="61">
        <f>'Filter-new'!H609</f>
        <v>-19200</v>
      </c>
      <c r="S537" s="61"/>
      <c r="T537" s="61"/>
      <c r="U537" s="445"/>
      <c r="V537" s="61"/>
      <c r="W537" s="45">
        <f>'Filter-old'!J608</f>
        <v>0</v>
      </c>
      <c r="X537" s="61">
        <f>'Filter-new'!J609</f>
        <v>0</v>
      </c>
      <c r="Y537" s="61"/>
      <c r="Z537" s="61"/>
      <c r="AA537" s="45">
        <f>'Filter-old'!F608</f>
        <v>0</v>
      </c>
      <c r="AB537" s="61">
        <f>'Filter-new'!F608</f>
        <v>0</v>
      </c>
      <c r="AC537" s="61"/>
      <c r="AD537" s="61"/>
      <c r="AE537" s="45">
        <f>'Filter-old'!P608</f>
        <v>0</v>
      </c>
      <c r="AF537" s="61">
        <f>'Filter-new'!P608</f>
        <v>0</v>
      </c>
      <c r="AG537" s="61"/>
      <c r="AH537" s="61"/>
      <c r="AI537" s="45">
        <f>'Filter-old'!L608</f>
        <v>0</v>
      </c>
      <c r="AJ537" s="61">
        <f>'Filter-new'!L608</f>
        <v>0</v>
      </c>
      <c r="AK537" s="61"/>
      <c r="AL537" s="61"/>
      <c r="AM537" s="61"/>
      <c r="AN537" s="61"/>
      <c r="AO537" s="45">
        <f>'Filter-old'!G608</f>
        <v>0</v>
      </c>
      <c r="AP537" s="61">
        <f>'Filter-new'!G609</f>
        <v>0</v>
      </c>
      <c r="AQ537" s="61"/>
      <c r="AR537" s="61"/>
      <c r="AS537" s="45"/>
      <c r="AT537" s="61"/>
      <c r="AU537" s="61"/>
      <c r="AV537" s="61"/>
      <c r="AW537" s="45">
        <f>'Filter-old'!I608</f>
        <v>0</v>
      </c>
      <c r="AX537" s="61">
        <f>'Filter-new'!I609</f>
        <v>0</v>
      </c>
      <c r="AY537" s="61"/>
      <c r="AZ537" s="61"/>
      <c r="BA537" s="61"/>
      <c r="BB537" s="61"/>
      <c r="BC537" s="45">
        <f>'Filter-old'!K608</f>
        <v>0</v>
      </c>
      <c r="BD537" s="61">
        <f>'Filter-new'!K609</f>
        <v>0</v>
      </c>
      <c r="BE537" s="61"/>
      <c r="BF537" s="61"/>
      <c r="BG537" s="45">
        <f>'Filter-old'!M608</f>
        <v>0</v>
      </c>
      <c r="BH537" s="61"/>
      <c r="BI537" s="61"/>
      <c r="BJ537" s="61">
        <f>'Filter-new'!M608</f>
        <v>0</v>
      </c>
      <c r="BK537" s="61"/>
      <c r="BL537" s="61"/>
      <c r="BM537" s="61"/>
      <c r="BN537" s="406"/>
      <c r="BO537" s="61"/>
      <c r="BP537" s="61"/>
      <c r="BQ537" s="45">
        <f>'Filter-old'!O608</f>
        <v>0</v>
      </c>
      <c r="BR537" s="61">
        <f>'Filter-new'!O609</f>
        <v>0</v>
      </c>
      <c r="BS537" s="61"/>
      <c r="BT537" s="61"/>
      <c r="BU537" s="45">
        <f>'Filter-old'!Q608</f>
        <v>0</v>
      </c>
      <c r="BV537" s="61">
        <f>'Filter-new'!Q609</f>
        <v>0</v>
      </c>
      <c r="BW537" s="61"/>
      <c r="BX537" s="61"/>
      <c r="BY537" s="61"/>
      <c r="BZ537" s="61"/>
      <c r="CA537" s="45">
        <f>'Filter-old'!R608</f>
        <v>0</v>
      </c>
      <c r="CB537" s="61">
        <f>'Filter-new'!R609</f>
        <v>0</v>
      </c>
      <c r="CC537" s="57"/>
      <c r="CD537" s="58"/>
      <c r="CE537" s="57"/>
      <c r="CF537" s="57"/>
      <c r="CG537" s="4"/>
    </row>
    <row r="538" spans="1:85" hidden="1" x14ac:dyDescent="0.2">
      <c r="A538">
        <v>0</v>
      </c>
      <c r="B538" s="59">
        <v>40483</v>
      </c>
      <c r="C538" s="59">
        <f t="shared" si="73"/>
        <v>40483</v>
      </c>
      <c r="D538" s="60">
        <f t="shared" si="67"/>
        <v>2010</v>
      </c>
      <c r="E538" s="60">
        <f>VLOOKUP($C538,calendar!$A$2:$D$121,4,FALSE)</f>
        <v>336</v>
      </c>
      <c r="F538" s="60"/>
      <c r="G538" s="36">
        <f t="shared" si="71"/>
        <v>-20450</v>
      </c>
      <c r="H538" s="36">
        <f t="shared" si="72"/>
        <v>-18800</v>
      </c>
      <c r="I538" s="36"/>
      <c r="J538" s="41"/>
      <c r="K538" s="45">
        <f>'Filter-old'!E609</f>
        <v>0</v>
      </c>
      <c r="L538" s="61">
        <f>'Filter-new'!E610</f>
        <v>0</v>
      </c>
      <c r="M538" s="61"/>
      <c r="N538" s="61"/>
      <c r="O538" s="429"/>
      <c r="P538" s="61"/>
      <c r="Q538" s="45">
        <f>'Filter-old'!H609</f>
        <v>-20450</v>
      </c>
      <c r="R538" s="61">
        <f>'Filter-new'!H610</f>
        <v>-18800</v>
      </c>
      <c r="S538" s="61"/>
      <c r="T538" s="61"/>
      <c r="U538" s="445"/>
      <c r="V538" s="61"/>
      <c r="W538" s="45">
        <f>'Filter-old'!J609</f>
        <v>0</v>
      </c>
      <c r="X538" s="61">
        <f>'Filter-new'!J610</f>
        <v>0</v>
      </c>
      <c r="Y538" s="61"/>
      <c r="Z538" s="61"/>
      <c r="AA538" s="45">
        <f>'Filter-old'!F609</f>
        <v>0</v>
      </c>
      <c r="AB538" s="61">
        <f>'Filter-new'!F609</f>
        <v>0</v>
      </c>
      <c r="AC538" s="61"/>
      <c r="AD538" s="61"/>
      <c r="AE538" s="45">
        <f>'Filter-old'!P609</f>
        <v>0</v>
      </c>
      <c r="AF538" s="61">
        <f>'Filter-new'!P609</f>
        <v>0</v>
      </c>
      <c r="AG538" s="61"/>
      <c r="AH538" s="61"/>
      <c r="AI538" s="45">
        <f>'Filter-old'!L609</f>
        <v>0</v>
      </c>
      <c r="AJ538" s="61">
        <f>'Filter-new'!L609</f>
        <v>0</v>
      </c>
      <c r="AK538" s="61"/>
      <c r="AL538" s="61"/>
      <c r="AM538" s="61"/>
      <c r="AN538" s="61"/>
      <c r="AO538" s="45">
        <f>'Filter-old'!G609</f>
        <v>0</v>
      </c>
      <c r="AP538" s="61">
        <f>'Filter-new'!G610</f>
        <v>0</v>
      </c>
      <c r="AQ538" s="61"/>
      <c r="AR538" s="61"/>
      <c r="AS538" s="45"/>
      <c r="AT538" s="61"/>
      <c r="AU538" s="61"/>
      <c r="AV538" s="61"/>
      <c r="AW538" s="45">
        <f>'Filter-old'!I609</f>
        <v>0</v>
      </c>
      <c r="AX538" s="61">
        <f>'Filter-new'!I610</f>
        <v>0</v>
      </c>
      <c r="AY538" s="61"/>
      <c r="AZ538" s="61"/>
      <c r="BA538" s="61"/>
      <c r="BB538" s="61"/>
      <c r="BC538" s="45">
        <f>'Filter-old'!K609</f>
        <v>0</v>
      </c>
      <c r="BD538" s="61">
        <f>'Filter-new'!K610</f>
        <v>0</v>
      </c>
      <c r="BE538" s="61"/>
      <c r="BF538" s="61"/>
      <c r="BG538" s="45">
        <f>'Filter-old'!M609</f>
        <v>0</v>
      </c>
      <c r="BH538" s="61"/>
      <c r="BI538" s="61"/>
      <c r="BJ538" s="61">
        <f>'Filter-new'!M609</f>
        <v>0</v>
      </c>
      <c r="BK538" s="61"/>
      <c r="BL538" s="61"/>
      <c r="BM538" s="61"/>
      <c r="BN538" s="406"/>
      <c r="BO538" s="61"/>
      <c r="BP538" s="61"/>
      <c r="BQ538" s="45">
        <f>'Filter-old'!O609</f>
        <v>0</v>
      </c>
      <c r="BR538" s="61">
        <f>'Filter-new'!O610</f>
        <v>0</v>
      </c>
      <c r="BS538" s="61"/>
      <c r="BT538" s="61"/>
      <c r="BU538" s="45">
        <f>'Filter-old'!Q609</f>
        <v>0</v>
      </c>
      <c r="BV538" s="61">
        <f>'Filter-new'!Q610</f>
        <v>0</v>
      </c>
      <c r="BW538" s="61"/>
      <c r="BX538" s="61"/>
      <c r="BY538" s="61"/>
      <c r="BZ538" s="61"/>
      <c r="CA538" s="45">
        <f>'Filter-old'!R609</f>
        <v>0</v>
      </c>
      <c r="CB538" s="61">
        <f>'Filter-new'!R610</f>
        <v>0</v>
      </c>
      <c r="CC538" s="57"/>
      <c r="CD538" s="58"/>
      <c r="CE538" s="57"/>
      <c r="CF538" s="57"/>
      <c r="CG538" s="4"/>
    </row>
    <row r="539" spans="1:85" hidden="1" x14ac:dyDescent="0.2">
      <c r="A539">
        <v>0</v>
      </c>
      <c r="B539" s="59">
        <v>40513</v>
      </c>
      <c r="C539" s="59">
        <f t="shared" si="73"/>
        <v>40513</v>
      </c>
      <c r="D539" s="60">
        <f t="shared" si="67"/>
        <v>2010</v>
      </c>
      <c r="E539" s="60">
        <f>VLOOKUP($C539,calendar!$A$2:$D$121,4,FALSE)</f>
        <v>368</v>
      </c>
      <c r="F539" s="60"/>
      <c r="G539" s="36">
        <f t="shared" si="71"/>
        <v>-19200</v>
      </c>
      <c r="H539" s="36">
        <f t="shared" si="72"/>
        <v>-3454404</v>
      </c>
      <c r="I539" s="36"/>
      <c r="J539" s="41"/>
      <c r="K539" s="45">
        <f>'Filter-old'!E610</f>
        <v>0</v>
      </c>
      <c r="L539" s="61">
        <f>'Filter-new'!E611</f>
        <v>-125902</v>
      </c>
      <c r="M539" s="61"/>
      <c r="N539" s="61"/>
      <c r="O539" s="429"/>
      <c r="P539" s="61"/>
      <c r="Q539" s="45">
        <f>'Filter-old'!H610</f>
        <v>-19200</v>
      </c>
      <c r="R539" s="61">
        <f>'Filter-new'!H611</f>
        <v>-1963952</v>
      </c>
      <c r="S539" s="61"/>
      <c r="T539" s="61"/>
      <c r="U539" s="445"/>
      <c r="V539" s="61"/>
      <c r="W539" s="45">
        <f>'Filter-old'!J610</f>
        <v>0</v>
      </c>
      <c r="X539" s="61">
        <f>'Filter-new'!J611</f>
        <v>0</v>
      </c>
      <c r="Y539" s="61"/>
      <c r="Z539" s="61"/>
      <c r="AA539" s="45">
        <f>'Filter-old'!F610</f>
        <v>0</v>
      </c>
      <c r="AB539" s="61">
        <f>'Filter-new'!F610</f>
        <v>0</v>
      </c>
      <c r="AC539" s="61"/>
      <c r="AD539" s="61"/>
      <c r="AE539" s="45">
        <f>'Filter-old'!P610</f>
        <v>0</v>
      </c>
      <c r="AF539" s="61">
        <f>'Filter-new'!P610</f>
        <v>0</v>
      </c>
      <c r="AG539" s="61"/>
      <c r="AH539" s="61"/>
      <c r="AI539" s="45">
        <f>'Filter-old'!L610</f>
        <v>0</v>
      </c>
      <c r="AJ539" s="61">
        <f>'Filter-new'!L610</f>
        <v>0</v>
      </c>
      <c r="AK539" s="61"/>
      <c r="AL539" s="61"/>
      <c r="AM539" s="61"/>
      <c r="AN539" s="61"/>
      <c r="AO539" s="45">
        <f>'Filter-old'!G610</f>
        <v>0</v>
      </c>
      <c r="AP539" s="61">
        <f>'Filter-new'!G611</f>
        <v>0</v>
      </c>
      <c r="AQ539" s="61"/>
      <c r="AR539" s="61"/>
      <c r="AS539" s="45"/>
      <c r="AT539" s="61"/>
      <c r="AU539" s="61"/>
      <c r="AV539" s="61"/>
      <c r="AW539" s="45">
        <f>'Filter-old'!I610</f>
        <v>0</v>
      </c>
      <c r="AX539" s="61">
        <f>'Filter-new'!I611</f>
        <v>-468400</v>
      </c>
      <c r="AY539" s="61"/>
      <c r="AZ539" s="61"/>
      <c r="BA539" s="61"/>
      <c r="BB539" s="61"/>
      <c r="BC539" s="45">
        <f>'Filter-old'!K610</f>
        <v>0</v>
      </c>
      <c r="BD539" s="61">
        <f>'Filter-new'!K611</f>
        <v>-468000</v>
      </c>
      <c r="BE539" s="61"/>
      <c r="BF539" s="61"/>
      <c r="BG539" s="45">
        <f>'Filter-old'!M610</f>
        <v>0</v>
      </c>
      <c r="BH539" s="61"/>
      <c r="BI539" s="61"/>
      <c r="BJ539" s="61">
        <f>'Filter-new'!M610</f>
        <v>0</v>
      </c>
      <c r="BK539" s="61"/>
      <c r="BL539" s="61"/>
      <c r="BM539" s="61"/>
      <c r="BN539" s="406"/>
      <c r="BO539" s="61"/>
      <c r="BP539" s="61"/>
      <c r="BQ539" s="45">
        <f>'Filter-old'!O610</f>
        <v>0</v>
      </c>
      <c r="BR539" s="61">
        <f>'Filter-new'!O611</f>
        <v>0</v>
      </c>
      <c r="BS539" s="61"/>
      <c r="BT539" s="61"/>
      <c r="BU539" s="45">
        <f>'Filter-old'!Q610</f>
        <v>0</v>
      </c>
      <c r="BV539" s="61">
        <f>'Filter-new'!Q611</f>
        <v>-99000</v>
      </c>
      <c r="BW539" s="61"/>
      <c r="BX539" s="61"/>
      <c r="BY539" s="61"/>
      <c r="BZ539" s="61"/>
      <c r="CA539" s="45">
        <f>'Filter-old'!R610</f>
        <v>0</v>
      </c>
      <c r="CB539" s="61">
        <f>'Filter-new'!R611</f>
        <v>-329150</v>
      </c>
      <c r="CC539" s="57"/>
      <c r="CD539" s="58"/>
      <c r="CE539" s="57"/>
      <c r="CF539" s="57"/>
      <c r="CG539" s="4"/>
    </row>
    <row r="540" spans="1:85" hidden="1" x14ac:dyDescent="0.2">
      <c r="A540">
        <v>0</v>
      </c>
      <c r="B540" s="81"/>
      <c r="C540" s="81"/>
      <c r="D540" s="57"/>
      <c r="E540" s="57"/>
      <c r="F540" s="57"/>
      <c r="G540" s="36"/>
      <c r="H540" s="36"/>
      <c r="I540" s="36"/>
      <c r="J540" s="41"/>
      <c r="K540" s="41"/>
      <c r="L540" s="62"/>
      <c r="M540" s="62"/>
      <c r="N540" s="62"/>
      <c r="O540" s="429"/>
      <c r="P540" s="62"/>
      <c r="Q540" s="41"/>
      <c r="R540" s="62"/>
      <c r="S540" s="62"/>
      <c r="T540" s="62"/>
      <c r="U540" s="445"/>
      <c r="V540" s="62"/>
      <c r="W540" s="41"/>
      <c r="X540" s="62"/>
      <c r="Y540" s="62"/>
      <c r="Z540" s="62"/>
      <c r="AA540" s="41"/>
      <c r="AB540" s="62"/>
      <c r="AC540" s="62"/>
      <c r="AD540" s="62"/>
      <c r="AE540" s="41"/>
      <c r="AF540" s="62"/>
      <c r="AG540" s="62"/>
      <c r="AH540" s="62"/>
      <c r="AI540" s="41"/>
      <c r="AJ540" s="62"/>
      <c r="AK540" s="62"/>
      <c r="AL540" s="62"/>
      <c r="AM540" s="62"/>
      <c r="AN540" s="62"/>
      <c r="AO540" s="41"/>
      <c r="AP540" s="62"/>
      <c r="AQ540" s="62"/>
      <c r="AR540" s="62"/>
      <c r="AS540" s="41"/>
      <c r="AT540" s="62"/>
      <c r="AU540" s="62"/>
      <c r="AV540" s="62"/>
      <c r="AW540" s="41"/>
      <c r="AX540" s="62"/>
      <c r="AY540" s="62"/>
      <c r="AZ540" s="62"/>
      <c r="BA540" s="62"/>
      <c r="BB540" s="62"/>
      <c r="BC540" s="41"/>
      <c r="BD540" s="62"/>
      <c r="BE540" s="62"/>
      <c r="BF540" s="62"/>
      <c r="BG540" s="41"/>
      <c r="BH540" s="57"/>
      <c r="BI540" s="57"/>
      <c r="BJ540" s="62"/>
      <c r="BK540" s="62"/>
      <c r="BL540" s="62"/>
      <c r="BM540" s="62"/>
      <c r="BN540" s="406"/>
      <c r="BO540" s="62"/>
      <c r="BP540" s="62"/>
      <c r="BQ540" s="41"/>
      <c r="BR540" s="62"/>
      <c r="BS540" s="62"/>
      <c r="BT540" s="62"/>
      <c r="BU540" s="41"/>
      <c r="BV540" s="62"/>
      <c r="BW540" s="62"/>
      <c r="BX540" s="62"/>
      <c r="BY540" s="62"/>
      <c r="BZ540" s="62"/>
      <c r="CA540" s="41"/>
      <c r="CB540" s="57"/>
      <c r="CC540" s="57"/>
      <c r="CD540" s="58"/>
      <c r="CE540" s="57"/>
      <c r="CF540" s="57"/>
      <c r="CG540" s="4"/>
    </row>
    <row r="541" spans="1:85" s="5" customFormat="1" x14ac:dyDescent="0.2">
      <c r="A541" s="5">
        <v>1</v>
      </c>
      <c r="B541" s="71" t="s">
        <v>70</v>
      </c>
      <c r="C541" s="71" t="s">
        <v>70</v>
      </c>
      <c r="D541" s="73"/>
      <c r="E541" s="73"/>
      <c r="F541" s="73"/>
      <c r="G541" s="39"/>
      <c r="H541" s="39"/>
      <c r="I541" s="39"/>
      <c r="J541" s="43"/>
      <c r="K541" s="43"/>
      <c r="L541" s="180"/>
      <c r="M541" s="67"/>
      <c r="N541" s="67"/>
      <c r="O541" s="275"/>
      <c r="P541" s="67"/>
      <c r="Q541" s="43"/>
      <c r="R541" s="180"/>
      <c r="S541" s="67"/>
      <c r="T541" s="67"/>
      <c r="U541" s="454"/>
      <c r="V541" s="67"/>
      <c r="W541" s="43"/>
      <c r="X541" s="180"/>
      <c r="Y541" s="67"/>
      <c r="Z541" s="67"/>
      <c r="AA541" s="43"/>
      <c r="AB541" s="180"/>
      <c r="AC541" s="67"/>
      <c r="AD541" s="67"/>
      <c r="AE541" s="43"/>
      <c r="AF541" s="180"/>
      <c r="AG541" s="67"/>
      <c r="AH541" s="67"/>
      <c r="AI541" s="43"/>
      <c r="AJ541" s="180"/>
      <c r="AK541" s="67"/>
      <c r="AL541" s="67"/>
      <c r="AM541" s="67"/>
      <c r="AN541" s="67"/>
      <c r="AO541" s="43"/>
      <c r="AP541" s="180"/>
      <c r="AQ541" s="67"/>
      <c r="AR541" s="67"/>
      <c r="AS541" s="43"/>
      <c r="AT541" s="180"/>
      <c r="AU541" s="67"/>
      <c r="AV541" s="67"/>
      <c r="AW541" s="43"/>
      <c r="AX541" s="180"/>
      <c r="AY541" s="67"/>
      <c r="AZ541" s="67"/>
      <c r="BA541" s="67"/>
      <c r="BB541" s="67"/>
      <c r="BC541" s="43"/>
      <c r="BD541" s="180"/>
      <c r="BE541" s="67"/>
      <c r="BF541" s="67"/>
      <c r="BG541" s="43"/>
      <c r="BH541" s="43"/>
      <c r="BI541" s="43"/>
      <c r="BJ541" s="180"/>
      <c r="BK541" s="67"/>
      <c r="BL541" s="67"/>
      <c r="BM541" s="67"/>
      <c r="BN541" s="419"/>
      <c r="BO541" s="67"/>
      <c r="BP541" s="67"/>
      <c r="BQ541" s="43"/>
      <c r="BR541" s="180"/>
      <c r="BS541" s="67"/>
      <c r="BT541" s="67"/>
      <c r="BU541" s="43"/>
      <c r="BV541" s="180"/>
      <c r="BW541" s="67"/>
      <c r="BX541" s="67"/>
      <c r="BY541" s="67"/>
      <c r="BZ541" s="67"/>
      <c r="CA541" s="43"/>
      <c r="CB541" s="43"/>
      <c r="CC541" s="73"/>
      <c r="CD541" s="68"/>
      <c r="CE541" s="73"/>
      <c r="CF541" s="73"/>
      <c r="CG541" s="30"/>
    </row>
    <row r="542" spans="1:85" x14ac:dyDescent="0.2">
      <c r="A542">
        <v>1</v>
      </c>
      <c r="B542" s="92" t="s">
        <v>56</v>
      </c>
      <c r="C542" s="92" t="s">
        <v>56</v>
      </c>
      <c r="D542" s="63"/>
      <c r="E542" s="63"/>
      <c r="F542" s="63"/>
      <c r="G542" s="36">
        <f>SUMIF($D$420:$D$539,"2001",G$420:G$539)/SUMIF($D$420:$D$539,"2001",$E$420:$E$539)</f>
        <v>223.32071596244131</v>
      </c>
      <c r="H542" s="36">
        <f>SUMIF($D$420:$D$539,"2001",H$420:H$539)/SUMIF($D$420:$D$539,"2001",$E$420:$E$539)</f>
        <v>-27.119718309859156</v>
      </c>
      <c r="I542" s="36"/>
      <c r="J542" s="41"/>
      <c r="K542" s="36">
        <f>SUMIF($D$420:$D$539,"2001",K$420:K$539)/SUMIF($D$420:$D$539,"2001",$E$420:$E$539)</f>
        <v>218.17106807511738</v>
      </c>
      <c r="L542" s="36">
        <f>SUMIF($D$420:$D$539,"2001",L$420:L$539)/SUMIF($D$420:$D$539,"2001",$E$420:$E$539)</f>
        <v>-19.960093896713616</v>
      </c>
      <c r="M542" s="61"/>
      <c r="N542" s="61"/>
      <c r="O542" s="271"/>
      <c r="P542" s="61"/>
      <c r="Q542" s="36">
        <f>SUMIF($D$420:$D$539,"2001",Q$420:Q$539)/SUMIF($D$420:$D$539,"2001",$E$420:$E$539)</f>
        <v>-27.596830985915492</v>
      </c>
      <c r="R542" s="36">
        <f>SUMIF($D$420:$D$539,"2001",R$420:R$539)/SUMIF($D$420:$D$539,"2001",$E$420:$E$539)</f>
        <v>-1.408450704225352</v>
      </c>
      <c r="S542" s="61"/>
      <c r="T542" s="61"/>
      <c r="U542" s="445"/>
      <c r="V542" s="61"/>
      <c r="W542" s="36">
        <f>SUMIF($D$420:$D$539,"2001",W$420:W$539)/SUMIF($D$420:$D$539,"2001",$E$420:$E$539)</f>
        <v>23.708920187793428</v>
      </c>
      <c r="X542" s="36">
        <f>SUMIF($D$420:$D$539,"2001",X$420:X$539)/SUMIF($D$420:$D$539,"2001",$E$420:$E$539)</f>
        <v>0</v>
      </c>
      <c r="Y542" s="61"/>
      <c r="Z542" s="61"/>
      <c r="AA542" s="36">
        <f>SUMIF($D$420:$D$539,"2001",AA$420:AA$539)/SUMIF($D$420:$D$539,"2001",$E$420:$E$539)</f>
        <v>0</v>
      </c>
      <c r="AB542" s="36">
        <f>SUMIF($D$420:$D$539,"2001",AB$420:AB$539)/SUMIF($D$420:$D$539,"2001",$E$420:$E$539)</f>
        <v>0</v>
      </c>
      <c r="AC542" s="61"/>
      <c r="AD542" s="61"/>
      <c r="AE542" s="36">
        <f>SUMIF($D$420:$D$539,"2001",AE$420:AE$539)/SUMIF($D$420:$D$539,"2001",$E$420:$E$539)</f>
        <v>0</v>
      </c>
      <c r="AF542" s="36">
        <f>SUMIF($D$420:$D$539,"2001",AF$420:AF$539)/SUMIF($D$420:$D$539,"2001",$E$420:$E$539)</f>
        <v>0</v>
      </c>
      <c r="AG542" s="61"/>
      <c r="AH542" s="61"/>
      <c r="AI542" s="36">
        <f>SUMIF($D$420:$D$539,"2001",AI$420:AI$539)/SUMIF($D$420:$D$539,"2001",$E$420:$E$539)</f>
        <v>-16.901408450704224</v>
      </c>
      <c r="AJ542" s="36">
        <f>SUMIF($D$420:$D$539,"2001",AJ$420:AJ$539)/SUMIF($D$420:$D$539,"2001",$E$420:$E$539)</f>
        <v>0</v>
      </c>
      <c r="AK542" s="61"/>
      <c r="AL542" s="61"/>
      <c r="AM542" s="61"/>
      <c r="AN542" s="61"/>
      <c r="AO542" s="36">
        <f>SUMIF($D$420:$D$539,"2001",AO$420:AO$539)/SUMIF($D$420:$D$539,"2001",$E$420:$E$539)</f>
        <v>0</v>
      </c>
      <c r="AP542" s="36">
        <f>SUMIF($D$420:$D$539,"2001",AP$420:AP$539)/SUMIF($D$420:$D$539,"2001",$E$420:$E$539)</f>
        <v>0</v>
      </c>
      <c r="AQ542" s="61"/>
      <c r="AR542" s="61"/>
      <c r="AS542" s="36"/>
      <c r="AT542" s="36">
        <f t="shared" ref="AT542:AT551" si="74">AX542+BD542+BR542+BV542+CB542</f>
        <v>-5.751173708920188</v>
      </c>
      <c r="AU542" s="61"/>
      <c r="AV542" s="61"/>
      <c r="AW542" s="36">
        <f>SUMIF($D$420:$D$539,"2001",AW$420:AW$539)/SUMIF($D$420:$D$539,"2001",$E$420:$E$539)</f>
        <v>0</v>
      </c>
      <c r="AX542" s="36">
        <f>SUMIF($D$420:$D$539,"2001",AX$420:AX$539)/SUMIF($D$420:$D$539,"2001",$E$420:$E$539)</f>
        <v>5.751173708920188</v>
      </c>
      <c r="AY542" s="61"/>
      <c r="AZ542" s="61"/>
      <c r="BA542" s="61"/>
      <c r="BB542" s="61"/>
      <c r="BC542" s="36">
        <f>SUMIF($D$420:$D$539,"2001",BC$420:BC$539)/SUMIF($D$420:$D$539,"2001",$E$420:$E$539)</f>
        <v>0</v>
      </c>
      <c r="BD542" s="36">
        <f>SUMIF($D$420:$D$539,"2001",BD$420:BD$539)/SUMIF($D$420:$D$539,"2001",$E$420:$E$539)</f>
        <v>-11.502347417840376</v>
      </c>
      <c r="BE542" s="61"/>
      <c r="BF542" s="61"/>
      <c r="BG542" s="36">
        <f>SUMIF($D$420:$D$539,"2001",BG$420:BG$539)/SUMIF($D$420:$D$539,"2001",$E$420:$E$539)</f>
        <v>0</v>
      </c>
      <c r="BH542" s="36"/>
      <c r="BI542" s="36"/>
      <c r="BJ542" s="36">
        <f>SUMIF($D$420:$D$539,"2001",BJ$420:BJ$539)/SUMIF($D$420:$D$539,"2001",$E$420:$E$539)</f>
        <v>0</v>
      </c>
      <c r="BK542" s="61"/>
      <c r="BL542" s="61"/>
      <c r="BM542" s="61"/>
      <c r="BN542" s="406"/>
      <c r="BO542" s="61"/>
      <c r="BP542" s="61"/>
      <c r="BQ542" s="36">
        <f>SUMIF($D$420:$D$539,"2001",BQ$420:BQ$539)/SUMIF($D$420:$D$539,"2001",$E$420:$E$539)</f>
        <v>0</v>
      </c>
      <c r="BR542" s="36">
        <f>SUMIF($D$420:$D$539,"2001",BR$420:BR$539)/SUMIF($D$420:$D$539,"2001",$E$420:$E$539)</f>
        <v>0</v>
      </c>
      <c r="BS542" s="61"/>
      <c r="BT542" s="61"/>
      <c r="BU542" s="36">
        <f>SUMIF($D$420:$D$539,"2001",BU$420:BU$539)/SUMIF($D$420:$D$539,"2001",$E$420:$E$539)</f>
        <v>33.230633802816904</v>
      </c>
      <c r="BV542" s="36">
        <f>SUMIF($D$420:$D$539,"2001",BV$420:BV$539)/SUMIF($D$420:$D$539,"2001",$E$420:$E$539)</f>
        <v>5.28169014084507</v>
      </c>
      <c r="BW542" s="61"/>
      <c r="BX542" s="61"/>
      <c r="BY542" s="61"/>
      <c r="BZ542" s="61"/>
      <c r="CA542" s="36">
        <f>SUMIF($D$420:$D$539,"2001",CA$420:CA$539)/SUMIF($D$420:$D$539,"2001",$E$420:$E$539)</f>
        <v>-7.291666666666667</v>
      </c>
      <c r="CB542" s="36">
        <f>SUMIF($D$420:$D$539,"2001",CB$420:CB$539)/SUMIF($D$420:$D$539,"2001",$E$420:$E$539)</f>
        <v>-5.28169014084507</v>
      </c>
      <c r="CC542" s="61"/>
      <c r="CD542" s="58"/>
      <c r="CE542" s="57"/>
      <c r="CF542" s="57"/>
      <c r="CG542" s="4"/>
    </row>
    <row r="543" spans="1:85" s="35" customFormat="1" x14ac:dyDescent="0.2">
      <c r="A543" s="35">
        <v>1</v>
      </c>
      <c r="B543" s="94" t="s">
        <v>57</v>
      </c>
      <c r="C543" s="94" t="s">
        <v>57</v>
      </c>
      <c r="D543" s="64"/>
      <c r="E543" s="64"/>
      <c r="F543" s="64"/>
      <c r="G543" s="37">
        <f>SUMIF($D$420:$D$539,"2002",G$420:G$539)/SUMIF($D$420:$D$539,"2002",$E$420:$E$539)</f>
        <v>-371.50588235294117</v>
      </c>
      <c r="H543" s="37">
        <f>SUMIF($D$420:$D$539,"2002",H$420:H$539)/SUMIF($D$420:$D$539,"2002",$E$420:$E$539)</f>
        <v>-302.76960784313724</v>
      </c>
      <c r="I543" s="37"/>
      <c r="J543" s="42"/>
      <c r="K543" s="37">
        <f>SUMIF($D$420:$D$539,"2002",K$420:K$539)/SUMIF($D$420:$D$539,"2002",$E$420:$E$539)</f>
        <v>-51.603921568627449</v>
      </c>
      <c r="L543" s="37">
        <f>SUMIF($D$420:$D$539,"2002",L$420:L$539)/SUMIF($D$420:$D$539,"2002",$E$420:$E$539)</f>
        <v>-169.48774509803923</v>
      </c>
      <c r="M543" s="65"/>
      <c r="N543" s="65"/>
      <c r="O543" s="272"/>
      <c r="P543" s="65"/>
      <c r="Q543" s="37">
        <f>SUMIF($D$420:$D$539,"2002",Q$420:Q$539)/SUMIF($D$420:$D$539,"2002",$E$420:$E$539)</f>
        <v>-215.19607843137254</v>
      </c>
      <c r="R543" s="37">
        <f>SUMIF($D$420:$D$539,"2002",R$420:R$539)/SUMIF($D$420:$D$539,"2002",$E$420:$E$539)</f>
        <v>-85.392156862745097</v>
      </c>
      <c r="S543" s="65"/>
      <c r="T543" s="65"/>
      <c r="U543" s="451"/>
      <c r="V543" s="65"/>
      <c r="W543" s="37">
        <f>SUMIF($D$420:$D$539,"2002",W$420:W$539)/SUMIF($D$420:$D$539,"2002",$E$420:$E$539)</f>
        <v>0</v>
      </c>
      <c r="X543" s="37">
        <f>SUMIF($D$420:$D$539,"2002",X$420:X$539)/SUMIF($D$420:$D$539,"2002",$E$420:$E$539)</f>
        <v>0</v>
      </c>
      <c r="Y543" s="65"/>
      <c r="Z543" s="65"/>
      <c r="AA543" s="37">
        <f>SUMIF($D$420:$D$539,"2002",AA$420:AA$539)/SUMIF($D$420:$D$539,"2001",$E$420:$E$539)</f>
        <v>0</v>
      </c>
      <c r="AB543" s="37">
        <f>SUMIF($D$420:$D$539,"2002",AB$420:AB$539)/SUMIF($D$420:$D$539,"2001",$E$420:$E$539)</f>
        <v>0</v>
      </c>
      <c r="AC543" s="65"/>
      <c r="AD543" s="65"/>
      <c r="AE543" s="37">
        <f>SUMIF($D$420:$D$539,"2002",AE$420:AE$539)/SUMIF($D$420:$D$539,"2001",$E$420:$E$539)</f>
        <v>0</v>
      </c>
      <c r="AF543" s="37">
        <f>SUMIF($D$420:$D$539,"2002",AF$420:AF$539)/SUMIF($D$420:$D$539,"2001",$E$420:$E$539)</f>
        <v>0</v>
      </c>
      <c r="AG543" s="65"/>
      <c r="AH543" s="65"/>
      <c r="AI543" s="37">
        <f>SUMIF($D$420:$D$539,"2002",AI$420:AI$539)/SUMIF($D$420:$D$539,"2001",$E$420:$E$539)</f>
        <v>0</v>
      </c>
      <c r="AJ543" s="37">
        <f>SUMIF($D$420:$D$539,"2002",AJ$420:AJ$539)/SUMIF($D$420:$D$539,"2001",$E$420:$E$539)</f>
        <v>37.077464788732392</v>
      </c>
      <c r="AK543" s="65"/>
      <c r="AL543" s="65"/>
      <c r="AM543" s="65"/>
      <c r="AN543" s="65"/>
      <c r="AO543" s="37">
        <f>SUMIF($D$420:$D$539,"2002",AO$420:AO$539)/SUMIF($D$420:$D$539,"2001",$E$420:$E$539)</f>
        <v>0</v>
      </c>
      <c r="AP543" s="37">
        <f>SUMIF($D$420:$D$539,"2002",AP$420:AP$539)/SUMIF($D$420:$D$539,"2001",$E$420:$E$539)</f>
        <v>0</v>
      </c>
      <c r="AQ543" s="65"/>
      <c r="AR543" s="65"/>
      <c r="AS543" s="37"/>
      <c r="AT543" s="37">
        <f t="shared" si="74"/>
        <v>-78.860294117647058</v>
      </c>
      <c r="AU543" s="65"/>
      <c r="AV543" s="65"/>
      <c r="AW543" s="37">
        <f>SUMIF($D$420:$D$539,"2002",AW$420:AW$539)/SUMIF($D$420:$D$539,"2002",$E$420:$E$539)</f>
        <v>0</v>
      </c>
      <c r="AX543" s="37">
        <f>SUMIF($D$420:$D$539,"2002",AX$420:AX$539)/SUMIF($D$420:$D$539,"2002",$E$420:$E$539)</f>
        <v>42.941176470588232</v>
      </c>
      <c r="AY543" s="65"/>
      <c r="AZ543" s="65"/>
      <c r="BA543" s="65"/>
      <c r="BB543" s="65"/>
      <c r="BC543" s="37">
        <f>SUMIF($D$420:$D$539,"2002",BC$420:BC$539)/SUMIF($D$420:$D$539,"2002",$E$420:$E$539)</f>
        <v>0</v>
      </c>
      <c r="BD543" s="37">
        <f>SUMIF($D$420:$D$539,"2002",BD$420:BD$539)/SUMIF($D$420:$D$539,"2002",$E$420:$E$539)</f>
        <v>-105.09803921568627</v>
      </c>
      <c r="BE543" s="65"/>
      <c r="BF543" s="65"/>
      <c r="BG543" s="37">
        <f>SUMIF($D$420:$D$539,"2002",BG$420:BG$539)/SUMIF($D$420:$D$539,"2001",$E$420:$E$539)</f>
        <v>0</v>
      </c>
      <c r="BH543" s="37"/>
      <c r="BI543" s="37"/>
      <c r="BJ543" s="37">
        <f>SUMIF($D$420:$D$539,"2002",BJ$420:BJ$539)/SUMIF($D$420:$D$539,"2001",$E$420:$E$539)</f>
        <v>0</v>
      </c>
      <c r="BK543" s="65"/>
      <c r="BL543" s="65"/>
      <c r="BM543" s="65"/>
      <c r="BN543" s="418"/>
      <c r="BO543" s="65"/>
      <c r="BP543" s="65"/>
      <c r="BQ543" s="37">
        <f>SUMIF($D$420:$D$539,"2002",BQ$420:BQ$539)/SUMIF($D$420:$D$539,"2002",$E$420:$E$539)</f>
        <v>0</v>
      </c>
      <c r="BR543" s="37">
        <f>SUMIF($D$420:$D$539,"2002",BR$420:BR$539)/SUMIF($D$420:$D$539,"2002",$E$420:$E$539)</f>
        <v>0</v>
      </c>
      <c r="BS543" s="65"/>
      <c r="BT543" s="65"/>
      <c r="BU543" s="37">
        <f>SUMIF($D$420:$D$539,"2002",BU$420:BU$539)/SUMIF($D$420:$D$539,"2002",$E$420:$E$539)</f>
        <v>5.1960784313725492</v>
      </c>
      <c r="BV543" s="37">
        <f>SUMIF($D$420:$D$539,"2002",BV$420:BV$539)/SUMIF($D$420:$D$539,"2002",$E$420:$E$539)</f>
        <v>-2.4019607843137254</v>
      </c>
      <c r="BW543" s="65"/>
      <c r="BX543" s="65"/>
      <c r="BY543" s="65"/>
      <c r="BZ543" s="65"/>
      <c r="CA543" s="37">
        <f>SUMIF($D$420:$D$539,"2002",CA$420:CA$539)/SUMIF($D$420:$D$539,"2002",$E$420:$E$539)</f>
        <v>-109.90196078431373</v>
      </c>
      <c r="CB543" s="37">
        <f>SUMIF($D$420:$D$539,"2002",CB$420:CB$539)/SUMIF($D$420:$D$539,"2002",$E$420:$E$539)</f>
        <v>-14.301470588235293</v>
      </c>
      <c r="CC543" s="65"/>
      <c r="CD543" s="66"/>
      <c r="CE543" s="221"/>
      <c r="CF543" s="221"/>
      <c r="CG543" s="34"/>
    </row>
    <row r="544" spans="1:85" x14ac:dyDescent="0.2">
      <c r="A544">
        <v>1</v>
      </c>
      <c r="B544" s="92" t="s">
        <v>58</v>
      </c>
      <c r="C544" s="92" t="s">
        <v>58</v>
      </c>
      <c r="D544" s="63"/>
      <c r="E544" s="63"/>
      <c r="F544" s="63"/>
      <c r="G544" s="36">
        <f>SUMIF($D$420:$D$539,"2003",G$420:G$539)/SUMIF($D$420:$D$539,"2003",$E$420:$E$539)</f>
        <v>-355.6843137254902</v>
      </c>
      <c r="H544" s="36">
        <f>SUMIF($D$420:$D$539,"2003",H$420:H$539)/SUMIF($D$420:$D$539,"2003",$E$420:$E$539)</f>
        <v>-361.46862745098036</v>
      </c>
      <c r="I544" s="36"/>
      <c r="J544" s="41"/>
      <c r="K544" s="36">
        <f>SUMIF($D$420:$D$539,"2003",K$420:K$539)/SUMIF($D$420:$D$539,"2003",$E$420:$E$539)</f>
        <v>-298.82156862745097</v>
      </c>
      <c r="L544" s="36">
        <f>SUMIF($D$420:$D$539,"2003",L$420:L$539)/SUMIF($D$420:$D$539,"2003",$E$420:$E$539)</f>
        <v>-251.06666666666666</v>
      </c>
      <c r="M544" s="61"/>
      <c r="N544" s="61"/>
      <c r="O544" s="271"/>
      <c r="P544" s="61"/>
      <c r="Q544" s="36">
        <f>SUMIF($D$420:$D$539,"2003",Q$420:Q$539)/SUMIF($D$420:$D$539,"2003",$E$420:$E$539)</f>
        <v>-73.137254901960787</v>
      </c>
      <c r="R544" s="36">
        <f>SUMIF($D$420:$D$539,"2003",R$420:R$539)/SUMIF($D$420:$D$539,"2003",$E$420:$E$539)</f>
        <v>-52.549019607843135</v>
      </c>
      <c r="S544" s="61"/>
      <c r="T544" s="61"/>
      <c r="U544" s="445"/>
      <c r="V544" s="61"/>
      <c r="W544" s="36">
        <f>SUMIF($D$420:$D$539,"2003",W$420:W$539)/SUMIF($D$420:$D$539,"2003",$E$420:$E$539)</f>
        <v>0</v>
      </c>
      <c r="X544" s="36">
        <f>SUMIF($D$420:$D$539,"2003",X$420:X$539)/SUMIF($D$420:$D$539,"2003",$E$420:$E$539)</f>
        <v>0</v>
      </c>
      <c r="Y544" s="61"/>
      <c r="Z544" s="61"/>
      <c r="AA544" s="36">
        <f>SUMIF($D$420:$D$539,"2003",AA$420:AA$539)/SUMIF($D$420:$D$539,"2001",$E$420:$E$539)</f>
        <v>0</v>
      </c>
      <c r="AB544" s="36">
        <f>SUMIF($D$420:$D$539,"2003",AB$420:AB$539)/SUMIF($D$420:$D$539,"2001",$E$420:$E$539)</f>
        <v>0</v>
      </c>
      <c r="AC544" s="61"/>
      <c r="AD544" s="61"/>
      <c r="AE544" s="36">
        <f>SUMIF($D$420:$D$539,"2003",AE$420:AE$539)/SUMIF($D$420:$D$539,"2001",$E$420:$E$539)</f>
        <v>0</v>
      </c>
      <c r="AF544" s="36">
        <f>SUMIF($D$420:$D$539,"2003",AF$420:AF$539)/SUMIF($D$420:$D$539,"2001",$E$420:$E$539)</f>
        <v>0</v>
      </c>
      <c r="AG544" s="61"/>
      <c r="AH544" s="61"/>
      <c r="AI544" s="36">
        <f>SUMIF($D$420:$D$539,"2003",AI$420:AI$539)/SUMIF($D$420:$D$539,"2001",$E$420:$E$539)</f>
        <v>0</v>
      </c>
      <c r="AJ544" s="36">
        <f>SUMIF($D$420:$D$539,"2003",AJ$420:AJ$539)/SUMIF($D$420:$D$539,"2001",$E$420:$E$539)</f>
        <v>37.077464788732392</v>
      </c>
      <c r="AK544" s="61"/>
      <c r="AL544" s="61"/>
      <c r="AM544" s="61"/>
      <c r="AN544" s="61"/>
      <c r="AO544" s="36">
        <f>SUMIF($D$420:$D$539,"2003",AO$420:AO$539)/SUMIF($D$420:$D$539,"2001",$E$420:$E$539)</f>
        <v>0</v>
      </c>
      <c r="AP544" s="36">
        <f>SUMIF($D$420:$D$539,"2003",AP$420:AP$539)/SUMIF($D$420:$D$539,"2001",$E$420:$E$539)</f>
        <v>0</v>
      </c>
      <c r="AQ544" s="61"/>
      <c r="AR544" s="61"/>
      <c r="AS544" s="36"/>
      <c r="AT544" s="36">
        <f t="shared" si="74"/>
        <v>-88.82352941176471</v>
      </c>
      <c r="AU544" s="61"/>
      <c r="AV544" s="61"/>
      <c r="AW544" s="36">
        <f>SUMIF($D$420:$D$539,"2003",AW$420:AW$539)/SUMIF($D$420:$D$539,"2003",$E$420:$E$539)</f>
        <v>0</v>
      </c>
      <c r="AX544" s="36">
        <f>SUMIF($D$420:$D$539,"2003",AX$420:AX$539)/SUMIF($D$420:$D$539,"2003",$E$420:$E$539)</f>
        <v>-105.09803921568627</v>
      </c>
      <c r="AY544" s="61"/>
      <c r="AZ544" s="61"/>
      <c r="BA544" s="61"/>
      <c r="BB544" s="61"/>
      <c r="BC544" s="36">
        <f>SUMIF($D$420:$D$539,"2003",BC$420:BC$539)/SUMIF($D$420:$D$539,"2003",$E$420:$E$539)</f>
        <v>0</v>
      </c>
      <c r="BD544" s="36">
        <f>SUMIF($D$420:$D$539,"2003",BD$420:BD$539)/SUMIF($D$420:$D$539,"2003",$E$420:$E$539)</f>
        <v>0</v>
      </c>
      <c r="BE544" s="61"/>
      <c r="BF544" s="61"/>
      <c r="BG544" s="36">
        <f>SUMIF($D$420:$D$539,"2003",BG$420:BG$539)/SUMIF($D$420:$D$539,"2001",$E$420:$E$539)</f>
        <v>0</v>
      </c>
      <c r="BH544" s="36"/>
      <c r="BI544" s="36"/>
      <c r="BJ544" s="36">
        <f>SUMIF($D$420:$D$539,"2003",BJ$420:BJ$539)/SUMIF($D$420:$D$539,"2001",$E$420:$E$539)</f>
        <v>0</v>
      </c>
      <c r="BK544" s="61"/>
      <c r="BL544" s="61"/>
      <c r="BM544" s="61"/>
      <c r="BN544" s="406"/>
      <c r="BO544" s="61"/>
      <c r="BP544" s="61"/>
      <c r="BQ544" s="36">
        <f>SUMIF($D$420:$D$539,"2003",BQ$420:BQ$539)/SUMIF($D$420:$D$539,"2003",$E$420:$E$539)</f>
        <v>0</v>
      </c>
      <c r="BR544" s="36">
        <f>SUMIF($D$420:$D$539,"2003",BR$420:BR$539)/SUMIF($D$420:$D$539,"2003",$E$420:$E$539)</f>
        <v>0</v>
      </c>
      <c r="BS544" s="61"/>
      <c r="BT544" s="61"/>
      <c r="BU544" s="36">
        <f>SUMIF($D$420:$D$539,"2003",BU$420:BU$539)/SUMIF($D$420:$D$539,"2003",$E$420:$E$539)</f>
        <v>26.274509803921568</v>
      </c>
      <c r="BV544" s="36">
        <f>SUMIF($D$420:$D$539,"2003",BV$420:BV$539)/SUMIF($D$420:$D$539,"2003",$E$420:$E$539)</f>
        <v>-26.274509803921568</v>
      </c>
      <c r="BW544" s="61"/>
      <c r="BX544" s="61"/>
      <c r="BY544" s="61"/>
      <c r="BZ544" s="61"/>
      <c r="CA544" s="36">
        <f>SUMIF($D$420:$D$539,"2003",CA$420:CA$539)/SUMIF($D$420:$D$539,"2003",$E$420:$E$539)</f>
        <v>-10</v>
      </c>
      <c r="CB544" s="36">
        <f>SUMIF($D$420:$D$539,"2003",CB$420:CB$539)/SUMIF($D$420:$D$539,"2003",$E$420:$E$539)</f>
        <v>42.549019607843135</v>
      </c>
      <c r="CC544" s="61"/>
      <c r="CD544" s="58"/>
      <c r="CE544" s="57"/>
      <c r="CF544" s="57"/>
      <c r="CG544" s="4"/>
    </row>
    <row r="545" spans="1:85" s="35" customFormat="1" x14ac:dyDescent="0.2">
      <c r="A545" s="35">
        <v>1</v>
      </c>
      <c r="B545" s="94" t="s">
        <v>59</v>
      </c>
      <c r="C545" s="94" t="s">
        <v>59</v>
      </c>
      <c r="D545" s="64"/>
      <c r="E545" s="64"/>
      <c r="F545" s="64"/>
      <c r="G545" s="37">
        <f>SUMIF($D$420:$D$539,"2004",G$420:G$539)/SUMIF($D$420:$D$539,"2004",$E$420:$E$539)</f>
        <v>47.379377431906612</v>
      </c>
      <c r="H545" s="37">
        <f>SUMIF($D$420:$D$539,"2004",H$420:H$539)/SUMIF($D$420:$D$539,"2004",$E$420:$E$539)</f>
        <v>41.01556420233463</v>
      </c>
      <c r="I545" s="37"/>
      <c r="J545" s="42"/>
      <c r="K545" s="37">
        <f>SUMIF($D$420:$D$539,"2004",K$420:K$539)/SUMIF($D$420:$D$539,"2004",$E$420:$E$539)</f>
        <v>49.859922178988327</v>
      </c>
      <c r="L545" s="37">
        <f>SUMIF($D$420:$D$539,"2004",L$420:L$539)/SUMIF($D$420:$D$539,"2004",$E$420:$E$539)</f>
        <v>144.71206225680933</v>
      </c>
      <c r="M545" s="65"/>
      <c r="N545" s="65"/>
      <c r="O545" s="272"/>
      <c r="P545" s="65"/>
      <c r="Q545" s="37">
        <f>SUMIF($D$420:$D$539,"2004",Q$420:Q$539)/SUMIF($D$420:$D$539,"2004",$E$420:$E$539)</f>
        <v>-4.863813229571984</v>
      </c>
      <c r="R545" s="37">
        <f>SUMIF($D$420:$D$539,"2004",R$420:R$539)/SUMIF($D$420:$D$539,"2004",$E$420:$E$539)</f>
        <v>0</v>
      </c>
      <c r="S545" s="65"/>
      <c r="T545" s="65"/>
      <c r="U545" s="451"/>
      <c r="V545" s="65"/>
      <c r="W545" s="37">
        <f>SUMIF($D$420:$D$539,"2004",W$420:W$539)/SUMIF($D$420:$D$539,"2004",$E$420:$E$539)</f>
        <v>0</v>
      </c>
      <c r="X545" s="37">
        <f>SUMIF($D$420:$D$539,"2004",X$420:X$539)/SUMIF($D$420:$D$539,"2004",$E$420:$E$539)</f>
        <v>0</v>
      </c>
      <c r="Y545" s="65"/>
      <c r="Z545" s="65"/>
      <c r="AA545" s="37">
        <f>SUMIF($D$420:$D$539,"2004",AA$420:AA$539)/SUMIF($D$420:$D$539,"2001",$E$420:$E$539)</f>
        <v>0</v>
      </c>
      <c r="AB545" s="37">
        <f>SUMIF($D$420:$D$539,"2004",AB$420:AB$539)/SUMIF($D$420:$D$539,"2001",$E$420:$E$539)</f>
        <v>0</v>
      </c>
      <c r="AC545" s="65"/>
      <c r="AD545" s="65"/>
      <c r="AE545" s="37">
        <f>SUMIF($D$420:$D$539,"2004",AE$420:AE$539)/SUMIF($D$420:$D$539,"2001",$E$420:$E$539)</f>
        <v>0</v>
      </c>
      <c r="AF545" s="37">
        <f>SUMIF($D$420:$D$539,"2004",AF$420:AF$539)/SUMIF($D$420:$D$539,"2001",$E$420:$E$539)</f>
        <v>0</v>
      </c>
      <c r="AG545" s="65"/>
      <c r="AH545" s="65"/>
      <c r="AI545" s="37">
        <f>SUMIF($D$420:$D$539,"2004",AI$420:AI$539)/SUMIF($D$420:$D$539,"2001",$E$420:$E$539)</f>
        <v>0</v>
      </c>
      <c r="AJ545" s="37">
        <f>SUMIF($D$420:$D$539,"2004",AJ$420:AJ$539)/SUMIF($D$420:$D$539,"2001",$E$420:$E$539)</f>
        <v>0</v>
      </c>
      <c r="AK545" s="65"/>
      <c r="AL545" s="65"/>
      <c r="AM545" s="65"/>
      <c r="AN545" s="65"/>
      <c r="AO545" s="37">
        <f>SUMIF($D$420:$D$539,"2004",AO$420:AO$539)/SUMIF($D$420:$D$539,"2001",$E$420:$E$539)</f>
        <v>0</v>
      </c>
      <c r="AP545" s="37">
        <f>SUMIF($D$420:$D$539,"2004",AP$420:AP$539)/SUMIF($D$420:$D$539,"2001",$E$420:$E$539)</f>
        <v>0</v>
      </c>
      <c r="AQ545" s="65"/>
      <c r="AR545" s="65"/>
      <c r="AS545" s="37"/>
      <c r="AT545" s="37">
        <f t="shared" si="74"/>
        <v>-103.6964980544747</v>
      </c>
      <c r="AU545" s="65"/>
      <c r="AV545" s="65"/>
      <c r="AW545" s="37">
        <f>SUMIF($D$420:$D$539,"2004",AW$420:AW$539)/SUMIF($D$420:$D$539,"2004",$E$420:$E$539)</f>
        <v>0</v>
      </c>
      <c r="AX545" s="37">
        <f>SUMIF($D$420:$D$539,"2004",AX$420:AX$539)/SUMIF($D$420:$D$539,"2004",$E$420:$E$539)</f>
        <v>0</v>
      </c>
      <c r="AY545" s="65"/>
      <c r="AZ545" s="65"/>
      <c r="BA545" s="65"/>
      <c r="BB545" s="65"/>
      <c r="BC545" s="37">
        <f>SUMIF($D$420:$D$539,"2004",BC$420:BC$539)/SUMIF($D$420:$D$539,"2004",$E$420:$E$539)</f>
        <v>0</v>
      </c>
      <c r="BD545" s="37">
        <f>SUMIF($D$420:$D$539,"2004",BD$420:BD$539)/SUMIF($D$420:$D$539,"2004",$E$420:$E$539)</f>
        <v>0</v>
      </c>
      <c r="BE545" s="65"/>
      <c r="BF545" s="65"/>
      <c r="BG545" s="37">
        <f>SUMIF($D$420:$D$539,"2004",BG$420:BG$539)/SUMIF($D$420:$D$539,"2001",$E$420:$E$539)</f>
        <v>0</v>
      </c>
      <c r="BH545" s="37"/>
      <c r="BI545" s="37"/>
      <c r="BJ545" s="37">
        <f>SUMIF($D$420:$D$539,"2004",BJ$420:BJ$539)/SUMIF($D$420:$D$539,"2001",$E$420:$E$539)</f>
        <v>0</v>
      </c>
      <c r="BK545" s="65"/>
      <c r="BL545" s="65"/>
      <c r="BM545" s="65"/>
      <c r="BN545" s="418"/>
      <c r="BO545" s="65"/>
      <c r="BP545" s="65"/>
      <c r="BQ545" s="37">
        <f>SUMIF($D$420:$D$539,"2004",BQ$420:BQ$539)/SUMIF($D$420:$D$539,"2004",$E$420:$E$539)</f>
        <v>0</v>
      </c>
      <c r="BR545" s="37">
        <f>SUMIF($D$420:$D$539,"2004",BR$420:BR$539)/SUMIF($D$420:$D$539,"2004",$E$420:$E$539)</f>
        <v>0</v>
      </c>
      <c r="BS545" s="65"/>
      <c r="BT545" s="65"/>
      <c r="BU545" s="37">
        <f>SUMIF($D$420:$D$539,"2004",BU$420:BU$539)/SUMIF($D$420:$D$539,"2004",$E$420:$E$539)</f>
        <v>2.3832684824902723</v>
      </c>
      <c r="BV545" s="37">
        <f>SUMIF($D$420:$D$539,"2004",BV$420:BV$539)/SUMIF($D$420:$D$539,"2004",$E$420:$E$539)</f>
        <v>0</v>
      </c>
      <c r="BW545" s="65"/>
      <c r="BX545" s="65"/>
      <c r="BY545" s="65"/>
      <c r="BZ545" s="65"/>
      <c r="CA545" s="37">
        <f>SUMIF($D$420:$D$539,"2004",CA$420:CA$539)/SUMIF($D$420:$D$539,"2004",$E$420:$E$539)</f>
        <v>0</v>
      </c>
      <c r="CB545" s="37">
        <f>SUMIF($D$420:$D$539,"2004",CB$420:CB$539)/SUMIF($D$420:$D$539,"2004",$E$420:$E$539)</f>
        <v>-103.6964980544747</v>
      </c>
      <c r="CC545" s="65"/>
      <c r="CD545" s="66"/>
      <c r="CE545" s="221"/>
      <c r="CF545" s="221"/>
      <c r="CG545" s="34"/>
    </row>
    <row r="546" spans="1:85" x14ac:dyDescent="0.2">
      <c r="A546">
        <v>1</v>
      </c>
      <c r="B546" s="92" t="s">
        <v>60</v>
      </c>
      <c r="C546" s="92" t="s">
        <v>60</v>
      </c>
      <c r="D546" s="63"/>
      <c r="E546" s="63"/>
      <c r="F546" s="63"/>
      <c r="G546" s="36">
        <f>SUMIF($D$420:$D$539,"2005",G$420:G$539)/SUMIF($D$420:$D$539,"2005",$E$420:$E$539)</f>
        <v>187.8686274509804</v>
      </c>
      <c r="H546" s="36">
        <f>SUMIF($D$420:$D$539,"2005",H$420:H$539)/SUMIF($D$420:$D$539,"2005",$E$420:$E$539)</f>
        <v>180.94117647058823</v>
      </c>
      <c r="I546" s="36"/>
      <c r="J546" s="41"/>
      <c r="K546" s="36">
        <f>SUMIF($D$420:$D$539,"2005",K$420:K$539)/SUMIF($D$420:$D$539,"2005",$E$420:$E$539)</f>
        <v>187.8686274509804</v>
      </c>
      <c r="L546" s="36">
        <f>SUMIF($D$420:$D$539,"2005",L$420:L$539)/SUMIF($D$420:$D$539,"2005",$E$420:$E$539)</f>
        <v>188.44117647058823</v>
      </c>
      <c r="M546" s="61"/>
      <c r="N546" s="61"/>
      <c r="O546" s="271"/>
      <c r="P546" s="61"/>
      <c r="Q546" s="36">
        <f>SUMIF($D$420:$D$539,"2005",Q$420:Q$539)/SUMIF($D$420:$D$539,"2005",$E$420:$E$539)</f>
        <v>0</v>
      </c>
      <c r="R546" s="36">
        <f>SUMIF($D$420:$D$539,"2005",R$420:R$539)/SUMIF($D$420:$D$539,"2005",$E$420:$E$539)</f>
        <v>-7.5</v>
      </c>
      <c r="S546" s="61"/>
      <c r="T546" s="61"/>
      <c r="U546" s="445"/>
      <c r="V546" s="61"/>
      <c r="W546" s="36">
        <f>SUMIF($D$420:$D$539,"2005",W$420:W$539)/SUMIF($D$420:$D$539,"2005",$E$420:$E$539)</f>
        <v>0</v>
      </c>
      <c r="X546" s="36">
        <f>SUMIF($D$420:$D$539,"2005",X$420:X$539)/SUMIF($D$420:$D$539,"2005",$E$420:$E$539)</f>
        <v>0</v>
      </c>
      <c r="Y546" s="61"/>
      <c r="Z546" s="61"/>
      <c r="AA546" s="36">
        <f>SUMIF($D$420:$D$539,"2005",AA$420:AA$539)/SUMIF($D$420:$D$539,"2001",$E$420:$E$539)</f>
        <v>0</v>
      </c>
      <c r="AB546" s="36">
        <f>SUMIF($D$420:$D$539,"2005",AB$420:AB$539)/SUMIF($D$420:$D$539,"2001",$E$420:$E$539)</f>
        <v>0</v>
      </c>
      <c r="AC546" s="61"/>
      <c r="AD546" s="61"/>
      <c r="AE546" s="36">
        <f>SUMIF($D$420:$D$539,"2005",AE$420:AE$539)/SUMIF($D$420:$D$539,"2001",$E$420:$E$539)</f>
        <v>0</v>
      </c>
      <c r="AF546" s="36">
        <f>SUMIF($D$420:$D$539,"2005",AF$420:AF$539)/SUMIF($D$420:$D$539,"2001",$E$420:$E$539)</f>
        <v>0</v>
      </c>
      <c r="AG546" s="61"/>
      <c r="AH546" s="61"/>
      <c r="AI546" s="36">
        <f>SUMIF($D$420:$D$539,"2005",AI$420:AI$539)/SUMIF($D$420:$D$539,"2001",$E$420:$E$539)</f>
        <v>0</v>
      </c>
      <c r="AJ546" s="36">
        <f>SUMIF($D$420:$D$539,"2005",AJ$420:AJ$539)/SUMIF($D$420:$D$539,"2001",$E$420:$E$539)</f>
        <v>0</v>
      </c>
      <c r="AK546" s="61"/>
      <c r="AL546" s="61"/>
      <c r="AM546" s="61"/>
      <c r="AN546" s="61"/>
      <c r="AO546" s="36">
        <f>SUMIF($D$420:$D$539,"2005",AO$420:AO$539)/SUMIF($D$420:$D$539,"2001",$E$420:$E$539)</f>
        <v>0</v>
      </c>
      <c r="AP546" s="36">
        <f>SUMIF($D$420:$D$539,"2005",AP$420:AP$539)/SUMIF($D$420:$D$539,"2001",$E$420:$E$539)</f>
        <v>0</v>
      </c>
      <c r="AQ546" s="61"/>
      <c r="AR546" s="61"/>
      <c r="AS546" s="36"/>
      <c r="AT546" s="36">
        <f t="shared" si="74"/>
        <v>0</v>
      </c>
      <c r="AU546" s="61"/>
      <c r="AV546" s="61"/>
      <c r="AW546" s="36">
        <f>SUMIF($D$420:$D$539,"2005",AW$420:AW$539)/SUMIF($D$420:$D$539,"2005",$E$420:$E$539)</f>
        <v>0</v>
      </c>
      <c r="AX546" s="36">
        <f>SUMIF($D$420:$D$539,"2005",AX$420:AX$539)/SUMIF($D$420:$D$539,"2005",$E$420:$E$539)</f>
        <v>0</v>
      </c>
      <c r="AY546" s="61"/>
      <c r="AZ546" s="61"/>
      <c r="BA546" s="61"/>
      <c r="BB546" s="61"/>
      <c r="BC546" s="36">
        <f>SUMIF($D$420:$D$539,"2005",BC$420:BC$539)/SUMIF($D$420:$D$539,"2005",$E$420:$E$539)</f>
        <v>0</v>
      </c>
      <c r="BD546" s="36">
        <f>SUMIF($D$420:$D$539,"2005",BD$420:BD$539)/SUMIF($D$420:$D$539,"2005",$E$420:$E$539)</f>
        <v>0</v>
      </c>
      <c r="BE546" s="61"/>
      <c r="BF546" s="61"/>
      <c r="BG546" s="36">
        <f>SUMIF($D$420:$D$539,"2005",BG$420:BG$539)/SUMIF($D$420:$D$539,"2001",$E$420:$E$539)</f>
        <v>0</v>
      </c>
      <c r="BH546" s="36"/>
      <c r="BI546" s="36"/>
      <c r="BJ546" s="36">
        <f>SUMIF($D$420:$D$539,"2005",BJ$420:BJ$539)/SUMIF($D$420:$D$539,"2001",$E$420:$E$539)</f>
        <v>0</v>
      </c>
      <c r="BK546" s="61"/>
      <c r="BL546" s="61"/>
      <c r="BM546" s="61"/>
      <c r="BN546" s="406"/>
      <c r="BO546" s="61"/>
      <c r="BP546" s="61"/>
      <c r="BQ546" s="36">
        <f>SUMIF($D$420:$D$539,"2005",BQ$420:BQ$539)/SUMIF($D$420:$D$539,"2005",$E$420:$E$539)</f>
        <v>0</v>
      </c>
      <c r="BR546" s="36">
        <f>SUMIF($D$420:$D$539,"2005",BR$420:BR$539)/SUMIF($D$420:$D$539,"2005",$E$420:$E$539)</f>
        <v>0</v>
      </c>
      <c r="BS546" s="61"/>
      <c r="BT546" s="61"/>
      <c r="BU546" s="36">
        <f>SUMIF($D$420:$D$539,"2005",BU$420:BU$539)/SUMIF($D$420:$D$539,"2005",$E$420:$E$539)</f>
        <v>0</v>
      </c>
      <c r="BV546" s="36">
        <f>SUMIF($D$420:$D$539,"2005",BV$420:BV$539)/SUMIF($D$420:$D$539,"2005",$E$420:$E$539)</f>
        <v>0</v>
      </c>
      <c r="BW546" s="61"/>
      <c r="BX546" s="61"/>
      <c r="BY546" s="61"/>
      <c r="BZ546" s="61"/>
      <c r="CA546" s="36">
        <f>SUMIF($D$420:$D$539,"2005",CA$420:CA$539)/SUMIF($D$420:$D$539,"2005",$E$420:$E$539)</f>
        <v>0</v>
      </c>
      <c r="CB546" s="36">
        <f>SUMIF($D$420:$D$539,"2005",CB$420:CB$539)/SUMIF($D$420:$D$539,"2005",$E$420:$E$539)</f>
        <v>0</v>
      </c>
      <c r="CC546" s="61"/>
      <c r="CD546" s="58"/>
      <c r="CE546" s="57"/>
      <c r="CF546" s="57"/>
      <c r="CG546" s="4"/>
    </row>
    <row r="547" spans="1:85" s="35" customFormat="1" x14ac:dyDescent="0.2">
      <c r="A547" s="35">
        <v>1</v>
      </c>
      <c r="B547" s="94" t="s">
        <v>61</v>
      </c>
      <c r="C547" s="94" t="s">
        <v>61</v>
      </c>
      <c r="D547" s="64"/>
      <c r="E547" s="64"/>
      <c r="F547" s="64"/>
      <c r="G547" s="37">
        <f>SUMIF($D$420:$D$539,"2006",G$420:G$539)/SUMIF($D$420:$D$539,"2006",$E$420:$E$539)</f>
        <v>22.775590551181104</v>
      </c>
      <c r="H547" s="37">
        <f>SUMIF($D$420:$D$539,"2006",H$420:H$539)/SUMIF($D$420:$D$539,"2006",$E$420:$E$539)</f>
        <v>0.59251968503937003</v>
      </c>
      <c r="I547" s="37"/>
      <c r="J547" s="42"/>
      <c r="K547" s="37">
        <f>SUMIF($D$420:$D$539,"2006",K$420:K$539)/SUMIF($D$420:$D$539,"2006",$E$420:$E$539)</f>
        <v>94.104330708661422</v>
      </c>
      <c r="L547" s="37">
        <f>SUMIF($D$420:$D$539,"2006",L$420:L$539)/SUMIF($D$420:$D$539,"2006",$E$420:$E$539)</f>
        <v>79.24212598425197</v>
      </c>
      <c r="M547" s="65"/>
      <c r="N547" s="65"/>
      <c r="O547" s="272"/>
      <c r="P547" s="65"/>
      <c r="Q547" s="37">
        <f>SUMIF($D$420:$D$539,"2006",Q$420:Q$539)/SUMIF($D$420:$D$539,"2006",$E$420:$E$539)</f>
        <v>-71.328740157480311</v>
      </c>
      <c r="R547" s="37">
        <f>SUMIF($D$420:$D$539,"2006",R$420:R$539)/SUMIF($D$420:$D$539,"2006",$E$420:$E$539)</f>
        <v>-78.649606299212593</v>
      </c>
      <c r="S547" s="65"/>
      <c r="T547" s="65"/>
      <c r="U547" s="451"/>
      <c r="V547" s="65"/>
      <c r="W547" s="37">
        <f>SUMIF($D$420:$D$539,"2006",W$420:W$539)/SUMIF($D$420:$D$539,"2006",$E$420:$E$539)</f>
        <v>0</v>
      </c>
      <c r="X547" s="37">
        <f>SUMIF($D$420:$D$539,"2006",X$420:X$539)/SUMIF($D$420:$D$539,"2006",$E$420:$E$539)</f>
        <v>0</v>
      </c>
      <c r="Y547" s="65"/>
      <c r="Z547" s="65"/>
      <c r="AA547" s="37">
        <f>SUMIF($D$420:$D$539,"2006",AA$420:AA$539)/SUMIF($D$420:$D$539,"2001",$E$420:$E$539)</f>
        <v>0</v>
      </c>
      <c r="AB547" s="37">
        <f>SUMIF($D$420:$D$539,"2006",AB$420:AB$539)/SUMIF($D$420:$D$539,"2001",$E$420:$E$539)</f>
        <v>0</v>
      </c>
      <c r="AC547" s="65"/>
      <c r="AD547" s="65"/>
      <c r="AE547" s="37">
        <f>SUMIF($D$420:$D$539,"2006",AE$420:AE$539)/SUMIF($D$420:$D$539,"2001",$E$420:$E$539)</f>
        <v>0</v>
      </c>
      <c r="AF547" s="37">
        <f>SUMIF($D$420:$D$539,"2006",AF$420:AF$539)/SUMIF($D$420:$D$539,"2001",$E$420:$E$539)</f>
        <v>0</v>
      </c>
      <c r="AG547" s="65"/>
      <c r="AH547" s="65"/>
      <c r="AI547" s="37">
        <f>SUMIF($D$420:$D$539,"2006",AI$420:AI$539)/SUMIF($D$420:$D$539,"2001",$E$420:$E$539)</f>
        <v>0</v>
      </c>
      <c r="AJ547" s="37">
        <f>SUMIF($D$420:$D$539,"2006",AJ$420:AJ$539)/SUMIF($D$420:$D$539,"2001",$E$420:$E$539)</f>
        <v>0</v>
      </c>
      <c r="AK547" s="65"/>
      <c r="AL547" s="65"/>
      <c r="AM547" s="65"/>
      <c r="AN547" s="65"/>
      <c r="AO547" s="37">
        <f>SUMIF($D$420:$D$539,"2006",AO$420:AO$539)/SUMIF($D$420:$D$539,"2001",$E$420:$E$539)</f>
        <v>0</v>
      </c>
      <c r="AP547" s="37">
        <f>SUMIF($D$420:$D$539,"2006",AP$420:AP$539)/SUMIF($D$420:$D$539,"2001",$E$420:$E$539)</f>
        <v>0</v>
      </c>
      <c r="AQ547" s="65"/>
      <c r="AR547" s="65"/>
      <c r="AS547" s="37"/>
      <c r="AT547" s="37">
        <f t="shared" si="74"/>
        <v>0</v>
      </c>
      <c r="AU547" s="65"/>
      <c r="AV547" s="65"/>
      <c r="AW547" s="37">
        <f>SUMIF($D$420:$D$539,"2006",AW$420:AW$539)/SUMIF($D$420:$D$539,"2006",$E$420:$E$539)</f>
        <v>0</v>
      </c>
      <c r="AX547" s="37">
        <f>SUMIF($D$420:$D$539,"2006",AX$420:AX$539)/SUMIF($D$420:$D$539,"2006",$E$420:$E$539)</f>
        <v>0</v>
      </c>
      <c r="AY547" s="65"/>
      <c r="AZ547" s="65"/>
      <c r="BA547" s="65"/>
      <c r="BB547" s="65"/>
      <c r="BC547" s="37">
        <f>SUMIF($D$420:$D$539,"2006",BC$420:BC$539)/SUMIF($D$420:$D$539,"2006",$E$420:$E$539)</f>
        <v>0</v>
      </c>
      <c r="BD547" s="37">
        <f>SUMIF($D$420:$D$539,"2006",BD$420:BD$539)/SUMIF($D$420:$D$539,"2006",$E$420:$E$539)</f>
        <v>0</v>
      </c>
      <c r="BE547" s="65"/>
      <c r="BF547" s="65"/>
      <c r="BG547" s="37">
        <f>SUMIF($D$420:$D$539,"2006",BG$420:BG$539)/SUMIF($D$420:$D$539,"2001",$E$420:$E$539)</f>
        <v>0</v>
      </c>
      <c r="BH547" s="37"/>
      <c r="BI547" s="37"/>
      <c r="BJ547" s="37">
        <f>SUMIF($D$420:$D$539,"2006",BJ$420:BJ$539)/SUMIF($D$420:$D$539,"2001",$E$420:$E$539)</f>
        <v>0</v>
      </c>
      <c r="BK547" s="65"/>
      <c r="BL547" s="65"/>
      <c r="BM547" s="65"/>
      <c r="BN547" s="418"/>
      <c r="BO547" s="65"/>
      <c r="BP547" s="65"/>
      <c r="BQ547" s="37">
        <f>SUMIF($D$420:$D$539,"2006",BQ$420:BQ$539)/SUMIF($D$420:$D$539,"2006",$E$420:$E$539)</f>
        <v>0</v>
      </c>
      <c r="BR547" s="37">
        <f>SUMIF($D$420:$D$539,"2006",BR$420:BR$539)/SUMIF($D$420:$D$539,"2006",$E$420:$E$539)</f>
        <v>0</v>
      </c>
      <c r="BS547" s="65"/>
      <c r="BT547" s="65"/>
      <c r="BU547" s="37">
        <f>SUMIF($D$420:$D$539,"2006",BU$420:BU$539)/SUMIF($D$420:$D$539,"2006",$E$420:$E$539)</f>
        <v>0</v>
      </c>
      <c r="BV547" s="37">
        <f>SUMIF($D$420:$D$539,"2006",BV$420:BV$539)/SUMIF($D$420:$D$539,"2006",$E$420:$E$539)</f>
        <v>0</v>
      </c>
      <c r="BW547" s="65"/>
      <c r="BX547" s="65"/>
      <c r="BY547" s="65"/>
      <c r="BZ547" s="65"/>
      <c r="CA547" s="37">
        <f>SUMIF($D$420:$D$539,"2006",CA$420:CA$539)/SUMIF($D$420:$D$539,"2006",$E$420:$E$539)</f>
        <v>0</v>
      </c>
      <c r="CB547" s="37">
        <f>SUMIF($D$420:$D$539,"2006",CB$420:CB$539)/SUMIF($D$420:$D$539,"2006",$E$420:$E$539)</f>
        <v>0</v>
      </c>
      <c r="CC547" s="65"/>
      <c r="CD547" s="66"/>
      <c r="CE547" s="221"/>
      <c r="CF547" s="221"/>
      <c r="CG547" s="34"/>
    </row>
    <row r="548" spans="1:85" x14ac:dyDescent="0.2">
      <c r="A548">
        <v>1</v>
      </c>
      <c r="B548" s="92" t="s">
        <v>62</v>
      </c>
      <c r="C548" s="92" t="s">
        <v>62</v>
      </c>
      <c r="D548" s="63"/>
      <c r="E548" s="63"/>
      <c r="F548" s="63"/>
      <c r="G548" s="36">
        <f>SUMIF($D$420:$D$539,"2007",G$420:G$539)/SUMIF($D$420:$D$539,"2007",$E$420:$E$539)</f>
        <v>-46.774509803921568</v>
      </c>
      <c r="H548" s="36">
        <f>SUMIF($D$420:$D$539,"2007",H$420:H$539)/SUMIF($D$420:$D$539,"2007",$E$420:$E$539)</f>
        <v>-61.578431372549019</v>
      </c>
      <c r="I548" s="36"/>
      <c r="J548" s="41"/>
      <c r="K548" s="36">
        <f>SUMIF($D$420:$D$539,"2007",K$420:K$539)/SUMIF($D$420:$D$539,"2007",$E$420:$E$539)</f>
        <v>31.578431372549019</v>
      </c>
      <c r="L548" s="36">
        <f>SUMIF($D$420:$D$539,"2007",L$420:L$539)/SUMIF($D$420:$D$539,"2007",$E$420:$E$539)</f>
        <v>21.578431372549019</v>
      </c>
      <c r="M548" s="61"/>
      <c r="N548" s="61"/>
      <c r="O548" s="271"/>
      <c r="P548" s="61"/>
      <c r="Q548" s="36">
        <f>SUMIF($D$420:$D$539,"2007",Q$420:Q$539)/SUMIF($D$420:$D$539,"2007",$E$420:$E$539)</f>
        <v>-78.352941176470594</v>
      </c>
      <c r="R548" s="36">
        <f>SUMIF($D$420:$D$539,"2007",R$420:R$539)/SUMIF($D$420:$D$539,"2007",$E$420:$E$539)</f>
        <v>-78.352941176470594</v>
      </c>
      <c r="S548" s="61"/>
      <c r="T548" s="61"/>
      <c r="U548" s="445"/>
      <c r="V548" s="61"/>
      <c r="W548" s="36">
        <f>SUMIF($D$420:$D$539,"2007",W$420:W$539)/SUMIF($D$420:$D$539,"2007",$E$420:$E$539)</f>
        <v>0</v>
      </c>
      <c r="X548" s="36">
        <f>SUMIF($D$420:$D$539,"2007",X$420:X$539)/SUMIF($D$420:$D$539,"2007",$E$420:$E$539)</f>
        <v>0</v>
      </c>
      <c r="Y548" s="61"/>
      <c r="Z548" s="61"/>
      <c r="AA548" s="36">
        <f>SUMIF($D$420:$D$539,"2007",AA$420:AA$539)/SUMIF($D$420:$D$539,"2001",$E$420:$E$539)</f>
        <v>0</v>
      </c>
      <c r="AB548" s="36">
        <f>SUMIF($D$420:$D$539,"2007",AB$420:AB$539)/SUMIF($D$420:$D$539,"2001",$E$420:$E$539)</f>
        <v>0</v>
      </c>
      <c r="AC548" s="61"/>
      <c r="AD548" s="61"/>
      <c r="AE548" s="36">
        <f>SUMIF($D$420:$D$539,"2007",AE$420:AE$539)/SUMIF($D$420:$D$539,"2001",$E$420:$E$539)</f>
        <v>0</v>
      </c>
      <c r="AF548" s="36">
        <f>SUMIF($D$420:$D$539,"2007",AF$420:AF$539)/SUMIF($D$420:$D$539,"2001",$E$420:$E$539)</f>
        <v>0</v>
      </c>
      <c r="AG548" s="61"/>
      <c r="AH548" s="61"/>
      <c r="AI548" s="36">
        <f>SUMIF($D$420:$D$539,"2007",AI$420:AI$539)/SUMIF($D$420:$D$539,"2001",$E$420:$E$539)</f>
        <v>0</v>
      </c>
      <c r="AJ548" s="36">
        <f>SUMIF($D$420:$D$539,"2007",AJ$420:AJ$539)/SUMIF($D$420:$D$539,"2001",$E$420:$E$539)</f>
        <v>0</v>
      </c>
      <c r="AK548" s="61"/>
      <c r="AL548" s="61"/>
      <c r="AM548" s="61"/>
      <c r="AN548" s="61"/>
      <c r="AO548" s="36">
        <f>SUMIF($D$420:$D$539,"2007",AO$420:AO$539)/SUMIF($D$420:$D$539,"2001",$E$420:$E$539)</f>
        <v>0</v>
      </c>
      <c r="AP548" s="36">
        <f>SUMIF($D$420:$D$539,"2007",AP$420:AP$539)/SUMIF($D$420:$D$539,"2001",$E$420:$E$539)</f>
        <v>0</v>
      </c>
      <c r="AQ548" s="61"/>
      <c r="AR548" s="61"/>
      <c r="AS548" s="36"/>
      <c r="AT548" s="36">
        <f t="shared" si="74"/>
        <v>-4.8039215686274508</v>
      </c>
      <c r="AU548" s="61"/>
      <c r="AV548" s="61"/>
      <c r="AW548" s="36">
        <f>SUMIF($D$420:$D$539,"2007",AW$420:AW$539)/SUMIF($D$420:$D$539,"2007",$E$420:$E$539)</f>
        <v>0</v>
      </c>
      <c r="AX548" s="36">
        <f>SUMIF($D$420:$D$539,"2007",AX$420:AX$539)/SUMIF($D$420:$D$539,"2007",$E$420:$E$539)</f>
        <v>-4.8039215686274508</v>
      </c>
      <c r="AY548" s="61"/>
      <c r="AZ548" s="61"/>
      <c r="BA548" s="61"/>
      <c r="BB548" s="61"/>
      <c r="BC548" s="36">
        <f>SUMIF($D$420:$D$539,"2007",BC$420:BC$539)/SUMIF($D$420:$D$539,"2007",$E$420:$E$539)</f>
        <v>0</v>
      </c>
      <c r="BD548" s="36">
        <f>SUMIF($D$420:$D$539,"2007",BD$420:BD$539)/SUMIF($D$420:$D$539,"2007",$E$420:$E$539)</f>
        <v>0</v>
      </c>
      <c r="BE548" s="61"/>
      <c r="BF548" s="61"/>
      <c r="BG548" s="36">
        <f>SUMIF($D$420:$D$539,"2007",BG$420:BG$539)/SUMIF($D$420:$D$539,"2001",$E$420:$E$539)</f>
        <v>0</v>
      </c>
      <c r="BH548" s="36"/>
      <c r="BI548" s="36"/>
      <c r="BJ548" s="36">
        <f>SUMIF($D$420:$D$539,"2007",BJ$420:BJ$539)/SUMIF($D$420:$D$539,"2001",$E$420:$E$539)</f>
        <v>0</v>
      </c>
      <c r="BK548" s="61"/>
      <c r="BL548" s="61"/>
      <c r="BM548" s="61"/>
      <c r="BN548" s="406"/>
      <c r="BO548" s="61"/>
      <c r="BP548" s="61"/>
      <c r="BQ548" s="36">
        <f>SUMIF($D$420:$D$539,"2007",BQ$420:BQ$539)/SUMIF($D$420:$D$539,"2007",$E$420:$E$539)</f>
        <v>0</v>
      </c>
      <c r="BR548" s="36">
        <f>SUMIF($D$420:$D$539,"2007",BR$420:BR$539)/SUMIF($D$420:$D$539,"2007",$E$420:$E$539)</f>
        <v>0</v>
      </c>
      <c r="BS548" s="61"/>
      <c r="BT548" s="61"/>
      <c r="BU548" s="36">
        <f>SUMIF($D$420:$D$539,"2007",BU$420:BU$539)/SUMIF($D$420:$D$539,"2007",$E$420:$E$539)</f>
        <v>0</v>
      </c>
      <c r="BV548" s="36">
        <f>SUMIF($D$420:$D$539,"2007",BV$420:BV$539)/SUMIF($D$420:$D$539,"2007",$E$420:$E$539)</f>
        <v>0</v>
      </c>
      <c r="BW548" s="61"/>
      <c r="BX548" s="61"/>
      <c r="BY548" s="61"/>
      <c r="BZ548" s="61"/>
      <c r="CA548" s="36">
        <f>SUMIF($D$420:$D$539,"2007",CA$420:CA$539)/SUMIF($D$420:$D$539,"2007",$E$420:$E$539)</f>
        <v>0</v>
      </c>
      <c r="CB548" s="36">
        <f>SUMIF($D$420:$D$539,"2007",CB$420:CB$539)/SUMIF($D$420:$D$539,"2007",$E$420:$E$539)</f>
        <v>0</v>
      </c>
      <c r="CC548" s="61"/>
      <c r="CD548" s="58"/>
      <c r="CE548" s="57"/>
      <c r="CF548" s="57"/>
      <c r="CG548" s="4"/>
    </row>
    <row r="549" spans="1:85" s="35" customFormat="1" x14ac:dyDescent="0.2">
      <c r="A549" s="35">
        <v>1</v>
      </c>
      <c r="B549" s="94" t="s">
        <v>63</v>
      </c>
      <c r="C549" s="94" t="s">
        <v>63</v>
      </c>
      <c r="D549" s="64"/>
      <c r="E549" s="64"/>
      <c r="F549" s="64"/>
      <c r="G549" s="37">
        <f>SUMIF($D$420:$D$539,"2008",G$420:G$539)/SUMIF($D$420:$D$539,"2008",$E$420:$E$539)</f>
        <v>-99.373046875</v>
      </c>
      <c r="H549" s="37">
        <f>SUMIF($D$420:$D$539,"2008",H$420:H$539)/SUMIF($D$420:$D$539,"2008",$E$420:$E$539)</f>
        <v>-149.2265625</v>
      </c>
      <c r="I549" s="37"/>
      <c r="J549" s="42"/>
      <c r="K549" s="37">
        <f>SUMIF($D$420:$D$539,"2008",K$420:K$539)/SUMIF($D$420:$D$539,"2008",$E$420:$E$539)</f>
        <v>-25.9375</v>
      </c>
      <c r="L549" s="37">
        <f>SUMIF($D$420:$D$539,"2008",L$420:L$539)/SUMIF($D$420:$D$539,"2008",$E$420:$E$539)</f>
        <v>-28.318359375</v>
      </c>
      <c r="M549" s="65"/>
      <c r="N549" s="65"/>
      <c r="O549" s="272"/>
      <c r="P549" s="65"/>
      <c r="Q549" s="37">
        <f>SUMIF($D$420:$D$539,"2008",Q$420:Q$539)/SUMIF($D$420:$D$539,"2008",$E$420:$E$539)</f>
        <v>-73.435546875</v>
      </c>
      <c r="R549" s="37">
        <f>SUMIF($D$420:$D$539,"2008",R$420:R$539)/SUMIF($D$420:$D$539,"2008",$E$420:$E$539)</f>
        <v>-68.466796875</v>
      </c>
      <c r="S549" s="65"/>
      <c r="T549" s="65"/>
      <c r="U549" s="451"/>
      <c r="V549" s="65"/>
      <c r="W549" s="37">
        <f>SUMIF($D$420:$D$539,"2008",W$420:W$539)/SUMIF($D$420:$D$539,"2008",$E$420:$E$539)</f>
        <v>0</v>
      </c>
      <c r="X549" s="37">
        <f>SUMIF($D$420:$D$539,"2008",X$420:X$539)/SUMIF($D$420:$D$539,"2008",$E$420:$E$539)</f>
        <v>0</v>
      </c>
      <c r="Y549" s="65"/>
      <c r="Z549" s="65"/>
      <c r="AA549" s="37">
        <f>SUMIF($D$420:$D$539,"2008",AA$420:AA$539)/SUMIF($D$420:$D$539,"2001",$E$420:$E$539)</f>
        <v>0</v>
      </c>
      <c r="AB549" s="37">
        <f>SUMIF($D$420:$D$539,"2008",AB$420:AB$539)/SUMIF($D$420:$D$539,"2001",$E$420:$E$539)</f>
        <v>0</v>
      </c>
      <c r="AC549" s="65"/>
      <c r="AD549" s="65"/>
      <c r="AE549" s="37">
        <f>SUMIF($D$420:$D$539,"2008",AE$420:AE$539)/SUMIF($D$420:$D$539,"2001",$E$420:$E$539)</f>
        <v>0</v>
      </c>
      <c r="AF549" s="37">
        <f>SUMIF($D$420:$D$539,"2008",AF$420:AF$539)/SUMIF($D$420:$D$539,"2001",$E$420:$E$539)</f>
        <v>0</v>
      </c>
      <c r="AG549" s="65"/>
      <c r="AH549" s="65"/>
      <c r="AI549" s="37">
        <f>SUMIF($D$420:$D$539,"2008",AI$420:AI$539)/SUMIF($D$420:$D$539,"2001",$E$420:$E$539)</f>
        <v>0</v>
      </c>
      <c r="AJ549" s="37">
        <f>SUMIF($D$420:$D$539,"2008",AJ$420:AJ$539)/SUMIF($D$420:$D$539,"2001",$E$420:$E$539)</f>
        <v>0</v>
      </c>
      <c r="AK549" s="65"/>
      <c r="AL549" s="65"/>
      <c r="AM549" s="65"/>
      <c r="AN549" s="65"/>
      <c r="AO549" s="37">
        <f>SUMIF($D$420:$D$539,"2008",AO$420:AO$539)/SUMIF($D$420:$D$539,"2001",$E$420:$E$539)</f>
        <v>0</v>
      </c>
      <c r="AP549" s="37">
        <f>SUMIF($D$420:$D$539,"2008",AP$420:AP$539)/SUMIF($D$420:$D$539,"2001",$E$420:$E$539)</f>
        <v>0</v>
      </c>
      <c r="AQ549" s="65"/>
      <c r="AR549" s="65"/>
      <c r="AS549" s="37"/>
      <c r="AT549" s="37">
        <f t="shared" si="74"/>
        <v>-52.44140625</v>
      </c>
      <c r="AU549" s="65"/>
      <c r="AV549" s="65"/>
      <c r="AW549" s="37">
        <f>SUMIF($D$420:$D$539,"2008",AW$420:AW$539)/SUMIF($D$420:$D$539,"2008",$E$420:$E$539)</f>
        <v>0</v>
      </c>
      <c r="AX549" s="37">
        <f>SUMIF($D$420:$D$539,"2008",AX$420:AX$539)/SUMIF($D$420:$D$539,"2008",$E$420:$E$539)</f>
        <v>-52.44140625</v>
      </c>
      <c r="AY549" s="65"/>
      <c r="AZ549" s="65"/>
      <c r="BA549" s="65"/>
      <c r="BB549" s="65"/>
      <c r="BC549" s="37">
        <f>SUMIF($D$420:$D$539,"2008",BC$420:BC$539)/SUMIF($D$420:$D$539,"2008",$E$420:$E$539)</f>
        <v>0</v>
      </c>
      <c r="BD549" s="37">
        <f>SUMIF($D$420:$D$539,"2008",BD$420:BD$539)/SUMIF($D$420:$D$539,"2008",$E$420:$E$539)</f>
        <v>0</v>
      </c>
      <c r="BE549" s="65"/>
      <c r="BF549" s="65"/>
      <c r="BG549" s="37">
        <f>SUMIF($D$420:$D$539,"2008",BG$420:BG$539)/SUMIF($D$420:$D$539,"2001",$E$420:$E$539)</f>
        <v>0</v>
      </c>
      <c r="BH549" s="37"/>
      <c r="BI549" s="37"/>
      <c r="BJ549" s="37">
        <f>SUMIF($D$420:$D$539,"2008",BJ$420:BJ$539)/SUMIF($D$420:$D$539,"2001",$E$420:$E$539)</f>
        <v>0</v>
      </c>
      <c r="BK549" s="65"/>
      <c r="BL549" s="65"/>
      <c r="BM549" s="65"/>
      <c r="BN549" s="418"/>
      <c r="BO549" s="65"/>
      <c r="BP549" s="65"/>
      <c r="BQ549" s="37">
        <f>SUMIF($D$420:$D$539,"2008",BQ$420:BQ$539)/SUMIF($D$420:$D$539,"2008",$E$420:$E$539)</f>
        <v>0</v>
      </c>
      <c r="BR549" s="37">
        <f>SUMIF($D$420:$D$539,"2008",BR$420:BR$539)/SUMIF($D$420:$D$539,"2008",$E$420:$E$539)</f>
        <v>0</v>
      </c>
      <c r="BS549" s="65"/>
      <c r="BT549" s="65"/>
      <c r="BU549" s="37">
        <f>SUMIF($D$420:$D$539,"2008",BU$420:BU$539)/SUMIF($D$420:$D$539,"2008",$E$420:$E$539)</f>
        <v>0</v>
      </c>
      <c r="BV549" s="37">
        <f>SUMIF($D$420:$D$539,"2008",BV$420:BV$539)/SUMIF($D$420:$D$539,"2008",$E$420:$E$539)</f>
        <v>0</v>
      </c>
      <c r="BW549" s="65"/>
      <c r="BX549" s="65"/>
      <c r="BY549" s="65"/>
      <c r="BZ549" s="65"/>
      <c r="CA549" s="37">
        <f>SUMIF($D$420:$D$539,"2008",CA$420:CA$539)/SUMIF($D$420:$D$539,"2008",$E$420:$E$539)</f>
        <v>0</v>
      </c>
      <c r="CB549" s="37">
        <f>SUMIF($D$420:$D$539,"2008",CB$420:CB$539)/SUMIF($D$420:$D$539,"2008",$E$420:$E$539)</f>
        <v>0</v>
      </c>
      <c r="CC549" s="65"/>
      <c r="CD549" s="66"/>
      <c r="CE549" s="221"/>
      <c r="CF549" s="221"/>
      <c r="CG549" s="34"/>
    </row>
    <row r="550" spans="1:85" x14ac:dyDescent="0.2">
      <c r="A550">
        <v>1</v>
      </c>
      <c r="B550" s="92" t="s">
        <v>64</v>
      </c>
      <c r="C550" s="92" t="s">
        <v>64</v>
      </c>
      <c r="D550" s="63"/>
      <c r="E550" s="63"/>
      <c r="F550" s="63"/>
      <c r="G550" s="36">
        <f>SUMIF($D$420:$D$539,"2009",G$420:G$539)/SUMIF($D$420:$D$539,"2009",$E$420:$E$539)</f>
        <v>-59.517578125</v>
      </c>
      <c r="H550" s="36">
        <f>SUMIF($D$420:$D$539,"2009",H$420:H$539)/SUMIF($D$420:$D$539,"2009",$E$420:$E$539)</f>
        <v>-57.12890625</v>
      </c>
      <c r="I550" s="36"/>
      <c r="J550" s="41"/>
      <c r="K550" s="36">
        <f>SUMIF($D$420:$D$539,"2009",K$420:K$539)/SUMIF($D$420:$D$539,"2009",$E$420:$E$539)</f>
        <v>-2.583984375</v>
      </c>
      <c r="L550" s="36">
        <f>SUMIF($D$420:$D$539,"2009",L$420:L$539)/SUMIF($D$420:$D$539,"2009",$E$420:$E$539)</f>
        <v>0</v>
      </c>
      <c r="M550" s="61"/>
      <c r="N550" s="61"/>
      <c r="O550" s="271"/>
      <c r="P550" s="61"/>
      <c r="Q550" s="36">
        <f>SUMIF($D$420:$D$539,"2009",Q$420:Q$539)/SUMIF($D$420:$D$539,"2009",$E$420:$E$539)</f>
        <v>-56.93359375</v>
      </c>
      <c r="R550" s="36">
        <f>SUMIF($D$420:$D$539,"2009",R$420:R$539)/SUMIF($D$420:$D$539,"2009",$E$420:$E$539)</f>
        <v>-57.12890625</v>
      </c>
      <c r="S550" s="61"/>
      <c r="T550" s="61"/>
      <c r="U550" s="445"/>
      <c r="V550" s="61"/>
      <c r="W550" s="36">
        <f>SUMIF($D$420:$D$539,"2009",W$420:W$539)/SUMIF($D$420:$D$539,"2009",$E$420:$E$539)</f>
        <v>0</v>
      </c>
      <c r="X550" s="36">
        <f>SUMIF($D$420:$D$539,"2009",X$420:X$539)/SUMIF($D$420:$D$539,"2009",$E$420:$E$539)</f>
        <v>0</v>
      </c>
      <c r="Y550" s="61"/>
      <c r="Z550" s="61"/>
      <c r="AA550" s="36">
        <f>SUMIF($D$420:$D$539,"2009",AA$420:AA$539)/SUMIF($D$420:$D$539,"2001",$E$420:$E$539)</f>
        <v>0</v>
      </c>
      <c r="AB550" s="36">
        <f>SUMIF($D$420:$D$539,"2009",AB$420:AB$539)/SUMIF($D$420:$D$539,"2001",$E$420:$E$539)</f>
        <v>0</v>
      </c>
      <c r="AC550" s="61"/>
      <c r="AD550" s="61"/>
      <c r="AE550" s="36">
        <f>SUMIF($D$420:$D$539,"2009",AE$420:AE$539)/SUMIF($D$420:$D$539,"2001",$E$420:$E$539)</f>
        <v>0</v>
      </c>
      <c r="AF550" s="36">
        <f>SUMIF($D$420:$D$539,"2009",AF$420:AF$539)/SUMIF($D$420:$D$539,"2001",$E$420:$E$539)</f>
        <v>0</v>
      </c>
      <c r="AG550" s="61"/>
      <c r="AH550" s="61"/>
      <c r="AI550" s="36">
        <f>SUMIF($D$420:$D$539,"2009",AI$420:AI$539)/SUMIF($D$420:$D$539,"2001",$E$420:$E$539)</f>
        <v>0</v>
      </c>
      <c r="AJ550" s="36">
        <f>SUMIF($D$420:$D$539,"2009",AJ$420:AJ$539)/SUMIF($D$420:$D$539,"2001",$E$420:$E$539)</f>
        <v>0</v>
      </c>
      <c r="AK550" s="61"/>
      <c r="AL550" s="61"/>
      <c r="AM550" s="61"/>
      <c r="AN550" s="61"/>
      <c r="AO550" s="36">
        <f>SUMIF($D$420:$D$539,"2009",AO$420:AO$539)/SUMIF($D$420:$D$539,"2001",$E$420:$E$539)</f>
        <v>0</v>
      </c>
      <c r="AP550" s="36">
        <f>SUMIF($D$420:$D$539,"2009",AP$420:AP$539)/SUMIF($D$420:$D$539,"2001",$E$420:$E$539)</f>
        <v>0</v>
      </c>
      <c r="AQ550" s="61"/>
      <c r="AR550" s="61"/>
      <c r="AS550" s="36"/>
      <c r="AT550" s="36">
        <f t="shared" si="74"/>
        <v>0</v>
      </c>
      <c r="AU550" s="61"/>
      <c r="AV550" s="61"/>
      <c r="AW550" s="36">
        <f>SUMIF($D$420:$D$539,"2009",AW$420:AW$539)/SUMIF($D$420:$D$539,"2009",$E$420:$E$539)</f>
        <v>0</v>
      </c>
      <c r="AX550" s="36">
        <f>SUMIF($D$420:$D$539,"2009",AX$420:AX$539)/SUMIF($D$420:$D$539,"2009",$E$420:$E$539)</f>
        <v>0</v>
      </c>
      <c r="AY550" s="61"/>
      <c r="AZ550" s="61"/>
      <c r="BA550" s="61"/>
      <c r="BB550" s="61"/>
      <c r="BC550" s="36">
        <f>SUMIF($D$420:$D$539,"2009",BC$420:BC$539)/SUMIF($D$420:$D$539,"2009",$E$420:$E$539)</f>
        <v>0</v>
      </c>
      <c r="BD550" s="36">
        <f>SUMIF($D$420:$D$539,"2009",BD$420:BD$539)/SUMIF($D$420:$D$539,"2009",$E$420:$E$539)</f>
        <v>0</v>
      </c>
      <c r="BE550" s="61"/>
      <c r="BF550" s="61"/>
      <c r="BG550" s="36">
        <f>SUMIF($D$420:$D$539,"2009",BG$420:BG$539)/SUMIF($D$420:$D$539,"2001",$E$420:$E$539)</f>
        <v>0</v>
      </c>
      <c r="BH550" s="36"/>
      <c r="BI550" s="36"/>
      <c r="BJ550" s="36">
        <f>SUMIF($D$420:$D$539,"2009",BJ$420:BJ$539)/SUMIF($D$420:$D$539,"2001",$E$420:$E$539)</f>
        <v>0</v>
      </c>
      <c r="BK550" s="61"/>
      <c r="BL550" s="61"/>
      <c r="BM550" s="61"/>
      <c r="BN550" s="406"/>
      <c r="BO550" s="61"/>
      <c r="BP550" s="61"/>
      <c r="BQ550" s="36">
        <f>SUMIF($D$420:$D$539,"2009",BQ$420:BQ$539)/SUMIF($D$420:$D$539,"2009",$E$420:$E$539)</f>
        <v>0</v>
      </c>
      <c r="BR550" s="36">
        <f>SUMIF($D$420:$D$539,"2009",BR$420:BR$539)/SUMIF($D$420:$D$539,"2009",$E$420:$E$539)</f>
        <v>0</v>
      </c>
      <c r="BS550" s="61"/>
      <c r="BT550" s="61"/>
      <c r="BU550" s="36">
        <f>SUMIF($D$420:$D$539,"2009",BU$420:BU$539)/SUMIF($D$420:$D$539,"2009",$E$420:$E$539)</f>
        <v>0</v>
      </c>
      <c r="BV550" s="36">
        <f>SUMIF($D$420:$D$539,"2009",BV$420:BV$539)/SUMIF($D$420:$D$539,"2009",$E$420:$E$539)</f>
        <v>0</v>
      </c>
      <c r="BW550" s="61"/>
      <c r="BX550" s="61"/>
      <c r="BY550" s="61"/>
      <c r="BZ550" s="61"/>
      <c r="CA550" s="36">
        <f>SUMIF($D$420:$D$539,"2009",CA$420:CA$539)/SUMIF($D$420:$D$539,"2009",$E$420:$E$539)</f>
        <v>0</v>
      </c>
      <c r="CB550" s="36">
        <f>SUMIF($D$420:$D$539,"2009",CB$420:CB$539)/SUMIF($D$420:$D$539,"2009",$E$420:$E$539)</f>
        <v>0</v>
      </c>
      <c r="CC550" s="61"/>
      <c r="CD550" s="58"/>
      <c r="CE550" s="57"/>
      <c r="CF550" s="57"/>
      <c r="CG550" s="4"/>
    </row>
    <row r="551" spans="1:85" s="35" customFormat="1" ht="13.5" thickBot="1" x14ac:dyDescent="0.25">
      <c r="A551" s="35">
        <v>1</v>
      </c>
      <c r="B551" s="95" t="s">
        <v>65</v>
      </c>
      <c r="C551" s="95" t="s">
        <v>65</v>
      </c>
      <c r="D551" s="82"/>
      <c r="E551" s="82"/>
      <c r="F551" s="82"/>
      <c r="G551" s="83">
        <f>SUMIF($D$420:$D$539,"2010",G$420:G$539)/SUMIF($D$420:$D$539,"2010",$E$420:$E$539)</f>
        <v>-57.12890625</v>
      </c>
      <c r="H551" s="83">
        <f>SUMIF($D$420:$D$539,"2010",H$420:H$539)/SUMIF($D$420:$D$539,"2010",$E$420:$E$539)</f>
        <v>-895.1181640625</v>
      </c>
      <c r="I551" s="83"/>
      <c r="J551" s="84"/>
      <c r="K551" s="83">
        <f>SUMIF($D$420:$D$539,"2010",K$420:K$539)/SUMIF($D$420:$D$539,"2010",$E$420:$E$539)</f>
        <v>0</v>
      </c>
      <c r="L551" s="83">
        <f>SUMIF($D$420:$D$539,"2010",L$420:L$539)/SUMIF($D$420:$D$539,"2010",$E$420:$E$539)</f>
        <v>-30.73779296875</v>
      </c>
      <c r="M551" s="85"/>
      <c r="N551" s="85"/>
      <c r="O551" s="278"/>
      <c r="P551" s="85"/>
      <c r="Q551" s="83">
        <f>SUMIF($D$420:$D$539,"2010",Q$420:Q$539)/SUMIF($D$420:$D$539,"2010",$E$420:$E$539)</f>
        <v>-57.12890625</v>
      </c>
      <c r="R551" s="83">
        <f>SUMIF($D$420:$D$539,"2010",R$420:R$539)/SUMIF($D$420:$D$539,"2010",$E$420:$E$539)</f>
        <v>-531.23828125</v>
      </c>
      <c r="S551" s="85"/>
      <c r="T551" s="85"/>
      <c r="U551" s="458"/>
      <c r="V551" s="85"/>
      <c r="W551" s="83">
        <f>SUMIF($D$420:$D$539,"2010",W$420:W$539)/SUMIF($D$420:$D$539,"2010",$E$420:$E$539)</f>
        <v>0</v>
      </c>
      <c r="X551" s="83">
        <f>SUMIF($D$420:$D$539,"2010",X$420:X$539)/SUMIF($D$420:$D$539,"2010",$E$420:$E$539)</f>
        <v>0</v>
      </c>
      <c r="Y551" s="85"/>
      <c r="Z551" s="85"/>
      <c r="AA551" s="83">
        <f>SUMIF($D$420:$D$539,"2010",AA$420:AA$539)/SUMIF($D$420:$D$539,"2001",$E$420:$E$539)</f>
        <v>0</v>
      </c>
      <c r="AB551" s="83">
        <f>SUMIF($D$420:$D$539,"2010",AB$420:AB$539)/SUMIF($D$420:$D$539,"2001",$E$420:$E$539)</f>
        <v>0</v>
      </c>
      <c r="AC551" s="85"/>
      <c r="AD551" s="85"/>
      <c r="AE551" s="83">
        <f>SUMIF($D$420:$D$539,"2010",AE$420:AE$539)/SUMIF($D$420:$D$539,"2001",$E$420:$E$539)</f>
        <v>0</v>
      </c>
      <c r="AF551" s="83">
        <f>SUMIF($D$420:$D$539,"2010",AF$420:AF$539)/SUMIF($D$420:$D$539,"2001",$E$420:$E$539)</f>
        <v>0</v>
      </c>
      <c r="AG551" s="85"/>
      <c r="AH551" s="85"/>
      <c r="AI551" s="83">
        <f>SUMIF($D$420:$D$539,"2010",AI$420:AI$539)/SUMIF($D$420:$D$539,"2001",$E$420:$E$539)</f>
        <v>0</v>
      </c>
      <c r="AJ551" s="83">
        <f>SUMIF($D$420:$D$539,"2010",AJ$420:AJ$539)/SUMIF($D$420:$D$539,"2001",$E$420:$E$539)</f>
        <v>0</v>
      </c>
      <c r="AK551" s="85"/>
      <c r="AL551" s="85"/>
      <c r="AM551" s="85"/>
      <c r="AN551" s="85"/>
      <c r="AO551" s="83">
        <f>SUMIF($D$420:$D$539,"2010",AO$420:AO$539)/SUMIF($D$420:$D$539,"2001",$E$420:$E$539)</f>
        <v>0</v>
      </c>
      <c r="AP551" s="83">
        <f>SUMIF($D$420:$D$539,"2010",AP$420:AP$539)/SUMIF($D$420:$D$539,"2001",$E$420:$E$539)</f>
        <v>0</v>
      </c>
      <c r="AQ551" s="85"/>
      <c r="AR551" s="85"/>
      <c r="AS551" s="83"/>
      <c r="AT551" s="83">
        <f t="shared" si="74"/>
        <v>-333.14208984375</v>
      </c>
      <c r="AU551" s="85"/>
      <c r="AV551" s="85"/>
      <c r="AW551" s="83">
        <f>SUMIF($D$420:$D$539,"2010",AW$420:AW$539)/SUMIF($D$420:$D$539,"2010",$E$420:$E$539)</f>
        <v>0</v>
      </c>
      <c r="AX551" s="83">
        <f>SUMIF($D$420:$D$539,"2010",AX$420:AX$539)/SUMIF($D$420:$D$539,"2010",$E$420:$E$539)</f>
        <v>-114.35546875</v>
      </c>
      <c r="AY551" s="85"/>
      <c r="AZ551" s="85"/>
      <c r="BA551" s="85"/>
      <c r="BB551" s="85"/>
      <c r="BC551" s="83">
        <f>SUMIF($D$420:$D$539,"2010",BC$420:BC$539)/SUMIF($D$420:$D$539,"2010",$E$420:$E$539)</f>
        <v>0</v>
      </c>
      <c r="BD551" s="83">
        <f>SUMIF($D$420:$D$539,"2010",BD$420:BD$539)/SUMIF($D$420:$D$539,"2010",$E$420:$E$539)</f>
        <v>-114.2578125</v>
      </c>
      <c r="BE551" s="85"/>
      <c r="BF551" s="85"/>
      <c r="BG551" s="83">
        <f>SUMIF($D$420:$D$539,"2010",BG$420:BG$539)/SUMIF($D$420:$D$539,"2001",$E$420:$E$539)</f>
        <v>0</v>
      </c>
      <c r="BH551" s="83"/>
      <c r="BI551" s="83"/>
      <c r="BJ551" s="83">
        <f>SUMIF($D$420:$D$539,"2010",BJ$420:BJ$539)/SUMIF($D$420:$D$539,"2001",$E$420:$E$539)</f>
        <v>0</v>
      </c>
      <c r="BK551" s="85"/>
      <c r="BL551" s="85"/>
      <c r="BM551" s="85"/>
      <c r="BN551" s="422"/>
      <c r="BO551" s="85"/>
      <c r="BP551" s="85"/>
      <c r="BQ551" s="83">
        <f>SUMIF($D$420:$D$539,"2010",BQ$420:BQ$539)/SUMIF($D$420:$D$539,"2010",$E$420:$E$539)</f>
        <v>0</v>
      </c>
      <c r="BR551" s="83">
        <f>SUMIF($D$420:$D$539,"2010",BR$420:BR$539)/SUMIF($D$420:$D$539,"2010",$E$420:$E$539)</f>
        <v>0</v>
      </c>
      <c r="BS551" s="85"/>
      <c r="BT551" s="85"/>
      <c r="BU551" s="83">
        <f>SUMIF($D$420:$D$539,"2010",BU$420:BU$539)/SUMIF($D$420:$D$539,"2010",$E$420:$E$539)</f>
        <v>0</v>
      </c>
      <c r="BV551" s="83">
        <f>SUMIF($D$420:$D$539,"2010",BV$420:BV$539)/SUMIF($D$420:$D$539,"2010",$E$420:$E$539)</f>
        <v>-24.169921875</v>
      </c>
      <c r="BW551" s="85"/>
      <c r="BX551" s="85"/>
      <c r="BY551" s="85"/>
      <c r="BZ551" s="85"/>
      <c r="CA551" s="83">
        <f>SUMIF($D$420:$D$539,"2010",CA$420:CA$539)/SUMIF($D$420:$D$539,"2010",$E$420:$E$539)</f>
        <v>0</v>
      </c>
      <c r="CB551" s="83">
        <f>SUMIF($D$420:$D$539,"2010",CB$420:CB$539)/SUMIF($D$420:$D$539,"2010",$E$420:$E$539)</f>
        <v>-80.35888671875</v>
      </c>
      <c r="CC551" s="85"/>
      <c r="CD551" s="86"/>
      <c r="CE551" s="221"/>
      <c r="CF551" s="221"/>
      <c r="CG551" s="34"/>
    </row>
    <row r="552" spans="1:85" hidden="1" x14ac:dyDescent="0.2">
      <c r="A552">
        <v>0</v>
      </c>
      <c r="B552" s="4"/>
      <c r="C552" s="4"/>
      <c r="G552" s="36"/>
      <c r="H552" s="36"/>
      <c r="I552" s="36"/>
      <c r="J552" s="41"/>
      <c r="K552" s="41"/>
      <c r="L552" s="28"/>
      <c r="M552" s="28"/>
      <c r="N552" s="28"/>
      <c r="O552" s="442"/>
      <c r="P552" s="28"/>
      <c r="Q552" s="41"/>
      <c r="R552" s="28"/>
      <c r="S552" s="28"/>
      <c r="T552" s="28"/>
      <c r="U552" s="459"/>
      <c r="V552" s="28"/>
      <c r="W552" s="41"/>
      <c r="X552" s="28"/>
      <c r="Y552" s="28"/>
      <c r="Z552" s="28"/>
      <c r="AA552" s="41"/>
      <c r="AB552" s="28"/>
      <c r="AC552" s="28"/>
      <c r="AD552" s="28"/>
      <c r="AE552" s="41"/>
      <c r="AF552" s="28"/>
      <c r="AG552" s="28"/>
      <c r="AH552" s="28"/>
      <c r="AI552" s="41"/>
      <c r="AJ552" s="28"/>
      <c r="AK552" s="28"/>
      <c r="AL552" s="28"/>
      <c r="AM552" s="28"/>
      <c r="AN552" s="28"/>
      <c r="AO552" s="41"/>
      <c r="AP552" s="28"/>
      <c r="AQ552" s="28"/>
      <c r="AR552" s="28"/>
      <c r="AS552" s="41"/>
      <c r="AT552" s="28">
        <f>SUM(AT541:AT550)</f>
        <v>-334.37682311143413</v>
      </c>
      <c r="AU552" s="28"/>
      <c r="AV552" s="28"/>
      <c r="AW552" s="41"/>
      <c r="AX552" s="28"/>
      <c r="AY552" s="28"/>
      <c r="AZ552" s="28"/>
      <c r="BA552" s="28"/>
      <c r="BB552" s="28"/>
      <c r="BC552" s="41"/>
      <c r="BD552" s="28"/>
      <c r="BE552" s="28"/>
      <c r="BF552" s="28"/>
      <c r="BG552" s="41"/>
      <c r="BH552" s="57"/>
      <c r="BI552" s="57"/>
      <c r="BJ552" s="28"/>
      <c r="BK552" s="28"/>
      <c r="BL552" s="28"/>
      <c r="BM552" s="28"/>
      <c r="BN552" s="423"/>
      <c r="BO552" s="28"/>
      <c r="BP552" s="28"/>
      <c r="BQ552" s="41"/>
      <c r="BR552" s="28"/>
      <c r="BS552" s="28"/>
      <c r="BT552" s="28"/>
      <c r="BU552" s="41"/>
      <c r="BV552" s="28"/>
      <c r="BW552" s="28"/>
      <c r="BX552" s="28"/>
      <c r="BY552" s="28"/>
      <c r="BZ552" s="28"/>
      <c r="CA552" s="41"/>
      <c r="CB552" s="4"/>
      <c r="CC552" s="4"/>
      <c r="CD552" s="4"/>
      <c r="CE552" s="4"/>
      <c r="CF552" s="4"/>
      <c r="CG552" s="4"/>
    </row>
    <row r="553" spans="1:85" s="5" customFormat="1" hidden="1" x14ac:dyDescent="0.2">
      <c r="A553" s="5">
        <v>0</v>
      </c>
      <c r="B553" s="30" t="s">
        <v>51</v>
      </c>
      <c r="C553" s="30" t="s">
        <v>51</v>
      </c>
      <c r="D553" s="30"/>
      <c r="E553" s="30"/>
      <c r="F553" s="30"/>
      <c r="G553" s="39"/>
      <c r="H553" s="39"/>
      <c r="I553" s="39"/>
      <c r="J553" s="43"/>
      <c r="K553" s="43"/>
      <c r="L553" s="31"/>
      <c r="M553" s="31"/>
      <c r="N553" s="31"/>
      <c r="O553" s="443"/>
      <c r="P553" s="31"/>
      <c r="Q553" s="43"/>
      <c r="R553" s="31"/>
      <c r="S553" s="31"/>
      <c r="T553" s="31"/>
      <c r="U553" s="460"/>
      <c r="V553" s="31"/>
      <c r="W553" s="43"/>
      <c r="X553" s="31"/>
      <c r="Y553" s="31"/>
      <c r="Z553" s="31"/>
      <c r="AA553" s="43"/>
      <c r="AB553" s="31"/>
      <c r="AC553" s="31"/>
      <c r="AD553" s="31"/>
      <c r="AE553" s="43"/>
      <c r="AF553" s="31"/>
      <c r="AG553" s="31"/>
      <c r="AH553" s="31"/>
      <c r="AI553" s="43"/>
      <c r="AJ553" s="31"/>
      <c r="AK553" s="31"/>
      <c r="AL553" s="31"/>
      <c r="AM553" s="31"/>
      <c r="AN553" s="31"/>
      <c r="AO553" s="43"/>
      <c r="AP553" s="31"/>
      <c r="AQ553" s="31"/>
      <c r="AR553" s="31"/>
      <c r="AS553" s="43"/>
      <c r="AT553" s="31"/>
      <c r="AU553" s="31"/>
      <c r="AV553" s="31"/>
      <c r="AW553" s="43"/>
      <c r="AX553" s="31"/>
      <c r="AY553" s="31"/>
      <c r="AZ553" s="31"/>
      <c r="BA553" s="31"/>
      <c r="BB553" s="31"/>
      <c r="BC553" s="43"/>
      <c r="BD553" s="31"/>
      <c r="BE553" s="31"/>
      <c r="BF553" s="31"/>
      <c r="BG553" s="43"/>
      <c r="BH553" s="73"/>
      <c r="BI553" s="73"/>
      <c r="BJ553" s="31"/>
      <c r="BK553" s="31"/>
      <c r="BL553" s="31"/>
      <c r="BM553" s="31"/>
      <c r="BN553" s="424"/>
      <c r="BO553" s="31"/>
      <c r="BP553" s="31"/>
      <c r="BQ553" s="43"/>
      <c r="BR553" s="31"/>
      <c r="BS553" s="31"/>
      <c r="BT553" s="31"/>
      <c r="BU553" s="43"/>
      <c r="BV553" s="31"/>
      <c r="BW553" s="31"/>
      <c r="BX553" s="31"/>
      <c r="BY553" s="31"/>
      <c r="BZ553" s="31"/>
      <c r="CA553" s="43"/>
      <c r="CB553" s="30"/>
      <c r="CC553" s="30"/>
      <c r="CD553" s="30"/>
      <c r="CE553" s="30"/>
      <c r="CF553" s="30"/>
      <c r="CG553" s="30"/>
    </row>
    <row r="554" spans="1:85" hidden="1" x14ac:dyDescent="0.2">
      <c r="A554">
        <v>0</v>
      </c>
      <c r="B554" s="29" t="s">
        <v>83</v>
      </c>
      <c r="C554" s="29">
        <f t="shared" ref="C554:C560" si="75">C127</f>
        <v>37043</v>
      </c>
      <c r="D554" s="29"/>
      <c r="E554" s="29"/>
      <c r="F554" s="29"/>
      <c r="G554" s="36">
        <f t="shared" ref="G554:G585" si="76">SUM(K554,AA554,AO554,Q554,AW554,W554,BC554,AI554,BG554,BQ554,AE554,BU554,CA554)</f>
        <v>-377</v>
      </c>
      <c r="H554" s="36">
        <f t="shared" ref="H554:H585" si="77">SUM(L554,AB554,AP554,R554,AX554,X554,BD554,AJ554,BJ554,BR554,AF554,BV554,CB554)</f>
        <v>-70.599999999999994</v>
      </c>
      <c r="I554" s="36"/>
      <c r="J554" s="41"/>
      <c r="K554" s="45">
        <f>'Filter-old'!E631</f>
        <v>-77</v>
      </c>
      <c r="L554" s="27">
        <f>'Filter-new'!E631</f>
        <v>-48.06</v>
      </c>
      <c r="M554" s="27"/>
      <c r="N554" s="27"/>
      <c r="O554" s="442"/>
      <c r="P554" s="27"/>
      <c r="Q554" s="45">
        <f>'Filter-old'!H631</f>
        <v>-200</v>
      </c>
      <c r="R554" s="27">
        <f>'Filter-new'!H631</f>
        <v>49</v>
      </c>
      <c r="S554" s="27"/>
      <c r="T554" s="27"/>
      <c r="U554" s="459"/>
      <c r="V554" s="27"/>
      <c r="W554" s="45">
        <f>'Filter-old'!J631</f>
        <v>0</v>
      </c>
      <c r="X554" s="27">
        <f>'Filter-new'!J631</f>
        <v>0</v>
      </c>
      <c r="Y554" s="27"/>
      <c r="Z554" s="27"/>
      <c r="AA554" s="45">
        <f>'Filter-old'!F631</f>
        <v>0</v>
      </c>
      <c r="AB554" s="27">
        <f>'Filter-new'!F631</f>
        <v>0</v>
      </c>
      <c r="AC554" s="27"/>
      <c r="AD554" s="27"/>
      <c r="AE554" s="45">
        <f>'Filter-old'!P631</f>
        <v>0</v>
      </c>
      <c r="AF554" s="27">
        <f>'Filter-new'!P631</f>
        <v>0</v>
      </c>
      <c r="AG554" s="27"/>
      <c r="AH554" s="27"/>
      <c r="AI554" s="45">
        <f>'Filter-old'!L631</f>
        <v>0</v>
      </c>
      <c r="AJ554" s="27">
        <f>'Filter-new'!L631</f>
        <v>26.46</v>
      </c>
      <c r="AK554" s="27"/>
      <c r="AL554" s="27"/>
      <c r="AM554" s="27"/>
      <c r="AN554" s="27"/>
      <c r="AO554" s="45">
        <f>'Filter-old'!G631</f>
        <v>0</v>
      </c>
      <c r="AP554" s="27">
        <f>'Filter-new'!G631</f>
        <v>0</v>
      </c>
      <c r="AQ554" s="27"/>
      <c r="AR554" s="27"/>
      <c r="AS554" s="45"/>
      <c r="AT554" s="27"/>
      <c r="AU554" s="27"/>
      <c r="AV554" s="27"/>
      <c r="AW554" s="45">
        <f>'Filter-old'!I631</f>
        <v>0</v>
      </c>
      <c r="AX554" s="27">
        <f>'Filter-new'!I631</f>
        <v>49</v>
      </c>
      <c r="AY554" s="27"/>
      <c r="AZ554" s="27"/>
      <c r="BA554" s="27"/>
      <c r="BB554" s="27"/>
      <c r="BC554" s="45">
        <f>'Filter-old'!K631</f>
        <v>0</v>
      </c>
      <c r="BD554" s="27">
        <f>'Filter-new'!K631</f>
        <v>-98</v>
      </c>
      <c r="BE554" s="27"/>
      <c r="BF554" s="27"/>
      <c r="BG554" s="45">
        <f>'Filter-old'!M631</f>
        <v>0</v>
      </c>
      <c r="BH554" s="61"/>
      <c r="BI554" s="61"/>
      <c r="BJ554" s="27">
        <f>'Filter-new'!M631</f>
        <v>0</v>
      </c>
      <c r="BK554" s="27"/>
      <c r="BL554" s="27"/>
      <c r="BM554" s="27"/>
      <c r="BN554" s="423"/>
      <c r="BO554" s="27"/>
      <c r="BP554" s="27"/>
      <c r="BQ554" s="45">
        <f>'Filter-old'!O631</f>
        <v>0</v>
      </c>
      <c r="BR554" s="27">
        <f>'Filter-new'!O631</f>
        <v>0</v>
      </c>
      <c r="BS554" s="27"/>
      <c r="BT554" s="27"/>
      <c r="BU554" s="45">
        <f>'Filter-old'!Q631</f>
        <v>0</v>
      </c>
      <c r="BV554" s="27">
        <f>'Filter-new'!Q631</f>
        <v>0</v>
      </c>
      <c r="BW554" s="27"/>
      <c r="BX554" s="27"/>
      <c r="BY554" s="27"/>
      <c r="BZ554" s="27"/>
      <c r="CA554" s="45">
        <f>'Filter-old'!R631</f>
        <v>-100</v>
      </c>
      <c r="CB554" s="27">
        <f>'Filter-new'!R631</f>
        <v>-49</v>
      </c>
      <c r="CC554" s="4"/>
      <c r="CD554" s="4"/>
      <c r="CE554" s="4"/>
      <c r="CF554" s="4"/>
      <c r="CG554" s="4"/>
    </row>
    <row r="555" spans="1:85" hidden="1" x14ac:dyDescent="0.2">
      <c r="A555">
        <v>0</v>
      </c>
      <c r="B555" s="29" t="s">
        <v>90</v>
      </c>
      <c r="C555" s="29">
        <f t="shared" si="75"/>
        <v>37073</v>
      </c>
      <c r="D555" s="29"/>
      <c r="E555" s="29"/>
      <c r="F555" s="29"/>
      <c r="G555" s="36">
        <f t="shared" si="76"/>
        <v>-378.0204081632653</v>
      </c>
      <c r="H555" s="36">
        <f t="shared" si="77"/>
        <v>-72.040816326530603</v>
      </c>
      <c r="I555" s="36"/>
      <c r="J555" s="41"/>
      <c r="K555" s="45">
        <f>'Filter-old'!E632</f>
        <v>-77</v>
      </c>
      <c r="L555" s="27">
        <f>'Filter-new'!E632</f>
        <v>-49.04081632653061</v>
      </c>
      <c r="M555" s="27"/>
      <c r="N555" s="27"/>
      <c r="O555" s="442"/>
      <c r="P555" s="27"/>
      <c r="Q555" s="45">
        <f>'Filter-old'!H632</f>
        <v>-201.0204081632653</v>
      </c>
      <c r="R555" s="27">
        <f>'Filter-new'!H632</f>
        <v>50</v>
      </c>
      <c r="S555" s="27"/>
      <c r="T555" s="27"/>
      <c r="U555" s="459"/>
      <c r="V555" s="27"/>
      <c r="W555" s="45">
        <f>'Filter-old'!J632</f>
        <v>0</v>
      </c>
      <c r="X555" s="27">
        <f>'Filter-new'!J632</f>
        <v>0</v>
      </c>
      <c r="Y555" s="27"/>
      <c r="Z555" s="27"/>
      <c r="AA555" s="45">
        <f>'Filter-old'!F632</f>
        <v>0</v>
      </c>
      <c r="AB555" s="27">
        <f>'Filter-new'!F632</f>
        <v>0</v>
      </c>
      <c r="AC555" s="27"/>
      <c r="AD555" s="27"/>
      <c r="AE555" s="45">
        <f>'Filter-old'!P632</f>
        <v>0</v>
      </c>
      <c r="AF555" s="27">
        <f>'Filter-new'!P632</f>
        <v>0</v>
      </c>
      <c r="AG555" s="27"/>
      <c r="AH555" s="27"/>
      <c r="AI555" s="45">
        <f>'Filter-old'!L632</f>
        <v>0</v>
      </c>
      <c r="AJ555" s="27">
        <f>'Filter-new'!L632</f>
        <v>27</v>
      </c>
      <c r="AK555" s="27"/>
      <c r="AL555" s="27"/>
      <c r="AM555" s="27"/>
      <c r="AN555" s="27"/>
      <c r="AO555" s="45">
        <f>'Filter-old'!G632</f>
        <v>0</v>
      </c>
      <c r="AP555" s="27">
        <f>'Filter-new'!G632</f>
        <v>0</v>
      </c>
      <c r="AQ555" s="27"/>
      <c r="AR555" s="27"/>
      <c r="AS555" s="45"/>
      <c r="AT555" s="27"/>
      <c r="AU555" s="27"/>
      <c r="AV555" s="27"/>
      <c r="AW555" s="45">
        <f>'Filter-old'!I632</f>
        <v>0</v>
      </c>
      <c r="AX555" s="27">
        <f>'Filter-new'!I632</f>
        <v>50</v>
      </c>
      <c r="AY555" s="27"/>
      <c r="AZ555" s="27"/>
      <c r="BA555" s="27"/>
      <c r="BB555" s="27"/>
      <c r="BC555" s="45">
        <f>'Filter-old'!K632</f>
        <v>0</v>
      </c>
      <c r="BD555" s="27">
        <f>'Filter-new'!K632</f>
        <v>-100</v>
      </c>
      <c r="BE555" s="27"/>
      <c r="BF555" s="27"/>
      <c r="BG555" s="45">
        <f>'Filter-old'!M632</f>
        <v>0</v>
      </c>
      <c r="BH555" s="61"/>
      <c r="BI555" s="61"/>
      <c r="BJ555" s="27">
        <f>'Filter-new'!M632</f>
        <v>0</v>
      </c>
      <c r="BK555" s="27"/>
      <c r="BL555" s="27"/>
      <c r="BM555" s="27"/>
      <c r="BN555" s="423"/>
      <c r="BO555" s="27"/>
      <c r="BP555" s="27"/>
      <c r="BQ555" s="45">
        <f>'Filter-old'!O632</f>
        <v>0</v>
      </c>
      <c r="BR555" s="27">
        <f>'Filter-new'!O632</f>
        <v>0</v>
      </c>
      <c r="BS555" s="27"/>
      <c r="BT555" s="27"/>
      <c r="BU555" s="45">
        <f>'Filter-old'!Q632</f>
        <v>0</v>
      </c>
      <c r="BV555" s="27">
        <f>'Filter-new'!Q632</f>
        <v>0</v>
      </c>
      <c r="BW555" s="27"/>
      <c r="BX555" s="27"/>
      <c r="BY555" s="27"/>
      <c r="BZ555" s="27"/>
      <c r="CA555" s="45">
        <f>'Filter-old'!R632</f>
        <v>-100</v>
      </c>
      <c r="CB555" s="27">
        <f>'Filter-new'!R632</f>
        <v>-50</v>
      </c>
      <c r="CC555" s="4"/>
      <c r="CD555" s="4"/>
      <c r="CE555" s="4"/>
      <c r="CF555" s="4"/>
      <c r="CG555" s="4"/>
    </row>
    <row r="556" spans="1:85" hidden="1" x14ac:dyDescent="0.2">
      <c r="A556">
        <v>0</v>
      </c>
      <c r="B556" s="29" t="s">
        <v>87</v>
      </c>
      <c r="C556" s="29">
        <f t="shared" si="75"/>
        <v>37104</v>
      </c>
      <c r="D556" s="29"/>
      <c r="E556" s="29"/>
      <c r="F556" s="29"/>
      <c r="G556" s="36">
        <f t="shared" si="76"/>
        <v>-377</v>
      </c>
      <c r="H556" s="36">
        <f t="shared" si="77"/>
        <v>-279.59183673469391</v>
      </c>
      <c r="I556" s="36"/>
      <c r="J556" s="41"/>
      <c r="K556" s="45">
        <f>'Filter-old'!E633</f>
        <v>-77</v>
      </c>
      <c r="L556" s="27">
        <f>'Filter-new'!E633</f>
        <v>-154.08163265306123</v>
      </c>
      <c r="M556" s="27"/>
      <c r="N556" s="27"/>
      <c r="O556" s="442"/>
      <c r="P556" s="27"/>
      <c r="Q556" s="45">
        <f>'Filter-old'!H633</f>
        <v>-200</v>
      </c>
      <c r="R556" s="27">
        <f>'Filter-new'!H633</f>
        <v>-102.04081632653062</v>
      </c>
      <c r="S556" s="27"/>
      <c r="T556" s="27"/>
      <c r="U556" s="459"/>
      <c r="V556" s="27"/>
      <c r="W556" s="45">
        <f>'Filter-old'!J633</f>
        <v>0</v>
      </c>
      <c r="X556" s="27">
        <f>'Filter-new'!J633</f>
        <v>0</v>
      </c>
      <c r="Y556" s="27"/>
      <c r="Z556" s="27"/>
      <c r="AA556" s="45">
        <f>'Filter-old'!F633</f>
        <v>0</v>
      </c>
      <c r="AB556" s="27">
        <f>'Filter-new'!F633</f>
        <v>0</v>
      </c>
      <c r="AC556" s="27"/>
      <c r="AD556" s="27"/>
      <c r="AE556" s="45">
        <f>'Filter-old'!P633</f>
        <v>0</v>
      </c>
      <c r="AF556" s="27">
        <f>'Filter-new'!P633</f>
        <v>0</v>
      </c>
      <c r="AG556" s="27"/>
      <c r="AH556" s="27"/>
      <c r="AI556" s="45">
        <f>'Filter-old'!L633</f>
        <v>0</v>
      </c>
      <c r="AJ556" s="27">
        <f>'Filter-new'!L633</f>
        <v>27.551020408163264</v>
      </c>
      <c r="AK556" s="27"/>
      <c r="AL556" s="27"/>
      <c r="AM556" s="27"/>
      <c r="AN556" s="27"/>
      <c r="AO556" s="45">
        <f>'Filter-old'!G633</f>
        <v>0</v>
      </c>
      <c r="AP556" s="27">
        <f>'Filter-new'!G633</f>
        <v>0</v>
      </c>
      <c r="AQ556" s="27"/>
      <c r="AR556" s="27"/>
      <c r="AS556" s="45"/>
      <c r="AT556" s="27"/>
      <c r="AU556" s="27"/>
      <c r="AV556" s="27"/>
      <c r="AW556" s="45">
        <f>'Filter-old'!I633</f>
        <v>0</v>
      </c>
      <c r="AX556" s="27">
        <f>'Filter-new'!I633</f>
        <v>51.020408163265309</v>
      </c>
      <c r="AY556" s="27"/>
      <c r="AZ556" s="27"/>
      <c r="BA556" s="27"/>
      <c r="BB556" s="27"/>
      <c r="BC556" s="45">
        <f>'Filter-old'!K633</f>
        <v>0</v>
      </c>
      <c r="BD556" s="27">
        <f>'Filter-new'!K633</f>
        <v>-102.04081632653062</v>
      </c>
      <c r="BE556" s="27"/>
      <c r="BF556" s="27"/>
      <c r="BG556" s="45">
        <f>'Filter-old'!M633</f>
        <v>0</v>
      </c>
      <c r="BH556" s="61"/>
      <c r="BI556" s="61"/>
      <c r="BJ556" s="27">
        <f>'Filter-new'!M633</f>
        <v>0</v>
      </c>
      <c r="BK556" s="27"/>
      <c r="BL556" s="27"/>
      <c r="BM556" s="27"/>
      <c r="BN556" s="423"/>
      <c r="BO556" s="27"/>
      <c r="BP556" s="27"/>
      <c r="BQ556" s="45">
        <f>'Filter-old'!O633</f>
        <v>0</v>
      </c>
      <c r="BR556" s="27">
        <f>'Filter-new'!O633</f>
        <v>0</v>
      </c>
      <c r="BS556" s="27"/>
      <c r="BT556" s="27"/>
      <c r="BU556" s="45">
        <f>'Filter-old'!Q633</f>
        <v>0</v>
      </c>
      <c r="BV556" s="27">
        <f>'Filter-new'!Q633</f>
        <v>0</v>
      </c>
      <c r="BW556" s="27"/>
      <c r="BX556" s="27"/>
      <c r="BY556" s="27"/>
      <c r="BZ556" s="27"/>
      <c r="CA556" s="45">
        <f>'Filter-old'!R633</f>
        <v>-100</v>
      </c>
      <c r="CB556" s="27">
        <f>'Filter-new'!R633</f>
        <v>0</v>
      </c>
      <c r="CC556" s="4"/>
      <c r="CD556" s="4"/>
      <c r="CE556" s="4"/>
      <c r="CF556" s="4"/>
      <c r="CG556" s="4"/>
    </row>
    <row r="557" spans="1:85" hidden="1" x14ac:dyDescent="0.2">
      <c r="A557">
        <v>0</v>
      </c>
      <c r="B557" s="29" t="s">
        <v>85</v>
      </c>
      <c r="C557" s="29">
        <f t="shared" si="75"/>
        <v>37135</v>
      </c>
      <c r="D557" s="29"/>
      <c r="E557" s="29"/>
      <c r="F557" s="29"/>
      <c r="G557" s="36">
        <f t="shared" si="76"/>
        <v>-378</v>
      </c>
      <c r="H557" s="36">
        <f t="shared" si="77"/>
        <v>-251.95000000000005</v>
      </c>
      <c r="I557" s="36"/>
      <c r="J557" s="41"/>
      <c r="K557" s="45">
        <f>'Filter-old'!E634</f>
        <v>-77</v>
      </c>
      <c r="L557" s="27">
        <f>'Filter-new'!E634</f>
        <v>-136.02250000000001</v>
      </c>
      <c r="M557" s="27"/>
      <c r="N557" s="27"/>
      <c r="O557" s="442"/>
      <c r="P557" s="27"/>
      <c r="Q557" s="45">
        <f>'Filter-old'!H634</f>
        <v>-201</v>
      </c>
      <c r="R557" s="27">
        <f>'Filter-new'!H634</f>
        <v>-94.25</v>
      </c>
      <c r="S557" s="27"/>
      <c r="T557" s="27"/>
      <c r="U557" s="459"/>
      <c r="V557" s="27"/>
      <c r="W557" s="45">
        <f>'Filter-old'!J634</f>
        <v>0</v>
      </c>
      <c r="X557" s="27">
        <f>'Filter-new'!J634</f>
        <v>0</v>
      </c>
      <c r="Y557" s="27"/>
      <c r="Z557" s="27"/>
      <c r="AA557" s="45">
        <f>'Filter-old'!F634</f>
        <v>0</v>
      </c>
      <c r="AB557" s="27">
        <f>'Filter-new'!F634</f>
        <v>0</v>
      </c>
      <c r="AC557" s="27"/>
      <c r="AD557" s="27"/>
      <c r="AE557" s="45">
        <f>'Filter-old'!P634</f>
        <v>0</v>
      </c>
      <c r="AF557" s="27">
        <f>'Filter-new'!P634</f>
        <v>0</v>
      </c>
      <c r="AG557" s="27"/>
      <c r="AH557" s="27"/>
      <c r="AI557" s="45">
        <f>'Filter-old'!L634</f>
        <v>0</v>
      </c>
      <c r="AJ557" s="27">
        <f>'Filter-new'!L634</f>
        <v>25.447500000000002</v>
      </c>
      <c r="AK557" s="27"/>
      <c r="AL557" s="27"/>
      <c r="AM557" s="27"/>
      <c r="AN557" s="27"/>
      <c r="AO557" s="45">
        <f>'Filter-old'!G634</f>
        <v>0</v>
      </c>
      <c r="AP557" s="27">
        <f>'Filter-new'!G634</f>
        <v>0</v>
      </c>
      <c r="AQ557" s="27"/>
      <c r="AR557" s="27"/>
      <c r="AS557" s="45"/>
      <c r="AT557" s="27"/>
      <c r="AU557" s="27"/>
      <c r="AV557" s="27"/>
      <c r="AW557" s="45">
        <f>'Filter-old'!I634</f>
        <v>0</v>
      </c>
      <c r="AX557" s="27">
        <f>'Filter-new'!I634</f>
        <v>47.125</v>
      </c>
      <c r="AY557" s="27"/>
      <c r="AZ557" s="27"/>
      <c r="BA557" s="27"/>
      <c r="BB557" s="27"/>
      <c r="BC557" s="45">
        <f>'Filter-old'!K634</f>
        <v>0</v>
      </c>
      <c r="BD557" s="27">
        <f>'Filter-new'!K634</f>
        <v>-94.25</v>
      </c>
      <c r="BE557" s="27"/>
      <c r="BF557" s="27"/>
      <c r="BG557" s="45">
        <f>'Filter-old'!M634</f>
        <v>0</v>
      </c>
      <c r="BH557" s="61"/>
      <c r="BI557" s="61"/>
      <c r="BJ557" s="27">
        <f>'Filter-new'!M634</f>
        <v>0</v>
      </c>
      <c r="BK557" s="27"/>
      <c r="BL557" s="27"/>
      <c r="BM557" s="27"/>
      <c r="BN557" s="423"/>
      <c r="BO557" s="27"/>
      <c r="BP557" s="27"/>
      <c r="BQ557" s="45">
        <f>'Filter-old'!O634</f>
        <v>0</v>
      </c>
      <c r="BR557" s="27">
        <f>'Filter-new'!O634</f>
        <v>0</v>
      </c>
      <c r="BS557" s="27"/>
      <c r="BT557" s="27"/>
      <c r="BU557" s="45">
        <f>'Filter-old'!Q634</f>
        <v>0</v>
      </c>
      <c r="BV557" s="27">
        <f>'Filter-new'!Q634</f>
        <v>0</v>
      </c>
      <c r="BW557" s="27"/>
      <c r="BX557" s="27"/>
      <c r="BY557" s="27"/>
      <c r="BZ557" s="27"/>
      <c r="CA557" s="45">
        <f>'Filter-old'!R634</f>
        <v>-100</v>
      </c>
      <c r="CB557" s="27">
        <f>'Filter-new'!R634</f>
        <v>0</v>
      </c>
      <c r="CC557" s="4"/>
      <c r="CD557" s="4"/>
      <c r="CE557" s="4"/>
      <c r="CF557" s="4"/>
      <c r="CG557" s="4"/>
    </row>
    <row r="558" spans="1:85" hidden="1" x14ac:dyDescent="0.2">
      <c r="A558">
        <v>0</v>
      </c>
      <c r="B558" s="29" t="s">
        <v>91</v>
      </c>
      <c r="C558" s="29">
        <f t="shared" si="75"/>
        <v>37165</v>
      </c>
      <c r="D558" s="29"/>
      <c r="E558" s="29"/>
      <c r="F558" s="29"/>
      <c r="G558" s="36">
        <f t="shared" si="76"/>
        <v>-378.00265957446805</v>
      </c>
      <c r="H558" s="36">
        <f t="shared" si="77"/>
        <v>-288.8297872340425</v>
      </c>
      <c r="I558" s="36"/>
      <c r="J558" s="41"/>
      <c r="K558" s="45">
        <f>'Filter-old'!E635</f>
        <v>-77.204787234042556</v>
      </c>
      <c r="L558" s="27">
        <f>'Filter-new'!E635</f>
        <v>-157.97872340425531</v>
      </c>
      <c r="M558" s="27"/>
      <c r="N558" s="27"/>
      <c r="O558" s="442"/>
      <c r="P558" s="27"/>
      <c r="Q558" s="45">
        <f>'Filter-old'!H635</f>
        <v>-200.53191489361703</v>
      </c>
      <c r="R558" s="27">
        <f>'Filter-new'!H635</f>
        <v>-106.38297872340425</v>
      </c>
      <c r="S558" s="27"/>
      <c r="T558" s="27"/>
      <c r="U558" s="459"/>
      <c r="V558" s="27"/>
      <c r="W558" s="45">
        <f>'Filter-old'!J635</f>
        <v>0</v>
      </c>
      <c r="X558" s="27">
        <f>'Filter-new'!J635</f>
        <v>0</v>
      </c>
      <c r="Y558" s="27"/>
      <c r="Z558" s="27"/>
      <c r="AA558" s="45">
        <f>'Filter-old'!F635</f>
        <v>0</v>
      </c>
      <c r="AB558" s="27">
        <f>'Filter-new'!F635</f>
        <v>0</v>
      </c>
      <c r="AC558" s="27"/>
      <c r="AD558" s="27"/>
      <c r="AE558" s="45">
        <f>'Filter-old'!P635</f>
        <v>0</v>
      </c>
      <c r="AF558" s="27">
        <f>'Filter-new'!P635</f>
        <v>0</v>
      </c>
      <c r="AG558" s="27"/>
      <c r="AH558" s="27"/>
      <c r="AI558" s="45">
        <f>'Filter-old'!L635</f>
        <v>0</v>
      </c>
      <c r="AJ558" s="27">
        <f>'Filter-new'!L635</f>
        <v>28.723404255319149</v>
      </c>
      <c r="AK558" s="27"/>
      <c r="AL558" s="27"/>
      <c r="AM558" s="27"/>
      <c r="AN558" s="27"/>
      <c r="AO558" s="45">
        <f>'Filter-old'!G635</f>
        <v>0</v>
      </c>
      <c r="AP558" s="27">
        <f>'Filter-new'!G635</f>
        <v>0</v>
      </c>
      <c r="AQ558" s="27"/>
      <c r="AR558" s="27"/>
      <c r="AS558" s="45"/>
      <c r="AT558" s="27"/>
      <c r="AU558" s="27"/>
      <c r="AV558" s="27"/>
      <c r="AW558" s="45">
        <f>'Filter-old'!I635</f>
        <v>0</v>
      </c>
      <c r="AX558" s="27">
        <f>'Filter-new'!I635</f>
        <v>53.191489361702125</v>
      </c>
      <c r="AY558" s="27"/>
      <c r="AZ558" s="27"/>
      <c r="BA558" s="27"/>
      <c r="BB558" s="27"/>
      <c r="BC558" s="45">
        <f>'Filter-old'!K635</f>
        <v>0</v>
      </c>
      <c r="BD558" s="27">
        <f>'Filter-new'!K635</f>
        <v>-106.38297872340425</v>
      </c>
      <c r="BE558" s="27"/>
      <c r="BF558" s="27"/>
      <c r="BG558" s="45">
        <f>'Filter-old'!M635</f>
        <v>0</v>
      </c>
      <c r="BH558" s="61"/>
      <c r="BI558" s="61"/>
      <c r="BJ558" s="27">
        <f>'Filter-new'!M635</f>
        <v>0</v>
      </c>
      <c r="BK558" s="27"/>
      <c r="BL558" s="27"/>
      <c r="BM558" s="27"/>
      <c r="BN558" s="423"/>
      <c r="BO558" s="27"/>
      <c r="BP558" s="27"/>
      <c r="BQ558" s="45">
        <f>'Filter-old'!O635</f>
        <v>0</v>
      </c>
      <c r="BR558" s="27">
        <f>'Filter-new'!O635</f>
        <v>0</v>
      </c>
      <c r="BS558" s="27"/>
      <c r="BT558" s="27"/>
      <c r="BU558" s="45">
        <f>'Filter-old'!Q635</f>
        <v>0</v>
      </c>
      <c r="BV558" s="27">
        <f>'Filter-new'!Q635</f>
        <v>0</v>
      </c>
      <c r="BW558" s="27"/>
      <c r="BX558" s="27"/>
      <c r="BY558" s="27"/>
      <c r="BZ558" s="27"/>
      <c r="CA558" s="45">
        <f>'Filter-old'!R635</f>
        <v>-100.26595744680851</v>
      </c>
      <c r="CB558" s="27">
        <f>'Filter-new'!R635</f>
        <v>0</v>
      </c>
      <c r="CC558" s="4"/>
      <c r="CD558" s="4"/>
      <c r="CE558" s="4"/>
      <c r="CF558" s="4"/>
      <c r="CG558" s="4"/>
    </row>
    <row r="559" spans="1:85" hidden="1" x14ac:dyDescent="0.2">
      <c r="A559">
        <v>0</v>
      </c>
      <c r="B559" s="29" t="s">
        <v>88</v>
      </c>
      <c r="C559" s="29">
        <f t="shared" si="75"/>
        <v>37196</v>
      </c>
      <c r="D559" s="29"/>
      <c r="E559" s="29"/>
      <c r="F559" s="29"/>
      <c r="G559" s="36">
        <f t="shared" si="76"/>
        <v>-378</v>
      </c>
      <c r="H559" s="36">
        <f t="shared" si="77"/>
        <v>-276.37499999999994</v>
      </c>
      <c r="I559" s="36"/>
      <c r="J559" s="41"/>
      <c r="K559" s="45">
        <f>'Filter-old'!E636</f>
        <v>-77</v>
      </c>
      <c r="L559" s="27">
        <f>'Filter-new'!E636</f>
        <v>-150.91499999999999</v>
      </c>
      <c r="M559" s="27"/>
      <c r="N559" s="27"/>
      <c r="O559" s="442"/>
      <c r="P559" s="27"/>
      <c r="Q559" s="45">
        <f>'Filter-old'!H636</f>
        <v>-201</v>
      </c>
      <c r="R559" s="27">
        <f>'Filter-new'!H636</f>
        <v>-102</v>
      </c>
      <c r="S559" s="27"/>
      <c r="T559" s="27"/>
      <c r="U559" s="459"/>
      <c r="V559" s="27"/>
      <c r="W559" s="45">
        <f>'Filter-old'!J636</f>
        <v>0</v>
      </c>
      <c r="X559" s="27">
        <f>'Filter-new'!J636</f>
        <v>0</v>
      </c>
      <c r="Y559" s="27"/>
      <c r="Z559" s="27"/>
      <c r="AA559" s="45">
        <f>'Filter-old'!F636</f>
        <v>0</v>
      </c>
      <c r="AB559" s="27">
        <f>'Filter-new'!F636</f>
        <v>0</v>
      </c>
      <c r="AC559" s="27"/>
      <c r="AD559" s="27"/>
      <c r="AE559" s="45">
        <f>'Filter-old'!P636</f>
        <v>0</v>
      </c>
      <c r="AF559" s="27">
        <f>'Filter-new'!P636</f>
        <v>0</v>
      </c>
      <c r="AG559" s="27"/>
      <c r="AH559" s="27"/>
      <c r="AI559" s="45">
        <f>'Filter-old'!L636</f>
        <v>0</v>
      </c>
      <c r="AJ559" s="27">
        <f>'Filter-new'!L636</f>
        <v>27.54</v>
      </c>
      <c r="AK559" s="27"/>
      <c r="AL559" s="27"/>
      <c r="AM559" s="27"/>
      <c r="AN559" s="27"/>
      <c r="AO559" s="45">
        <f>'Filter-old'!G636</f>
        <v>0</v>
      </c>
      <c r="AP559" s="27">
        <f>'Filter-new'!G636</f>
        <v>0</v>
      </c>
      <c r="AQ559" s="27"/>
      <c r="AR559" s="27"/>
      <c r="AS559" s="45"/>
      <c r="AT559" s="27"/>
      <c r="AU559" s="27"/>
      <c r="AV559" s="27"/>
      <c r="AW559" s="45">
        <f>'Filter-old'!I636</f>
        <v>0</v>
      </c>
      <c r="AX559" s="27">
        <f>'Filter-new'!I636</f>
        <v>51</v>
      </c>
      <c r="AY559" s="27"/>
      <c r="AZ559" s="27"/>
      <c r="BA559" s="27"/>
      <c r="BB559" s="27"/>
      <c r="BC559" s="45">
        <f>'Filter-old'!K636</f>
        <v>0</v>
      </c>
      <c r="BD559" s="27">
        <f>'Filter-new'!K636</f>
        <v>-102</v>
      </c>
      <c r="BE559" s="27"/>
      <c r="BF559" s="27"/>
      <c r="BG559" s="45">
        <f>'Filter-old'!M636</f>
        <v>0</v>
      </c>
      <c r="BH559" s="61"/>
      <c r="BI559" s="61"/>
      <c r="BJ559" s="27">
        <f>'Filter-new'!M636</f>
        <v>0</v>
      </c>
      <c r="BK559" s="27"/>
      <c r="BL559" s="27"/>
      <c r="BM559" s="27"/>
      <c r="BN559" s="423"/>
      <c r="BO559" s="27"/>
      <c r="BP559" s="27"/>
      <c r="BQ559" s="45">
        <f>'Filter-old'!O636</f>
        <v>0</v>
      </c>
      <c r="BR559" s="27">
        <f>'Filter-new'!O636</f>
        <v>0</v>
      </c>
      <c r="BS559" s="27"/>
      <c r="BT559" s="27"/>
      <c r="BU559" s="45">
        <f>'Filter-old'!Q636</f>
        <v>0</v>
      </c>
      <c r="BV559" s="27">
        <f>'Filter-new'!Q636</f>
        <v>0</v>
      </c>
      <c r="BW559" s="27"/>
      <c r="BX559" s="27"/>
      <c r="BY559" s="27"/>
      <c r="BZ559" s="27"/>
      <c r="CA559" s="45">
        <f>'Filter-old'!R636</f>
        <v>-100</v>
      </c>
      <c r="CB559" s="27">
        <f>'Filter-new'!R636</f>
        <v>0</v>
      </c>
      <c r="CC559" s="4"/>
      <c r="CD559" s="4"/>
      <c r="CE559" s="4"/>
      <c r="CF559" s="4"/>
      <c r="CG559" s="4"/>
    </row>
    <row r="560" spans="1:85" hidden="1" x14ac:dyDescent="0.2">
      <c r="A560">
        <v>0</v>
      </c>
      <c r="B560" s="29" t="s">
        <v>89</v>
      </c>
      <c r="C560" s="29">
        <f t="shared" si="75"/>
        <v>37226</v>
      </c>
      <c r="D560" s="29"/>
      <c r="E560" s="29"/>
      <c r="F560" s="29"/>
      <c r="G560" s="36">
        <f t="shared" si="76"/>
        <v>-377.98039215686276</v>
      </c>
      <c r="H560" s="36">
        <f t="shared" si="77"/>
        <v>-333.43137254901956</v>
      </c>
      <c r="I560" s="36"/>
      <c r="J560" s="41"/>
      <c r="K560" s="45">
        <f>'Filter-old'!E637</f>
        <v>-77</v>
      </c>
      <c r="L560" s="27">
        <f>'Filter-new'!E637</f>
        <v>-239.27450980392157</v>
      </c>
      <c r="M560" s="27"/>
      <c r="N560" s="27"/>
      <c r="O560" s="442"/>
      <c r="P560" s="27"/>
      <c r="Q560" s="45">
        <f>'Filter-old'!H637</f>
        <v>-200.98039215686273</v>
      </c>
      <c r="R560" s="27">
        <f>'Filter-new'!H637</f>
        <v>-48.03921568627451</v>
      </c>
      <c r="S560" s="27"/>
      <c r="T560" s="27"/>
      <c r="U560" s="459"/>
      <c r="V560" s="27"/>
      <c r="W560" s="45">
        <f>'Filter-old'!J637</f>
        <v>0</v>
      </c>
      <c r="X560" s="27">
        <f>'Filter-new'!J637</f>
        <v>0</v>
      </c>
      <c r="Y560" s="27"/>
      <c r="Z560" s="27"/>
      <c r="AA560" s="45">
        <f>'Filter-old'!F637</f>
        <v>0</v>
      </c>
      <c r="AB560" s="27">
        <f>'Filter-new'!F637</f>
        <v>0</v>
      </c>
      <c r="AC560" s="27"/>
      <c r="AD560" s="27"/>
      <c r="AE560" s="45">
        <f>'Filter-old'!P637</f>
        <v>0</v>
      </c>
      <c r="AF560" s="27">
        <f>'Filter-new'!P637</f>
        <v>0</v>
      </c>
      <c r="AG560" s="27"/>
      <c r="AH560" s="27"/>
      <c r="AI560" s="45">
        <f>'Filter-old'!L637</f>
        <v>0</v>
      </c>
      <c r="AJ560" s="27">
        <f>'Filter-new'!L637</f>
        <v>25.941176470588236</v>
      </c>
      <c r="AK560" s="27"/>
      <c r="AL560" s="27"/>
      <c r="AM560" s="27"/>
      <c r="AN560" s="27"/>
      <c r="AO560" s="45">
        <f>'Filter-old'!G637</f>
        <v>0</v>
      </c>
      <c r="AP560" s="27">
        <f>'Filter-new'!G637</f>
        <v>0</v>
      </c>
      <c r="AQ560" s="27"/>
      <c r="AR560" s="27"/>
      <c r="AS560" s="45"/>
      <c r="AT560" s="27"/>
      <c r="AU560" s="27"/>
      <c r="AV560" s="27"/>
      <c r="AW560" s="45">
        <f>'Filter-old'!I637</f>
        <v>0</v>
      </c>
      <c r="AX560" s="27">
        <f>'Filter-new'!I637</f>
        <v>-96.078431372549019</v>
      </c>
      <c r="AY560" s="27"/>
      <c r="AZ560" s="27"/>
      <c r="BA560" s="27"/>
      <c r="BB560" s="27"/>
      <c r="BC560" s="45">
        <f>'Filter-old'!K637</f>
        <v>0</v>
      </c>
      <c r="BD560" s="27">
        <f>'Filter-new'!K637</f>
        <v>0</v>
      </c>
      <c r="BE560" s="27"/>
      <c r="BF560" s="27"/>
      <c r="BG560" s="45">
        <f>'Filter-old'!M637</f>
        <v>0</v>
      </c>
      <c r="BH560" s="61"/>
      <c r="BI560" s="61"/>
      <c r="BJ560" s="27">
        <f>'Filter-new'!M637</f>
        <v>0</v>
      </c>
      <c r="BK560" s="27"/>
      <c r="BL560" s="27"/>
      <c r="BM560" s="27"/>
      <c r="BN560" s="423"/>
      <c r="BO560" s="27"/>
      <c r="BP560" s="27"/>
      <c r="BQ560" s="45">
        <f>'Filter-old'!O637</f>
        <v>0</v>
      </c>
      <c r="BR560" s="27">
        <f>'Filter-new'!O637</f>
        <v>0</v>
      </c>
      <c r="BS560" s="27"/>
      <c r="BT560" s="27"/>
      <c r="BU560" s="45">
        <f>'Filter-old'!Q637</f>
        <v>0</v>
      </c>
      <c r="BV560" s="27">
        <f>'Filter-new'!Q637</f>
        <v>-24.019607843137255</v>
      </c>
      <c r="BW560" s="27"/>
      <c r="BX560" s="27"/>
      <c r="BY560" s="27"/>
      <c r="BZ560" s="27"/>
      <c r="CA560" s="45">
        <f>'Filter-old'!R637</f>
        <v>-100</v>
      </c>
      <c r="CB560" s="27">
        <f>'Filter-new'!R637</f>
        <v>48.03921568627451</v>
      </c>
      <c r="CC560" s="4"/>
      <c r="CD560" s="4"/>
      <c r="CE560" s="4"/>
      <c r="CF560" s="4"/>
      <c r="CG560" s="4"/>
    </row>
    <row r="561" spans="1:85" hidden="1" x14ac:dyDescent="0.2">
      <c r="A561">
        <v>0</v>
      </c>
      <c r="B561" s="29" t="s">
        <v>80</v>
      </c>
      <c r="C561" s="29">
        <f t="shared" ref="C561:C572" si="78">C135</f>
        <v>37257</v>
      </c>
      <c r="D561" s="29"/>
      <c r="E561" s="29"/>
      <c r="F561" s="29"/>
      <c r="G561" s="36">
        <f t="shared" si="76"/>
        <v>-303.0204081632653</v>
      </c>
      <c r="H561" s="36">
        <f t="shared" si="77"/>
        <v>-311.42857142857139</v>
      </c>
      <c r="I561" s="36"/>
      <c r="J561" s="41"/>
      <c r="K561" s="45">
        <f>'Filter-old'!E638</f>
        <v>-277</v>
      </c>
      <c r="L561" s="27">
        <f>'Filter-new'!E638</f>
        <v>-223.42857142857142</v>
      </c>
      <c r="M561" s="27"/>
      <c r="N561" s="27"/>
      <c r="O561" s="442"/>
      <c r="P561" s="27"/>
      <c r="Q561" s="45">
        <f>'Filter-old'!H638</f>
        <v>-51.020408163265309</v>
      </c>
      <c r="R561" s="27">
        <f>'Filter-new'!H638</f>
        <v>-44.897959183673471</v>
      </c>
      <c r="S561" s="27"/>
      <c r="T561" s="27"/>
      <c r="U561" s="459"/>
      <c r="V561" s="27"/>
      <c r="W561" s="45">
        <f>'Filter-old'!J638</f>
        <v>0</v>
      </c>
      <c r="X561" s="27">
        <f>'Filter-new'!J638</f>
        <v>0</v>
      </c>
      <c r="Y561" s="27"/>
      <c r="Z561" s="27"/>
      <c r="AA561" s="45">
        <f>'Filter-old'!F638</f>
        <v>0</v>
      </c>
      <c r="AB561" s="27">
        <f>'Filter-new'!F638</f>
        <v>0</v>
      </c>
      <c r="AC561" s="27"/>
      <c r="AD561" s="27"/>
      <c r="AE561" s="45">
        <f>'Filter-old'!P638</f>
        <v>0</v>
      </c>
      <c r="AF561" s="27">
        <f>'Filter-new'!P638</f>
        <v>0</v>
      </c>
      <c r="AG561" s="27"/>
      <c r="AH561" s="27"/>
      <c r="AI561" s="45">
        <f>'Filter-old'!L638</f>
        <v>0</v>
      </c>
      <c r="AJ561" s="27">
        <f>'Filter-new'!L638</f>
        <v>24.244897959183675</v>
      </c>
      <c r="AK561" s="27"/>
      <c r="AL561" s="27"/>
      <c r="AM561" s="27"/>
      <c r="AN561" s="27"/>
      <c r="AO561" s="45">
        <f>'Filter-old'!G638</f>
        <v>0</v>
      </c>
      <c r="AP561" s="27">
        <f>'Filter-new'!G638</f>
        <v>0</v>
      </c>
      <c r="AQ561" s="27"/>
      <c r="AR561" s="27"/>
      <c r="AS561" s="45"/>
      <c r="AT561" s="27"/>
      <c r="AU561" s="27"/>
      <c r="AV561" s="27"/>
      <c r="AW561" s="45">
        <f>'Filter-old'!I638</f>
        <v>0</v>
      </c>
      <c r="AX561" s="27">
        <f>'Filter-new'!I638</f>
        <v>-89.795918367346943</v>
      </c>
      <c r="AY561" s="27"/>
      <c r="AZ561" s="27"/>
      <c r="BA561" s="27"/>
      <c r="BB561" s="27"/>
      <c r="BC561" s="45">
        <f>'Filter-old'!K638</f>
        <v>0</v>
      </c>
      <c r="BD561" s="27">
        <f>'Filter-new'!K638</f>
        <v>0</v>
      </c>
      <c r="BE561" s="27"/>
      <c r="BF561" s="27"/>
      <c r="BG561" s="45">
        <f>'Filter-old'!M638</f>
        <v>0</v>
      </c>
      <c r="BH561" s="61"/>
      <c r="BI561" s="61"/>
      <c r="BJ561" s="27">
        <f>'Filter-new'!M638</f>
        <v>0</v>
      </c>
      <c r="BK561" s="27"/>
      <c r="BL561" s="27"/>
      <c r="BM561" s="27"/>
      <c r="BN561" s="423"/>
      <c r="BO561" s="27"/>
      <c r="BP561" s="27"/>
      <c r="BQ561" s="45">
        <f>'Filter-old'!O638</f>
        <v>0</v>
      </c>
      <c r="BR561" s="27">
        <f>'Filter-new'!O638</f>
        <v>0</v>
      </c>
      <c r="BS561" s="27"/>
      <c r="BT561" s="27"/>
      <c r="BU561" s="45">
        <f>'Filter-old'!Q638</f>
        <v>25</v>
      </c>
      <c r="BV561" s="27">
        <f>'Filter-new'!Q638</f>
        <v>-22.448979591836736</v>
      </c>
      <c r="BW561" s="27"/>
      <c r="BX561" s="27"/>
      <c r="BY561" s="27"/>
      <c r="BZ561" s="27"/>
      <c r="CA561" s="45">
        <f>'Filter-old'!R638</f>
        <v>0</v>
      </c>
      <c r="CB561" s="27">
        <f>'Filter-new'!R638</f>
        <v>44.897959183673471</v>
      </c>
      <c r="CC561" s="4"/>
      <c r="CD561" s="4"/>
      <c r="CE561" s="4"/>
      <c r="CF561" s="4"/>
      <c r="CG561" s="4"/>
    </row>
    <row r="562" spans="1:85" hidden="1" x14ac:dyDescent="0.2">
      <c r="A562">
        <v>0</v>
      </c>
      <c r="B562" s="29">
        <v>37288</v>
      </c>
      <c r="C562" s="29">
        <f t="shared" si="78"/>
        <v>37288</v>
      </c>
      <c r="D562" s="29"/>
      <c r="E562" s="29"/>
      <c r="F562" s="29"/>
      <c r="G562" s="36">
        <f t="shared" si="76"/>
        <v>-302</v>
      </c>
      <c r="H562" s="36">
        <f t="shared" si="77"/>
        <v>-403.97727272727275</v>
      </c>
      <c r="I562" s="36"/>
      <c r="J562" s="41"/>
      <c r="K562" s="45">
        <f>'Filter-old'!E639</f>
        <v>-277</v>
      </c>
      <c r="L562" s="27">
        <f>'Filter-new'!E639</f>
        <v>-290.38636363636363</v>
      </c>
      <c r="M562" s="27"/>
      <c r="N562" s="27"/>
      <c r="O562" s="442"/>
      <c r="P562" s="27"/>
      <c r="Q562" s="45">
        <f>'Filter-old'!H639</f>
        <v>-50</v>
      </c>
      <c r="R562" s="27">
        <f>'Filter-new'!H639</f>
        <v>-57.954545454545453</v>
      </c>
      <c r="S562" s="27"/>
      <c r="T562" s="27"/>
      <c r="U562" s="459"/>
      <c r="V562" s="27"/>
      <c r="W562" s="45">
        <f>'Filter-old'!J639</f>
        <v>0</v>
      </c>
      <c r="X562" s="27">
        <f>'Filter-new'!J639</f>
        <v>0</v>
      </c>
      <c r="Y562" s="27"/>
      <c r="Z562" s="27"/>
      <c r="AA562" s="45">
        <f>'Filter-old'!F639</f>
        <v>0</v>
      </c>
      <c r="AB562" s="27">
        <f>'Filter-new'!F639</f>
        <v>0</v>
      </c>
      <c r="AC562" s="27"/>
      <c r="AD562" s="27"/>
      <c r="AE562" s="45">
        <f>'Filter-old'!P639</f>
        <v>0</v>
      </c>
      <c r="AF562" s="27">
        <f>'Filter-new'!P639</f>
        <v>0</v>
      </c>
      <c r="AG562" s="27"/>
      <c r="AH562" s="27"/>
      <c r="AI562" s="45">
        <f>'Filter-old'!L639</f>
        <v>0</v>
      </c>
      <c r="AJ562" s="27">
        <f>'Filter-new'!L639</f>
        <v>31.295454545454547</v>
      </c>
      <c r="AK562" s="27"/>
      <c r="AL562" s="27"/>
      <c r="AM562" s="27"/>
      <c r="AN562" s="27"/>
      <c r="AO562" s="45">
        <f>'Filter-old'!G639</f>
        <v>0</v>
      </c>
      <c r="AP562" s="27">
        <f>'Filter-new'!G639</f>
        <v>0</v>
      </c>
      <c r="AQ562" s="27"/>
      <c r="AR562" s="27"/>
      <c r="AS562" s="45"/>
      <c r="AT562" s="27"/>
      <c r="AU562" s="27"/>
      <c r="AV562" s="27"/>
      <c r="AW562" s="45">
        <f>'Filter-old'!I639</f>
        <v>0</v>
      </c>
      <c r="AX562" s="27">
        <f>'Filter-new'!I639</f>
        <v>-115.90909090909091</v>
      </c>
      <c r="AY562" s="27"/>
      <c r="AZ562" s="27"/>
      <c r="BA562" s="27"/>
      <c r="BB562" s="27"/>
      <c r="BC562" s="45">
        <f>'Filter-old'!K639</f>
        <v>0</v>
      </c>
      <c r="BD562" s="27">
        <f>'Filter-new'!K639</f>
        <v>0</v>
      </c>
      <c r="BE562" s="27"/>
      <c r="BF562" s="27"/>
      <c r="BG562" s="45">
        <f>'Filter-old'!M639</f>
        <v>0</v>
      </c>
      <c r="BH562" s="61"/>
      <c r="BI562" s="61"/>
      <c r="BJ562" s="27">
        <f>'Filter-new'!M639</f>
        <v>0</v>
      </c>
      <c r="BK562" s="27"/>
      <c r="BL562" s="27"/>
      <c r="BM562" s="27"/>
      <c r="BN562" s="423"/>
      <c r="BO562" s="27"/>
      <c r="BP562" s="27"/>
      <c r="BQ562" s="45">
        <f>'Filter-old'!O639</f>
        <v>0</v>
      </c>
      <c r="BR562" s="27">
        <f>'Filter-new'!O639</f>
        <v>0</v>
      </c>
      <c r="BS562" s="27"/>
      <c r="BT562" s="27"/>
      <c r="BU562" s="45">
        <f>'Filter-old'!Q639</f>
        <v>25</v>
      </c>
      <c r="BV562" s="27">
        <f>'Filter-new'!Q639</f>
        <v>-28.977272727272727</v>
      </c>
      <c r="BW562" s="27"/>
      <c r="BX562" s="27"/>
      <c r="BY562" s="27"/>
      <c r="BZ562" s="27"/>
      <c r="CA562" s="45">
        <f>'Filter-old'!R639</f>
        <v>0</v>
      </c>
      <c r="CB562" s="27">
        <f>'Filter-new'!R639</f>
        <v>57.954545454545453</v>
      </c>
      <c r="CC562" s="4"/>
      <c r="CD562" s="4"/>
      <c r="CE562" s="4"/>
      <c r="CF562" s="4"/>
      <c r="CG562" s="4"/>
    </row>
    <row r="563" spans="1:85" hidden="1" x14ac:dyDescent="0.2">
      <c r="A563">
        <v>0</v>
      </c>
      <c r="B563" s="29" t="s">
        <v>81</v>
      </c>
      <c r="C563" s="29">
        <f t="shared" si="78"/>
        <v>37316</v>
      </c>
      <c r="D563" s="29"/>
      <c r="E563" s="29"/>
      <c r="F563" s="29"/>
      <c r="G563" s="36">
        <f t="shared" si="76"/>
        <v>-302</v>
      </c>
      <c r="H563" s="36">
        <f t="shared" si="77"/>
        <v>-311.16421568627447</v>
      </c>
      <c r="I563" s="36"/>
      <c r="J563" s="41"/>
      <c r="K563" s="45">
        <f>'Filter-old'!E640</f>
        <v>-277</v>
      </c>
      <c r="L563" s="27">
        <f>'Filter-new'!E640</f>
        <v>-223.01225490196077</v>
      </c>
      <c r="M563" s="27"/>
      <c r="N563" s="27"/>
      <c r="O563" s="442"/>
      <c r="P563" s="27"/>
      <c r="Q563" s="45">
        <f>'Filter-old'!H640</f>
        <v>-50</v>
      </c>
      <c r="R563" s="27">
        <f>'Filter-new'!H640</f>
        <v>-44.975490196078432</v>
      </c>
      <c r="S563" s="27"/>
      <c r="T563" s="27"/>
      <c r="U563" s="459"/>
      <c r="V563" s="27"/>
      <c r="W563" s="45">
        <f>'Filter-old'!J640</f>
        <v>0</v>
      </c>
      <c r="X563" s="27">
        <f>'Filter-new'!J640</f>
        <v>0</v>
      </c>
      <c r="Y563" s="27"/>
      <c r="Z563" s="27"/>
      <c r="AA563" s="45">
        <f>'Filter-old'!F640</f>
        <v>0</v>
      </c>
      <c r="AB563" s="27">
        <f>'Filter-new'!F640</f>
        <v>0</v>
      </c>
      <c r="AC563" s="27"/>
      <c r="AD563" s="27"/>
      <c r="AE563" s="45">
        <f>'Filter-old'!P640</f>
        <v>0</v>
      </c>
      <c r="AF563" s="27">
        <f>'Filter-new'!P640</f>
        <v>0</v>
      </c>
      <c r="AG563" s="27"/>
      <c r="AH563" s="27"/>
      <c r="AI563" s="45">
        <f>'Filter-old'!L640</f>
        <v>0</v>
      </c>
      <c r="AJ563" s="27">
        <f>'Filter-new'!L640</f>
        <v>24.286764705882351</v>
      </c>
      <c r="AK563" s="27"/>
      <c r="AL563" s="27"/>
      <c r="AM563" s="27"/>
      <c r="AN563" s="27"/>
      <c r="AO563" s="45">
        <f>'Filter-old'!G640</f>
        <v>0</v>
      </c>
      <c r="AP563" s="27">
        <f>'Filter-new'!G640</f>
        <v>0</v>
      </c>
      <c r="AQ563" s="27"/>
      <c r="AR563" s="27"/>
      <c r="AS563" s="45"/>
      <c r="AT563" s="27"/>
      <c r="AU563" s="27"/>
      <c r="AV563" s="27"/>
      <c r="AW563" s="45">
        <f>'Filter-old'!I640</f>
        <v>0</v>
      </c>
      <c r="AX563" s="27">
        <f>'Filter-new'!I640</f>
        <v>-89.950980392156865</v>
      </c>
      <c r="AY563" s="27"/>
      <c r="AZ563" s="27"/>
      <c r="BA563" s="27"/>
      <c r="BB563" s="27"/>
      <c r="BC563" s="45">
        <f>'Filter-old'!K640</f>
        <v>0</v>
      </c>
      <c r="BD563" s="27">
        <f>'Filter-new'!K640</f>
        <v>0</v>
      </c>
      <c r="BE563" s="27"/>
      <c r="BF563" s="27"/>
      <c r="BG563" s="45">
        <f>'Filter-old'!M640</f>
        <v>0</v>
      </c>
      <c r="BH563" s="61"/>
      <c r="BI563" s="61"/>
      <c r="BJ563" s="27">
        <f>'Filter-new'!M640</f>
        <v>0</v>
      </c>
      <c r="BK563" s="27"/>
      <c r="BL563" s="27"/>
      <c r="BM563" s="27"/>
      <c r="BN563" s="423"/>
      <c r="BO563" s="27"/>
      <c r="BP563" s="27"/>
      <c r="BQ563" s="45">
        <f>'Filter-old'!O640</f>
        <v>0</v>
      </c>
      <c r="BR563" s="27">
        <f>'Filter-new'!O640</f>
        <v>0</v>
      </c>
      <c r="BS563" s="27"/>
      <c r="BT563" s="27"/>
      <c r="BU563" s="45">
        <f>'Filter-old'!Q640</f>
        <v>25</v>
      </c>
      <c r="BV563" s="27">
        <f>'Filter-new'!Q640</f>
        <v>-22.487745098039216</v>
      </c>
      <c r="BW563" s="27"/>
      <c r="BX563" s="27"/>
      <c r="BY563" s="27"/>
      <c r="BZ563" s="27"/>
      <c r="CA563" s="45">
        <f>'Filter-old'!R640</f>
        <v>0</v>
      </c>
      <c r="CB563" s="27">
        <f>'Filter-new'!R640</f>
        <v>44.975490196078432</v>
      </c>
      <c r="CC563" s="4"/>
      <c r="CD563" s="4"/>
      <c r="CE563" s="4"/>
      <c r="CF563" s="4"/>
      <c r="CG563" s="4"/>
    </row>
    <row r="564" spans="1:85" hidden="1" x14ac:dyDescent="0.2">
      <c r="A564">
        <v>0</v>
      </c>
      <c r="B564" s="29">
        <v>37347</v>
      </c>
      <c r="C564" s="29">
        <f t="shared" si="78"/>
        <v>37347</v>
      </c>
      <c r="D564" s="29"/>
      <c r="E564" s="29"/>
      <c r="F564" s="29"/>
      <c r="G564" s="36">
        <f t="shared" si="76"/>
        <v>-301.17934782608694</v>
      </c>
      <c r="H564" s="36">
        <f t="shared" si="77"/>
        <v>-397.82608695652175</v>
      </c>
      <c r="I564" s="36"/>
      <c r="J564" s="41"/>
      <c r="K564" s="45">
        <f>'Filter-old'!E641</f>
        <v>-276.24728260869563</v>
      </c>
      <c r="L564" s="27">
        <f>'Filter-new'!E641</f>
        <v>-289.17391304347825</v>
      </c>
      <c r="M564" s="27"/>
      <c r="N564" s="27"/>
      <c r="O564" s="442"/>
      <c r="P564" s="27"/>
      <c r="Q564" s="45">
        <f>'Filter-old'!H641</f>
        <v>-49.864130434782609</v>
      </c>
      <c r="R564" s="27">
        <f>'Filter-new'!H641</f>
        <v>-55.434782608695649</v>
      </c>
      <c r="S564" s="27"/>
      <c r="T564" s="27"/>
      <c r="U564" s="459"/>
      <c r="V564" s="27"/>
      <c r="W564" s="45">
        <f>'Filter-old'!J641</f>
        <v>0</v>
      </c>
      <c r="X564" s="27">
        <f>'Filter-new'!J641</f>
        <v>0</v>
      </c>
      <c r="Y564" s="27"/>
      <c r="Z564" s="27"/>
      <c r="AA564" s="45">
        <f>'Filter-old'!F641</f>
        <v>0</v>
      </c>
      <c r="AB564" s="27">
        <f>'Filter-new'!F641</f>
        <v>0</v>
      </c>
      <c r="AC564" s="27"/>
      <c r="AD564" s="27"/>
      <c r="AE564" s="45">
        <f>'Filter-old'!P641</f>
        <v>0</v>
      </c>
      <c r="AF564" s="27">
        <f>'Filter-new'!P641</f>
        <v>0</v>
      </c>
      <c r="AG564" s="27"/>
      <c r="AH564" s="27"/>
      <c r="AI564" s="45">
        <f>'Filter-old'!L641</f>
        <v>0</v>
      </c>
      <c r="AJ564" s="27">
        <f>'Filter-new'!L641</f>
        <v>29.934782608695652</v>
      </c>
      <c r="AK564" s="27"/>
      <c r="AL564" s="27"/>
      <c r="AM564" s="27"/>
      <c r="AN564" s="27"/>
      <c r="AO564" s="45">
        <f>'Filter-old'!G641</f>
        <v>0</v>
      </c>
      <c r="AP564" s="27">
        <f>'Filter-new'!G641</f>
        <v>0</v>
      </c>
      <c r="AQ564" s="27"/>
      <c r="AR564" s="27"/>
      <c r="AS564" s="45"/>
      <c r="AT564" s="27"/>
      <c r="AU564" s="27"/>
      <c r="AV564" s="27"/>
      <c r="AW564" s="45">
        <f>'Filter-old'!I641</f>
        <v>0</v>
      </c>
      <c r="AX564" s="27">
        <f>'Filter-new'!I641</f>
        <v>-110.8695652173913</v>
      </c>
      <c r="AY564" s="27"/>
      <c r="AZ564" s="27"/>
      <c r="BA564" s="27"/>
      <c r="BB564" s="27"/>
      <c r="BC564" s="45">
        <f>'Filter-old'!K641</f>
        <v>0</v>
      </c>
      <c r="BD564" s="27">
        <f>'Filter-new'!K641</f>
        <v>0</v>
      </c>
      <c r="BE564" s="27"/>
      <c r="BF564" s="27"/>
      <c r="BG564" s="45">
        <f>'Filter-old'!M641</f>
        <v>0</v>
      </c>
      <c r="BH564" s="61"/>
      <c r="BI564" s="61"/>
      <c r="BJ564" s="27">
        <f>'Filter-new'!M641</f>
        <v>0</v>
      </c>
      <c r="BK564" s="27"/>
      <c r="BL564" s="27"/>
      <c r="BM564" s="27"/>
      <c r="BN564" s="423"/>
      <c r="BO564" s="27"/>
      <c r="BP564" s="27"/>
      <c r="BQ564" s="45">
        <f>'Filter-old'!O641</f>
        <v>0</v>
      </c>
      <c r="BR564" s="27">
        <f>'Filter-new'!O641</f>
        <v>0</v>
      </c>
      <c r="BS564" s="27"/>
      <c r="BT564" s="27"/>
      <c r="BU564" s="45">
        <f>'Filter-old'!Q641</f>
        <v>24.932065217391305</v>
      </c>
      <c r="BV564" s="27">
        <f>'Filter-new'!Q641</f>
        <v>-27.717391304347824</v>
      </c>
      <c r="BW564" s="27"/>
      <c r="BX564" s="27"/>
      <c r="BY564" s="27"/>
      <c r="BZ564" s="27"/>
      <c r="CA564" s="45">
        <f>'Filter-old'!R641</f>
        <v>0</v>
      </c>
      <c r="CB564" s="27">
        <f>'Filter-new'!R641</f>
        <v>55.434782608695649</v>
      </c>
      <c r="CC564" s="4"/>
      <c r="CD564" s="4"/>
      <c r="CE564" s="4"/>
      <c r="CF564" s="4"/>
      <c r="CG564" s="4"/>
    </row>
    <row r="565" spans="1:85" hidden="1" x14ac:dyDescent="0.2">
      <c r="A565">
        <v>0</v>
      </c>
      <c r="B565" s="29" t="s">
        <v>82</v>
      </c>
      <c r="C565" s="29">
        <f t="shared" si="78"/>
        <v>37377</v>
      </c>
      <c r="D565" s="29"/>
      <c r="E565" s="29"/>
      <c r="F565" s="29"/>
      <c r="G565" s="36">
        <f t="shared" si="76"/>
        <v>-302.98039215686276</v>
      </c>
      <c r="H565" s="36">
        <f t="shared" si="77"/>
        <v>-327.05882352941177</v>
      </c>
      <c r="I565" s="36"/>
      <c r="J565" s="41"/>
      <c r="K565" s="45">
        <f>'Filter-old'!E642</f>
        <v>-277</v>
      </c>
      <c r="L565" s="27">
        <f>'Filter-new'!E642</f>
        <v>-234.8235294117647</v>
      </c>
      <c r="M565" s="27"/>
      <c r="N565" s="27"/>
      <c r="O565" s="442"/>
      <c r="P565" s="27"/>
      <c r="Q565" s="45">
        <f>'Filter-old'!H642</f>
        <v>-50.980392156862742</v>
      </c>
      <c r="R565" s="27">
        <f>'Filter-new'!H642</f>
        <v>-47.058823529411768</v>
      </c>
      <c r="S565" s="27"/>
      <c r="T565" s="27"/>
      <c r="U565" s="459"/>
      <c r="V565" s="27"/>
      <c r="W565" s="45">
        <f>'Filter-old'!J642</f>
        <v>0</v>
      </c>
      <c r="X565" s="27">
        <f>'Filter-new'!J642</f>
        <v>0</v>
      </c>
      <c r="Y565" s="27"/>
      <c r="Z565" s="27"/>
      <c r="AA565" s="45">
        <f>'Filter-old'!F642</f>
        <v>0</v>
      </c>
      <c r="AB565" s="27">
        <f>'Filter-new'!F642</f>
        <v>0</v>
      </c>
      <c r="AC565" s="27"/>
      <c r="AD565" s="27"/>
      <c r="AE565" s="45">
        <f>'Filter-old'!P642</f>
        <v>0</v>
      </c>
      <c r="AF565" s="27">
        <f>'Filter-new'!P642</f>
        <v>0</v>
      </c>
      <c r="AG565" s="27"/>
      <c r="AH565" s="27"/>
      <c r="AI565" s="45">
        <f>'Filter-old'!L642</f>
        <v>0</v>
      </c>
      <c r="AJ565" s="27">
        <f>'Filter-new'!L642</f>
        <v>25.411764705882351</v>
      </c>
      <c r="AK565" s="27"/>
      <c r="AL565" s="27"/>
      <c r="AM565" s="27"/>
      <c r="AN565" s="27"/>
      <c r="AO565" s="45">
        <f>'Filter-old'!G642</f>
        <v>0</v>
      </c>
      <c r="AP565" s="27">
        <f>'Filter-new'!G642</f>
        <v>0</v>
      </c>
      <c r="AQ565" s="27"/>
      <c r="AR565" s="27"/>
      <c r="AS565" s="45"/>
      <c r="AT565" s="27"/>
      <c r="AU565" s="27"/>
      <c r="AV565" s="27"/>
      <c r="AW565" s="45">
        <f>'Filter-old'!I642</f>
        <v>0</v>
      </c>
      <c r="AX565" s="27">
        <f>'Filter-new'!I642</f>
        <v>-94.117647058823536</v>
      </c>
      <c r="AY565" s="27"/>
      <c r="AZ565" s="27"/>
      <c r="BA565" s="27"/>
      <c r="BB565" s="27"/>
      <c r="BC565" s="45">
        <f>'Filter-old'!K642</f>
        <v>0</v>
      </c>
      <c r="BD565" s="27">
        <f>'Filter-new'!K642</f>
        <v>0</v>
      </c>
      <c r="BE565" s="27"/>
      <c r="BF565" s="27"/>
      <c r="BG565" s="45">
        <f>'Filter-old'!M642</f>
        <v>0</v>
      </c>
      <c r="BH565" s="61"/>
      <c r="BI565" s="61"/>
      <c r="BJ565" s="27">
        <f>'Filter-new'!M642</f>
        <v>0</v>
      </c>
      <c r="BK565" s="27"/>
      <c r="BL565" s="27"/>
      <c r="BM565" s="27"/>
      <c r="BN565" s="423"/>
      <c r="BO565" s="27"/>
      <c r="BP565" s="27"/>
      <c r="BQ565" s="45">
        <f>'Filter-old'!O642</f>
        <v>0</v>
      </c>
      <c r="BR565" s="27">
        <f>'Filter-new'!O642</f>
        <v>0</v>
      </c>
      <c r="BS565" s="27"/>
      <c r="BT565" s="27"/>
      <c r="BU565" s="45">
        <f>'Filter-old'!Q642</f>
        <v>25</v>
      </c>
      <c r="BV565" s="27">
        <f>'Filter-new'!Q642</f>
        <v>-23.529411764705884</v>
      </c>
      <c r="BW565" s="27"/>
      <c r="BX565" s="27"/>
      <c r="BY565" s="27"/>
      <c r="BZ565" s="27"/>
      <c r="CA565" s="45">
        <f>'Filter-old'!R642</f>
        <v>0</v>
      </c>
      <c r="CB565" s="27">
        <f>'Filter-new'!R642</f>
        <v>47.058823529411768</v>
      </c>
      <c r="CC565" s="4"/>
      <c r="CD565" s="4"/>
      <c r="CE565" s="4"/>
      <c r="CF565" s="4"/>
      <c r="CG565" s="4"/>
    </row>
    <row r="566" spans="1:85" hidden="1" x14ac:dyDescent="0.2">
      <c r="A566">
        <v>0</v>
      </c>
      <c r="B566" s="29" t="s">
        <v>83</v>
      </c>
      <c r="C566" s="29">
        <f t="shared" si="78"/>
        <v>37408</v>
      </c>
      <c r="D566" s="29"/>
      <c r="E566" s="29"/>
      <c r="F566" s="29"/>
      <c r="G566" s="36">
        <f t="shared" si="76"/>
        <v>-302</v>
      </c>
      <c r="H566" s="36">
        <f t="shared" si="77"/>
        <v>-354.27083333333326</v>
      </c>
      <c r="I566" s="36"/>
      <c r="J566" s="41"/>
      <c r="K566" s="45">
        <f>'Filter-old'!E643</f>
        <v>-277</v>
      </c>
      <c r="L566" s="27">
        <f>'Filter-new'!E643</f>
        <v>-254.22916666666666</v>
      </c>
      <c r="M566" s="27"/>
      <c r="N566" s="27"/>
      <c r="O566" s="442"/>
      <c r="P566" s="27"/>
      <c r="Q566" s="45">
        <f>'Filter-old'!H643</f>
        <v>-50</v>
      </c>
      <c r="R566" s="27">
        <f>'Filter-new'!H643</f>
        <v>-51.041666666666664</v>
      </c>
      <c r="S566" s="27"/>
      <c r="T566" s="27"/>
      <c r="U566" s="459"/>
      <c r="V566" s="27"/>
      <c r="W566" s="45">
        <f>'Filter-old'!J643</f>
        <v>0</v>
      </c>
      <c r="X566" s="27">
        <f>'Filter-new'!J643</f>
        <v>0</v>
      </c>
      <c r="Y566" s="27"/>
      <c r="Z566" s="27"/>
      <c r="AA566" s="45">
        <f>'Filter-old'!F643</f>
        <v>0</v>
      </c>
      <c r="AB566" s="27">
        <f>'Filter-new'!F643</f>
        <v>0</v>
      </c>
      <c r="AC566" s="27"/>
      <c r="AD566" s="27"/>
      <c r="AE566" s="45">
        <f>'Filter-old'!P643</f>
        <v>0</v>
      </c>
      <c r="AF566" s="27">
        <f>'Filter-new'!P643</f>
        <v>0</v>
      </c>
      <c r="AG566" s="27"/>
      <c r="AH566" s="27"/>
      <c r="AI566" s="45">
        <f>'Filter-old'!L643</f>
        <v>0</v>
      </c>
      <c r="AJ566" s="27">
        <f>'Filter-new'!L643</f>
        <v>27.5625</v>
      </c>
      <c r="AK566" s="27"/>
      <c r="AL566" s="27"/>
      <c r="AM566" s="27"/>
      <c r="AN566" s="27"/>
      <c r="AO566" s="45">
        <f>'Filter-old'!G643</f>
        <v>0</v>
      </c>
      <c r="AP566" s="27">
        <f>'Filter-new'!G643</f>
        <v>0</v>
      </c>
      <c r="AQ566" s="27"/>
      <c r="AR566" s="27"/>
      <c r="AS566" s="45"/>
      <c r="AT566" s="27"/>
      <c r="AU566" s="27"/>
      <c r="AV566" s="27"/>
      <c r="AW566" s="45">
        <f>'Filter-old'!I643</f>
        <v>0</v>
      </c>
      <c r="AX566" s="27">
        <f>'Filter-new'!I643</f>
        <v>-102.08333333333333</v>
      </c>
      <c r="AY566" s="27"/>
      <c r="AZ566" s="27"/>
      <c r="BA566" s="27"/>
      <c r="BB566" s="27"/>
      <c r="BC566" s="45">
        <f>'Filter-old'!K643</f>
        <v>0</v>
      </c>
      <c r="BD566" s="27">
        <f>'Filter-new'!K643</f>
        <v>0</v>
      </c>
      <c r="BE566" s="27"/>
      <c r="BF566" s="27"/>
      <c r="BG566" s="45">
        <f>'Filter-old'!M643</f>
        <v>0</v>
      </c>
      <c r="BH566" s="61"/>
      <c r="BI566" s="61"/>
      <c r="BJ566" s="27">
        <f>'Filter-new'!M643</f>
        <v>0</v>
      </c>
      <c r="BK566" s="27"/>
      <c r="BL566" s="27"/>
      <c r="BM566" s="27"/>
      <c r="BN566" s="423"/>
      <c r="BO566" s="27"/>
      <c r="BP566" s="27"/>
      <c r="BQ566" s="45">
        <f>'Filter-old'!O643</f>
        <v>0</v>
      </c>
      <c r="BR566" s="27">
        <f>'Filter-new'!O643</f>
        <v>0</v>
      </c>
      <c r="BS566" s="27"/>
      <c r="BT566" s="27"/>
      <c r="BU566" s="45">
        <f>'Filter-old'!Q643</f>
        <v>25</v>
      </c>
      <c r="BV566" s="27">
        <f>'Filter-new'!Q643</f>
        <v>-25.520833333333332</v>
      </c>
      <c r="BW566" s="27"/>
      <c r="BX566" s="27"/>
      <c r="BY566" s="27"/>
      <c r="BZ566" s="27"/>
      <c r="CA566" s="45">
        <f>'Filter-old'!R643</f>
        <v>0</v>
      </c>
      <c r="CB566" s="27">
        <f>'Filter-new'!R643</f>
        <v>51.041666666666664</v>
      </c>
      <c r="CC566" s="4"/>
      <c r="CD566" s="4"/>
      <c r="CE566" s="4"/>
      <c r="CF566" s="4"/>
      <c r="CG566" s="4"/>
    </row>
    <row r="567" spans="1:85" hidden="1" x14ac:dyDescent="0.2">
      <c r="A567">
        <v>0</v>
      </c>
      <c r="B567" s="29" t="s">
        <v>84</v>
      </c>
      <c r="C567" s="29">
        <f t="shared" si="78"/>
        <v>37438</v>
      </c>
      <c r="D567" s="29"/>
      <c r="E567" s="29"/>
      <c r="F567" s="29"/>
      <c r="G567" s="36">
        <f t="shared" si="76"/>
        <v>-303.0204081632653</v>
      </c>
      <c r="H567" s="36">
        <f t="shared" si="77"/>
        <v>-362.75510204081633</v>
      </c>
      <c r="I567" s="36"/>
      <c r="J567" s="41"/>
      <c r="K567" s="45">
        <f>'Filter-old'!E644</f>
        <v>-277</v>
      </c>
      <c r="L567" s="27">
        <f>'Filter-new'!E644</f>
        <v>-260.75510204081633</v>
      </c>
      <c r="M567" s="27"/>
      <c r="N567" s="27"/>
      <c r="O567" s="442"/>
      <c r="P567" s="27"/>
      <c r="Q567" s="45">
        <f>'Filter-old'!H644</f>
        <v>-51.020408163265309</v>
      </c>
      <c r="R567" s="27">
        <f>'Filter-new'!H644</f>
        <v>-52.04081632653061</v>
      </c>
      <c r="S567" s="27"/>
      <c r="T567" s="27"/>
      <c r="U567" s="459"/>
      <c r="V567" s="27"/>
      <c r="W567" s="45">
        <f>'Filter-old'!J644</f>
        <v>0</v>
      </c>
      <c r="X567" s="27">
        <f>'Filter-new'!J644</f>
        <v>0</v>
      </c>
      <c r="Y567" s="27"/>
      <c r="Z567" s="27"/>
      <c r="AA567" s="45">
        <f>'Filter-old'!F644</f>
        <v>0</v>
      </c>
      <c r="AB567" s="27">
        <f>'Filter-new'!F644</f>
        <v>0</v>
      </c>
      <c r="AC567" s="27"/>
      <c r="AD567" s="27"/>
      <c r="AE567" s="45">
        <f>'Filter-old'!P644</f>
        <v>0</v>
      </c>
      <c r="AF567" s="27">
        <f>'Filter-new'!P644</f>
        <v>0</v>
      </c>
      <c r="AG567" s="27"/>
      <c r="AH567" s="27"/>
      <c r="AI567" s="45">
        <f>'Filter-old'!L644</f>
        <v>0</v>
      </c>
      <c r="AJ567" s="27">
        <f>'Filter-new'!L644</f>
        <v>28.102040816326532</v>
      </c>
      <c r="AK567" s="27"/>
      <c r="AL567" s="27"/>
      <c r="AM567" s="27"/>
      <c r="AN567" s="27"/>
      <c r="AO567" s="45">
        <f>'Filter-old'!G644</f>
        <v>0</v>
      </c>
      <c r="AP567" s="27">
        <f>'Filter-new'!G644</f>
        <v>0</v>
      </c>
      <c r="AQ567" s="27"/>
      <c r="AR567" s="27"/>
      <c r="AS567" s="45"/>
      <c r="AT567" s="27"/>
      <c r="AU567" s="27"/>
      <c r="AV567" s="27"/>
      <c r="AW567" s="45">
        <f>'Filter-old'!I644</f>
        <v>0</v>
      </c>
      <c r="AX567" s="27">
        <f>'Filter-new'!I644</f>
        <v>-104.08163265306122</v>
      </c>
      <c r="AY567" s="27"/>
      <c r="AZ567" s="27"/>
      <c r="BA567" s="27"/>
      <c r="BB567" s="27"/>
      <c r="BC567" s="45">
        <f>'Filter-old'!K644</f>
        <v>0</v>
      </c>
      <c r="BD567" s="27">
        <f>'Filter-new'!K644</f>
        <v>0</v>
      </c>
      <c r="BE567" s="27"/>
      <c r="BF567" s="27"/>
      <c r="BG567" s="45">
        <f>'Filter-old'!M644</f>
        <v>0</v>
      </c>
      <c r="BH567" s="61"/>
      <c r="BI567" s="61"/>
      <c r="BJ567" s="27">
        <f>'Filter-new'!M644</f>
        <v>0</v>
      </c>
      <c r="BK567" s="27"/>
      <c r="BL567" s="27"/>
      <c r="BM567" s="27"/>
      <c r="BN567" s="423"/>
      <c r="BO567" s="27"/>
      <c r="BP567" s="27"/>
      <c r="BQ567" s="45">
        <f>'Filter-old'!O644</f>
        <v>0</v>
      </c>
      <c r="BR567" s="27">
        <f>'Filter-new'!O644</f>
        <v>0</v>
      </c>
      <c r="BS567" s="27"/>
      <c r="BT567" s="27"/>
      <c r="BU567" s="45">
        <f>'Filter-old'!Q644</f>
        <v>25</v>
      </c>
      <c r="BV567" s="27">
        <f>'Filter-new'!Q644</f>
        <v>-26.020408163265305</v>
      </c>
      <c r="BW567" s="27"/>
      <c r="BX567" s="27"/>
      <c r="BY567" s="27"/>
      <c r="BZ567" s="27"/>
      <c r="CA567" s="45">
        <f>'Filter-old'!R644</f>
        <v>0</v>
      </c>
      <c r="CB567" s="27">
        <f>'Filter-new'!R644</f>
        <v>52.04081632653061</v>
      </c>
      <c r="CC567" s="4"/>
      <c r="CD567" s="4"/>
      <c r="CE567" s="4"/>
      <c r="CF567" s="4"/>
      <c r="CG567" s="4"/>
    </row>
    <row r="568" spans="1:85" hidden="1" x14ac:dyDescent="0.2">
      <c r="A568">
        <v>0</v>
      </c>
      <c r="B568" s="29">
        <v>37469</v>
      </c>
      <c r="C568" s="29">
        <f t="shared" si="78"/>
        <v>37469</v>
      </c>
      <c r="D568" s="29"/>
      <c r="E568" s="29"/>
      <c r="F568" s="29"/>
      <c r="G568" s="36">
        <f t="shared" si="76"/>
        <v>-302</v>
      </c>
      <c r="H568" s="36">
        <f t="shared" si="77"/>
        <v>-327.05882352941177</v>
      </c>
      <c r="I568" s="36"/>
      <c r="J568" s="41"/>
      <c r="K568" s="45">
        <f>'Filter-old'!E645</f>
        <v>-277</v>
      </c>
      <c r="L568" s="27">
        <f>'Filter-new'!E645</f>
        <v>-234.8235294117647</v>
      </c>
      <c r="M568" s="27"/>
      <c r="N568" s="27"/>
      <c r="O568" s="442"/>
      <c r="P568" s="27"/>
      <c r="Q568" s="45">
        <f>'Filter-old'!H645</f>
        <v>-50</v>
      </c>
      <c r="R568" s="27">
        <f>'Filter-new'!H645</f>
        <v>-47.058823529411768</v>
      </c>
      <c r="S568" s="27"/>
      <c r="T568" s="27"/>
      <c r="U568" s="459"/>
      <c r="V568" s="27"/>
      <c r="W568" s="45">
        <f>'Filter-old'!J645</f>
        <v>0</v>
      </c>
      <c r="X568" s="27">
        <f>'Filter-new'!J645</f>
        <v>0</v>
      </c>
      <c r="Y568" s="27"/>
      <c r="Z568" s="27"/>
      <c r="AA568" s="45">
        <f>'Filter-old'!F645</f>
        <v>0</v>
      </c>
      <c r="AB568" s="27">
        <f>'Filter-new'!F645</f>
        <v>0</v>
      </c>
      <c r="AC568" s="27"/>
      <c r="AD568" s="27"/>
      <c r="AE568" s="45">
        <f>'Filter-old'!P645</f>
        <v>0</v>
      </c>
      <c r="AF568" s="27">
        <f>'Filter-new'!P645</f>
        <v>0</v>
      </c>
      <c r="AG568" s="27"/>
      <c r="AH568" s="27"/>
      <c r="AI568" s="45">
        <f>'Filter-old'!L645</f>
        <v>0</v>
      </c>
      <c r="AJ568" s="27">
        <f>'Filter-new'!L645</f>
        <v>25.411764705882351</v>
      </c>
      <c r="AK568" s="27"/>
      <c r="AL568" s="27"/>
      <c r="AM568" s="27"/>
      <c r="AN568" s="27"/>
      <c r="AO568" s="45">
        <f>'Filter-old'!G645</f>
        <v>0</v>
      </c>
      <c r="AP568" s="27">
        <f>'Filter-new'!G645</f>
        <v>0</v>
      </c>
      <c r="AQ568" s="27"/>
      <c r="AR568" s="27"/>
      <c r="AS568" s="45"/>
      <c r="AT568" s="27"/>
      <c r="AU568" s="27"/>
      <c r="AV568" s="27"/>
      <c r="AW568" s="45">
        <f>'Filter-old'!I645</f>
        <v>0</v>
      </c>
      <c r="AX568" s="27">
        <f>'Filter-new'!I645</f>
        <v>-94.117647058823536</v>
      </c>
      <c r="AY568" s="27"/>
      <c r="AZ568" s="27"/>
      <c r="BA568" s="27"/>
      <c r="BB568" s="27"/>
      <c r="BC568" s="45">
        <f>'Filter-old'!K645</f>
        <v>0</v>
      </c>
      <c r="BD568" s="27">
        <f>'Filter-new'!K645</f>
        <v>0</v>
      </c>
      <c r="BE568" s="27"/>
      <c r="BF568" s="27"/>
      <c r="BG568" s="45">
        <f>'Filter-old'!M645</f>
        <v>0</v>
      </c>
      <c r="BH568" s="61"/>
      <c r="BI568" s="61"/>
      <c r="BJ568" s="27">
        <f>'Filter-new'!M645</f>
        <v>0</v>
      </c>
      <c r="BK568" s="27"/>
      <c r="BL568" s="27"/>
      <c r="BM568" s="27"/>
      <c r="BN568" s="423"/>
      <c r="BO568" s="27"/>
      <c r="BP568" s="27"/>
      <c r="BQ568" s="45">
        <f>'Filter-old'!O645</f>
        <v>0</v>
      </c>
      <c r="BR568" s="27">
        <f>'Filter-new'!O645</f>
        <v>0</v>
      </c>
      <c r="BS568" s="27"/>
      <c r="BT568" s="27"/>
      <c r="BU568" s="45">
        <f>'Filter-old'!Q645</f>
        <v>25</v>
      </c>
      <c r="BV568" s="27">
        <f>'Filter-new'!Q645</f>
        <v>-23.529411764705884</v>
      </c>
      <c r="BW568" s="27"/>
      <c r="BX568" s="27"/>
      <c r="BY568" s="27"/>
      <c r="BZ568" s="27"/>
      <c r="CA568" s="45">
        <f>'Filter-old'!R645</f>
        <v>0</v>
      </c>
      <c r="CB568" s="27">
        <f>'Filter-new'!R645</f>
        <v>47.058823529411768</v>
      </c>
      <c r="CC568" s="4"/>
      <c r="CD568" s="4"/>
      <c r="CE568" s="4"/>
      <c r="CF568" s="4"/>
      <c r="CG568" s="4"/>
    </row>
    <row r="569" spans="1:85" hidden="1" x14ac:dyDescent="0.2">
      <c r="A569">
        <v>0</v>
      </c>
      <c r="B569" s="29" t="s">
        <v>85</v>
      </c>
      <c r="C569" s="29" t="str">
        <f t="shared" si="78"/>
        <v>U</v>
      </c>
      <c r="D569" s="29"/>
      <c r="E569" s="29"/>
      <c r="F569" s="29"/>
      <c r="G569" s="36">
        <f t="shared" si="76"/>
        <v>-303.04166666666669</v>
      </c>
      <c r="H569" s="36">
        <f t="shared" si="77"/>
        <v>-339.07552083333326</v>
      </c>
      <c r="I569" s="36"/>
      <c r="J569" s="41"/>
      <c r="K569" s="45">
        <f>'Filter-old'!E646</f>
        <v>-277</v>
      </c>
      <c r="L569" s="27">
        <f>'Filter-new'!E646</f>
        <v>-242.86197916666666</v>
      </c>
      <c r="M569" s="27"/>
      <c r="N569" s="27"/>
      <c r="O569" s="442"/>
      <c r="P569" s="27"/>
      <c r="Q569" s="45">
        <f>'Filter-old'!H646</f>
        <v>-51.041666666666664</v>
      </c>
      <c r="R569" s="27">
        <f>'Filter-new'!H646</f>
        <v>-49.088541666666664</v>
      </c>
      <c r="S569" s="27"/>
      <c r="T569" s="27"/>
      <c r="U569" s="459"/>
      <c r="V569" s="27"/>
      <c r="W569" s="45">
        <f>'Filter-old'!J646</f>
        <v>0</v>
      </c>
      <c r="X569" s="27">
        <f>'Filter-new'!J646</f>
        <v>0</v>
      </c>
      <c r="Y569" s="27"/>
      <c r="Z569" s="27"/>
      <c r="AA569" s="45">
        <f>'Filter-old'!F646</f>
        <v>0</v>
      </c>
      <c r="AB569" s="27">
        <f>'Filter-new'!F646</f>
        <v>0</v>
      </c>
      <c r="AC569" s="27"/>
      <c r="AD569" s="27"/>
      <c r="AE569" s="45">
        <f>'Filter-old'!P646</f>
        <v>0</v>
      </c>
      <c r="AF569" s="27">
        <f>'Filter-new'!P646</f>
        <v>0</v>
      </c>
      <c r="AG569" s="27"/>
      <c r="AH569" s="27"/>
      <c r="AI569" s="45">
        <f>'Filter-old'!L646</f>
        <v>0</v>
      </c>
      <c r="AJ569" s="27">
        <f>'Filter-new'!L646</f>
        <v>26.5078125</v>
      </c>
      <c r="AK569" s="27"/>
      <c r="AL569" s="27"/>
      <c r="AM569" s="27"/>
      <c r="AN569" s="27"/>
      <c r="AO569" s="45">
        <f>'Filter-old'!G646</f>
        <v>0</v>
      </c>
      <c r="AP569" s="27">
        <f>'Filter-new'!G646</f>
        <v>0</v>
      </c>
      <c r="AQ569" s="27"/>
      <c r="AR569" s="27"/>
      <c r="AS569" s="45"/>
      <c r="AT569" s="27"/>
      <c r="AU569" s="27"/>
      <c r="AV569" s="27"/>
      <c r="AW569" s="45">
        <f>'Filter-old'!I646</f>
        <v>0</v>
      </c>
      <c r="AX569" s="27">
        <f>'Filter-new'!I646</f>
        <v>-98.177083333333329</v>
      </c>
      <c r="AY569" s="27"/>
      <c r="AZ569" s="27"/>
      <c r="BA569" s="27"/>
      <c r="BB569" s="27"/>
      <c r="BC569" s="45">
        <f>'Filter-old'!K646</f>
        <v>0</v>
      </c>
      <c r="BD569" s="27">
        <f>'Filter-new'!K646</f>
        <v>0</v>
      </c>
      <c r="BE569" s="27"/>
      <c r="BF569" s="27"/>
      <c r="BG569" s="45">
        <f>'Filter-old'!M646</f>
        <v>0</v>
      </c>
      <c r="BH569" s="61"/>
      <c r="BI569" s="61"/>
      <c r="BJ569" s="27">
        <f>'Filter-new'!M646</f>
        <v>0</v>
      </c>
      <c r="BK569" s="27"/>
      <c r="BL569" s="27"/>
      <c r="BM569" s="27"/>
      <c r="BN569" s="423"/>
      <c r="BO569" s="27"/>
      <c r="BP569" s="27"/>
      <c r="BQ569" s="45">
        <f>'Filter-old'!O646</f>
        <v>0</v>
      </c>
      <c r="BR569" s="27">
        <f>'Filter-new'!O646</f>
        <v>0</v>
      </c>
      <c r="BS569" s="27"/>
      <c r="BT569" s="27"/>
      <c r="BU569" s="45">
        <f>'Filter-old'!Q646</f>
        <v>25</v>
      </c>
      <c r="BV569" s="27">
        <f>'Filter-new'!Q646</f>
        <v>-24.544270833333332</v>
      </c>
      <c r="BW569" s="27"/>
      <c r="BX569" s="27"/>
      <c r="BY569" s="27"/>
      <c r="BZ569" s="27"/>
      <c r="CA569" s="45">
        <f>'Filter-old'!R646</f>
        <v>0</v>
      </c>
      <c r="CB569" s="27">
        <f>'Filter-new'!R646</f>
        <v>49.088541666666664</v>
      </c>
      <c r="CC569" s="4"/>
      <c r="CD569" s="4"/>
      <c r="CE569" s="4"/>
      <c r="CF569" s="4"/>
      <c r="CG569" s="4"/>
    </row>
    <row r="570" spans="1:85" hidden="1" x14ac:dyDescent="0.2">
      <c r="A570">
        <v>0</v>
      </c>
      <c r="B570" s="29">
        <v>37530</v>
      </c>
      <c r="C570" s="29">
        <f t="shared" si="78"/>
        <v>37530</v>
      </c>
      <c r="D570" s="29"/>
      <c r="E570" s="29"/>
      <c r="F570" s="29"/>
      <c r="G570" s="36">
        <f t="shared" si="76"/>
        <v>-302.80319148936172</v>
      </c>
      <c r="H570" s="36">
        <f t="shared" si="77"/>
        <v>-387.65957446808517</v>
      </c>
      <c r="I570" s="36"/>
      <c r="J570" s="41"/>
      <c r="K570" s="45">
        <f>'Filter-old'!E647</f>
        <v>-277.73670212765956</v>
      </c>
      <c r="L570" s="27">
        <f>'Filter-new'!E647</f>
        <v>-279.2340425531915</v>
      </c>
      <c r="M570" s="27"/>
      <c r="N570" s="27"/>
      <c r="O570" s="442"/>
      <c r="P570" s="27"/>
      <c r="Q570" s="45">
        <f>'Filter-old'!H647</f>
        <v>-50.132978723404257</v>
      </c>
      <c r="R570" s="27">
        <f>'Filter-new'!H647</f>
        <v>-55.319148936170215</v>
      </c>
      <c r="S570" s="27"/>
      <c r="T570" s="27"/>
      <c r="U570" s="459"/>
      <c r="V570" s="27"/>
      <c r="W570" s="45">
        <f>'Filter-old'!J647</f>
        <v>0</v>
      </c>
      <c r="X570" s="27">
        <f>'Filter-new'!J647</f>
        <v>0</v>
      </c>
      <c r="Y570" s="27"/>
      <c r="Z570" s="27"/>
      <c r="AA570" s="45">
        <f>'Filter-old'!F647</f>
        <v>0</v>
      </c>
      <c r="AB570" s="27">
        <f>'Filter-new'!F647</f>
        <v>0</v>
      </c>
      <c r="AC570" s="27"/>
      <c r="AD570" s="27"/>
      <c r="AE570" s="45">
        <f>'Filter-old'!P647</f>
        <v>0</v>
      </c>
      <c r="AF570" s="27">
        <f>'Filter-new'!P647</f>
        <v>0</v>
      </c>
      <c r="AG570" s="27"/>
      <c r="AH570" s="27"/>
      <c r="AI570" s="45">
        <f>'Filter-old'!L647</f>
        <v>0</v>
      </c>
      <c r="AJ570" s="27">
        <f>'Filter-new'!L647</f>
        <v>29.872340425531913</v>
      </c>
      <c r="AK570" s="27"/>
      <c r="AL570" s="27"/>
      <c r="AM570" s="27"/>
      <c r="AN570" s="27"/>
      <c r="AO570" s="45">
        <f>'Filter-old'!G647</f>
        <v>0</v>
      </c>
      <c r="AP570" s="27">
        <f>'Filter-new'!G647</f>
        <v>0</v>
      </c>
      <c r="AQ570" s="27"/>
      <c r="AR570" s="27"/>
      <c r="AS570" s="45"/>
      <c r="AT570" s="27"/>
      <c r="AU570" s="27"/>
      <c r="AV570" s="27"/>
      <c r="AW570" s="45">
        <f>'Filter-old'!I647</f>
        <v>0</v>
      </c>
      <c r="AX570" s="27">
        <f>'Filter-new'!I647</f>
        <v>-110.63829787234043</v>
      </c>
      <c r="AY570" s="27"/>
      <c r="AZ570" s="27"/>
      <c r="BA570" s="27"/>
      <c r="BB570" s="27"/>
      <c r="BC570" s="45">
        <f>'Filter-old'!K647</f>
        <v>0</v>
      </c>
      <c r="BD570" s="27">
        <f>'Filter-new'!K647</f>
        <v>0</v>
      </c>
      <c r="BE570" s="27"/>
      <c r="BF570" s="27"/>
      <c r="BG570" s="45">
        <f>'Filter-old'!M647</f>
        <v>0</v>
      </c>
      <c r="BH570" s="61"/>
      <c r="BI570" s="61"/>
      <c r="BJ570" s="27">
        <f>'Filter-new'!M647</f>
        <v>0</v>
      </c>
      <c r="BK570" s="27"/>
      <c r="BL570" s="27"/>
      <c r="BM570" s="27"/>
      <c r="BN570" s="423"/>
      <c r="BO570" s="27"/>
      <c r="BP570" s="27"/>
      <c r="BQ570" s="45">
        <f>'Filter-old'!O647</f>
        <v>0</v>
      </c>
      <c r="BR570" s="27">
        <f>'Filter-new'!O647</f>
        <v>0</v>
      </c>
      <c r="BS570" s="27"/>
      <c r="BT570" s="27"/>
      <c r="BU570" s="45">
        <f>'Filter-old'!Q647</f>
        <v>25.066489361702128</v>
      </c>
      <c r="BV570" s="27">
        <f>'Filter-new'!Q647</f>
        <v>-27.659574468085108</v>
      </c>
      <c r="BW570" s="27"/>
      <c r="BX570" s="27"/>
      <c r="BY570" s="27"/>
      <c r="BZ570" s="27"/>
      <c r="CA570" s="45">
        <f>'Filter-old'!R647</f>
        <v>0</v>
      </c>
      <c r="CB570" s="27">
        <f>'Filter-new'!R647</f>
        <v>55.319148936170215</v>
      </c>
      <c r="CC570" s="4"/>
      <c r="CD570" s="4"/>
      <c r="CE570" s="4"/>
      <c r="CF570" s="4"/>
      <c r="CG570" s="4"/>
    </row>
    <row r="571" spans="1:85" hidden="1" x14ac:dyDescent="0.2">
      <c r="A571">
        <v>0</v>
      </c>
      <c r="B571" s="29">
        <v>37561</v>
      </c>
      <c r="C571" s="29">
        <f t="shared" si="78"/>
        <v>37561</v>
      </c>
      <c r="D571" s="29"/>
      <c r="E571" s="29"/>
      <c r="F571" s="29"/>
      <c r="G571" s="36">
        <f t="shared" si="76"/>
        <v>-302.96153846153845</v>
      </c>
      <c r="H571" s="36">
        <f t="shared" si="77"/>
        <v>-327.01923076923083</v>
      </c>
      <c r="I571" s="36"/>
      <c r="J571" s="41"/>
      <c r="K571" s="45">
        <f>'Filter-old'!E648</f>
        <v>-277</v>
      </c>
      <c r="L571" s="27">
        <f>'Filter-new'!E648</f>
        <v>-234.67307692307693</v>
      </c>
      <c r="M571" s="27"/>
      <c r="N571" s="27"/>
      <c r="O571" s="442"/>
      <c r="P571" s="27"/>
      <c r="Q571" s="45">
        <f>'Filter-old'!H648</f>
        <v>-50.96153846153846</v>
      </c>
      <c r="R571" s="27">
        <f>'Filter-new'!H648</f>
        <v>-47.115384615384613</v>
      </c>
      <c r="S571" s="27"/>
      <c r="T571" s="27"/>
      <c r="U571" s="459"/>
      <c r="V571" s="27"/>
      <c r="W571" s="45">
        <f>'Filter-old'!J648</f>
        <v>0</v>
      </c>
      <c r="X571" s="27">
        <f>'Filter-new'!J648</f>
        <v>0</v>
      </c>
      <c r="Y571" s="27"/>
      <c r="Z571" s="27"/>
      <c r="AA571" s="45">
        <f>'Filter-old'!F648</f>
        <v>0</v>
      </c>
      <c r="AB571" s="27">
        <f>'Filter-new'!F648</f>
        <v>0</v>
      </c>
      <c r="AC571" s="27"/>
      <c r="AD571" s="27"/>
      <c r="AE571" s="45">
        <f>'Filter-old'!P648</f>
        <v>0</v>
      </c>
      <c r="AF571" s="27">
        <f>'Filter-new'!P648</f>
        <v>0</v>
      </c>
      <c r="AG571" s="27"/>
      <c r="AH571" s="27"/>
      <c r="AI571" s="45">
        <f>'Filter-old'!L648</f>
        <v>0</v>
      </c>
      <c r="AJ571" s="27">
        <f>'Filter-new'!L648</f>
        <v>25.442307692307693</v>
      </c>
      <c r="AK571" s="27"/>
      <c r="AL571" s="27"/>
      <c r="AM571" s="27"/>
      <c r="AN571" s="27"/>
      <c r="AO571" s="45">
        <f>'Filter-old'!G648</f>
        <v>0</v>
      </c>
      <c r="AP571" s="27">
        <f>'Filter-new'!G648</f>
        <v>0</v>
      </c>
      <c r="AQ571" s="27"/>
      <c r="AR571" s="27"/>
      <c r="AS571" s="45"/>
      <c r="AT571" s="27"/>
      <c r="AU571" s="27"/>
      <c r="AV571" s="27"/>
      <c r="AW571" s="45">
        <f>'Filter-old'!I648</f>
        <v>0</v>
      </c>
      <c r="AX571" s="27">
        <f>'Filter-new'!I648</f>
        <v>-94.230769230769226</v>
      </c>
      <c r="AY571" s="27"/>
      <c r="AZ571" s="27"/>
      <c r="BA571" s="27"/>
      <c r="BB571" s="27"/>
      <c r="BC571" s="45">
        <f>'Filter-old'!K648</f>
        <v>0</v>
      </c>
      <c r="BD571" s="27">
        <f>'Filter-new'!K648</f>
        <v>0</v>
      </c>
      <c r="BE571" s="27"/>
      <c r="BF571" s="27"/>
      <c r="BG571" s="45">
        <f>'Filter-old'!M648</f>
        <v>0</v>
      </c>
      <c r="BH571" s="61"/>
      <c r="BI571" s="61"/>
      <c r="BJ571" s="27">
        <f>'Filter-new'!M648</f>
        <v>0</v>
      </c>
      <c r="BK571" s="27"/>
      <c r="BL571" s="27"/>
      <c r="BM571" s="27"/>
      <c r="BN571" s="423"/>
      <c r="BO571" s="27"/>
      <c r="BP571" s="27"/>
      <c r="BQ571" s="45">
        <f>'Filter-old'!O648</f>
        <v>0</v>
      </c>
      <c r="BR571" s="27">
        <f>'Filter-new'!O648</f>
        <v>0</v>
      </c>
      <c r="BS571" s="27"/>
      <c r="BT571" s="27"/>
      <c r="BU571" s="45">
        <f>'Filter-old'!Q648</f>
        <v>25</v>
      </c>
      <c r="BV571" s="27">
        <f>'Filter-new'!Q648</f>
        <v>-23.557692307692307</v>
      </c>
      <c r="BW571" s="27"/>
      <c r="BX571" s="27"/>
      <c r="BY571" s="27"/>
      <c r="BZ571" s="27"/>
      <c r="CA571" s="45">
        <f>'Filter-old'!R648</f>
        <v>0</v>
      </c>
      <c r="CB571" s="27">
        <f>'Filter-new'!R648</f>
        <v>47.115384615384613</v>
      </c>
      <c r="CC571" s="4"/>
      <c r="CD571" s="4"/>
      <c r="CE571" s="4"/>
      <c r="CF571" s="4"/>
      <c r="CG571" s="4"/>
    </row>
    <row r="572" spans="1:85" hidden="1" x14ac:dyDescent="0.2">
      <c r="A572">
        <v>0</v>
      </c>
      <c r="B572" s="29" t="s">
        <v>86</v>
      </c>
      <c r="C572" s="29">
        <f t="shared" si="78"/>
        <v>37591</v>
      </c>
      <c r="D572" s="29"/>
      <c r="E572" s="29"/>
      <c r="F572" s="29"/>
      <c r="G572" s="36">
        <f t="shared" si="76"/>
        <v>-303.0204081632653</v>
      </c>
      <c r="H572" s="36">
        <f t="shared" si="77"/>
        <v>23.938775510204081</v>
      </c>
      <c r="I572" s="36"/>
      <c r="J572" s="41"/>
      <c r="K572" s="45">
        <f>'Filter-old'!E649</f>
        <v>-277</v>
      </c>
      <c r="L572" s="27">
        <f>'Filter-new'!E649</f>
        <v>128.0204081632653</v>
      </c>
      <c r="M572" s="27"/>
      <c r="N572" s="27"/>
      <c r="O572" s="442"/>
      <c r="P572" s="27"/>
      <c r="Q572" s="45">
        <f>'Filter-old'!H649</f>
        <v>-51.020408163265309</v>
      </c>
      <c r="R572" s="27">
        <f>'Filter-new'!H649</f>
        <v>0</v>
      </c>
      <c r="S572" s="27"/>
      <c r="T572" s="27"/>
      <c r="U572" s="459"/>
      <c r="V572" s="27"/>
      <c r="W572" s="45">
        <f>'Filter-old'!J649</f>
        <v>0</v>
      </c>
      <c r="X572" s="27">
        <f>'Filter-new'!J649</f>
        <v>0</v>
      </c>
      <c r="Y572" s="27"/>
      <c r="Z572" s="27"/>
      <c r="AA572" s="45">
        <f>'Filter-old'!F649</f>
        <v>0</v>
      </c>
      <c r="AB572" s="27">
        <f>'Filter-new'!F649</f>
        <v>0</v>
      </c>
      <c r="AC572" s="27"/>
      <c r="AD572" s="27"/>
      <c r="AE572" s="45">
        <f>'Filter-old'!P649</f>
        <v>0</v>
      </c>
      <c r="AF572" s="27">
        <f>'Filter-new'!P649</f>
        <v>0</v>
      </c>
      <c r="AG572" s="27"/>
      <c r="AH572" s="27"/>
      <c r="AI572" s="45">
        <f>'Filter-old'!L649</f>
        <v>0</v>
      </c>
      <c r="AJ572" s="27">
        <f>'Filter-new'!L649</f>
        <v>0</v>
      </c>
      <c r="AK572" s="27"/>
      <c r="AL572" s="27"/>
      <c r="AM572" s="27"/>
      <c r="AN572" s="27"/>
      <c r="AO572" s="45">
        <f>'Filter-old'!G649</f>
        <v>0</v>
      </c>
      <c r="AP572" s="27">
        <f>'Filter-new'!G649</f>
        <v>0</v>
      </c>
      <c r="AQ572" s="27"/>
      <c r="AR572" s="27"/>
      <c r="AS572" s="45"/>
      <c r="AT572" s="27"/>
      <c r="AU572" s="27"/>
      <c r="AV572" s="27"/>
      <c r="AW572" s="45">
        <f>'Filter-old'!I649</f>
        <v>0</v>
      </c>
      <c r="AX572" s="27">
        <f>'Filter-new'!I649</f>
        <v>0</v>
      </c>
      <c r="AY572" s="27"/>
      <c r="AZ572" s="27"/>
      <c r="BA572" s="27"/>
      <c r="BB572" s="27"/>
      <c r="BC572" s="45">
        <f>'Filter-old'!K649</f>
        <v>0</v>
      </c>
      <c r="BD572" s="27">
        <f>'Filter-new'!K649</f>
        <v>0</v>
      </c>
      <c r="BE572" s="27"/>
      <c r="BF572" s="27"/>
      <c r="BG572" s="45">
        <f>'Filter-old'!M649</f>
        <v>0</v>
      </c>
      <c r="BH572" s="61"/>
      <c r="BI572" s="61"/>
      <c r="BJ572" s="27">
        <f>'Filter-new'!M649</f>
        <v>0</v>
      </c>
      <c r="BK572" s="27"/>
      <c r="BL572" s="27"/>
      <c r="BM572" s="27"/>
      <c r="BN572" s="423"/>
      <c r="BO572" s="27"/>
      <c r="BP572" s="27"/>
      <c r="BQ572" s="45">
        <f>'Filter-old'!O649</f>
        <v>0</v>
      </c>
      <c r="BR572" s="27">
        <f>'Filter-new'!O649</f>
        <v>0</v>
      </c>
      <c r="BS572" s="27"/>
      <c r="BT572" s="27"/>
      <c r="BU572" s="45">
        <f>'Filter-old'!Q649</f>
        <v>25</v>
      </c>
      <c r="BV572" s="27">
        <f>'Filter-new'!Q649</f>
        <v>0</v>
      </c>
      <c r="BW572" s="27"/>
      <c r="BX572" s="27"/>
      <c r="BY572" s="27"/>
      <c r="BZ572" s="27"/>
      <c r="CA572" s="45">
        <f>'Filter-old'!R649</f>
        <v>0</v>
      </c>
      <c r="CB572" s="27">
        <f>'Filter-new'!R649</f>
        <v>-104.08163265306122</v>
      </c>
      <c r="CC572" s="4"/>
      <c r="CD572" s="4"/>
      <c r="CE572" s="4"/>
      <c r="CF572" s="4"/>
      <c r="CG572" s="4"/>
    </row>
    <row r="573" spans="1:85" hidden="1" x14ac:dyDescent="0.2">
      <c r="A573">
        <v>0</v>
      </c>
      <c r="B573" s="29" t="s">
        <v>80</v>
      </c>
      <c r="C573" s="29">
        <f t="shared" ref="C573:C584" si="79">C148</f>
        <v>37622</v>
      </c>
      <c r="D573" s="29"/>
      <c r="E573" s="29"/>
      <c r="F573" s="29"/>
      <c r="G573" s="36">
        <f t="shared" si="76"/>
        <v>73</v>
      </c>
      <c r="H573" s="36">
        <f t="shared" si="77"/>
        <v>21.196078431372555</v>
      </c>
      <c r="I573" s="36"/>
      <c r="J573" s="41"/>
      <c r="K573" s="45">
        <f>'Filter-old'!E650</f>
        <v>73</v>
      </c>
      <c r="L573" s="27">
        <f>'Filter-new'!E650</f>
        <v>113.35294117647059</v>
      </c>
      <c r="M573" s="27"/>
      <c r="N573" s="27"/>
      <c r="O573" s="442"/>
      <c r="P573" s="27"/>
      <c r="Q573" s="45">
        <f>'Filter-old'!H650</f>
        <v>0</v>
      </c>
      <c r="R573" s="27">
        <f>'Filter-new'!H650</f>
        <v>0</v>
      </c>
      <c r="S573" s="27"/>
      <c r="T573" s="27"/>
      <c r="U573" s="459"/>
      <c r="V573" s="27"/>
      <c r="W573" s="45">
        <f>'Filter-old'!J650</f>
        <v>0</v>
      </c>
      <c r="X573" s="27">
        <f>'Filter-new'!J650</f>
        <v>0</v>
      </c>
      <c r="Y573" s="27"/>
      <c r="Z573" s="27"/>
      <c r="AA573" s="45">
        <f>'Filter-old'!F650</f>
        <v>0</v>
      </c>
      <c r="AB573" s="27">
        <f>'Filter-new'!F650</f>
        <v>0</v>
      </c>
      <c r="AC573" s="27"/>
      <c r="AD573" s="27"/>
      <c r="AE573" s="45">
        <f>'Filter-old'!P650</f>
        <v>0</v>
      </c>
      <c r="AF573" s="27">
        <f>'Filter-new'!P650</f>
        <v>0</v>
      </c>
      <c r="AG573" s="27"/>
      <c r="AH573" s="27"/>
      <c r="AI573" s="45">
        <f>'Filter-old'!L650</f>
        <v>0</v>
      </c>
      <c r="AJ573" s="27">
        <f>'Filter-new'!L650</f>
        <v>0</v>
      </c>
      <c r="AK573" s="27"/>
      <c r="AL573" s="27"/>
      <c r="AM573" s="27"/>
      <c r="AN573" s="27"/>
      <c r="AO573" s="45">
        <f>'Filter-old'!G650</f>
        <v>0</v>
      </c>
      <c r="AP573" s="27">
        <f>'Filter-new'!G650</f>
        <v>0</v>
      </c>
      <c r="AQ573" s="27"/>
      <c r="AR573" s="27"/>
      <c r="AS573" s="45"/>
      <c r="AT573" s="27"/>
      <c r="AU573" s="27"/>
      <c r="AV573" s="27"/>
      <c r="AW573" s="45">
        <f>'Filter-old'!I650</f>
        <v>0</v>
      </c>
      <c r="AX573" s="27">
        <f>'Filter-new'!I650</f>
        <v>0</v>
      </c>
      <c r="AY573" s="27"/>
      <c r="AZ573" s="27"/>
      <c r="BA573" s="27"/>
      <c r="BB573" s="27"/>
      <c r="BC573" s="45">
        <f>'Filter-old'!K650</f>
        <v>0</v>
      </c>
      <c r="BD573" s="27">
        <f>'Filter-new'!K650</f>
        <v>0</v>
      </c>
      <c r="BE573" s="27"/>
      <c r="BF573" s="27"/>
      <c r="BG573" s="45">
        <f>'Filter-old'!M650</f>
        <v>0</v>
      </c>
      <c r="BH573" s="61"/>
      <c r="BI573" s="61"/>
      <c r="BJ573" s="27">
        <f>'Filter-new'!M650</f>
        <v>0</v>
      </c>
      <c r="BK573" s="27"/>
      <c r="BL573" s="27"/>
      <c r="BM573" s="27"/>
      <c r="BN573" s="423"/>
      <c r="BO573" s="27"/>
      <c r="BP573" s="27"/>
      <c r="BQ573" s="45">
        <f>'Filter-old'!O650</f>
        <v>0</v>
      </c>
      <c r="BR573" s="27">
        <f>'Filter-new'!O650</f>
        <v>0</v>
      </c>
      <c r="BS573" s="27"/>
      <c r="BT573" s="27"/>
      <c r="BU573" s="45">
        <f>'Filter-old'!Q650</f>
        <v>0</v>
      </c>
      <c r="BV573" s="27">
        <f>'Filter-new'!Q650</f>
        <v>0</v>
      </c>
      <c r="BW573" s="27"/>
      <c r="BX573" s="27"/>
      <c r="BY573" s="27"/>
      <c r="BZ573" s="27"/>
      <c r="CA573" s="45">
        <f>'Filter-old'!R650</f>
        <v>0</v>
      </c>
      <c r="CB573" s="27">
        <f>'Filter-new'!R650</f>
        <v>-92.156862745098039</v>
      </c>
      <c r="CC573" s="4"/>
      <c r="CD573" s="4"/>
      <c r="CE573" s="4"/>
      <c r="CF573" s="4"/>
      <c r="CG573" s="4"/>
    </row>
    <row r="574" spans="1:85" hidden="1" x14ac:dyDescent="0.2">
      <c r="A574">
        <v>0</v>
      </c>
      <c r="B574" s="29">
        <v>37653</v>
      </c>
      <c r="C574" s="29">
        <f t="shared" si="79"/>
        <v>37653</v>
      </c>
      <c r="D574" s="29"/>
      <c r="E574" s="29"/>
      <c r="F574" s="29"/>
      <c r="G574" s="36">
        <f t="shared" si="76"/>
        <v>73</v>
      </c>
      <c r="H574" s="36">
        <f t="shared" si="77"/>
        <v>23</v>
      </c>
      <c r="I574" s="36"/>
      <c r="J574" s="41"/>
      <c r="K574" s="45">
        <f>'Filter-old'!E651</f>
        <v>73</v>
      </c>
      <c r="L574" s="27">
        <f>'Filter-new'!E651</f>
        <v>123</v>
      </c>
      <c r="M574" s="27"/>
      <c r="N574" s="27"/>
      <c r="O574" s="442"/>
      <c r="P574" s="27"/>
      <c r="Q574" s="45">
        <f>'Filter-old'!H651</f>
        <v>0</v>
      </c>
      <c r="R574" s="27">
        <f>'Filter-new'!H651</f>
        <v>0</v>
      </c>
      <c r="S574" s="27"/>
      <c r="T574" s="27"/>
      <c r="U574" s="459"/>
      <c r="V574" s="27"/>
      <c r="W574" s="45">
        <f>'Filter-old'!J651</f>
        <v>0</v>
      </c>
      <c r="X574" s="27">
        <f>'Filter-new'!J651</f>
        <v>0</v>
      </c>
      <c r="Y574" s="27"/>
      <c r="Z574" s="27"/>
      <c r="AA574" s="45">
        <f>'Filter-old'!F651</f>
        <v>0</v>
      </c>
      <c r="AB574" s="27">
        <f>'Filter-new'!F651</f>
        <v>0</v>
      </c>
      <c r="AC574" s="27"/>
      <c r="AD574" s="27"/>
      <c r="AE574" s="45">
        <f>'Filter-old'!P651</f>
        <v>0</v>
      </c>
      <c r="AF574" s="27">
        <f>'Filter-new'!P651</f>
        <v>0</v>
      </c>
      <c r="AG574" s="27"/>
      <c r="AH574" s="27"/>
      <c r="AI574" s="45">
        <f>'Filter-old'!L651</f>
        <v>0</v>
      </c>
      <c r="AJ574" s="27">
        <f>'Filter-new'!L651</f>
        <v>0</v>
      </c>
      <c r="AK574" s="27"/>
      <c r="AL574" s="27"/>
      <c r="AM574" s="27"/>
      <c r="AN574" s="27"/>
      <c r="AO574" s="45">
        <f>'Filter-old'!G651</f>
        <v>0</v>
      </c>
      <c r="AP574" s="27">
        <f>'Filter-new'!G651</f>
        <v>0</v>
      </c>
      <c r="AQ574" s="27"/>
      <c r="AR574" s="27"/>
      <c r="AS574" s="45"/>
      <c r="AT574" s="27"/>
      <c r="AU574" s="27"/>
      <c r="AV574" s="27"/>
      <c r="AW574" s="45">
        <f>'Filter-old'!I651</f>
        <v>0</v>
      </c>
      <c r="AX574" s="27">
        <f>'Filter-new'!I651</f>
        <v>0</v>
      </c>
      <c r="AY574" s="27"/>
      <c r="AZ574" s="27"/>
      <c r="BA574" s="27"/>
      <c r="BB574" s="27"/>
      <c r="BC574" s="45">
        <f>'Filter-old'!K651</f>
        <v>0</v>
      </c>
      <c r="BD574" s="27">
        <f>'Filter-new'!K651</f>
        <v>0</v>
      </c>
      <c r="BE574" s="27"/>
      <c r="BF574" s="27"/>
      <c r="BG574" s="45">
        <f>'Filter-old'!M651</f>
        <v>0</v>
      </c>
      <c r="BH574" s="61"/>
      <c r="BI574" s="61"/>
      <c r="BJ574" s="27">
        <f>'Filter-new'!M651</f>
        <v>0</v>
      </c>
      <c r="BK574" s="27"/>
      <c r="BL574" s="27"/>
      <c r="BM574" s="27"/>
      <c r="BN574" s="423"/>
      <c r="BO574" s="27"/>
      <c r="BP574" s="27"/>
      <c r="BQ574" s="45">
        <f>'Filter-old'!O651</f>
        <v>0</v>
      </c>
      <c r="BR574" s="27">
        <f>'Filter-new'!O651</f>
        <v>0</v>
      </c>
      <c r="BS574" s="27"/>
      <c r="BT574" s="27"/>
      <c r="BU574" s="45">
        <f>'Filter-old'!Q651</f>
        <v>0</v>
      </c>
      <c r="BV574" s="27">
        <f>'Filter-new'!Q651</f>
        <v>0</v>
      </c>
      <c r="BW574" s="27"/>
      <c r="BX574" s="27"/>
      <c r="BY574" s="27"/>
      <c r="BZ574" s="27"/>
      <c r="CA574" s="45">
        <f>'Filter-old'!R651</f>
        <v>0</v>
      </c>
      <c r="CB574" s="27">
        <f>'Filter-new'!R651</f>
        <v>-100</v>
      </c>
      <c r="CC574" s="4"/>
      <c r="CD574" s="4"/>
      <c r="CE574" s="4"/>
      <c r="CF574" s="4"/>
      <c r="CG574" s="4"/>
    </row>
    <row r="575" spans="1:85" hidden="1" x14ac:dyDescent="0.2">
      <c r="A575">
        <v>0</v>
      </c>
      <c r="B575" s="29" t="s">
        <v>81</v>
      </c>
      <c r="C575" s="29">
        <f t="shared" si="79"/>
        <v>37681</v>
      </c>
      <c r="D575" s="29"/>
      <c r="E575" s="29"/>
      <c r="F575" s="29"/>
      <c r="G575" s="36">
        <f t="shared" si="76"/>
        <v>73</v>
      </c>
      <c r="H575" s="36">
        <f t="shared" si="77"/>
        <v>22.449468085106389</v>
      </c>
      <c r="I575" s="36"/>
      <c r="J575" s="41"/>
      <c r="K575" s="45">
        <f>'Filter-old'!E652</f>
        <v>73</v>
      </c>
      <c r="L575" s="27">
        <f>'Filter-new'!E652</f>
        <v>120.05585106382979</v>
      </c>
      <c r="M575" s="27"/>
      <c r="N575" s="27"/>
      <c r="O575" s="442"/>
      <c r="P575" s="27"/>
      <c r="Q575" s="45">
        <f>'Filter-old'!H652</f>
        <v>0</v>
      </c>
      <c r="R575" s="27">
        <f>'Filter-new'!H652</f>
        <v>0</v>
      </c>
      <c r="S575" s="27"/>
      <c r="T575" s="27"/>
      <c r="U575" s="459"/>
      <c r="V575" s="27"/>
      <c r="W575" s="45">
        <f>'Filter-old'!J652</f>
        <v>0</v>
      </c>
      <c r="X575" s="27">
        <f>'Filter-new'!J652</f>
        <v>0</v>
      </c>
      <c r="Y575" s="27"/>
      <c r="Z575" s="27"/>
      <c r="AA575" s="45">
        <f>'Filter-old'!F652</f>
        <v>0</v>
      </c>
      <c r="AB575" s="27">
        <f>'Filter-new'!F652</f>
        <v>0</v>
      </c>
      <c r="AC575" s="27"/>
      <c r="AD575" s="27"/>
      <c r="AE575" s="45">
        <f>'Filter-old'!P652</f>
        <v>0</v>
      </c>
      <c r="AF575" s="27">
        <f>'Filter-new'!P652</f>
        <v>0</v>
      </c>
      <c r="AG575" s="27"/>
      <c r="AH575" s="27"/>
      <c r="AI575" s="45">
        <f>'Filter-old'!L652</f>
        <v>0</v>
      </c>
      <c r="AJ575" s="27">
        <f>'Filter-new'!L652</f>
        <v>0</v>
      </c>
      <c r="AK575" s="27"/>
      <c r="AL575" s="27"/>
      <c r="AM575" s="27"/>
      <c r="AN575" s="27"/>
      <c r="AO575" s="45">
        <f>'Filter-old'!G652</f>
        <v>0</v>
      </c>
      <c r="AP575" s="27">
        <f>'Filter-new'!G652</f>
        <v>0</v>
      </c>
      <c r="AQ575" s="27"/>
      <c r="AR575" s="27"/>
      <c r="AS575" s="45"/>
      <c r="AT575" s="27"/>
      <c r="AU575" s="27"/>
      <c r="AV575" s="27"/>
      <c r="AW575" s="45">
        <f>'Filter-old'!I652</f>
        <v>0</v>
      </c>
      <c r="AX575" s="27">
        <f>'Filter-new'!I652</f>
        <v>0</v>
      </c>
      <c r="AY575" s="27"/>
      <c r="AZ575" s="27"/>
      <c r="BA575" s="27"/>
      <c r="BB575" s="27"/>
      <c r="BC575" s="45">
        <f>'Filter-old'!K652</f>
        <v>0</v>
      </c>
      <c r="BD575" s="27">
        <f>'Filter-new'!K652</f>
        <v>0</v>
      </c>
      <c r="BE575" s="27"/>
      <c r="BF575" s="27"/>
      <c r="BG575" s="45">
        <f>'Filter-old'!M652</f>
        <v>0</v>
      </c>
      <c r="BH575" s="61"/>
      <c r="BI575" s="61"/>
      <c r="BJ575" s="27">
        <f>'Filter-new'!M652</f>
        <v>0</v>
      </c>
      <c r="BK575" s="27"/>
      <c r="BL575" s="27"/>
      <c r="BM575" s="27"/>
      <c r="BN575" s="423"/>
      <c r="BO575" s="27"/>
      <c r="BP575" s="27"/>
      <c r="BQ575" s="45">
        <f>'Filter-old'!O652</f>
        <v>0</v>
      </c>
      <c r="BR575" s="27">
        <f>'Filter-new'!O652</f>
        <v>0</v>
      </c>
      <c r="BS575" s="27"/>
      <c r="BT575" s="27"/>
      <c r="BU575" s="45">
        <f>'Filter-old'!Q652</f>
        <v>0</v>
      </c>
      <c r="BV575" s="27">
        <f>'Filter-new'!Q652</f>
        <v>0</v>
      </c>
      <c r="BW575" s="27"/>
      <c r="BX575" s="27"/>
      <c r="BY575" s="27"/>
      <c r="BZ575" s="27"/>
      <c r="CA575" s="45">
        <f>'Filter-old'!R652</f>
        <v>0</v>
      </c>
      <c r="CB575" s="27">
        <f>'Filter-new'!R652</f>
        <v>-97.606382978723403</v>
      </c>
      <c r="CC575" s="4"/>
      <c r="CD575" s="4"/>
      <c r="CE575" s="4"/>
      <c r="CF575" s="4"/>
      <c r="CG575" s="4"/>
    </row>
    <row r="576" spans="1:85" hidden="1" x14ac:dyDescent="0.2">
      <c r="A576">
        <v>0</v>
      </c>
      <c r="B576" s="29">
        <v>37712</v>
      </c>
      <c r="C576" s="29">
        <f t="shared" si="79"/>
        <v>37712</v>
      </c>
      <c r="D576" s="29"/>
      <c r="E576" s="29"/>
      <c r="F576" s="29"/>
      <c r="G576" s="36">
        <f t="shared" si="76"/>
        <v>72.801630434782609</v>
      </c>
      <c r="H576" s="36">
        <f t="shared" si="77"/>
        <v>26.499999999999986</v>
      </c>
      <c r="I576" s="36"/>
      <c r="J576" s="41"/>
      <c r="K576" s="45">
        <f>'Filter-old'!E653</f>
        <v>72.801630434782609</v>
      </c>
      <c r="L576" s="27">
        <f>'Filter-new'!E653</f>
        <v>141.71739130434781</v>
      </c>
      <c r="M576" s="27"/>
      <c r="N576" s="27"/>
      <c r="O576" s="442"/>
      <c r="P576" s="27"/>
      <c r="Q576" s="45">
        <f>'Filter-old'!H653</f>
        <v>0</v>
      </c>
      <c r="R576" s="27">
        <f>'Filter-new'!H653</f>
        <v>0</v>
      </c>
      <c r="S576" s="27"/>
      <c r="T576" s="27"/>
      <c r="U576" s="459"/>
      <c r="V576" s="27"/>
      <c r="W576" s="45">
        <f>'Filter-old'!J653</f>
        <v>0</v>
      </c>
      <c r="X576" s="27">
        <f>'Filter-new'!J653</f>
        <v>0</v>
      </c>
      <c r="Y576" s="27"/>
      <c r="Z576" s="27"/>
      <c r="AA576" s="45">
        <f>'Filter-old'!F653</f>
        <v>0</v>
      </c>
      <c r="AB576" s="27">
        <f>'Filter-new'!F653</f>
        <v>0</v>
      </c>
      <c r="AC576" s="27"/>
      <c r="AD576" s="27"/>
      <c r="AE576" s="45">
        <f>'Filter-old'!P653</f>
        <v>0</v>
      </c>
      <c r="AF576" s="27">
        <f>'Filter-new'!P653</f>
        <v>0</v>
      </c>
      <c r="AG576" s="27"/>
      <c r="AH576" s="27"/>
      <c r="AI576" s="45">
        <f>'Filter-old'!L653</f>
        <v>0</v>
      </c>
      <c r="AJ576" s="27">
        <f>'Filter-new'!L653</f>
        <v>0</v>
      </c>
      <c r="AK576" s="27"/>
      <c r="AL576" s="27"/>
      <c r="AM576" s="27"/>
      <c r="AN576" s="27"/>
      <c r="AO576" s="45">
        <f>'Filter-old'!G653</f>
        <v>0</v>
      </c>
      <c r="AP576" s="27">
        <f>'Filter-new'!G653</f>
        <v>0</v>
      </c>
      <c r="AQ576" s="27"/>
      <c r="AR576" s="27"/>
      <c r="AS576" s="45"/>
      <c r="AT576" s="27"/>
      <c r="AU576" s="27"/>
      <c r="AV576" s="27"/>
      <c r="AW576" s="45">
        <f>'Filter-old'!I653</f>
        <v>0</v>
      </c>
      <c r="AX576" s="27">
        <f>'Filter-new'!I653</f>
        <v>0</v>
      </c>
      <c r="AY576" s="27"/>
      <c r="AZ576" s="27"/>
      <c r="BA576" s="27"/>
      <c r="BB576" s="27"/>
      <c r="BC576" s="45">
        <f>'Filter-old'!K653</f>
        <v>0</v>
      </c>
      <c r="BD576" s="27">
        <f>'Filter-new'!K653</f>
        <v>0</v>
      </c>
      <c r="BE576" s="27"/>
      <c r="BF576" s="27"/>
      <c r="BG576" s="45">
        <f>'Filter-old'!M653</f>
        <v>0</v>
      </c>
      <c r="BH576" s="61"/>
      <c r="BI576" s="61"/>
      <c r="BJ576" s="27">
        <f>'Filter-new'!M653</f>
        <v>0</v>
      </c>
      <c r="BK576" s="27"/>
      <c r="BL576" s="27"/>
      <c r="BM576" s="27"/>
      <c r="BN576" s="423"/>
      <c r="BO576" s="27"/>
      <c r="BP576" s="27"/>
      <c r="BQ576" s="45">
        <f>'Filter-old'!O653</f>
        <v>0</v>
      </c>
      <c r="BR576" s="27">
        <f>'Filter-new'!O653</f>
        <v>0</v>
      </c>
      <c r="BS576" s="27"/>
      <c r="BT576" s="27"/>
      <c r="BU576" s="45">
        <f>'Filter-old'!Q653</f>
        <v>0</v>
      </c>
      <c r="BV576" s="27">
        <f>'Filter-new'!Q653</f>
        <v>0</v>
      </c>
      <c r="BW576" s="27"/>
      <c r="BX576" s="27"/>
      <c r="BY576" s="27"/>
      <c r="BZ576" s="27"/>
      <c r="CA576" s="45">
        <f>'Filter-old'!R653</f>
        <v>0</v>
      </c>
      <c r="CB576" s="27">
        <f>'Filter-new'!R653</f>
        <v>-115.21739130434783</v>
      </c>
      <c r="CC576" s="4"/>
      <c r="CD576" s="4"/>
      <c r="CE576" s="4"/>
      <c r="CF576" s="4"/>
      <c r="CG576" s="4"/>
    </row>
    <row r="577" spans="1:85" hidden="1" x14ac:dyDescent="0.2">
      <c r="A577">
        <v>0</v>
      </c>
      <c r="B577" s="29" t="s">
        <v>82</v>
      </c>
      <c r="C577" s="29">
        <f t="shared" si="79"/>
        <v>37742</v>
      </c>
      <c r="D577" s="29"/>
      <c r="E577" s="29"/>
      <c r="F577" s="29"/>
      <c r="G577" s="36">
        <f t="shared" si="76"/>
        <v>73</v>
      </c>
      <c r="H577" s="36">
        <f t="shared" si="77"/>
        <v>19.962264150943398</v>
      </c>
      <c r="I577" s="36"/>
      <c r="J577" s="41"/>
      <c r="K577" s="45">
        <f>'Filter-old'!E654</f>
        <v>73</v>
      </c>
      <c r="L577" s="27">
        <f>'Filter-new'!E654</f>
        <v>106.75471698113208</v>
      </c>
      <c r="M577" s="27"/>
      <c r="N577" s="27"/>
      <c r="O577" s="442"/>
      <c r="P577" s="27"/>
      <c r="Q577" s="45">
        <f>'Filter-old'!H654</f>
        <v>0</v>
      </c>
      <c r="R577" s="27">
        <f>'Filter-new'!H654</f>
        <v>0</v>
      </c>
      <c r="S577" s="27"/>
      <c r="T577" s="27"/>
      <c r="U577" s="459"/>
      <c r="V577" s="27"/>
      <c r="W577" s="45">
        <f>'Filter-old'!J654</f>
        <v>0</v>
      </c>
      <c r="X577" s="27">
        <f>'Filter-new'!J654</f>
        <v>0</v>
      </c>
      <c r="Y577" s="27"/>
      <c r="Z577" s="27"/>
      <c r="AA577" s="45">
        <f>'Filter-old'!F654</f>
        <v>0</v>
      </c>
      <c r="AB577" s="27">
        <f>'Filter-new'!F654</f>
        <v>0</v>
      </c>
      <c r="AC577" s="27"/>
      <c r="AD577" s="27"/>
      <c r="AE577" s="45">
        <f>'Filter-old'!P654</f>
        <v>0</v>
      </c>
      <c r="AF577" s="27">
        <f>'Filter-new'!P654</f>
        <v>0</v>
      </c>
      <c r="AG577" s="27"/>
      <c r="AH577" s="27"/>
      <c r="AI577" s="45">
        <f>'Filter-old'!L654</f>
        <v>0</v>
      </c>
      <c r="AJ577" s="27">
        <f>'Filter-new'!L654</f>
        <v>0</v>
      </c>
      <c r="AK577" s="27"/>
      <c r="AL577" s="27"/>
      <c r="AM577" s="27"/>
      <c r="AN577" s="27"/>
      <c r="AO577" s="45">
        <f>'Filter-old'!G654</f>
        <v>0</v>
      </c>
      <c r="AP577" s="27">
        <f>'Filter-new'!G654</f>
        <v>0</v>
      </c>
      <c r="AQ577" s="27"/>
      <c r="AR577" s="27"/>
      <c r="AS577" s="45"/>
      <c r="AT577" s="27"/>
      <c r="AU577" s="27"/>
      <c r="AV577" s="27"/>
      <c r="AW577" s="45">
        <f>'Filter-old'!I654</f>
        <v>0</v>
      </c>
      <c r="AX577" s="27">
        <f>'Filter-new'!I654</f>
        <v>0</v>
      </c>
      <c r="AY577" s="27"/>
      <c r="AZ577" s="27"/>
      <c r="BA577" s="27"/>
      <c r="BB577" s="27"/>
      <c r="BC577" s="45">
        <f>'Filter-old'!K654</f>
        <v>0</v>
      </c>
      <c r="BD577" s="27">
        <f>'Filter-new'!K654</f>
        <v>0</v>
      </c>
      <c r="BE577" s="27"/>
      <c r="BF577" s="27"/>
      <c r="BG577" s="45">
        <f>'Filter-old'!M654</f>
        <v>0</v>
      </c>
      <c r="BH577" s="61"/>
      <c r="BI577" s="61"/>
      <c r="BJ577" s="27">
        <f>'Filter-new'!M654</f>
        <v>0</v>
      </c>
      <c r="BK577" s="27"/>
      <c r="BL577" s="27"/>
      <c r="BM577" s="27"/>
      <c r="BN577" s="423"/>
      <c r="BO577" s="27"/>
      <c r="BP577" s="27"/>
      <c r="BQ577" s="45">
        <f>'Filter-old'!O654</f>
        <v>0</v>
      </c>
      <c r="BR577" s="27">
        <f>'Filter-new'!O654</f>
        <v>0</v>
      </c>
      <c r="BS577" s="27"/>
      <c r="BT577" s="27"/>
      <c r="BU577" s="45">
        <f>'Filter-old'!Q654</f>
        <v>0</v>
      </c>
      <c r="BV577" s="27">
        <f>'Filter-new'!Q654</f>
        <v>0</v>
      </c>
      <c r="BW577" s="27"/>
      <c r="BX577" s="27"/>
      <c r="BY577" s="27"/>
      <c r="BZ577" s="27"/>
      <c r="CA577" s="45">
        <f>'Filter-old'!R654</f>
        <v>0</v>
      </c>
      <c r="CB577" s="27">
        <f>'Filter-new'!R654</f>
        <v>-86.79245283018868</v>
      </c>
      <c r="CC577" s="4"/>
      <c r="CD577" s="4"/>
      <c r="CE577" s="4"/>
      <c r="CF577" s="4"/>
      <c r="CG577" s="4"/>
    </row>
    <row r="578" spans="1:85" hidden="1" x14ac:dyDescent="0.2">
      <c r="A578">
        <v>0</v>
      </c>
      <c r="B578" s="29" t="s">
        <v>83</v>
      </c>
      <c r="C578" s="29">
        <f t="shared" si="79"/>
        <v>37773</v>
      </c>
      <c r="D578" s="29"/>
      <c r="E578" s="29"/>
      <c r="F578" s="29"/>
      <c r="G578" s="36">
        <f t="shared" si="76"/>
        <v>73</v>
      </c>
      <c r="H578" s="36">
        <f t="shared" si="77"/>
        <v>25.500000000000014</v>
      </c>
      <c r="I578" s="36"/>
      <c r="J578" s="41"/>
      <c r="K578" s="45">
        <f>'Filter-old'!E655</f>
        <v>73</v>
      </c>
      <c r="L578" s="27">
        <f>'Filter-new'!E655</f>
        <v>136.36956521739131</v>
      </c>
      <c r="M578" s="27"/>
      <c r="N578" s="27"/>
      <c r="O578" s="442"/>
      <c r="P578" s="27"/>
      <c r="Q578" s="45">
        <f>'Filter-old'!H655</f>
        <v>0</v>
      </c>
      <c r="R578" s="27">
        <f>'Filter-new'!H655</f>
        <v>0</v>
      </c>
      <c r="S578" s="27"/>
      <c r="T578" s="27"/>
      <c r="U578" s="459"/>
      <c r="V578" s="27"/>
      <c r="W578" s="45">
        <f>'Filter-old'!J655</f>
        <v>0</v>
      </c>
      <c r="X578" s="27">
        <f>'Filter-new'!J655</f>
        <v>0</v>
      </c>
      <c r="Y578" s="27"/>
      <c r="Z578" s="27"/>
      <c r="AA578" s="45">
        <f>'Filter-old'!F655</f>
        <v>0</v>
      </c>
      <c r="AB578" s="27">
        <f>'Filter-new'!F655</f>
        <v>0</v>
      </c>
      <c r="AC578" s="27"/>
      <c r="AD578" s="27"/>
      <c r="AE578" s="45">
        <f>'Filter-old'!P655</f>
        <v>0</v>
      </c>
      <c r="AF578" s="27">
        <f>'Filter-new'!P655</f>
        <v>0</v>
      </c>
      <c r="AG578" s="27"/>
      <c r="AH578" s="27"/>
      <c r="AI578" s="45">
        <f>'Filter-old'!L655</f>
        <v>0</v>
      </c>
      <c r="AJ578" s="27">
        <f>'Filter-new'!L655</f>
        <v>0</v>
      </c>
      <c r="AK578" s="27"/>
      <c r="AL578" s="27"/>
      <c r="AM578" s="27"/>
      <c r="AN578" s="27"/>
      <c r="AO578" s="45">
        <f>'Filter-old'!G655</f>
        <v>0</v>
      </c>
      <c r="AP578" s="27">
        <f>'Filter-new'!G655</f>
        <v>0</v>
      </c>
      <c r="AQ578" s="27"/>
      <c r="AR578" s="27"/>
      <c r="AS578" s="45"/>
      <c r="AT578" s="27"/>
      <c r="AU578" s="27"/>
      <c r="AV578" s="27"/>
      <c r="AW578" s="45">
        <f>'Filter-old'!I655</f>
        <v>0</v>
      </c>
      <c r="AX578" s="27">
        <f>'Filter-new'!I655</f>
        <v>0</v>
      </c>
      <c r="AY578" s="27"/>
      <c r="AZ578" s="27"/>
      <c r="BA578" s="27"/>
      <c r="BB578" s="27"/>
      <c r="BC578" s="45">
        <f>'Filter-old'!K655</f>
        <v>0</v>
      </c>
      <c r="BD578" s="27">
        <f>'Filter-new'!K655</f>
        <v>0</v>
      </c>
      <c r="BE578" s="27"/>
      <c r="BF578" s="27"/>
      <c r="BG578" s="45">
        <f>'Filter-old'!M655</f>
        <v>0</v>
      </c>
      <c r="BH578" s="61"/>
      <c r="BI578" s="61"/>
      <c r="BJ578" s="27">
        <f>'Filter-new'!M655</f>
        <v>0</v>
      </c>
      <c r="BK578" s="27"/>
      <c r="BL578" s="27"/>
      <c r="BM578" s="27"/>
      <c r="BN578" s="423"/>
      <c r="BO578" s="27"/>
      <c r="BP578" s="27"/>
      <c r="BQ578" s="45">
        <f>'Filter-old'!O655</f>
        <v>0</v>
      </c>
      <c r="BR578" s="27">
        <f>'Filter-new'!O655</f>
        <v>0</v>
      </c>
      <c r="BS578" s="27"/>
      <c r="BT578" s="27"/>
      <c r="BU578" s="45">
        <f>'Filter-old'!Q655</f>
        <v>0</v>
      </c>
      <c r="BV578" s="27">
        <f>'Filter-new'!Q655</f>
        <v>0</v>
      </c>
      <c r="BW578" s="27"/>
      <c r="BX578" s="27"/>
      <c r="BY578" s="27"/>
      <c r="BZ578" s="27"/>
      <c r="CA578" s="45">
        <f>'Filter-old'!R655</f>
        <v>0</v>
      </c>
      <c r="CB578" s="27">
        <f>'Filter-new'!R655</f>
        <v>-110.8695652173913</v>
      </c>
      <c r="CC578" s="4"/>
      <c r="CD578" s="4"/>
      <c r="CE578" s="4"/>
      <c r="CF578" s="4"/>
      <c r="CG578" s="4"/>
    </row>
    <row r="579" spans="1:85" hidden="1" x14ac:dyDescent="0.2">
      <c r="A579">
        <v>0</v>
      </c>
      <c r="B579" s="29" t="s">
        <v>84</v>
      </c>
      <c r="C579" s="29">
        <f t="shared" si="79"/>
        <v>37803</v>
      </c>
      <c r="D579" s="29"/>
      <c r="E579" s="29"/>
      <c r="F579" s="29"/>
      <c r="G579" s="36">
        <f t="shared" si="76"/>
        <v>73</v>
      </c>
      <c r="H579" s="36">
        <f t="shared" si="77"/>
        <v>22.098039215686271</v>
      </c>
      <c r="I579" s="36"/>
      <c r="J579" s="41"/>
      <c r="K579" s="45">
        <f>'Filter-old'!E656</f>
        <v>73</v>
      </c>
      <c r="L579" s="27">
        <f>'Filter-new'!E656</f>
        <v>118.17647058823529</v>
      </c>
      <c r="M579" s="27"/>
      <c r="N579" s="27"/>
      <c r="O579" s="442"/>
      <c r="P579" s="27"/>
      <c r="Q579" s="45">
        <f>'Filter-old'!H656</f>
        <v>0</v>
      </c>
      <c r="R579" s="27">
        <f>'Filter-new'!H656</f>
        <v>0</v>
      </c>
      <c r="S579" s="27"/>
      <c r="T579" s="27"/>
      <c r="U579" s="459"/>
      <c r="V579" s="27"/>
      <c r="W579" s="45">
        <f>'Filter-old'!J656</f>
        <v>0</v>
      </c>
      <c r="X579" s="27">
        <f>'Filter-new'!J656</f>
        <v>0</v>
      </c>
      <c r="Y579" s="27"/>
      <c r="Z579" s="27"/>
      <c r="AA579" s="45">
        <f>'Filter-old'!F656</f>
        <v>0</v>
      </c>
      <c r="AB579" s="27">
        <f>'Filter-new'!F656</f>
        <v>0</v>
      </c>
      <c r="AC579" s="27"/>
      <c r="AD579" s="27"/>
      <c r="AE579" s="45">
        <f>'Filter-old'!P656</f>
        <v>0</v>
      </c>
      <c r="AF579" s="27">
        <f>'Filter-new'!P656</f>
        <v>0</v>
      </c>
      <c r="AG579" s="27"/>
      <c r="AH579" s="27"/>
      <c r="AI579" s="45">
        <f>'Filter-old'!L656</f>
        <v>0</v>
      </c>
      <c r="AJ579" s="27">
        <f>'Filter-new'!L656</f>
        <v>0</v>
      </c>
      <c r="AK579" s="27"/>
      <c r="AL579" s="27"/>
      <c r="AM579" s="27"/>
      <c r="AN579" s="27"/>
      <c r="AO579" s="45">
        <f>'Filter-old'!G656</f>
        <v>0</v>
      </c>
      <c r="AP579" s="27">
        <f>'Filter-new'!G656</f>
        <v>0</v>
      </c>
      <c r="AQ579" s="27"/>
      <c r="AR579" s="27"/>
      <c r="AS579" s="45"/>
      <c r="AT579" s="27"/>
      <c r="AU579" s="27"/>
      <c r="AV579" s="27"/>
      <c r="AW579" s="45">
        <f>'Filter-old'!I656</f>
        <v>0</v>
      </c>
      <c r="AX579" s="27">
        <f>'Filter-new'!I656</f>
        <v>0</v>
      </c>
      <c r="AY579" s="27"/>
      <c r="AZ579" s="27"/>
      <c r="BA579" s="27"/>
      <c r="BB579" s="27"/>
      <c r="BC579" s="45">
        <f>'Filter-old'!K656</f>
        <v>0</v>
      </c>
      <c r="BD579" s="27">
        <f>'Filter-new'!K656</f>
        <v>0</v>
      </c>
      <c r="BE579" s="27"/>
      <c r="BF579" s="27"/>
      <c r="BG579" s="45">
        <f>'Filter-old'!M656</f>
        <v>0</v>
      </c>
      <c r="BH579" s="61"/>
      <c r="BI579" s="61"/>
      <c r="BJ579" s="27">
        <f>'Filter-new'!M656</f>
        <v>0</v>
      </c>
      <c r="BK579" s="27"/>
      <c r="BL579" s="27"/>
      <c r="BM579" s="27"/>
      <c r="BN579" s="423"/>
      <c r="BO579" s="27"/>
      <c r="BP579" s="27"/>
      <c r="BQ579" s="45">
        <f>'Filter-old'!O656</f>
        <v>0</v>
      </c>
      <c r="BR579" s="27">
        <f>'Filter-new'!O656</f>
        <v>0</v>
      </c>
      <c r="BS579" s="27"/>
      <c r="BT579" s="27"/>
      <c r="BU579" s="45">
        <f>'Filter-old'!Q656</f>
        <v>0</v>
      </c>
      <c r="BV579" s="27">
        <f>'Filter-new'!Q656</f>
        <v>0</v>
      </c>
      <c r="BW579" s="27"/>
      <c r="BX579" s="27"/>
      <c r="BY579" s="27"/>
      <c r="BZ579" s="27"/>
      <c r="CA579" s="45">
        <f>'Filter-old'!R656</f>
        <v>0</v>
      </c>
      <c r="CB579" s="27">
        <f>'Filter-new'!R656</f>
        <v>-96.078431372549019</v>
      </c>
      <c r="CC579" s="4"/>
      <c r="CD579" s="4"/>
      <c r="CE579" s="4"/>
      <c r="CF579" s="4"/>
      <c r="CG579" s="4"/>
    </row>
    <row r="580" spans="1:85" hidden="1" x14ac:dyDescent="0.2">
      <c r="A580">
        <v>0</v>
      </c>
      <c r="B580" s="29">
        <v>37834</v>
      </c>
      <c r="C580" s="29">
        <f t="shared" si="79"/>
        <v>37834</v>
      </c>
      <c r="D580" s="29"/>
      <c r="E580" s="29"/>
      <c r="F580" s="29"/>
      <c r="G580" s="36">
        <f t="shared" si="76"/>
        <v>73</v>
      </c>
      <c r="H580" s="36">
        <f t="shared" si="77"/>
        <v>22.530612244897966</v>
      </c>
      <c r="I580" s="36"/>
      <c r="J580" s="41"/>
      <c r="K580" s="45">
        <f>'Filter-old'!E657</f>
        <v>73</v>
      </c>
      <c r="L580" s="27">
        <f>'Filter-new'!E657</f>
        <v>120.48979591836735</v>
      </c>
      <c r="M580" s="27"/>
      <c r="N580" s="27"/>
      <c r="O580" s="442"/>
      <c r="P580" s="27"/>
      <c r="Q580" s="45">
        <f>'Filter-old'!H657</f>
        <v>0</v>
      </c>
      <c r="R580" s="27">
        <f>'Filter-new'!H657</f>
        <v>0</v>
      </c>
      <c r="S580" s="27"/>
      <c r="T580" s="27"/>
      <c r="U580" s="459"/>
      <c r="V580" s="27"/>
      <c r="W580" s="45">
        <f>'Filter-old'!J657</f>
        <v>0</v>
      </c>
      <c r="X580" s="27">
        <f>'Filter-new'!J657</f>
        <v>0</v>
      </c>
      <c r="Y580" s="27"/>
      <c r="Z580" s="27"/>
      <c r="AA580" s="45">
        <f>'Filter-old'!F657</f>
        <v>0</v>
      </c>
      <c r="AB580" s="27">
        <f>'Filter-new'!F657</f>
        <v>0</v>
      </c>
      <c r="AC580" s="27"/>
      <c r="AD580" s="27"/>
      <c r="AE580" s="45">
        <f>'Filter-old'!P657</f>
        <v>0</v>
      </c>
      <c r="AF580" s="27">
        <f>'Filter-new'!P657</f>
        <v>0</v>
      </c>
      <c r="AG580" s="27"/>
      <c r="AH580" s="27"/>
      <c r="AI580" s="45">
        <f>'Filter-old'!L657</f>
        <v>0</v>
      </c>
      <c r="AJ580" s="27">
        <f>'Filter-new'!L657</f>
        <v>0</v>
      </c>
      <c r="AK580" s="27"/>
      <c r="AL580" s="27"/>
      <c r="AM580" s="27"/>
      <c r="AN580" s="27"/>
      <c r="AO580" s="45">
        <f>'Filter-old'!G657</f>
        <v>0</v>
      </c>
      <c r="AP580" s="27">
        <f>'Filter-new'!G657</f>
        <v>0</v>
      </c>
      <c r="AQ580" s="27"/>
      <c r="AR580" s="27"/>
      <c r="AS580" s="45"/>
      <c r="AT580" s="27"/>
      <c r="AU580" s="27"/>
      <c r="AV580" s="27"/>
      <c r="AW580" s="45">
        <f>'Filter-old'!I657</f>
        <v>0</v>
      </c>
      <c r="AX580" s="27">
        <f>'Filter-new'!I657</f>
        <v>0</v>
      </c>
      <c r="AY580" s="27"/>
      <c r="AZ580" s="27"/>
      <c r="BA580" s="27"/>
      <c r="BB580" s="27"/>
      <c r="BC580" s="45">
        <f>'Filter-old'!K657</f>
        <v>0</v>
      </c>
      <c r="BD580" s="27">
        <f>'Filter-new'!K657</f>
        <v>0</v>
      </c>
      <c r="BE580" s="27"/>
      <c r="BF580" s="27"/>
      <c r="BG580" s="45">
        <f>'Filter-old'!M657</f>
        <v>0</v>
      </c>
      <c r="BH580" s="61"/>
      <c r="BI580" s="61"/>
      <c r="BJ580" s="27">
        <f>'Filter-new'!M657</f>
        <v>0</v>
      </c>
      <c r="BK580" s="27"/>
      <c r="BL580" s="27"/>
      <c r="BM580" s="27"/>
      <c r="BN580" s="423"/>
      <c r="BO580" s="27"/>
      <c r="BP580" s="27"/>
      <c r="BQ580" s="45">
        <f>'Filter-old'!O657</f>
        <v>0</v>
      </c>
      <c r="BR580" s="27">
        <f>'Filter-new'!O657</f>
        <v>0</v>
      </c>
      <c r="BS580" s="27"/>
      <c r="BT580" s="27"/>
      <c r="BU580" s="45">
        <f>'Filter-old'!Q657</f>
        <v>0</v>
      </c>
      <c r="BV580" s="27">
        <f>'Filter-new'!Q657</f>
        <v>0</v>
      </c>
      <c r="BW580" s="27"/>
      <c r="BX580" s="27"/>
      <c r="BY580" s="27"/>
      <c r="BZ580" s="27"/>
      <c r="CA580" s="45">
        <f>'Filter-old'!R657</f>
        <v>0</v>
      </c>
      <c r="CB580" s="27">
        <f>'Filter-new'!R657</f>
        <v>-97.959183673469383</v>
      </c>
      <c r="CC580" s="4"/>
      <c r="CD580" s="4"/>
      <c r="CE580" s="4"/>
      <c r="CF580" s="4"/>
      <c r="CG580" s="4"/>
    </row>
    <row r="581" spans="1:85" hidden="1" x14ac:dyDescent="0.2">
      <c r="A581">
        <v>0</v>
      </c>
      <c r="B581" s="29" t="s">
        <v>85</v>
      </c>
      <c r="C581" s="29">
        <f t="shared" si="79"/>
        <v>37865</v>
      </c>
      <c r="D581" s="29"/>
      <c r="E581" s="29"/>
      <c r="F581" s="29"/>
      <c r="G581" s="36">
        <f t="shared" si="76"/>
        <v>73</v>
      </c>
      <c r="H581" s="36">
        <f t="shared" si="77"/>
        <v>24.497395833333329</v>
      </c>
      <c r="I581" s="36"/>
      <c r="J581" s="41"/>
      <c r="K581" s="45">
        <f>'Filter-old'!E658</f>
        <v>73</v>
      </c>
      <c r="L581" s="27">
        <f>'Filter-new'!E658</f>
        <v>131.0078125</v>
      </c>
      <c r="M581" s="27"/>
      <c r="N581" s="27"/>
      <c r="O581" s="442"/>
      <c r="P581" s="27"/>
      <c r="Q581" s="45">
        <f>'Filter-old'!H658</f>
        <v>0</v>
      </c>
      <c r="R581" s="27">
        <f>'Filter-new'!H658</f>
        <v>0</v>
      </c>
      <c r="S581" s="27"/>
      <c r="T581" s="27"/>
      <c r="U581" s="459"/>
      <c r="V581" s="27"/>
      <c r="W581" s="45">
        <f>'Filter-old'!J658</f>
        <v>0</v>
      </c>
      <c r="X581" s="27">
        <f>'Filter-new'!J658</f>
        <v>0</v>
      </c>
      <c r="Y581" s="27"/>
      <c r="Z581" s="27"/>
      <c r="AA581" s="45">
        <f>'Filter-old'!F658</f>
        <v>0</v>
      </c>
      <c r="AB581" s="27">
        <f>'Filter-new'!F658</f>
        <v>0</v>
      </c>
      <c r="AC581" s="27"/>
      <c r="AD581" s="27"/>
      <c r="AE581" s="45">
        <f>'Filter-old'!P658</f>
        <v>0</v>
      </c>
      <c r="AF581" s="27">
        <f>'Filter-new'!P658</f>
        <v>0</v>
      </c>
      <c r="AG581" s="27"/>
      <c r="AH581" s="27"/>
      <c r="AI581" s="45">
        <f>'Filter-old'!L658</f>
        <v>0</v>
      </c>
      <c r="AJ581" s="27">
        <f>'Filter-new'!L658</f>
        <v>0</v>
      </c>
      <c r="AK581" s="27"/>
      <c r="AL581" s="27"/>
      <c r="AM581" s="27"/>
      <c r="AN581" s="27"/>
      <c r="AO581" s="45">
        <f>'Filter-old'!G658</f>
        <v>0</v>
      </c>
      <c r="AP581" s="27">
        <f>'Filter-new'!G658</f>
        <v>0</v>
      </c>
      <c r="AQ581" s="27"/>
      <c r="AR581" s="27"/>
      <c r="AS581" s="45"/>
      <c r="AT581" s="27"/>
      <c r="AU581" s="27"/>
      <c r="AV581" s="27"/>
      <c r="AW581" s="45">
        <f>'Filter-old'!I658</f>
        <v>0</v>
      </c>
      <c r="AX581" s="27">
        <f>'Filter-new'!I658</f>
        <v>0</v>
      </c>
      <c r="AY581" s="27"/>
      <c r="AZ581" s="27"/>
      <c r="BA581" s="27"/>
      <c r="BB581" s="27"/>
      <c r="BC581" s="45">
        <f>'Filter-old'!K658</f>
        <v>0</v>
      </c>
      <c r="BD581" s="27">
        <f>'Filter-new'!K658</f>
        <v>0</v>
      </c>
      <c r="BE581" s="27"/>
      <c r="BF581" s="27"/>
      <c r="BG581" s="45">
        <f>'Filter-old'!M658</f>
        <v>0</v>
      </c>
      <c r="BH581" s="61"/>
      <c r="BI581" s="61"/>
      <c r="BJ581" s="27">
        <f>'Filter-new'!M658</f>
        <v>0</v>
      </c>
      <c r="BK581" s="27"/>
      <c r="BL581" s="27"/>
      <c r="BM581" s="27"/>
      <c r="BN581" s="423"/>
      <c r="BO581" s="27"/>
      <c r="BP581" s="27"/>
      <c r="BQ581" s="45">
        <f>'Filter-old'!O658</f>
        <v>0</v>
      </c>
      <c r="BR581" s="27">
        <f>'Filter-new'!O658</f>
        <v>0</v>
      </c>
      <c r="BS581" s="27"/>
      <c r="BT581" s="27"/>
      <c r="BU581" s="45">
        <f>'Filter-old'!Q658</f>
        <v>0</v>
      </c>
      <c r="BV581" s="27">
        <f>'Filter-new'!Q658</f>
        <v>0</v>
      </c>
      <c r="BW581" s="27"/>
      <c r="BX581" s="27"/>
      <c r="BY581" s="27"/>
      <c r="BZ581" s="27"/>
      <c r="CA581" s="45">
        <f>'Filter-old'!R658</f>
        <v>0</v>
      </c>
      <c r="CB581" s="27">
        <f>'Filter-new'!R658</f>
        <v>-106.51041666666667</v>
      </c>
      <c r="CC581" s="4"/>
      <c r="CD581" s="4"/>
      <c r="CE581" s="4"/>
      <c r="CF581" s="4"/>
      <c r="CG581" s="4"/>
    </row>
    <row r="582" spans="1:85" hidden="1" x14ac:dyDescent="0.2">
      <c r="A582">
        <v>0</v>
      </c>
      <c r="B582" s="29">
        <v>37895</v>
      </c>
      <c r="C582" s="29">
        <f t="shared" si="79"/>
        <v>37895</v>
      </c>
      <c r="D582" s="29"/>
      <c r="E582" s="29"/>
      <c r="F582" s="29"/>
      <c r="G582" s="36">
        <f t="shared" si="76"/>
        <v>73.178921568627445</v>
      </c>
      <c r="H582" s="36">
        <f t="shared" si="77"/>
        <v>21.647058823529406</v>
      </c>
      <c r="I582" s="36"/>
      <c r="J582" s="41"/>
      <c r="K582" s="45">
        <f>'Filter-old'!E659</f>
        <v>73.178921568627445</v>
      </c>
      <c r="L582" s="27">
        <f>'Filter-new'!E659</f>
        <v>115.76470588235294</v>
      </c>
      <c r="M582" s="27"/>
      <c r="N582" s="27"/>
      <c r="O582" s="442"/>
      <c r="P582" s="27"/>
      <c r="Q582" s="45">
        <f>'Filter-old'!H659</f>
        <v>0</v>
      </c>
      <c r="R582" s="27">
        <f>'Filter-new'!H659</f>
        <v>0</v>
      </c>
      <c r="S582" s="27"/>
      <c r="T582" s="27"/>
      <c r="U582" s="459"/>
      <c r="V582" s="27"/>
      <c r="W582" s="45">
        <f>'Filter-old'!J659</f>
        <v>0</v>
      </c>
      <c r="X582" s="27">
        <f>'Filter-new'!J659</f>
        <v>0</v>
      </c>
      <c r="Y582" s="27"/>
      <c r="Z582" s="27"/>
      <c r="AA582" s="45">
        <f>'Filter-old'!F659</f>
        <v>0</v>
      </c>
      <c r="AB582" s="27">
        <f>'Filter-new'!F659</f>
        <v>0</v>
      </c>
      <c r="AC582" s="27"/>
      <c r="AD582" s="27"/>
      <c r="AE582" s="45">
        <f>'Filter-old'!P659</f>
        <v>0</v>
      </c>
      <c r="AF582" s="27">
        <f>'Filter-new'!P659</f>
        <v>0</v>
      </c>
      <c r="AG582" s="27"/>
      <c r="AH582" s="27"/>
      <c r="AI582" s="45">
        <f>'Filter-old'!L659</f>
        <v>0</v>
      </c>
      <c r="AJ582" s="27">
        <f>'Filter-new'!L659</f>
        <v>0</v>
      </c>
      <c r="AK582" s="27"/>
      <c r="AL582" s="27"/>
      <c r="AM582" s="27"/>
      <c r="AN582" s="27"/>
      <c r="AO582" s="45">
        <f>'Filter-old'!G659</f>
        <v>0</v>
      </c>
      <c r="AP582" s="27">
        <f>'Filter-new'!G659</f>
        <v>0</v>
      </c>
      <c r="AQ582" s="27"/>
      <c r="AR582" s="27"/>
      <c r="AS582" s="45"/>
      <c r="AT582" s="27"/>
      <c r="AU582" s="27"/>
      <c r="AV582" s="27"/>
      <c r="AW582" s="45">
        <f>'Filter-old'!I659</f>
        <v>0</v>
      </c>
      <c r="AX582" s="27">
        <f>'Filter-new'!I659</f>
        <v>0</v>
      </c>
      <c r="AY582" s="27"/>
      <c r="AZ582" s="27"/>
      <c r="BA582" s="27"/>
      <c r="BB582" s="27"/>
      <c r="BC582" s="45">
        <f>'Filter-old'!K659</f>
        <v>0</v>
      </c>
      <c r="BD582" s="27">
        <f>'Filter-new'!K659</f>
        <v>0</v>
      </c>
      <c r="BE582" s="27"/>
      <c r="BF582" s="27"/>
      <c r="BG582" s="45">
        <f>'Filter-old'!M659</f>
        <v>0</v>
      </c>
      <c r="BH582" s="61"/>
      <c r="BI582" s="61"/>
      <c r="BJ582" s="27">
        <f>'Filter-new'!M659</f>
        <v>0</v>
      </c>
      <c r="BK582" s="27"/>
      <c r="BL582" s="27"/>
      <c r="BM582" s="27"/>
      <c r="BN582" s="423"/>
      <c r="BO582" s="27"/>
      <c r="BP582" s="27"/>
      <c r="BQ582" s="45">
        <f>'Filter-old'!O659</f>
        <v>0</v>
      </c>
      <c r="BR582" s="27">
        <f>'Filter-new'!O659</f>
        <v>0</v>
      </c>
      <c r="BS582" s="27"/>
      <c r="BT582" s="27"/>
      <c r="BU582" s="45">
        <f>'Filter-old'!Q659</f>
        <v>0</v>
      </c>
      <c r="BV582" s="27">
        <f>'Filter-new'!Q659</f>
        <v>0</v>
      </c>
      <c r="BW582" s="27"/>
      <c r="BX582" s="27"/>
      <c r="BY582" s="27"/>
      <c r="BZ582" s="27"/>
      <c r="CA582" s="45">
        <f>'Filter-old'!R659</f>
        <v>0</v>
      </c>
      <c r="CB582" s="27">
        <f>'Filter-new'!R659</f>
        <v>-94.117647058823536</v>
      </c>
      <c r="CC582" s="4"/>
      <c r="CD582" s="4"/>
      <c r="CE582" s="4"/>
      <c r="CF582" s="4"/>
      <c r="CG582" s="4"/>
    </row>
    <row r="583" spans="1:85" hidden="1" x14ac:dyDescent="0.2">
      <c r="A583">
        <v>0</v>
      </c>
      <c r="B583" s="29">
        <v>37926</v>
      </c>
      <c r="C583" s="29">
        <f t="shared" si="79"/>
        <v>37926</v>
      </c>
      <c r="D583" s="29"/>
      <c r="E583" s="29"/>
      <c r="F583" s="29"/>
      <c r="G583" s="36">
        <f t="shared" si="76"/>
        <v>73</v>
      </c>
      <c r="H583" s="36">
        <f t="shared" si="77"/>
        <v>22.520833333333329</v>
      </c>
      <c r="I583" s="36"/>
      <c r="J583" s="41"/>
      <c r="K583" s="45">
        <f>'Filter-old'!E660</f>
        <v>73</v>
      </c>
      <c r="L583" s="27">
        <f>'Filter-new'!E660</f>
        <v>120.4375</v>
      </c>
      <c r="M583" s="27"/>
      <c r="N583" s="27"/>
      <c r="O583" s="442"/>
      <c r="P583" s="27"/>
      <c r="Q583" s="45">
        <f>'Filter-old'!H660</f>
        <v>0</v>
      </c>
      <c r="R583" s="27">
        <f>'Filter-new'!H660</f>
        <v>0</v>
      </c>
      <c r="S583" s="27"/>
      <c r="T583" s="27"/>
      <c r="U583" s="459"/>
      <c r="V583" s="27"/>
      <c r="W583" s="45">
        <f>'Filter-old'!J660</f>
        <v>0</v>
      </c>
      <c r="X583" s="27">
        <f>'Filter-new'!J660</f>
        <v>0</v>
      </c>
      <c r="Y583" s="27"/>
      <c r="Z583" s="27"/>
      <c r="AA583" s="45">
        <f>'Filter-old'!F660</f>
        <v>0</v>
      </c>
      <c r="AB583" s="27">
        <f>'Filter-new'!F660</f>
        <v>0</v>
      </c>
      <c r="AC583" s="27"/>
      <c r="AD583" s="27"/>
      <c r="AE583" s="45">
        <f>'Filter-old'!P660</f>
        <v>0</v>
      </c>
      <c r="AF583" s="27">
        <f>'Filter-new'!P660</f>
        <v>0</v>
      </c>
      <c r="AG583" s="27"/>
      <c r="AH583" s="27"/>
      <c r="AI583" s="45">
        <f>'Filter-old'!L660</f>
        <v>0</v>
      </c>
      <c r="AJ583" s="27">
        <f>'Filter-new'!L660</f>
        <v>0</v>
      </c>
      <c r="AK583" s="27"/>
      <c r="AL583" s="27"/>
      <c r="AM583" s="27"/>
      <c r="AN583" s="27"/>
      <c r="AO583" s="45">
        <f>'Filter-old'!G660</f>
        <v>0</v>
      </c>
      <c r="AP583" s="27">
        <f>'Filter-new'!G660</f>
        <v>0</v>
      </c>
      <c r="AQ583" s="27"/>
      <c r="AR583" s="27"/>
      <c r="AS583" s="45"/>
      <c r="AT583" s="27"/>
      <c r="AU583" s="27"/>
      <c r="AV583" s="27"/>
      <c r="AW583" s="45">
        <f>'Filter-old'!I660</f>
        <v>0</v>
      </c>
      <c r="AX583" s="27">
        <f>'Filter-new'!I660</f>
        <v>0</v>
      </c>
      <c r="AY583" s="27"/>
      <c r="AZ583" s="27"/>
      <c r="BA583" s="27"/>
      <c r="BB583" s="27"/>
      <c r="BC583" s="45">
        <f>'Filter-old'!K660</f>
        <v>0</v>
      </c>
      <c r="BD583" s="27">
        <f>'Filter-new'!K660</f>
        <v>0</v>
      </c>
      <c r="BE583" s="27"/>
      <c r="BF583" s="27"/>
      <c r="BG583" s="45">
        <f>'Filter-old'!M660</f>
        <v>0</v>
      </c>
      <c r="BH583" s="61"/>
      <c r="BI583" s="61"/>
      <c r="BJ583" s="27">
        <f>'Filter-new'!M660</f>
        <v>0</v>
      </c>
      <c r="BK583" s="27"/>
      <c r="BL583" s="27"/>
      <c r="BM583" s="27"/>
      <c r="BN583" s="423"/>
      <c r="BO583" s="27"/>
      <c r="BP583" s="27"/>
      <c r="BQ583" s="45">
        <f>'Filter-old'!O660</f>
        <v>0</v>
      </c>
      <c r="BR583" s="27">
        <f>'Filter-new'!O660</f>
        <v>0</v>
      </c>
      <c r="BS583" s="27"/>
      <c r="BT583" s="27"/>
      <c r="BU583" s="45">
        <f>'Filter-old'!Q660</f>
        <v>0</v>
      </c>
      <c r="BV583" s="27">
        <f>'Filter-new'!Q660</f>
        <v>0</v>
      </c>
      <c r="BW583" s="27"/>
      <c r="BX583" s="27"/>
      <c r="BY583" s="27"/>
      <c r="BZ583" s="27"/>
      <c r="CA583" s="45">
        <f>'Filter-old'!R660</f>
        <v>0</v>
      </c>
      <c r="CB583" s="27">
        <f>'Filter-new'!R660</f>
        <v>-97.916666666666671</v>
      </c>
      <c r="CC583" s="4"/>
      <c r="CD583" s="4"/>
      <c r="CE583" s="4"/>
      <c r="CF583" s="4"/>
      <c r="CG583" s="4"/>
    </row>
    <row r="584" spans="1:85" hidden="1" x14ac:dyDescent="0.2">
      <c r="A584">
        <v>0</v>
      </c>
      <c r="B584" s="29" t="s">
        <v>86</v>
      </c>
      <c r="C584" s="29">
        <f t="shared" si="79"/>
        <v>37956</v>
      </c>
      <c r="D584" s="29"/>
      <c r="E584" s="29"/>
      <c r="F584" s="29"/>
      <c r="G584" s="36">
        <f t="shared" si="76"/>
        <v>73</v>
      </c>
      <c r="H584" s="36">
        <f t="shared" si="77"/>
        <v>187.72340425531914</v>
      </c>
      <c r="I584" s="36"/>
      <c r="J584" s="41"/>
      <c r="K584" s="45">
        <f>'Filter-old'!E661</f>
        <v>73</v>
      </c>
      <c r="L584" s="27">
        <f>'Filter-new'!E661</f>
        <v>187.72340425531914</v>
      </c>
      <c r="M584" s="27"/>
      <c r="N584" s="27"/>
      <c r="O584" s="442"/>
      <c r="P584" s="27"/>
      <c r="Q584" s="45">
        <f>'Filter-old'!H661</f>
        <v>0</v>
      </c>
      <c r="R584" s="27">
        <f>'Filter-new'!H661</f>
        <v>0</v>
      </c>
      <c r="S584" s="27"/>
      <c r="T584" s="27"/>
      <c r="U584" s="459"/>
      <c r="V584" s="27"/>
      <c r="W584" s="45">
        <f>'Filter-old'!J661</f>
        <v>0</v>
      </c>
      <c r="X584" s="27">
        <f>'Filter-new'!J661</f>
        <v>0</v>
      </c>
      <c r="Y584" s="27"/>
      <c r="Z584" s="27"/>
      <c r="AA584" s="45">
        <f>'Filter-old'!F661</f>
        <v>0</v>
      </c>
      <c r="AB584" s="27">
        <f>'Filter-new'!F661</f>
        <v>0</v>
      </c>
      <c r="AC584" s="27"/>
      <c r="AD584" s="27"/>
      <c r="AE584" s="45">
        <f>'Filter-old'!P661</f>
        <v>0</v>
      </c>
      <c r="AF584" s="27">
        <f>'Filter-new'!P661</f>
        <v>0</v>
      </c>
      <c r="AG584" s="27"/>
      <c r="AH584" s="27"/>
      <c r="AI584" s="45">
        <f>'Filter-old'!L661</f>
        <v>0</v>
      </c>
      <c r="AJ584" s="27">
        <f>'Filter-new'!L661</f>
        <v>0</v>
      </c>
      <c r="AK584" s="27"/>
      <c r="AL584" s="27"/>
      <c r="AM584" s="27"/>
      <c r="AN584" s="27"/>
      <c r="AO584" s="45">
        <f>'Filter-old'!G661</f>
        <v>0</v>
      </c>
      <c r="AP584" s="27">
        <f>'Filter-new'!G661</f>
        <v>0</v>
      </c>
      <c r="AQ584" s="27"/>
      <c r="AR584" s="27"/>
      <c r="AS584" s="45"/>
      <c r="AT584" s="27"/>
      <c r="AU584" s="27"/>
      <c r="AV584" s="27"/>
      <c r="AW584" s="45">
        <f>'Filter-old'!I661</f>
        <v>0</v>
      </c>
      <c r="AX584" s="27">
        <f>'Filter-new'!I661</f>
        <v>0</v>
      </c>
      <c r="AY584" s="27"/>
      <c r="AZ584" s="27"/>
      <c r="BA584" s="27"/>
      <c r="BB584" s="27"/>
      <c r="BC584" s="45">
        <f>'Filter-old'!K661</f>
        <v>0</v>
      </c>
      <c r="BD584" s="27">
        <f>'Filter-new'!K661</f>
        <v>0</v>
      </c>
      <c r="BE584" s="27"/>
      <c r="BF584" s="27"/>
      <c r="BG584" s="45">
        <f>'Filter-old'!M661</f>
        <v>0</v>
      </c>
      <c r="BH584" s="61"/>
      <c r="BI584" s="61"/>
      <c r="BJ584" s="27">
        <f>'Filter-new'!M661</f>
        <v>0</v>
      </c>
      <c r="BK584" s="27"/>
      <c r="BL584" s="27"/>
      <c r="BM584" s="27"/>
      <c r="BN584" s="423"/>
      <c r="BO584" s="27"/>
      <c r="BP584" s="27"/>
      <c r="BQ584" s="45">
        <f>'Filter-old'!O661</f>
        <v>0</v>
      </c>
      <c r="BR584" s="27">
        <f>'Filter-new'!O661</f>
        <v>0</v>
      </c>
      <c r="BS584" s="27"/>
      <c r="BT584" s="27"/>
      <c r="BU584" s="45">
        <f>'Filter-old'!Q661</f>
        <v>0</v>
      </c>
      <c r="BV584" s="27">
        <f>'Filter-new'!Q661</f>
        <v>0</v>
      </c>
      <c r="BW584" s="27"/>
      <c r="BX584" s="27"/>
      <c r="BY584" s="27"/>
      <c r="BZ584" s="27"/>
      <c r="CA584" s="45">
        <f>'Filter-old'!R661</f>
        <v>0</v>
      </c>
      <c r="CB584" s="27">
        <f>'Filter-new'!R661</f>
        <v>0</v>
      </c>
      <c r="CC584" s="4"/>
      <c r="CD584" s="4"/>
      <c r="CE584" s="4"/>
      <c r="CF584" s="4"/>
      <c r="CG584" s="4"/>
    </row>
    <row r="585" spans="1:85" hidden="1" x14ac:dyDescent="0.2">
      <c r="A585">
        <v>0</v>
      </c>
      <c r="B585" s="29">
        <v>37987</v>
      </c>
      <c r="C585" s="29">
        <f>C161</f>
        <v>37987</v>
      </c>
      <c r="D585" s="29"/>
      <c r="E585" s="29"/>
      <c r="F585" s="29"/>
      <c r="G585" s="36">
        <f t="shared" si="76"/>
        <v>173</v>
      </c>
      <c r="H585" s="36">
        <f t="shared" si="77"/>
        <v>149.25490196078431</v>
      </c>
      <c r="I585" s="36"/>
      <c r="J585" s="41"/>
      <c r="K585" s="45">
        <f>'Filter-old'!E662</f>
        <v>173</v>
      </c>
      <c r="L585" s="27">
        <f>'Filter-new'!E662</f>
        <v>149.25490196078431</v>
      </c>
      <c r="M585" s="27"/>
      <c r="N585" s="27"/>
      <c r="O585" s="442"/>
      <c r="P585" s="27"/>
      <c r="Q585" s="45">
        <f>'Filter-old'!H662</f>
        <v>0</v>
      </c>
      <c r="R585" s="27">
        <f>'Filter-new'!H662</f>
        <v>0</v>
      </c>
      <c r="S585" s="27"/>
      <c r="T585" s="27"/>
      <c r="U585" s="459"/>
      <c r="V585" s="27"/>
      <c r="W585" s="45">
        <f>'Filter-old'!J662</f>
        <v>0</v>
      </c>
      <c r="X585" s="27">
        <f>'Filter-new'!J662</f>
        <v>0</v>
      </c>
      <c r="Y585" s="27"/>
      <c r="Z585" s="27"/>
      <c r="AA585" s="45">
        <f>'Filter-old'!F662</f>
        <v>0</v>
      </c>
      <c r="AB585" s="27">
        <f>'Filter-new'!F662</f>
        <v>0</v>
      </c>
      <c r="AC585" s="27"/>
      <c r="AD585" s="27"/>
      <c r="AE585" s="45">
        <f>'Filter-old'!P662</f>
        <v>0</v>
      </c>
      <c r="AF585" s="27">
        <f>'Filter-new'!P662</f>
        <v>0</v>
      </c>
      <c r="AG585" s="27"/>
      <c r="AH585" s="27"/>
      <c r="AI585" s="45">
        <f>'Filter-old'!L662</f>
        <v>0</v>
      </c>
      <c r="AJ585" s="27">
        <f>'Filter-new'!L662</f>
        <v>0</v>
      </c>
      <c r="AK585" s="27"/>
      <c r="AL585" s="27"/>
      <c r="AM585" s="27"/>
      <c r="AN585" s="27"/>
      <c r="AO585" s="45">
        <f>'Filter-old'!G662</f>
        <v>0</v>
      </c>
      <c r="AP585" s="27">
        <f>'Filter-new'!G662</f>
        <v>0</v>
      </c>
      <c r="AQ585" s="27"/>
      <c r="AR585" s="27"/>
      <c r="AS585" s="45"/>
      <c r="AT585" s="27"/>
      <c r="AU585" s="27"/>
      <c r="AV585" s="27"/>
      <c r="AW585" s="45">
        <f>'Filter-old'!I662</f>
        <v>0</v>
      </c>
      <c r="AX585" s="27">
        <f>'Filter-new'!I662</f>
        <v>0</v>
      </c>
      <c r="AY585" s="27"/>
      <c r="AZ585" s="27"/>
      <c r="BA585" s="27"/>
      <c r="BB585" s="27"/>
      <c r="BC585" s="45">
        <f>'Filter-old'!K662</f>
        <v>0</v>
      </c>
      <c r="BD585" s="27">
        <f>'Filter-new'!K662</f>
        <v>0</v>
      </c>
      <c r="BE585" s="27"/>
      <c r="BF585" s="27"/>
      <c r="BG585" s="45">
        <f>'Filter-old'!M662</f>
        <v>0</v>
      </c>
      <c r="BH585" s="61"/>
      <c r="BI585" s="61"/>
      <c r="BJ585" s="27">
        <f>'Filter-new'!M662</f>
        <v>0</v>
      </c>
      <c r="BK585" s="27"/>
      <c r="BL585" s="27"/>
      <c r="BM585" s="27"/>
      <c r="BN585" s="423"/>
      <c r="BO585" s="27"/>
      <c r="BP585" s="27"/>
      <c r="BQ585" s="45">
        <f>'Filter-old'!O662</f>
        <v>0</v>
      </c>
      <c r="BR585" s="27">
        <f>'Filter-new'!O662</f>
        <v>0</v>
      </c>
      <c r="BS585" s="27"/>
      <c r="BT585" s="27"/>
      <c r="BU585" s="45">
        <f>'Filter-old'!Q662</f>
        <v>0</v>
      </c>
      <c r="BV585" s="27">
        <f>'Filter-new'!Q662</f>
        <v>0</v>
      </c>
      <c r="BW585" s="27"/>
      <c r="BX585" s="27"/>
      <c r="BY585" s="27"/>
      <c r="BZ585" s="27"/>
      <c r="CA585" s="45">
        <f>'Filter-old'!R662</f>
        <v>0</v>
      </c>
      <c r="CB585" s="27">
        <f>'Filter-new'!R662</f>
        <v>0</v>
      </c>
      <c r="CC585" s="4"/>
      <c r="CD585" s="4"/>
      <c r="CE585" s="4"/>
      <c r="CF585" s="4"/>
      <c r="CG585" s="4"/>
    </row>
    <row r="586" spans="1:85" hidden="1" x14ac:dyDescent="0.2">
      <c r="A586">
        <v>0</v>
      </c>
      <c r="B586" s="29">
        <v>38018</v>
      </c>
      <c r="C586" s="29">
        <f>C162</f>
        <v>38018</v>
      </c>
      <c r="D586" s="29"/>
      <c r="E586" s="29"/>
      <c r="F586" s="29"/>
      <c r="G586" s="36">
        <f t="shared" ref="G586:G617" si="80">SUM(K586,AA586,AO586,Q586,AW586,W586,BC586,AI586,BG586,BQ586,AE586,BU586,CA586)</f>
        <v>173</v>
      </c>
      <c r="H586" s="36">
        <f t="shared" ref="H586:H617" si="81">SUM(L586,AB586,AP586,R586,AX586,X586,BD586,AJ586,BJ586,BR586,AF586,BV586,CB586)</f>
        <v>184.79545454545453</v>
      </c>
      <c r="I586" s="36"/>
      <c r="J586" s="41"/>
      <c r="K586" s="45">
        <f>'Filter-old'!E663</f>
        <v>173</v>
      </c>
      <c r="L586" s="27">
        <f>'Filter-new'!E663</f>
        <v>184.79545454545453</v>
      </c>
      <c r="M586" s="27"/>
      <c r="N586" s="27"/>
      <c r="O586" s="442"/>
      <c r="P586" s="27"/>
      <c r="Q586" s="45">
        <f>'Filter-old'!H663</f>
        <v>0</v>
      </c>
      <c r="R586" s="27">
        <f>'Filter-new'!H663</f>
        <v>0</v>
      </c>
      <c r="S586" s="27"/>
      <c r="T586" s="27"/>
      <c r="U586" s="459"/>
      <c r="V586" s="27"/>
      <c r="W586" s="45">
        <f>'Filter-old'!J663</f>
        <v>0</v>
      </c>
      <c r="X586" s="27">
        <f>'Filter-new'!J663</f>
        <v>0</v>
      </c>
      <c r="Y586" s="27"/>
      <c r="Z586" s="27"/>
      <c r="AA586" s="45">
        <f>'Filter-old'!F663</f>
        <v>0</v>
      </c>
      <c r="AB586" s="27">
        <f>'Filter-new'!F663</f>
        <v>0</v>
      </c>
      <c r="AC586" s="27"/>
      <c r="AD586" s="27"/>
      <c r="AE586" s="45">
        <f>'Filter-old'!P663</f>
        <v>0</v>
      </c>
      <c r="AF586" s="27">
        <f>'Filter-new'!P663</f>
        <v>0</v>
      </c>
      <c r="AG586" s="27"/>
      <c r="AH586" s="27"/>
      <c r="AI586" s="45">
        <f>'Filter-old'!L663</f>
        <v>0</v>
      </c>
      <c r="AJ586" s="27">
        <f>'Filter-new'!L663</f>
        <v>0</v>
      </c>
      <c r="AK586" s="27"/>
      <c r="AL586" s="27"/>
      <c r="AM586" s="27"/>
      <c r="AN586" s="27"/>
      <c r="AO586" s="45">
        <f>'Filter-old'!G663</f>
        <v>0</v>
      </c>
      <c r="AP586" s="27">
        <f>'Filter-new'!G663</f>
        <v>0</v>
      </c>
      <c r="AQ586" s="27"/>
      <c r="AR586" s="27"/>
      <c r="AS586" s="45"/>
      <c r="AT586" s="27"/>
      <c r="AU586" s="27"/>
      <c r="AV586" s="27"/>
      <c r="AW586" s="45">
        <f>'Filter-old'!I663</f>
        <v>0</v>
      </c>
      <c r="AX586" s="27">
        <f>'Filter-new'!I663</f>
        <v>0</v>
      </c>
      <c r="AY586" s="27"/>
      <c r="AZ586" s="27"/>
      <c r="BA586" s="27"/>
      <c r="BB586" s="27"/>
      <c r="BC586" s="45">
        <f>'Filter-old'!K663</f>
        <v>0</v>
      </c>
      <c r="BD586" s="27">
        <f>'Filter-new'!K663</f>
        <v>0</v>
      </c>
      <c r="BE586" s="27"/>
      <c r="BF586" s="27"/>
      <c r="BG586" s="45">
        <f>'Filter-old'!M663</f>
        <v>0</v>
      </c>
      <c r="BH586" s="61"/>
      <c r="BI586" s="61"/>
      <c r="BJ586" s="27">
        <f>'Filter-new'!M663</f>
        <v>0</v>
      </c>
      <c r="BK586" s="27"/>
      <c r="BL586" s="27"/>
      <c r="BM586" s="27"/>
      <c r="BN586" s="423"/>
      <c r="BO586" s="27"/>
      <c r="BP586" s="27"/>
      <c r="BQ586" s="45">
        <f>'Filter-old'!O663</f>
        <v>0</v>
      </c>
      <c r="BR586" s="27">
        <f>'Filter-new'!O663</f>
        <v>0</v>
      </c>
      <c r="BS586" s="27"/>
      <c r="BT586" s="27"/>
      <c r="BU586" s="45">
        <f>'Filter-old'!Q663</f>
        <v>0</v>
      </c>
      <c r="BV586" s="27">
        <f>'Filter-new'!Q663</f>
        <v>0</v>
      </c>
      <c r="BW586" s="27"/>
      <c r="BX586" s="27"/>
      <c r="BY586" s="27"/>
      <c r="BZ586" s="27"/>
      <c r="CA586" s="45">
        <f>'Filter-old'!R663</f>
        <v>0</v>
      </c>
      <c r="CB586" s="27">
        <f>'Filter-new'!R663</f>
        <v>0</v>
      </c>
      <c r="CC586" s="4"/>
      <c r="CD586" s="4"/>
      <c r="CE586" s="4"/>
      <c r="CF586" s="4"/>
      <c r="CG586" s="4"/>
    </row>
    <row r="587" spans="1:85" hidden="1" x14ac:dyDescent="0.2">
      <c r="A587">
        <v>0</v>
      </c>
      <c r="B587" s="29">
        <v>38047</v>
      </c>
      <c r="C587" s="29">
        <f>C164</f>
        <v>38047</v>
      </c>
      <c r="D587" s="29"/>
      <c r="E587" s="29"/>
      <c r="F587" s="29"/>
      <c r="G587" s="36">
        <f t="shared" si="80"/>
        <v>173</v>
      </c>
      <c r="H587" s="36">
        <f t="shared" si="81"/>
        <v>176.22074468085106</v>
      </c>
      <c r="I587" s="36"/>
      <c r="J587" s="41"/>
      <c r="K587" s="45">
        <f>'Filter-old'!E664</f>
        <v>173</v>
      </c>
      <c r="L587" s="27">
        <f>'Filter-new'!E664</f>
        <v>176.22074468085106</v>
      </c>
      <c r="M587" s="27"/>
      <c r="N587" s="27"/>
      <c r="O587" s="442"/>
      <c r="P587" s="27"/>
      <c r="Q587" s="45">
        <f>'Filter-old'!H664</f>
        <v>0</v>
      </c>
      <c r="R587" s="27">
        <f>'Filter-new'!H664</f>
        <v>0</v>
      </c>
      <c r="S587" s="27"/>
      <c r="T587" s="27"/>
      <c r="U587" s="459"/>
      <c r="V587" s="27"/>
      <c r="W587" s="45">
        <f>'Filter-old'!J664</f>
        <v>0</v>
      </c>
      <c r="X587" s="27">
        <f>'Filter-new'!J664</f>
        <v>0</v>
      </c>
      <c r="Y587" s="27"/>
      <c r="Z587" s="27"/>
      <c r="AA587" s="45">
        <f>'Filter-old'!F664</f>
        <v>0</v>
      </c>
      <c r="AB587" s="27">
        <f>'Filter-new'!F664</f>
        <v>0</v>
      </c>
      <c r="AC587" s="27"/>
      <c r="AD587" s="27"/>
      <c r="AE587" s="45">
        <f>'Filter-old'!P664</f>
        <v>0</v>
      </c>
      <c r="AF587" s="27">
        <f>'Filter-new'!P664</f>
        <v>0</v>
      </c>
      <c r="AG587" s="27"/>
      <c r="AH587" s="27"/>
      <c r="AI587" s="45">
        <f>'Filter-old'!L664</f>
        <v>0</v>
      </c>
      <c r="AJ587" s="27">
        <f>'Filter-new'!L664</f>
        <v>0</v>
      </c>
      <c r="AK587" s="27"/>
      <c r="AL587" s="27"/>
      <c r="AM587" s="27"/>
      <c r="AN587" s="27"/>
      <c r="AO587" s="45">
        <f>'Filter-old'!G664</f>
        <v>0</v>
      </c>
      <c r="AP587" s="27">
        <f>'Filter-new'!G664</f>
        <v>0</v>
      </c>
      <c r="AQ587" s="27"/>
      <c r="AR587" s="27"/>
      <c r="AS587" s="45"/>
      <c r="AT587" s="27"/>
      <c r="AU587" s="27"/>
      <c r="AV587" s="27"/>
      <c r="AW587" s="45">
        <f>'Filter-old'!I664</f>
        <v>0</v>
      </c>
      <c r="AX587" s="27">
        <f>'Filter-new'!I664</f>
        <v>0</v>
      </c>
      <c r="AY587" s="27"/>
      <c r="AZ587" s="27"/>
      <c r="BA587" s="27"/>
      <c r="BB587" s="27"/>
      <c r="BC587" s="45">
        <f>'Filter-old'!K664</f>
        <v>0</v>
      </c>
      <c r="BD587" s="27">
        <f>'Filter-new'!K664</f>
        <v>0</v>
      </c>
      <c r="BE587" s="27"/>
      <c r="BF587" s="27"/>
      <c r="BG587" s="45">
        <f>'Filter-old'!M664</f>
        <v>0</v>
      </c>
      <c r="BH587" s="61"/>
      <c r="BI587" s="61"/>
      <c r="BJ587" s="27">
        <f>'Filter-new'!M664</f>
        <v>0</v>
      </c>
      <c r="BK587" s="27"/>
      <c r="BL587" s="27"/>
      <c r="BM587" s="27"/>
      <c r="BN587" s="423"/>
      <c r="BO587" s="27"/>
      <c r="BP587" s="27"/>
      <c r="BQ587" s="45">
        <f>'Filter-old'!O664</f>
        <v>0</v>
      </c>
      <c r="BR587" s="27">
        <f>'Filter-new'!O664</f>
        <v>0</v>
      </c>
      <c r="BS587" s="27"/>
      <c r="BT587" s="27"/>
      <c r="BU587" s="45">
        <f>'Filter-old'!Q664</f>
        <v>0</v>
      </c>
      <c r="BV587" s="27">
        <f>'Filter-new'!Q664</f>
        <v>0</v>
      </c>
      <c r="BW587" s="27"/>
      <c r="BX587" s="27"/>
      <c r="BY587" s="27"/>
      <c r="BZ587" s="27"/>
      <c r="CA587" s="45">
        <f>'Filter-old'!R664</f>
        <v>0</v>
      </c>
      <c r="CB587" s="27">
        <f>'Filter-new'!R664</f>
        <v>0</v>
      </c>
      <c r="CC587" s="4"/>
      <c r="CD587" s="4"/>
      <c r="CE587" s="4"/>
      <c r="CF587" s="4"/>
      <c r="CG587" s="4"/>
    </row>
    <row r="588" spans="1:85" hidden="1" x14ac:dyDescent="0.2">
      <c r="A588">
        <v>0</v>
      </c>
      <c r="B588" s="29">
        <v>38078</v>
      </c>
      <c r="C588" s="29">
        <f>C165</f>
        <v>38078</v>
      </c>
      <c r="D588" s="29"/>
      <c r="E588" s="29"/>
      <c r="F588" s="29"/>
      <c r="G588" s="36">
        <f t="shared" si="80"/>
        <v>172.54947916666666</v>
      </c>
      <c r="H588" s="36">
        <f t="shared" si="81"/>
        <v>183.8125</v>
      </c>
      <c r="I588" s="36"/>
      <c r="J588" s="41"/>
      <c r="K588" s="45">
        <f>'Filter-old'!E665</f>
        <v>172.54947916666666</v>
      </c>
      <c r="L588" s="27">
        <f>'Filter-new'!E665</f>
        <v>183.8125</v>
      </c>
      <c r="M588" s="27"/>
      <c r="N588" s="27"/>
      <c r="O588" s="442"/>
      <c r="P588" s="27"/>
      <c r="Q588" s="45">
        <f>'Filter-old'!H665</f>
        <v>0</v>
      </c>
      <c r="R588" s="27">
        <f>'Filter-new'!H665</f>
        <v>0</v>
      </c>
      <c r="S588" s="27"/>
      <c r="T588" s="27"/>
      <c r="U588" s="459"/>
      <c r="V588" s="27"/>
      <c r="W588" s="45">
        <f>'Filter-old'!J665</f>
        <v>0</v>
      </c>
      <c r="X588" s="27">
        <f>'Filter-new'!J665</f>
        <v>0</v>
      </c>
      <c r="Y588" s="27"/>
      <c r="Z588" s="27"/>
      <c r="AA588" s="45">
        <f>'Filter-old'!F665</f>
        <v>0</v>
      </c>
      <c r="AB588" s="27">
        <f>'Filter-new'!F665</f>
        <v>0</v>
      </c>
      <c r="AC588" s="27"/>
      <c r="AD588" s="27"/>
      <c r="AE588" s="45">
        <f>'Filter-old'!P665</f>
        <v>0</v>
      </c>
      <c r="AF588" s="27">
        <f>'Filter-new'!P665</f>
        <v>0</v>
      </c>
      <c r="AG588" s="27"/>
      <c r="AH588" s="27"/>
      <c r="AI588" s="45">
        <f>'Filter-old'!L665</f>
        <v>0</v>
      </c>
      <c r="AJ588" s="27">
        <f>'Filter-new'!L665</f>
        <v>0</v>
      </c>
      <c r="AK588" s="27"/>
      <c r="AL588" s="27"/>
      <c r="AM588" s="27"/>
      <c r="AN588" s="27"/>
      <c r="AO588" s="45">
        <f>'Filter-old'!G665</f>
        <v>0</v>
      </c>
      <c r="AP588" s="27">
        <f>'Filter-new'!G665</f>
        <v>0</v>
      </c>
      <c r="AQ588" s="27"/>
      <c r="AR588" s="27"/>
      <c r="AS588" s="45"/>
      <c r="AT588" s="27"/>
      <c r="AU588" s="27"/>
      <c r="AV588" s="27"/>
      <c r="AW588" s="45">
        <f>'Filter-old'!I665</f>
        <v>0</v>
      </c>
      <c r="AX588" s="27">
        <f>'Filter-new'!I665</f>
        <v>0</v>
      </c>
      <c r="AY588" s="27"/>
      <c r="AZ588" s="27"/>
      <c r="BA588" s="27"/>
      <c r="BB588" s="27"/>
      <c r="BC588" s="45">
        <f>'Filter-old'!K665</f>
        <v>0</v>
      </c>
      <c r="BD588" s="27">
        <f>'Filter-new'!K665</f>
        <v>0</v>
      </c>
      <c r="BE588" s="27"/>
      <c r="BF588" s="27"/>
      <c r="BG588" s="45">
        <f>'Filter-old'!M665</f>
        <v>0</v>
      </c>
      <c r="BH588" s="61"/>
      <c r="BI588" s="61"/>
      <c r="BJ588" s="27">
        <f>'Filter-new'!M665</f>
        <v>0</v>
      </c>
      <c r="BK588" s="27"/>
      <c r="BL588" s="27"/>
      <c r="BM588" s="27"/>
      <c r="BN588" s="423"/>
      <c r="BO588" s="27"/>
      <c r="BP588" s="27"/>
      <c r="BQ588" s="45">
        <f>'Filter-old'!O665</f>
        <v>0</v>
      </c>
      <c r="BR588" s="27">
        <f>'Filter-new'!O665</f>
        <v>0</v>
      </c>
      <c r="BS588" s="27"/>
      <c r="BT588" s="27"/>
      <c r="BU588" s="45">
        <f>'Filter-old'!Q665</f>
        <v>0</v>
      </c>
      <c r="BV588" s="27">
        <f>'Filter-new'!Q665</f>
        <v>0</v>
      </c>
      <c r="BW588" s="27"/>
      <c r="BX588" s="27"/>
      <c r="BY588" s="27"/>
      <c r="BZ588" s="27"/>
      <c r="CA588" s="45">
        <f>'Filter-old'!R665</f>
        <v>0</v>
      </c>
      <c r="CB588" s="27">
        <f>'Filter-new'!R665</f>
        <v>0</v>
      </c>
      <c r="CC588" s="4"/>
      <c r="CD588" s="4"/>
      <c r="CE588" s="4"/>
      <c r="CF588" s="4"/>
      <c r="CG588" s="4"/>
    </row>
    <row r="589" spans="1:85" hidden="1" x14ac:dyDescent="0.2">
      <c r="A589">
        <v>0</v>
      </c>
      <c r="B589" s="29">
        <v>38108</v>
      </c>
      <c r="C589" s="29">
        <f>C167</f>
        <v>38108</v>
      </c>
      <c r="D589" s="29"/>
      <c r="E589" s="29"/>
      <c r="F589" s="29"/>
      <c r="G589" s="36">
        <f t="shared" si="80"/>
        <v>173</v>
      </c>
      <c r="H589" s="36">
        <f t="shared" si="81"/>
        <v>156.0392156862745</v>
      </c>
      <c r="I589" s="36"/>
      <c r="J589" s="41"/>
      <c r="K589" s="45">
        <f>'Filter-old'!E666</f>
        <v>173</v>
      </c>
      <c r="L589" s="27">
        <f>'Filter-new'!E666</f>
        <v>156.0392156862745</v>
      </c>
      <c r="M589" s="27"/>
      <c r="N589" s="27"/>
      <c r="O589" s="442"/>
      <c r="P589" s="27"/>
      <c r="Q589" s="45">
        <f>'Filter-old'!H666</f>
        <v>0</v>
      </c>
      <c r="R589" s="27">
        <f>'Filter-new'!H666</f>
        <v>0</v>
      </c>
      <c r="S589" s="27"/>
      <c r="T589" s="27"/>
      <c r="U589" s="459"/>
      <c r="V589" s="27"/>
      <c r="W589" s="45">
        <f>'Filter-old'!J666</f>
        <v>0</v>
      </c>
      <c r="X589" s="27">
        <f>'Filter-new'!J666</f>
        <v>0</v>
      </c>
      <c r="Y589" s="27"/>
      <c r="Z589" s="27"/>
      <c r="AA589" s="45">
        <f>'Filter-old'!F666</f>
        <v>0</v>
      </c>
      <c r="AB589" s="27">
        <f>'Filter-new'!F666</f>
        <v>0</v>
      </c>
      <c r="AC589" s="27"/>
      <c r="AD589" s="27"/>
      <c r="AE589" s="45">
        <f>'Filter-old'!P666</f>
        <v>0</v>
      </c>
      <c r="AF589" s="27">
        <f>'Filter-new'!P666</f>
        <v>0</v>
      </c>
      <c r="AG589" s="27"/>
      <c r="AH589" s="27"/>
      <c r="AI589" s="45">
        <f>'Filter-old'!L666</f>
        <v>0</v>
      </c>
      <c r="AJ589" s="27">
        <f>'Filter-new'!L666</f>
        <v>0</v>
      </c>
      <c r="AK589" s="27"/>
      <c r="AL589" s="27"/>
      <c r="AM589" s="27"/>
      <c r="AN589" s="27"/>
      <c r="AO589" s="45">
        <f>'Filter-old'!G666</f>
        <v>0</v>
      </c>
      <c r="AP589" s="27">
        <f>'Filter-new'!G666</f>
        <v>0</v>
      </c>
      <c r="AQ589" s="27"/>
      <c r="AR589" s="27"/>
      <c r="AS589" s="45"/>
      <c r="AT589" s="27"/>
      <c r="AU589" s="27"/>
      <c r="AV589" s="27"/>
      <c r="AW589" s="45">
        <f>'Filter-old'!I666</f>
        <v>0</v>
      </c>
      <c r="AX589" s="27">
        <f>'Filter-new'!I666</f>
        <v>0</v>
      </c>
      <c r="AY589" s="27"/>
      <c r="AZ589" s="27"/>
      <c r="BA589" s="27"/>
      <c r="BB589" s="27"/>
      <c r="BC589" s="45">
        <f>'Filter-old'!K666</f>
        <v>0</v>
      </c>
      <c r="BD589" s="27">
        <f>'Filter-new'!K666</f>
        <v>0</v>
      </c>
      <c r="BE589" s="27"/>
      <c r="BF589" s="27"/>
      <c r="BG589" s="45">
        <f>'Filter-old'!M666</f>
        <v>0</v>
      </c>
      <c r="BH589" s="61"/>
      <c r="BI589" s="61"/>
      <c r="BJ589" s="27">
        <f>'Filter-new'!M666</f>
        <v>0</v>
      </c>
      <c r="BK589" s="27"/>
      <c r="BL589" s="27"/>
      <c r="BM589" s="27"/>
      <c r="BN589" s="423"/>
      <c r="BO589" s="27"/>
      <c r="BP589" s="27"/>
      <c r="BQ589" s="45">
        <f>'Filter-old'!O666</f>
        <v>0</v>
      </c>
      <c r="BR589" s="27">
        <f>'Filter-new'!O666</f>
        <v>0</v>
      </c>
      <c r="BS589" s="27"/>
      <c r="BT589" s="27"/>
      <c r="BU589" s="45">
        <f>'Filter-old'!Q666</f>
        <v>0</v>
      </c>
      <c r="BV589" s="27">
        <f>'Filter-new'!Q666</f>
        <v>0</v>
      </c>
      <c r="BW589" s="27"/>
      <c r="BX589" s="27"/>
      <c r="BY589" s="27"/>
      <c r="BZ589" s="27"/>
      <c r="CA589" s="45">
        <f>'Filter-old'!R666</f>
        <v>0</v>
      </c>
      <c r="CB589" s="27">
        <f>'Filter-new'!R666</f>
        <v>0</v>
      </c>
      <c r="CC589" s="4"/>
      <c r="CD589" s="4"/>
      <c r="CE589" s="4"/>
      <c r="CF589" s="4"/>
      <c r="CG589" s="4"/>
    </row>
    <row r="590" spans="1:85" hidden="1" x14ac:dyDescent="0.2">
      <c r="A590">
        <v>0</v>
      </c>
      <c r="B590" s="29">
        <v>38139</v>
      </c>
      <c r="C590" s="29">
        <f>C169</f>
        <v>38139</v>
      </c>
      <c r="D590" s="29"/>
      <c r="E590" s="29"/>
      <c r="F590" s="29"/>
      <c r="G590" s="36">
        <f t="shared" si="80"/>
        <v>173</v>
      </c>
      <c r="H590" s="36">
        <f t="shared" si="81"/>
        <v>199.32608695652175</v>
      </c>
      <c r="I590" s="36"/>
      <c r="J590" s="41"/>
      <c r="K590" s="45">
        <f>'Filter-old'!E667</f>
        <v>173</v>
      </c>
      <c r="L590" s="27">
        <f>'Filter-new'!E667</f>
        <v>199.32608695652175</v>
      </c>
      <c r="M590" s="27"/>
      <c r="N590" s="27"/>
      <c r="O590" s="442"/>
      <c r="P590" s="27"/>
      <c r="Q590" s="45">
        <f>'Filter-old'!H667</f>
        <v>0</v>
      </c>
      <c r="R590" s="27">
        <f>'Filter-new'!H667</f>
        <v>0</v>
      </c>
      <c r="S590" s="27"/>
      <c r="T590" s="27"/>
      <c r="U590" s="459"/>
      <c r="V590" s="27"/>
      <c r="W590" s="45">
        <f>'Filter-old'!J667</f>
        <v>0</v>
      </c>
      <c r="X590" s="27">
        <f>'Filter-new'!J667</f>
        <v>0</v>
      </c>
      <c r="Y590" s="27"/>
      <c r="Z590" s="27"/>
      <c r="AA590" s="45">
        <f>'Filter-old'!F667</f>
        <v>0</v>
      </c>
      <c r="AB590" s="27">
        <f>'Filter-new'!F667</f>
        <v>0</v>
      </c>
      <c r="AC590" s="27"/>
      <c r="AD590" s="27"/>
      <c r="AE590" s="45">
        <f>'Filter-old'!P667</f>
        <v>0</v>
      </c>
      <c r="AF590" s="27">
        <f>'Filter-new'!P667</f>
        <v>0</v>
      </c>
      <c r="AG590" s="27"/>
      <c r="AH590" s="27"/>
      <c r="AI590" s="45">
        <f>'Filter-old'!L667</f>
        <v>0</v>
      </c>
      <c r="AJ590" s="27">
        <f>'Filter-new'!L667</f>
        <v>0</v>
      </c>
      <c r="AK590" s="27"/>
      <c r="AL590" s="27"/>
      <c r="AM590" s="27"/>
      <c r="AN590" s="27"/>
      <c r="AO590" s="45">
        <f>'Filter-old'!G667</f>
        <v>0</v>
      </c>
      <c r="AP590" s="27">
        <f>'Filter-new'!G667</f>
        <v>0</v>
      </c>
      <c r="AQ590" s="27"/>
      <c r="AR590" s="27"/>
      <c r="AS590" s="45"/>
      <c r="AT590" s="27"/>
      <c r="AU590" s="27"/>
      <c r="AV590" s="27"/>
      <c r="AW590" s="45">
        <f>'Filter-old'!I667</f>
        <v>0</v>
      </c>
      <c r="AX590" s="27">
        <f>'Filter-new'!I667</f>
        <v>0</v>
      </c>
      <c r="AY590" s="27"/>
      <c r="AZ590" s="27"/>
      <c r="BA590" s="27"/>
      <c r="BB590" s="27"/>
      <c r="BC590" s="45">
        <f>'Filter-old'!K667</f>
        <v>0</v>
      </c>
      <c r="BD590" s="27">
        <f>'Filter-new'!K667</f>
        <v>0</v>
      </c>
      <c r="BE590" s="27"/>
      <c r="BF590" s="27"/>
      <c r="BG590" s="45">
        <f>'Filter-old'!M667</f>
        <v>0</v>
      </c>
      <c r="BH590" s="61"/>
      <c r="BI590" s="61"/>
      <c r="BJ590" s="27">
        <f>'Filter-new'!M667</f>
        <v>0</v>
      </c>
      <c r="BK590" s="27"/>
      <c r="BL590" s="27"/>
      <c r="BM590" s="27"/>
      <c r="BN590" s="423"/>
      <c r="BO590" s="27"/>
      <c r="BP590" s="27"/>
      <c r="BQ590" s="45">
        <f>'Filter-old'!O667</f>
        <v>0</v>
      </c>
      <c r="BR590" s="27">
        <f>'Filter-new'!O667</f>
        <v>0</v>
      </c>
      <c r="BS590" s="27"/>
      <c r="BT590" s="27"/>
      <c r="BU590" s="45">
        <f>'Filter-old'!Q667</f>
        <v>0</v>
      </c>
      <c r="BV590" s="27">
        <f>'Filter-new'!Q667</f>
        <v>0</v>
      </c>
      <c r="BW590" s="27"/>
      <c r="BX590" s="27"/>
      <c r="BY590" s="27"/>
      <c r="BZ590" s="27"/>
      <c r="CA590" s="45">
        <f>'Filter-old'!R667</f>
        <v>0</v>
      </c>
      <c r="CB590" s="27">
        <f>'Filter-new'!R667</f>
        <v>0</v>
      </c>
      <c r="CC590" s="4"/>
      <c r="CD590" s="4"/>
      <c r="CE590" s="4"/>
      <c r="CF590" s="4"/>
      <c r="CG590" s="4"/>
    </row>
    <row r="591" spans="1:85" hidden="1" x14ac:dyDescent="0.2">
      <c r="A591">
        <v>0</v>
      </c>
      <c r="B591" s="29">
        <v>38169</v>
      </c>
      <c r="C591" s="29">
        <f>C171</f>
        <v>38169</v>
      </c>
      <c r="D591" s="29"/>
      <c r="E591" s="29"/>
      <c r="F591" s="29"/>
      <c r="G591" s="36">
        <f t="shared" si="80"/>
        <v>173</v>
      </c>
      <c r="H591" s="36">
        <f t="shared" si="81"/>
        <v>153.41509433962264</v>
      </c>
      <c r="I591" s="36"/>
      <c r="J591" s="41"/>
      <c r="K591" s="45">
        <f>'Filter-old'!E668</f>
        <v>173</v>
      </c>
      <c r="L591" s="27">
        <f>'Filter-new'!E668</f>
        <v>153.41509433962264</v>
      </c>
      <c r="M591" s="27"/>
      <c r="N591" s="27"/>
      <c r="O591" s="442"/>
      <c r="P591" s="27"/>
      <c r="Q591" s="45">
        <f>'Filter-old'!H668</f>
        <v>0</v>
      </c>
      <c r="R591" s="27">
        <f>'Filter-new'!H668</f>
        <v>0</v>
      </c>
      <c r="S591" s="27"/>
      <c r="T591" s="27"/>
      <c r="U591" s="459"/>
      <c r="V591" s="27"/>
      <c r="W591" s="45">
        <f>'Filter-old'!J668</f>
        <v>0</v>
      </c>
      <c r="X591" s="27">
        <f>'Filter-new'!J668</f>
        <v>0</v>
      </c>
      <c r="Y591" s="27"/>
      <c r="Z591" s="27"/>
      <c r="AA591" s="45">
        <f>'Filter-old'!F668</f>
        <v>0</v>
      </c>
      <c r="AB591" s="27">
        <f>'Filter-new'!F668</f>
        <v>0</v>
      </c>
      <c r="AC591" s="27"/>
      <c r="AD591" s="27"/>
      <c r="AE591" s="45">
        <f>'Filter-old'!P668</f>
        <v>0</v>
      </c>
      <c r="AF591" s="27">
        <f>'Filter-new'!P668</f>
        <v>0</v>
      </c>
      <c r="AG591" s="27"/>
      <c r="AH591" s="27"/>
      <c r="AI591" s="45">
        <f>'Filter-old'!L668</f>
        <v>0</v>
      </c>
      <c r="AJ591" s="27">
        <f>'Filter-new'!L668</f>
        <v>0</v>
      </c>
      <c r="AK591" s="27"/>
      <c r="AL591" s="27"/>
      <c r="AM591" s="27"/>
      <c r="AN591" s="27"/>
      <c r="AO591" s="45">
        <f>'Filter-old'!G668</f>
        <v>0</v>
      </c>
      <c r="AP591" s="27">
        <f>'Filter-new'!G668</f>
        <v>0</v>
      </c>
      <c r="AQ591" s="27"/>
      <c r="AR591" s="27"/>
      <c r="AS591" s="45"/>
      <c r="AT591" s="27"/>
      <c r="AU591" s="27"/>
      <c r="AV591" s="27"/>
      <c r="AW591" s="45">
        <f>'Filter-old'!I668</f>
        <v>0</v>
      </c>
      <c r="AX591" s="27">
        <f>'Filter-new'!I668</f>
        <v>0</v>
      </c>
      <c r="AY591" s="27"/>
      <c r="AZ591" s="27"/>
      <c r="BA591" s="27"/>
      <c r="BB591" s="27"/>
      <c r="BC591" s="45">
        <f>'Filter-old'!K668</f>
        <v>0</v>
      </c>
      <c r="BD591" s="27">
        <f>'Filter-new'!K668</f>
        <v>0</v>
      </c>
      <c r="BE591" s="27"/>
      <c r="BF591" s="27"/>
      <c r="BG591" s="45">
        <f>'Filter-old'!M668</f>
        <v>0</v>
      </c>
      <c r="BH591" s="61"/>
      <c r="BI591" s="61"/>
      <c r="BJ591" s="27">
        <f>'Filter-new'!M668</f>
        <v>0</v>
      </c>
      <c r="BK591" s="27"/>
      <c r="BL591" s="27"/>
      <c r="BM591" s="27"/>
      <c r="BN591" s="423"/>
      <c r="BO591" s="27"/>
      <c r="BP591" s="27"/>
      <c r="BQ591" s="45">
        <f>'Filter-old'!O668</f>
        <v>0</v>
      </c>
      <c r="BR591" s="27">
        <f>'Filter-new'!O668</f>
        <v>0</v>
      </c>
      <c r="BS591" s="27"/>
      <c r="BT591" s="27"/>
      <c r="BU591" s="45">
        <f>'Filter-old'!Q668</f>
        <v>0</v>
      </c>
      <c r="BV591" s="27">
        <f>'Filter-new'!Q668</f>
        <v>0</v>
      </c>
      <c r="BW591" s="27"/>
      <c r="BX591" s="27"/>
      <c r="BY591" s="27"/>
      <c r="BZ591" s="27"/>
      <c r="CA591" s="45">
        <f>'Filter-old'!R668</f>
        <v>0</v>
      </c>
      <c r="CB591" s="27">
        <f>'Filter-new'!R668</f>
        <v>0</v>
      </c>
      <c r="CC591" s="4"/>
      <c r="CD591" s="4"/>
      <c r="CE591" s="4"/>
      <c r="CF591" s="4"/>
      <c r="CG591" s="4"/>
    </row>
    <row r="592" spans="1:85" hidden="1" x14ac:dyDescent="0.2">
      <c r="A592">
        <v>0</v>
      </c>
      <c r="B592" s="29">
        <v>38200</v>
      </c>
      <c r="C592" s="29">
        <f>C172</f>
        <v>38200</v>
      </c>
      <c r="D592" s="29"/>
      <c r="E592" s="29"/>
      <c r="F592" s="29"/>
      <c r="G592" s="36">
        <f t="shared" si="80"/>
        <v>173</v>
      </c>
      <c r="H592" s="36">
        <f t="shared" si="81"/>
        <v>176.68085106382978</v>
      </c>
      <c r="I592" s="36"/>
      <c r="J592" s="41"/>
      <c r="K592" s="45">
        <f>'Filter-old'!E669</f>
        <v>173</v>
      </c>
      <c r="L592" s="27">
        <f>'Filter-new'!E669</f>
        <v>176.68085106382978</v>
      </c>
      <c r="M592" s="27"/>
      <c r="N592" s="27"/>
      <c r="O592" s="442"/>
      <c r="P592" s="27"/>
      <c r="Q592" s="45">
        <f>'Filter-old'!H669</f>
        <v>0</v>
      </c>
      <c r="R592" s="27">
        <f>'Filter-new'!H669</f>
        <v>0</v>
      </c>
      <c r="S592" s="27"/>
      <c r="T592" s="27"/>
      <c r="U592" s="459"/>
      <c r="V592" s="27"/>
      <c r="W592" s="45">
        <f>'Filter-old'!J669</f>
        <v>0</v>
      </c>
      <c r="X592" s="27">
        <f>'Filter-new'!J669</f>
        <v>0</v>
      </c>
      <c r="Y592" s="27"/>
      <c r="Z592" s="27"/>
      <c r="AA592" s="45">
        <f>'Filter-old'!F669</f>
        <v>0</v>
      </c>
      <c r="AB592" s="27">
        <f>'Filter-new'!F669</f>
        <v>0</v>
      </c>
      <c r="AC592" s="27"/>
      <c r="AD592" s="27"/>
      <c r="AE592" s="45">
        <f>'Filter-old'!P669</f>
        <v>0</v>
      </c>
      <c r="AF592" s="27">
        <f>'Filter-new'!P669</f>
        <v>0</v>
      </c>
      <c r="AG592" s="27"/>
      <c r="AH592" s="27"/>
      <c r="AI592" s="45">
        <f>'Filter-old'!L669</f>
        <v>0</v>
      </c>
      <c r="AJ592" s="27">
        <f>'Filter-new'!L669</f>
        <v>0</v>
      </c>
      <c r="AK592" s="27"/>
      <c r="AL592" s="27"/>
      <c r="AM592" s="27"/>
      <c r="AN592" s="27"/>
      <c r="AO592" s="45">
        <f>'Filter-old'!G669</f>
        <v>0</v>
      </c>
      <c r="AP592" s="27">
        <f>'Filter-new'!G669</f>
        <v>0</v>
      </c>
      <c r="AQ592" s="27"/>
      <c r="AR592" s="27"/>
      <c r="AS592" s="45"/>
      <c r="AT592" s="27"/>
      <c r="AU592" s="27"/>
      <c r="AV592" s="27"/>
      <c r="AW592" s="45">
        <f>'Filter-old'!I669</f>
        <v>0</v>
      </c>
      <c r="AX592" s="27">
        <f>'Filter-new'!I669</f>
        <v>0</v>
      </c>
      <c r="AY592" s="27"/>
      <c r="AZ592" s="27"/>
      <c r="BA592" s="27"/>
      <c r="BB592" s="27"/>
      <c r="BC592" s="45">
        <f>'Filter-old'!K669</f>
        <v>0</v>
      </c>
      <c r="BD592" s="27">
        <f>'Filter-new'!K669</f>
        <v>0</v>
      </c>
      <c r="BE592" s="27"/>
      <c r="BF592" s="27"/>
      <c r="BG592" s="45">
        <f>'Filter-old'!M669</f>
        <v>0</v>
      </c>
      <c r="BH592" s="61"/>
      <c r="BI592" s="61"/>
      <c r="BJ592" s="27">
        <f>'Filter-new'!M669</f>
        <v>0</v>
      </c>
      <c r="BK592" s="27"/>
      <c r="BL592" s="27"/>
      <c r="BM592" s="27"/>
      <c r="BN592" s="423"/>
      <c r="BO592" s="27"/>
      <c r="BP592" s="27"/>
      <c r="BQ592" s="45">
        <f>'Filter-old'!O669</f>
        <v>0</v>
      </c>
      <c r="BR592" s="27">
        <f>'Filter-new'!O669</f>
        <v>0</v>
      </c>
      <c r="BS592" s="27"/>
      <c r="BT592" s="27"/>
      <c r="BU592" s="45">
        <f>'Filter-old'!Q669</f>
        <v>0</v>
      </c>
      <c r="BV592" s="27">
        <f>'Filter-new'!Q669</f>
        <v>0</v>
      </c>
      <c r="BW592" s="27"/>
      <c r="BX592" s="27"/>
      <c r="BY592" s="27"/>
      <c r="BZ592" s="27"/>
      <c r="CA592" s="45">
        <f>'Filter-old'!R669</f>
        <v>0</v>
      </c>
      <c r="CB592" s="27">
        <f>'Filter-new'!R669</f>
        <v>0</v>
      </c>
      <c r="CC592" s="4"/>
      <c r="CD592" s="4"/>
      <c r="CE592" s="4"/>
      <c r="CF592" s="4"/>
      <c r="CG592" s="4"/>
    </row>
    <row r="593" spans="1:85" hidden="1" x14ac:dyDescent="0.2">
      <c r="A593">
        <v>0</v>
      </c>
      <c r="B593" s="29">
        <v>38231</v>
      </c>
      <c r="C593" s="29">
        <f>C174</f>
        <v>38231</v>
      </c>
      <c r="D593" s="29"/>
      <c r="E593" s="29"/>
      <c r="F593" s="29"/>
      <c r="G593" s="36">
        <f t="shared" si="80"/>
        <v>173</v>
      </c>
      <c r="H593" s="36">
        <f t="shared" si="81"/>
        <v>184.26302083333334</v>
      </c>
      <c r="I593" s="36"/>
      <c r="J593" s="41"/>
      <c r="K593" s="45">
        <f>'Filter-old'!E670</f>
        <v>173</v>
      </c>
      <c r="L593" s="27">
        <f>'Filter-new'!E670</f>
        <v>184.26302083333334</v>
      </c>
      <c r="M593" s="27"/>
      <c r="N593" s="27"/>
      <c r="O593" s="442"/>
      <c r="P593" s="27"/>
      <c r="Q593" s="45">
        <f>'Filter-old'!H670</f>
        <v>0</v>
      </c>
      <c r="R593" s="27">
        <f>'Filter-new'!H670</f>
        <v>0</v>
      </c>
      <c r="S593" s="27"/>
      <c r="T593" s="27"/>
      <c r="U593" s="459"/>
      <c r="V593" s="27"/>
      <c r="W593" s="45">
        <f>'Filter-old'!J670</f>
        <v>0</v>
      </c>
      <c r="X593" s="27">
        <f>'Filter-new'!J670</f>
        <v>0</v>
      </c>
      <c r="Y593" s="27"/>
      <c r="Z593" s="27"/>
      <c r="AA593" s="45">
        <f>'Filter-old'!F670</f>
        <v>0</v>
      </c>
      <c r="AB593" s="27">
        <f>'Filter-new'!F670</f>
        <v>0</v>
      </c>
      <c r="AC593" s="27"/>
      <c r="AD593" s="27"/>
      <c r="AE593" s="45">
        <f>'Filter-old'!P670</f>
        <v>0</v>
      </c>
      <c r="AF593" s="27">
        <f>'Filter-new'!P670</f>
        <v>0</v>
      </c>
      <c r="AG593" s="27"/>
      <c r="AH593" s="27"/>
      <c r="AI593" s="45">
        <f>'Filter-old'!L670</f>
        <v>0</v>
      </c>
      <c r="AJ593" s="27">
        <f>'Filter-new'!L670</f>
        <v>0</v>
      </c>
      <c r="AK593" s="27"/>
      <c r="AL593" s="27"/>
      <c r="AM593" s="27"/>
      <c r="AN593" s="27"/>
      <c r="AO593" s="45">
        <f>'Filter-old'!G670</f>
        <v>0</v>
      </c>
      <c r="AP593" s="27">
        <f>'Filter-new'!G670</f>
        <v>0</v>
      </c>
      <c r="AQ593" s="27"/>
      <c r="AR593" s="27"/>
      <c r="AS593" s="45"/>
      <c r="AT593" s="27"/>
      <c r="AU593" s="27"/>
      <c r="AV593" s="27"/>
      <c r="AW593" s="45">
        <f>'Filter-old'!I670</f>
        <v>0</v>
      </c>
      <c r="AX593" s="27">
        <f>'Filter-new'!I670</f>
        <v>0</v>
      </c>
      <c r="AY593" s="27"/>
      <c r="AZ593" s="27"/>
      <c r="BA593" s="27"/>
      <c r="BB593" s="27"/>
      <c r="BC593" s="45">
        <f>'Filter-old'!K670</f>
        <v>0</v>
      </c>
      <c r="BD593" s="27">
        <f>'Filter-new'!K670</f>
        <v>0</v>
      </c>
      <c r="BE593" s="27"/>
      <c r="BF593" s="27"/>
      <c r="BG593" s="45">
        <f>'Filter-old'!M670</f>
        <v>0</v>
      </c>
      <c r="BH593" s="61"/>
      <c r="BI593" s="61"/>
      <c r="BJ593" s="27">
        <f>'Filter-new'!M670</f>
        <v>0</v>
      </c>
      <c r="BK593" s="27"/>
      <c r="BL593" s="27"/>
      <c r="BM593" s="27"/>
      <c r="BN593" s="423"/>
      <c r="BO593" s="27"/>
      <c r="BP593" s="27"/>
      <c r="BQ593" s="45">
        <f>'Filter-old'!O670</f>
        <v>0</v>
      </c>
      <c r="BR593" s="27">
        <f>'Filter-new'!O670</f>
        <v>0</v>
      </c>
      <c r="BS593" s="27"/>
      <c r="BT593" s="27"/>
      <c r="BU593" s="45">
        <f>'Filter-old'!Q670</f>
        <v>0</v>
      </c>
      <c r="BV593" s="27">
        <f>'Filter-new'!Q670</f>
        <v>0</v>
      </c>
      <c r="BW593" s="27"/>
      <c r="BX593" s="27"/>
      <c r="BY593" s="27"/>
      <c r="BZ593" s="27"/>
      <c r="CA593" s="45">
        <f>'Filter-old'!R670</f>
        <v>0</v>
      </c>
      <c r="CB593" s="27">
        <f>'Filter-new'!R670</f>
        <v>0</v>
      </c>
      <c r="CC593" s="4"/>
      <c r="CD593" s="4"/>
      <c r="CE593" s="4"/>
      <c r="CF593" s="4"/>
      <c r="CG593" s="4"/>
    </row>
    <row r="594" spans="1:85" hidden="1" x14ac:dyDescent="0.2">
      <c r="A594">
        <v>0</v>
      </c>
      <c r="B594" s="29">
        <v>38261</v>
      </c>
      <c r="C594" s="29">
        <f>C176</f>
        <v>38261</v>
      </c>
      <c r="D594" s="29"/>
      <c r="E594" s="29"/>
      <c r="F594" s="29"/>
      <c r="G594" s="36">
        <f t="shared" si="80"/>
        <v>173.42401960784315</v>
      </c>
      <c r="H594" s="36">
        <f t="shared" si="81"/>
        <v>162.8235294117647</v>
      </c>
      <c r="I594" s="36"/>
      <c r="J594" s="41"/>
      <c r="K594" s="45">
        <f>'Filter-old'!E671</f>
        <v>173.42401960784315</v>
      </c>
      <c r="L594" s="27">
        <f>'Filter-new'!E671</f>
        <v>162.8235294117647</v>
      </c>
      <c r="M594" s="27"/>
      <c r="N594" s="27"/>
      <c r="O594" s="442"/>
      <c r="P594" s="27"/>
      <c r="Q594" s="45">
        <f>'Filter-old'!H671</f>
        <v>0</v>
      </c>
      <c r="R594" s="27">
        <f>'Filter-new'!H671</f>
        <v>0</v>
      </c>
      <c r="S594" s="27"/>
      <c r="T594" s="27"/>
      <c r="U594" s="459"/>
      <c r="V594" s="27"/>
      <c r="W594" s="45">
        <f>'Filter-old'!J671</f>
        <v>0</v>
      </c>
      <c r="X594" s="27">
        <f>'Filter-new'!J671</f>
        <v>0</v>
      </c>
      <c r="Y594" s="27"/>
      <c r="Z594" s="27"/>
      <c r="AA594" s="45">
        <f>'Filter-old'!F671</f>
        <v>0</v>
      </c>
      <c r="AB594" s="27">
        <f>'Filter-new'!F671</f>
        <v>0</v>
      </c>
      <c r="AC594" s="27"/>
      <c r="AD594" s="27"/>
      <c r="AE594" s="45">
        <f>'Filter-old'!P671</f>
        <v>0</v>
      </c>
      <c r="AF594" s="27">
        <f>'Filter-new'!P671</f>
        <v>0</v>
      </c>
      <c r="AG594" s="27"/>
      <c r="AH594" s="27"/>
      <c r="AI594" s="45">
        <f>'Filter-old'!L671</f>
        <v>0</v>
      </c>
      <c r="AJ594" s="27">
        <f>'Filter-new'!L671</f>
        <v>0</v>
      </c>
      <c r="AK594" s="27"/>
      <c r="AL594" s="27"/>
      <c r="AM594" s="27"/>
      <c r="AN594" s="27"/>
      <c r="AO594" s="45">
        <f>'Filter-old'!G671</f>
        <v>0</v>
      </c>
      <c r="AP594" s="27">
        <f>'Filter-new'!G671</f>
        <v>0</v>
      </c>
      <c r="AQ594" s="27"/>
      <c r="AR594" s="27"/>
      <c r="AS594" s="45"/>
      <c r="AT594" s="27"/>
      <c r="AU594" s="27"/>
      <c r="AV594" s="27"/>
      <c r="AW594" s="45">
        <f>'Filter-old'!I671</f>
        <v>0</v>
      </c>
      <c r="AX594" s="27">
        <f>'Filter-new'!I671</f>
        <v>0</v>
      </c>
      <c r="AY594" s="27"/>
      <c r="AZ594" s="27"/>
      <c r="BA594" s="27"/>
      <c r="BB594" s="27"/>
      <c r="BC594" s="45">
        <f>'Filter-old'!K671</f>
        <v>0</v>
      </c>
      <c r="BD594" s="27">
        <f>'Filter-new'!K671</f>
        <v>0</v>
      </c>
      <c r="BE594" s="27"/>
      <c r="BF594" s="27"/>
      <c r="BG594" s="45">
        <f>'Filter-old'!M671</f>
        <v>0</v>
      </c>
      <c r="BH594" s="61"/>
      <c r="BI594" s="61"/>
      <c r="BJ594" s="27">
        <f>'Filter-new'!M671</f>
        <v>0</v>
      </c>
      <c r="BK594" s="27"/>
      <c r="BL594" s="27"/>
      <c r="BM594" s="27"/>
      <c r="BN594" s="423"/>
      <c r="BO594" s="27"/>
      <c r="BP594" s="27"/>
      <c r="BQ594" s="45">
        <f>'Filter-old'!O671</f>
        <v>0</v>
      </c>
      <c r="BR594" s="27">
        <f>'Filter-new'!O671</f>
        <v>0</v>
      </c>
      <c r="BS594" s="27"/>
      <c r="BT594" s="27"/>
      <c r="BU594" s="45">
        <f>'Filter-old'!Q671</f>
        <v>0</v>
      </c>
      <c r="BV594" s="27">
        <f>'Filter-new'!Q671</f>
        <v>0</v>
      </c>
      <c r="BW594" s="27"/>
      <c r="BX594" s="27"/>
      <c r="BY594" s="27"/>
      <c r="BZ594" s="27"/>
      <c r="CA594" s="45">
        <f>'Filter-old'!R671</f>
        <v>0</v>
      </c>
      <c r="CB594" s="27">
        <f>'Filter-new'!R671</f>
        <v>0</v>
      </c>
      <c r="CC594" s="4"/>
      <c r="CD594" s="4"/>
      <c r="CE594" s="4"/>
      <c r="CF594" s="4"/>
      <c r="CG594" s="4"/>
    </row>
    <row r="595" spans="1:85" hidden="1" x14ac:dyDescent="0.2">
      <c r="A595">
        <v>0</v>
      </c>
      <c r="B595" s="29">
        <v>38292</v>
      </c>
      <c r="C595" s="29">
        <f>C177</f>
        <v>38292</v>
      </c>
      <c r="D595" s="29"/>
      <c r="E595" s="29"/>
      <c r="F595" s="29"/>
      <c r="G595" s="36">
        <f t="shared" si="80"/>
        <v>173</v>
      </c>
      <c r="H595" s="36">
        <f t="shared" si="81"/>
        <v>183.8125</v>
      </c>
      <c r="I595" s="36"/>
      <c r="J595" s="41"/>
      <c r="K595" s="45">
        <f>'Filter-old'!E672</f>
        <v>173</v>
      </c>
      <c r="L595" s="27">
        <f>'Filter-new'!E672</f>
        <v>183.8125</v>
      </c>
      <c r="M595" s="27"/>
      <c r="N595" s="27"/>
      <c r="O595" s="442"/>
      <c r="P595" s="27"/>
      <c r="Q595" s="45">
        <f>'Filter-old'!H672</f>
        <v>0</v>
      </c>
      <c r="R595" s="27">
        <f>'Filter-new'!H672</f>
        <v>0</v>
      </c>
      <c r="S595" s="27"/>
      <c r="T595" s="27"/>
      <c r="U595" s="459"/>
      <c r="V595" s="27"/>
      <c r="W595" s="45">
        <f>'Filter-old'!J672</f>
        <v>0</v>
      </c>
      <c r="X595" s="27">
        <f>'Filter-new'!J672</f>
        <v>0</v>
      </c>
      <c r="Y595" s="27"/>
      <c r="Z595" s="27"/>
      <c r="AA595" s="45">
        <f>'Filter-old'!F672</f>
        <v>0</v>
      </c>
      <c r="AB595" s="27">
        <f>'Filter-new'!F672</f>
        <v>0</v>
      </c>
      <c r="AC595" s="27"/>
      <c r="AD595" s="27"/>
      <c r="AE595" s="45">
        <f>'Filter-old'!P672</f>
        <v>0</v>
      </c>
      <c r="AF595" s="27">
        <f>'Filter-new'!P672</f>
        <v>0</v>
      </c>
      <c r="AG595" s="27"/>
      <c r="AH595" s="27"/>
      <c r="AI595" s="45">
        <f>'Filter-old'!L672</f>
        <v>0</v>
      </c>
      <c r="AJ595" s="27">
        <f>'Filter-new'!L672</f>
        <v>0</v>
      </c>
      <c r="AK595" s="27"/>
      <c r="AL595" s="27"/>
      <c r="AM595" s="27"/>
      <c r="AN595" s="27"/>
      <c r="AO595" s="45">
        <f>'Filter-old'!G672</f>
        <v>0</v>
      </c>
      <c r="AP595" s="27">
        <f>'Filter-new'!G672</f>
        <v>0</v>
      </c>
      <c r="AQ595" s="27"/>
      <c r="AR595" s="27"/>
      <c r="AS595" s="45"/>
      <c r="AT595" s="27"/>
      <c r="AU595" s="27"/>
      <c r="AV595" s="27"/>
      <c r="AW595" s="45">
        <f>'Filter-old'!I672</f>
        <v>0</v>
      </c>
      <c r="AX595" s="27">
        <f>'Filter-new'!I672</f>
        <v>0</v>
      </c>
      <c r="AY595" s="27"/>
      <c r="AZ595" s="27"/>
      <c r="BA595" s="27"/>
      <c r="BB595" s="27"/>
      <c r="BC595" s="45">
        <f>'Filter-old'!K672</f>
        <v>0</v>
      </c>
      <c r="BD595" s="27">
        <f>'Filter-new'!K672</f>
        <v>0</v>
      </c>
      <c r="BE595" s="27"/>
      <c r="BF595" s="27"/>
      <c r="BG595" s="45">
        <f>'Filter-old'!M672</f>
        <v>0</v>
      </c>
      <c r="BH595" s="61"/>
      <c r="BI595" s="61"/>
      <c r="BJ595" s="27">
        <f>'Filter-new'!M672</f>
        <v>0</v>
      </c>
      <c r="BK595" s="27"/>
      <c r="BL595" s="27"/>
      <c r="BM595" s="27"/>
      <c r="BN595" s="423"/>
      <c r="BO595" s="27"/>
      <c r="BP595" s="27"/>
      <c r="BQ595" s="45">
        <f>'Filter-old'!O672</f>
        <v>0</v>
      </c>
      <c r="BR595" s="27">
        <f>'Filter-new'!O672</f>
        <v>0</v>
      </c>
      <c r="BS595" s="27"/>
      <c r="BT595" s="27"/>
      <c r="BU595" s="45">
        <f>'Filter-old'!Q672</f>
        <v>0</v>
      </c>
      <c r="BV595" s="27">
        <f>'Filter-new'!Q672</f>
        <v>0</v>
      </c>
      <c r="BW595" s="27"/>
      <c r="BX595" s="27"/>
      <c r="BY595" s="27"/>
      <c r="BZ595" s="27"/>
      <c r="CA595" s="45">
        <f>'Filter-old'!R672</f>
        <v>0</v>
      </c>
      <c r="CB595" s="27">
        <f>'Filter-new'!R672</f>
        <v>0</v>
      </c>
      <c r="CC595" s="4"/>
      <c r="CD595" s="4"/>
      <c r="CE595" s="4"/>
      <c r="CF595" s="4"/>
      <c r="CG595" s="4"/>
    </row>
    <row r="596" spans="1:85" hidden="1" x14ac:dyDescent="0.2">
      <c r="A596">
        <v>0</v>
      </c>
      <c r="B596" s="29">
        <v>38322</v>
      </c>
      <c r="C596" s="29">
        <f>C178</f>
        <v>38322</v>
      </c>
      <c r="D596" s="29"/>
      <c r="E596" s="29"/>
      <c r="F596" s="29"/>
      <c r="G596" s="36">
        <f t="shared" si="80"/>
        <v>173</v>
      </c>
      <c r="H596" s="36">
        <f t="shared" si="81"/>
        <v>-2</v>
      </c>
      <c r="I596" s="36"/>
      <c r="J596" s="41"/>
      <c r="K596" s="45">
        <f>'Filter-old'!E673</f>
        <v>173</v>
      </c>
      <c r="L596" s="27">
        <f>'Filter-new'!E673</f>
        <v>73</v>
      </c>
      <c r="M596" s="27"/>
      <c r="N596" s="27"/>
      <c r="O596" s="442"/>
      <c r="P596" s="27"/>
      <c r="Q596" s="45">
        <f>'Filter-old'!H673</f>
        <v>0</v>
      </c>
      <c r="R596" s="27">
        <f>'Filter-new'!H673</f>
        <v>-75</v>
      </c>
      <c r="S596" s="27"/>
      <c r="T596" s="27"/>
      <c r="U596" s="459"/>
      <c r="V596" s="27"/>
      <c r="W596" s="45">
        <f>'Filter-old'!J673</f>
        <v>0</v>
      </c>
      <c r="X596" s="27">
        <f>'Filter-new'!J673</f>
        <v>0</v>
      </c>
      <c r="Y596" s="27"/>
      <c r="Z596" s="27"/>
      <c r="AA596" s="45">
        <f>'Filter-old'!F673</f>
        <v>0</v>
      </c>
      <c r="AB596" s="27">
        <f>'Filter-new'!F673</f>
        <v>0</v>
      </c>
      <c r="AC596" s="27"/>
      <c r="AD596" s="27"/>
      <c r="AE596" s="45">
        <f>'Filter-old'!P673</f>
        <v>0</v>
      </c>
      <c r="AF596" s="27">
        <f>'Filter-new'!P673</f>
        <v>0</v>
      </c>
      <c r="AG596" s="27"/>
      <c r="AH596" s="27"/>
      <c r="AI596" s="45">
        <f>'Filter-old'!L673</f>
        <v>0</v>
      </c>
      <c r="AJ596" s="27">
        <f>'Filter-new'!L673</f>
        <v>0</v>
      </c>
      <c r="AK596" s="27"/>
      <c r="AL596" s="27"/>
      <c r="AM596" s="27"/>
      <c r="AN596" s="27"/>
      <c r="AO596" s="45">
        <f>'Filter-old'!G673</f>
        <v>0</v>
      </c>
      <c r="AP596" s="27">
        <f>'Filter-new'!G673</f>
        <v>0</v>
      </c>
      <c r="AQ596" s="27"/>
      <c r="AR596" s="27"/>
      <c r="AS596" s="45"/>
      <c r="AT596" s="27"/>
      <c r="AU596" s="27"/>
      <c r="AV596" s="27"/>
      <c r="AW596" s="45">
        <f>'Filter-old'!I673</f>
        <v>0</v>
      </c>
      <c r="AX596" s="27">
        <f>'Filter-new'!I673</f>
        <v>0</v>
      </c>
      <c r="AY596" s="27"/>
      <c r="AZ596" s="27"/>
      <c r="BA596" s="27"/>
      <c r="BB596" s="27"/>
      <c r="BC596" s="45">
        <f>'Filter-old'!K673</f>
        <v>0</v>
      </c>
      <c r="BD596" s="27">
        <f>'Filter-new'!K673</f>
        <v>0</v>
      </c>
      <c r="BE596" s="27"/>
      <c r="BF596" s="27"/>
      <c r="BG596" s="45">
        <f>'Filter-old'!M673</f>
        <v>0</v>
      </c>
      <c r="BH596" s="61"/>
      <c r="BI596" s="61"/>
      <c r="BJ596" s="27">
        <f>'Filter-new'!M673</f>
        <v>0</v>
      </c>
      <c r="BK596" s="27"/>
      <c r="BL596" s="27"/>
      <c r="BM596" s="27"/>
      <c r="BN596" s="423"/>
      <c r="BO596" s="27"/>
      <c r="BP596" s="27"/>
      <c r="BQ596" s="45">
        <f>'Filter-old'!O673</f>
        <v>0</v>
      </c>
      <c r="BR596" s="27">
        <f>'Filter-new'!O673</f>
        <v>0</v>
      </c>
      <c r="BS596" s="27"/>
      <c r="BT596" s="27"/>
      <c r="BU596" s="45">
        <f>'Filter-old'!Q673</f>
        <v>0</v>
      </c>
      <c r="BV596" s="27">
        <f>'Filter-new'!Q673</f>
        <v>0</v>
      </c>
      <c r="BW596" s="27"/>
      <c r="BX596" s="27"/>
      <c r="BY596" s="27"/>
      <c r="BZ596" s="27"/>
      <c r="CA596" s="45">
        <f>'Filter-old'!R673</f>
        <v>0</v>
      </c>
      <c r="CB596" s="27">
        <f>'Filter-new'!R673</f>
        <v>0</v>
      </c>
      <c r="CC596" s="4"/>
      <c r="CD596" s="4"/>
      <c r="CE596" s="4"/>
      <c r="CF596" s="4"/>
      <c r="CG596" s="4"/>
    </row>
    <row r="597" spans="1:85" hidden="1" x14ac:dyDescent="0.2">
      <c r="A597">
        <v>0</v>
      </c>
      <c r="B597" s="29">
        <v>38353</v>
      </c>
      <c r="C597" s="29">
        <f>C181</f>
        <v>38353</v>
      </c>
      <c r="D597" s="29"/>
      <c r="E597" s="29"/>
      <c r="F597" s="29"/>
      <c r="G597" s="36">
        <f t="shared" si="80"/>
        <v>-2</v>
      </c>
      <c r="H597" s="36">
        <f t="shared" si="81"/>
        <v>0</v>
      </c>
      <c r="I597" s="36"/>
      <c r="J597" s="41"/>
      <c r="K597" s="45">
        <f>'Filter-old'!E674</f>
        <v>73</v>
      </c>
      <c r="L597" s="27">
        <f>'Filter-new'!E674</f>
        <v>62.980392156862742</v>
      </c>
      <c r="M597" s="27"/>
      <c r="N597" s="27"/>
      <c r="O597" s="442"/>
      <c r="P597" s="27"/>
      <c r="Q597" s="45">
        <f>'Filter-old'!H674</f>
        <v>-75</v>
      </c>
      <c r="R597" s="27">
        <f>'Filter-new'!H674</f>
        <v>-62.980392156862742</v>
      </c>
      <c r="S597" s="27"/>
      <c r="T597" s="27"/>
      <c r="U597" s="459"/>
      <c r="V597" s="27"/>
      <c r="W597" s="45">
        <f>'Filter-old'!J674</f>
        <v>0</v>
      </c>
      <c r="X597" s="27">
        <f>'Filter-new'!J674</f>
        <v>0</v>
      </c>
      <c r="Y597" s="27"/>
      <c r="Z597" s="27"/>
      <c r="AA597" s="45">
        <f>'Filter-old'!F674</f>
        <v>0</v>
      </c>
      <c r="AB597" s="27">
        <f>'Filter-new'!F674</f>
        <v>0</v>
      </c>
      <c r="AC597" s="27"/>
      <c r="AD597" s="27"/>
      <c r="AE597" s="45">
        <f>'Filter-old'!P674</f>
        <v>0</v>
      </c>
      <c r="AF597" s="27">
        <f>'Filter-new'!P674</f>
        <v>0</v>
      </c>
      <c r="AG597" s="27"/>
      <c r="AH597" s="27"/>
      <c r="AI597" s="45">
        <f>'Filter-old'!L674</f>
        <v>0</v>
      </c>
      <c r="AJ597" s="27">
        <f>'Filter-new'!L674</f>
        <v>0</v>
      </c>
      <c r="AK597" s="27"/>
      <c r="AL597" s="27"/>
      <c r="AM597" s="27"/>
      <c r="AN597" s="27"/>
      <c r="AO597" s="45">
        <f>'Filter-old'!G674</f>
        <v>0</v>
      </c>
      <c r="AP597" s="27">
        <f>'Filter-new'!G674</f>
        <v>0</v>
      </c>
      <c r="AQ597" s="27"/>
      <c r="AR597" s="27"/>
      <c r="AS597" s="45"/>
      <c r="AT597" s="27"/>
      <c r="AU597" s="27"/>
      <c r="AV597" s="27"/>
      <c r="AW597" s="45">
        <f>'Filter-old'!I674</f>
        <v>0</v>
      </c>
      <c r="AX597" s="27">
        <f>'Filter-new'!I674</f>
        <v>0</v>
      </c>
      <c r="AY597" s="27"/>
      <c r="AZ597" s="27"/>
      <c r="BA597" s="27"/>
      <c r="BB597" s="27"/>
      <c r="BC597" s="45">
        <f>'Filter-old'!K674</f>
        <v>0</v>
      </c>
      <c r="BD597" s="27">
        <f>'Filter-new'!K674</f>
        <v>0</v>
      </c>
      <c r="BE597" s="27"/>
      <c r="BF597" s="27"/>
      <c r="BG597" s="45">
        <f>'Filter-old'!M674</f>
        <v>0</v>
      </c>
      <c r="BH597" s="61"/>
      <c r="BI597" s="61"/>
      <c r="BJ597" s="27">
        <f>'Filter-new'!M674</f>
        <v>0</v>
      </c>
      <c r="BK597" s="27"/>
      <c r="BL597" s="27"/>
      <c r="BM597" s="27"/>
      <c r="BN597" s="423"/>
      <c r="BO597" s="27"/>
      <c r="BP597" s="27"/>
      <c r="BQ597" s="45">
        <f>'Filter-old'!O674</f>
        <v>0</v>
      </c>
      <c r="BR597" s="27">
        <f>'Filter-new'!O674</f>
        <v>0</v>
      </c>
      <c r="BS597" s="27"/>
      <c r="BT597" s="27"/>
      <c r="BU597" s="45">
        <f>'Filter-old'!Q674</f>
        <v>0</v>
      </c>
      <c r="BV597" s="27">
        <f>'Filter-new'!Q674</f>
        <v>0</v>
      </c>
      <c r="BW597" s="27"/>
      <c r="BX597" s="27"/>
      <c r="BY597" s="27"/>
      <c r="BZ597" s="27"/>
      <c r="CA597" s="45">
        <f>'Filter-old'!R674</f>
        <v>0</v>
      </c>
      <c r="CB597" s="27">
        <f>'Filter-new'!R674</f>
        <v>0</v>
      </c>
      <c r="CC597" s="4"/>
      <c r="CD597" s="4"/>
      <c r="CE597" s="4"/>
      <c r="CF597" s="4"/>
      <c r="CG597" s="4"/>
    </row>
    <row r="598" spans="1:85" hidden="1" x14ac:dyDescent="0.2">
      <c r="A598">
        <v>0</v>
      </c>
      <c r="B598" s="29">
        <v>38384</v>
      </c>
      <c r="C598" s="29">
        <f>C182</f>
        <v>38384</v>
      </c>
      <c r="D598" s="29"/>
      <c r="E598" s="29"/>
      <c r="F598" s="29"/>
      <c r="G598" s="36">
        <f t="shared" si="80"/>
        <v>0</v>
      </c>
      <c r="H598" s="36">
        <f t="shared" si="81"/>
        <v>-2.136363636363626</v>
      </c>
      <c r="I598" s="36"/>
      <c r="J598" s="41"/>
      <c r="K598" s="45">
        <f>'Filter-old'!E675</f>
        <v>73</v>
      </c>
      <c r="L598" s="27">
        <f>'Filter-new'!E675</f>
        <v>77.977272727272734</v>
      </c>
      <c r="M598" s="27"/>
      <c r="N598" s="27"/>
      <c r="O598" s="442"/>
      <c r="P598" s="27"/>
      <c r="Q598" s="45">
        <f>'Filter-old'!H675</f>
        <v>-73</v>
      </c>
      <c r="R598" s="27">
        <f>'Filter-new'!H675</f>
        <v>-80.11363636363636</v>
      </c>
      <c r="S598" s="27"/>
      <c r="T598" s="27"/>
      <c r="U598" s="459"/>
      <c r="V598" s="27"/>
      <c r="W598" s="45">
        <f>'Filter-old'!J675</f>
        <v>0</v>
      </c>
      <c r="X598" s="27">
        <f>'Filter-new'!J675</f>
        <v>0</v>
      </c>
      <c r="Y598" s="27"/>
      <c r="Z598" s="27"/>
      <c r="AA598" s="45">
        <f>'Filter-old'!F675</f>
        <v>0</v>
      </c>
      <c r="AB598" s="27">
        <f>'Filter-new'!F675</f>
        <v>0</v>
      </c>
      <c r="AC598" s="27"/>
      <c r="AD598" s="27"/>
      <c r="AE598" s="45">
        <f>'Filter-old'!P675</f>
        <v>0</v>
      </c>
      <c r="AF598" s="27">
        <f>'Filter-new'!P675</f>
        <v>0</v>
      </c>
      <c r="AG598" s="27"/>
      <c r="AH598" s="27"/>
      <c r="AI598" s="45">
        <f>'Filter-old'!L675</f>
        <v>0</v>
      </c>
      <c r="AJ598" s="27">
        <f>'Filter-new'!L675</f>
        <v>0</v>
      </c>
      <c r="AK598" s="27"/>
      <c r="AL598" s="27"/>
      <c r="AM598" s="27"/>
      <c r="AN598" s="27"/>
      <c r="AO598" s="45">
        <f>'Filter-old'!G675</f>
        <v>0</v>
      </c>
      <c r="AP598" s="27">
        <f>'Filter-new'!G675</f>
        <v>0</v>
      </c>
      <c r="AQ598" s="27"/>
      <c r="AR598" s="27"/>
      <c r="AS598" s="45"/>
      <c r="AT598" s="27"/>
      <c r="AU598" s="27"/>
      <c r="AV598" s="27"/>
      <c r="AW598" s="45">
        <f>'Filter-old'!I675</f>
        <v>0</v>
      </c>
      <c r="AX598" s="27">
        <f>'Filter-new'!I675</f>
        <v>0</v>
      </c>
      <c r="AY598" s="27"/>
      <c r="AZ598" s="27"/>
      <c r="BA598" s="27"/>
      <c r="BB598" s="27"/>
      <c r="BC598" s="45">
        <f>'Filter-old'!K675</f>
        <v>0</v>
      </c>
      <c r="BD598" s="27">
        <f>'Filter-new'!K675</f>
        <v>0</v>
      </c>
      <c r="BE598" s="27"/>
      <c r="BF598" s="27"/>
      <c r="BG598" s="45">
        <f>'Filter-old'!M675</f>
        <v>0</v>
      </c>
      <c r="BH598" s="61"/>
      <c r="BI598" s="61"/>
      <c r="BJ598" s="27">
        <f>'Filter-new'!M675</f>
        <v>0</v>
      </c>
      <c r="BK598" s="27"/>
      <c r="BL598" s="27"/>
      <c r="BM598" s="27"/>
      <c r="BN598" s="423"/>
      <c r="BO598" s="27"/>
      <c r="BP598" s="27"/>
      <c r="BQ598" s="45">
        <f>'Filter-old'!O675</f>
        <v>0</v>
      </c>
      <c r="BR598" s="27">
        <f>'Filter-new'!O675</f>
        <v>0</v>
      </c>
      <c r="BS598" s="27"/>
      <c r="BT598" s="27"/>
      <c r="BU598" s="45">
        <f>'Filter-old'!Q675</f>
        <v>0</v>
      </c>
      <c r="BV598" s="27">
        <f>'Filter-new'!Q675</f>
        <v>0</v>
      </c>
      <c r="BW598" s="27"/>
      <c r="BX598" s="27"/>
      <c r="BY598" s="27"/>
      <c r="BZ598" s="27"/>
      <c r="CA598" s="45">
        <f>'Filter-old'!R675</f>
        <v>0</v>
      </c>
      <c r="CB598" s="27">
        <f>'Filter-new'!R675</f>
        <v>0</v>
      </c>
      <c r="CC598" s="4"/>
      <c r="CD598" s="4"/>
      <c r="CE598" s="4"/>
      <c r="CF598" s="4"/>
      <c r="CG598" s="4"/>
    </row>
    <row r="599" spans="1:85" hidden="1" x14ac:dyDescent="0.2">
      <c r="A599">
        <v>0</v>
      </c>
      <c r="B599" s="29">
        <v>38412</v>
      </c>
      <c r="C599" s="29">
        <f>C184</f>
        <v>38412</v>
      </c>
      <c r="D599" s="29"/>
      <c r="E599" s="29"/>
      <c r="F599" s="29"/>
      <c r="G599" s="36">
        <f t="shared" si="80"/>
        <v>-2</v>
      </c>
      <c r="H599" s="36">
        <f t="shared" si="81"/>
        <v>-1.125</v>
      </c>
      <c r="I599" s="36"/>
      <c r="J599" s="41"/>
      <c r="K599" s="45">
        <f>'Filter-old'!E676</f>
        <v>73</v>
      </c>
      <c r="L599" s="27">
        <f>'Filter-new'!E676</f>
        <v>77.465425531914889</v>
      </c>
      <c r="M599" s="27"/>
      <c r="N599" s="27"/>
      <c r="O599" s="442"/>
      <c r="P599" s="27"/>
      <c r="Q599" s="45">
        <f>'Filter-old'!H676</f>
        <v>-75</v>
      </c>
      <c r="R599" s="27">
        <f>'Filter-new'!H676</f>
        <v>-78.590425531914889</v>
      </c>
      <c r="S599" s="27"/>
      <c r="T599" s="27"/>
      <c r="U599" s="459"/>
      <c r="V599" s="27"/>
      <c r="W599" s="45">
        <f>'Filter-old'!J676</f>
        <v>0</v>
      </c>
      <c r="X599" s="27">
        <f>'Filter-new'!J676</f>
        <v>0</v>
      </c>
      <c r="Y599" s="27"/>
      <c r="Z599" s="27"/>
      <c r="AA599" s="45">
        <f>'Filter-old'!F676</f>
        <v>0</v>
      </c>
      <c r="AB599" s="27">
        <f>'Filter-new'!F676</f>
        <v>0</v>
      </c>
      <c r="AC599" s="27"/>
      <c r="AD599" s="27"/>
      <c r="AE599" s="45">
        <f>'Filter-old'!P676</f>
        <v>0</v>
      </c>
      <c r="AF599" s="27">
        <f>'Filter-new'!P676</f>
        <v>0</v>
      </c>
      <c r="AG599" s="27"/>
      <c r="AH599" s="27"/>
      <c r="AI599" s="45">
        <f>'Filter-old'!L676</f>
        <v>0</v>
      </c>
      <c r="AJ599" s="27">
        <f>'Filter-new'!L676</f>
        <v>0</v>
      </c>
      <c r="AK599" s="27"/>
      <c r="AL599" s="27"/>
      <c r="AM599" s="27"/>
      <c r="AN599" s="27"/>
      <c r="AO599" s="45">
        <f>'Filter-old'!G676</f>
        <v>0</v>
      </c>
      <c r="AP599" s="27">
        <f>'Filter-new'!G676</f>
        <v>0</v>
      </c>
      <c r="AQ599" s="27"/>
      <c r="AR599" s="27"/>
      <c r="AS599" s="45"/>
      <c r="AT599" s="27"/>
      <c r="AU599" s="27"/>
      <c r="AV599" s="27"/>
      <c r="AW599" s="45">
        <f>'Filter-old'!I676</f>
        <v>0</v>
      </c>
      <c r="AX599" s="27">
        <f>'Filter-new'!I676</f>
        <v>0</v>
      </c>
      <c r="AY599" s="27"/>
      <c r="AZ599" s="27"/>
      <c r="BA599" s="27"/>
      <c r="BB599" s="27"/>
      <c r="BC599" s="45">
        <f>'Filter-old'!K676</f>
        <v>0</v>
      </c>
      <c r="BD599" s="27">
        <f>'Filter-new'!K676</f>
        <v>0</v>
      </c>
      <c r="BE599" s="27"/>
      <c r="BF599" s="27"/>
      <c r="BG599" s="45">
        <f>'Filter-old'!M676</f>
        <v>0</v>
      </c>
      <c r="BH599" s="61"/>
      <c r="BI599" s="61"/>
      <c r="BJ599" s="27">
        <f>'Filter-new'!M676</f>
        <v>0</v>
      </c>
      <c r="BK599" s="27"/>
      <c r="BL599" s="27"/>
      <c r="BM599" s="27"/>
      <c r="BN599" s="423"/>
      <c r="BO599" s="27"/>
      <c r="BP599" s="27"/>
      <c r="BQ599" s="45">
        <f>'Filter-old'!O676</f>
        <v>0</v>
      </c>
      <c r="BR599" s="27">
        <f>'Filter-new'!O676</f>
        <v>0</v>
      </c>
      <c r="BS599" s="27"/>
      <c r="BT599" s="27"/>
      <c r="BU599" s="45">
        <f>'Filter-old'!Q676</f>
        <v>0</v>
      </c>
      <c r="BV599" s="27">
        <f>'Filter-new'!Q676</f>
        <v>0</v>
      </c>
      <c r="BW599" s="27"/>
      <c r="BX599" s="27"/>
      <c r="BY599" s="27"/>
      <c r="BZ599" s="27"/>
      <c r="CA599" s="45">
        <f>'Filter-old'!R676</f>
        <v>0</v>
      </c>
      <c r="CB599" s="27">
        <f>'Filter-new'!R676</f>
        <v>0</v>
      </c>
      <c r="CC599" s="4"/>
      <c r="CD599" s="4"/>
      <c r="CE599" s="4"/>
      <c r="CF599" s="4"/>
      <c r="CG599" s="4"/>
    </row>
    <row r="600" spans="1:85" hidden="1" x14ac:dyDescent="0.2">
      <c r="A600">
        <v>0</v>
      </c>
      <c r="B600" s="29">
        <v>38443</v>
      </c>
      <c r="C600" s="29">
        <f>C185</f>
        <v>38443</v>
      </c>
      <c r="D600" s="29"/>
      <c r="E600" s="29"/>
      <c r="F600" s="29"/>
      <c r="G600" s="36">
        <f t="shared" si="80"/>
        <v>-1.0575000000000045</v>
      </c>
      <c r="H600" s="36">
        <f t="shared" si="81"/>
        <v>7.8400000000000034</v>
      </c>
      <c r="I600" s="36"/>
      <c r="J600" s="41"/>
      <c r="K600" s="45">
        <f>'Filter-old'!E677</f>
        <v>72.817499999999995</v>
      </c>
      <c r="L600" s="27">
        <f>'Filter-new'!E677</f>
        <v>71.540000000000006</v>
      </c>
      <c r="M600" s="27"/>
      <c r="N600" s="27"/>
      <c r="O600" s="442"/>
      <c r="P600" s="27"/>
      <c r="Q600" s="45">
        <f>'Filter-old'!H677</f>
        <v>-73.875</v>
      </c>
      <c r="R600" s="27">
        <f>'Filter-new'!H677</f>
        <v>-63.7</v>
      </c>
      <c r="S600" s="27"/>
      <c r="T600" s="27"/>
      <c r="U600" s="459"/>
      <c r="V600" s="27"/>
      <c r="W600" s="45">
        <f>'Filter-old'!J677</f>
        <v>0</v>
      </c>
      <c r="X600" s="27">
        <f>'Filter-new'!J677</f>
        <v>0</v>
      </c>
      <c r="Y600" s="27"/>
      <c r="Z600" s="27"/>
      <c r="AA600" s="45">
        <f>'Filter-old'!F677</f>
        <v>0</v>
      </c>
      <c r="AB600" s="27">
        <f>'Filter-new'!F677</f>
        <v>0</v>
      </c>
      <c r="AC600" s="27"/>
      <c r="AD600" s="27"/>
      <c r="AE600" s="45">
        <f>'Filter-old'!P677</f>
        <v>0</v>
      </c>
      <c r="AF600" s="27">
        <f>'Filter-new'!P677</f>
        <v>0</v>
      </c>
      <c r="AG600" s="27"/>
      <c r="AH600" s="27"/>
      <c r="AI600" s="45">
        <f>'Filter-old'!L677</f>
        <v>0</v>
      </c>
      <c r="AJ600" s="27">
        <f>'Filter-new'!L677</f>
        <v>0</v>
      </c>
      <c r="AK600" s="27"/>
      <c r="AL600" s="27"/>
      <c r="AM600" s="27"/>
      <c r="AN600" s="27"/>
      <c r="AO600" s="45">
        <f>'Filter-old'!G677</f>
        <v>0</v>
      </c>
      <c r="AP600" s="27">
        <f>'Filter-new'!G677</f>
        <v>0</v>
      </c>
      <c r="AQ600" s="27"/>
      <c r="AR600" s="27"/>
      <c r="AS600" s="45"/>
      <c r="AT600" s="27"/>
      <c r="AU600" s="27"/>
      <c r="AV600" s="27"/>
      <c r="AW600" s="45">
        <f>'Filter-old'!I677</f>
        <v>0</v>
      </c>
      <c r="AX600" s="27">
        <f>'Filter-new'!I677</f>
        <v>0</v>
      </c>
      <c r="AY600" s="27"/>
      <c r="AZ600" s="27"/>
      <c r="BA600" s="27"/>
      <c r="BB600" s="27"/>
      <c r="BC600" s="45">
        <f>'Filter-old'!K677</f>
        <v>0</v>
      </c>
      <c r="BD600" s="27">
        <f>'Filter-new'!K677</f>
        <v>0</v>
      </c>
      <c r="BE600" s="27"/>
      <c r="BF600" s="27"/>
      <c r="BG600" s="45">
        <f>'Filter-old'!M677</f>
        <v>0</v>
      </c>
      <c r="BH600" s="61"/>
      <c r="BI600" s="61"/>
      <c r="BJ600" s="27">
        <f>'Filter-new'!M677</f>
        <v>0</v>
      </c>
      <c r="BK600" s="27"/>
      <c r="BL600" s="27"/>
      <c r="BM600" s="27"/>
      <c r="BN600" s="423"/>
      <c r="BO600" s="27"/>
      <c r="BP600" s="27"/>
      <c r="BQ600" s="45">
        <f>'Filter-old'!O677</f>
        <v>0</v>
      </c>
      <c r="BR600" s="27">
        <f>'Filter-new'!O677</f>
        <v>0</v>
      </c>
      <c r="BS600" s="27"/>
      <c r="BT600" s="27"/>
      <c r="BU600" s="45">
        <f>'Filter-old'!Q677</f>
        <v>0</v>
      </c>
      <c r="BV600" s="27">
        <f>'Filter-new'!Q677</f>
        <v>0</v>
      </c>
      <c r="BW600" s="27"/>
      <c r="BX600" s="27"/>
      <c r="BY600" s="27"/>
      <c r="BZ600" s="27"/>
      <c r="CA600" s="45">
        <f>'Filter-old'!R677</f>
        <v>0</v>
      </c>
      <c r="CB600" s="27">
        <f>'Filter-new'!R677</f>
        <v>0</v>
      </c>
      <c r="CC600" s="4"/>
      <c r="CD600" s="4"/>
      <c r="CE600" s="4"/>
      <c r="CF600" s="4"/>
      <c r="CG600" s="4"/>
    </row>
    <row r="601" spans="1:85" hidden="1" x14ac:dyDescent="0.2">
      <c r="A601">
        <v>0</v>
      </c>
      <c r="B601" s="29">
        <v>38473</v>
      </c>
      <c r="C601" s="29">
        <f>C187</f>
        <v>38473</v>
      </c>
      <c r="D601" s="29"/>
      <c r="E601" s="29"/>
      <c r="F601" s="29"/>
      <c r="G601" s="36">
        <f t="shared" si="80"/>
        <v>8</v>
      </c>
      <c r="H601" s="36">
        <f t="shared" si="81"/>
        <v>10.326530612244888</v>
      </c>
      <c r="I601" s="36"/>
      <c r="J601" s="41"/>
      <c r="K601" s="45">
        <f>'Filter-old'!E678</f>
        <v>73</v>
      </c>
      <c r="L601" s="27">
        <f>'Filter-new'!E678</f>
        <v>68.530612244897952</v>
      </c>
      <c r="M601" s="27"/>
      <c r="N601" s="27"/>
      <c r="O601" s="442"/>
      <c r="P601" s="27"/>
      <c r="Q601" s="45">
        <f>'Filter-old'!H678</f>
        <v>-65</v>
      </c>
      <c r="R601" s="27">
        <f>'Filter-new'!H678</f>
        <v>-58.204081632653065</v>
      </c>
      <c r="S601" s="27"/>
      <c r="T601" s="27"/>
      <c r="U601" s="459"/>
      <c r="V601" s="27"/>
      <c r="W601" s="45">
        <f>'Filter-old'!J678</f>
        <v>0</v>
      </c>
      <c r="X601" s="27">
        <f>'Filter-new'!J678</f>
        <v>0</v>
      </c>
      <c r="Y601" s="27"/>
      <c r="Z601" s="27"/>
      <c r="AA601" s="45">
        <f>'Filter-old'!F678</f>
        <v>0</v>
      </c>
      <c r="AB601" s="27">
        <f>'Filter-new'!F678</f>
        <v>0</v>
      </c>
      <c r="AC601" s="27"/>
      <c r="AD601" s="27"/>
      <c r="AE601" s="45">
        <f>'Filter-old'!P678</f>
        <v>0</v>
      </c>
      <c r="AF601" s="27">
        <f>'Filter-new'!P678</f>
        <v>0</v>
      </c>
      <c r="AG601" s="27"/>
      <c r="AH601" s="27"/>
      <c r="AI601" s="45">
        <f>'Filter-old'!L678</f>
        <v>0</v>
      </c>
      <c r="AJ601" s="27">
        <f>'Filter-new'!L678</f>
        <v>0</v>
      </c>
      <c r="AK601" s="27"/>
      <c r="AL601" s="27"/>
      <c r="AM601" s="27"/>
      <c r="AN601" s="27"/>
      <c r="AO601" s="45">
        <f>'Filter-old'!G678</f>
        <v>0</v>
      </c>
      <c r="AP601" s="27">
        <f>'Filter-new'!G678</f>
        <v>0</v>
      </c>
      <c r="AQ601" s="27"/>
      <c r="AR601" s="27"/>
      <c r="AS601" s="45"/>
      <c r="AT601" s="27"/>
      <c r="AU601" s="27"/>
      <c r="AV601" s="27"/>
      <c r="AW601" s="45">
        <f>'Filter-old'!I678</f>
        <v>0</v>
      </c>
      <c r="AX601" s="27">
        <f>'Filter-new'!I678</f>
        <v>0</v>
      </c>
      <c r="AY601" s="27"/>
      <c r="AZ601" s="27"/>
      <c r="BA601" s="27"/>
      <c r="BB601" s="27"/>
      <c r="BC601" s="45">
        <f>'Filter-old'!K678</f>
        <v>0</v>
      </c>
      <c r="BD601" s="27">
        <f>'Filter-new'!K678</f>
        <v>0</v>
      </c>
      <c r="BE601" s="27"/>
      <c r="BF601" s="27"/>
      <c r="BG601" s="45">
        <f>'Filter-old'!M678</f>
        <v>0</v>
      </c>
      <c r="BH601" s="61"/>
      <c r="BI601" s="61"/>
      <c r="BJ601" s="27">
        <f>'Filter-new'!M678</f>
        <v>0</v>
      </c>
      <c r="BK601" s="27"/>
      <c r="BL601" s="27"/>
      <c r="BM601" s="27"/>
      <c r="BN601" s="423"/>
      <c r="BO601" s="27"/>
      <c r="BP601" s="27"/>
      <c r="BQ601" s="45">
        <f>'Filter-old'!O678</f>
        <v>0</v>
      </c>
      <c r="BR601" s="27">
        <f>'Filter-new'!O678</f>
        <v>0</v>
      </c>
      <c r="BS601" s="27"/>
      <c r="BT601" s="27"/>
      <c r="BU601" s="45">
        <f>'Filter-old'!Q678</f>
        <v>0</v>
      </c>
      <c r="BV601" s="27">
        <f>'Filter-new'!Q678</f>
        <v>0</v>
      </c>
      <c r="BW601" s="27"/>
      <c r="BX601" s="27"/>
      <c r="BY601" s="27"/>
      <c r="BZ601" s="27"/>
      <c r="CA601" s="45">
        <f>'Filter-old'!R678</f>
        <v>0</v>
      </c>
      <c r="CB601" s="27">
        <f>'Filter-new'!R678</f>
        <v>0</v>
      </c>
      <c r="CC601" s="4"/>
      <c r="CD601" s="4"/>
      <c r="CE601" s="4"/>
      <c r="CF601" s="4"/>
      <c r="CG601" s="4"/>
    </row>
    <row r="602" spans="1:85" hidden="1" x14ac:dyDescent="0.2">
      <c r="A602">
        <v>0</v>
      </c>
      <c r="B602" s="29">
        <v>38504</v>
      </c>
      <c r="C602" s="29">
        <f>C189</f>
        <v>38504</v>
      </c>
      <c r="D602" s="29"/>
      <c r="E602" s="29"/>
      <c r="F602" s="29"/>
      <c r="G602" s="36">
        <f t="shared" si="80"/>
        <v>11</v>
      </c>
      <c r="H602" s="36">
        <f t="shared" si="81"/>
        <v>16.130434782608688</v>
      </c>
      <c r="I602" s="36"/>
      <c r="J602" s="41"/>
      <c r="K602" s="45">
        <f>'Filter-old'!E679</f>
        <v>73</v>
      </c>
      <c r="L602" s="27">
        <f>'Filter-new'!E679</f>
        <v>84.108695652173907</v>
      </c>
      <c r="M602" s="27"/>
      <c r="N602" s="27"/>
      <c r="O602" s="442"/>
      <c r="P602" s="27"/>
      <c r="Q602" s="45">
        <f>'Filter-old'!H679</f>
        <v>-62</v>
      </c>
      <c r="R602" s="27">
        <f>'Filter-new'!H679</f>
        <v>-67.978260869565219</v>
      </c>
      <c r="S602" s="27"/>
      <c r="T602" s="27"/>
      <c r="U602" s="459"/>
      <c r="V602" s="27"/>
      <c r="W602" s="45">
        <f>'Filter-old'!J679</f>
        <v>0</v>
      </c>
      <c r="X602" s="27">
        <f>'Filter-new'!J679</f>
        <v>0</v>
      </c>
      <c r="Y602" s="27"/>
      <c r="Z602" s="27"/>
      <c r="AA602" s="45">
        <f>'Filter-old'!F679</f>
        <v>0</v>
      </c>
      <c r="AB602" s="27">
        <f>'Filter-new'!F679</f>
        <v>0</v>
      </c>
      <c r="AC602" s="27"/>
      <c r="AD602" s="27"/>
      <c r="AE602" s="45">
        <f>'Filter-old'!P679</f>
        <v>0</v>
      </c>
      <c r="AF602" s="27">
        <f>'Filter-new'!P679</f>
        <v>0</v>
      </c>
      <c r="AG602" s="27"/>
      <c r="AH602" s="27"/>
      <c r="AI602" s="45">
        <f>'Filter-old'!L679</f>
        <v>0</v>
      </c>
      <c r="AJ602" s="27">
        <f>'Filter-new'!L679</f>
        <v>0</v>
      </c>
      <c r="AK602" s="27"/>
      <c r="AL602" s="27"/>
      <c r="AM602" s="27"/>
      <c r="AN602" s="27"/>
      <c r="AO602" s="45">
        <f>'Filter-old'!G679</f>
        <v>0</v>
      </c>
      <c r="AP602" s="27">
        <f>'Filter-new'!G679</f>
        <v>0</v>
      </c>
      <c r="AQ602" s="27"/>
      <c r="AR602" s="27"/>
      <c r="AS602" s="45"/>
      <c r="AT602" s="27"/>
      <c r="AU602" s="27"/>
      <c r="AV602" s="27"/>
      <c r="AW602" s="45">
        <f>'Filter-old'!I679</f>
        <v>0</v>
      </c>
      <c r="AX602" s="27">
        <f>'Filter-new'!I679</f>
        <v>0</v>
      </c>
      <c r="AY602" s="27"/>
      <c r="AZ602" s="27"/>
      <c r="BA602" s="27"/>
      <c r="BB602" s="27"/>
      <c r="BC602" s="45">
        <f>'Filter-old'!K679</f>
        <v>0</v>
      </c>
      <c r="BD602" s="27">
        <f>'Filter-new'!K679</f>
        <v>0</v>
      </c>
      <c r="BE602" s="27"/>
      <c r="BF602" s="27"/>
      <c r="BG602" s="45">
        <f>'Filter-old'!M679</f>
        <v>0</v>
      </c>
      <c r="BH602" s="61"/>
      <c r="BI602" s="61"/>
      <c r="BJ602" s="27">
        <f>'Filter-new'!M679</f>
        <v>0</v>
      </c>
      <c r="BK602" s="27"/>
      <c r="BL602" s="27"/>
      <c r="BM602" s="27"/>
      <c r="BN602" s="423"/>
      <c r="BO602" s="27"/>
      <c r="BP602" s="27"/>
      <c r="BQ602" s="45">
        <f>'Filter-old'!O679</f>
        <v>0</v>
      </c>
      <c r="BR602" s="27">
        <f>'Filter-new'!O679</f>
        <v>0</v>
      </c>
      <c r="BS602" s="27"/>
      <c r="BT602" s="27"/>
      <c r="BU602" s="45">
        <f>'Filter-old'!Q679</f>
        <v>0</v>
      </c>
      <c r="BV602" s="27">
        <f>'Filter-new'!Q679</f>
        <v>0</v>
      </c>
      <c r="BW602" s="27"/>
      <c r="BX602" s="27"/>
      <c r="BY602" s="27"/>
      <c r="BZ602" s="27"/>
      <c r="CA602" s="45">
        <f>'Filter-old'!R679</f>
        <v>0</v>
      </c>
      <c r="CB602" s="27">
        <f>'Filter-new'!R679</f>
        <v>0</v>
      </c>
      <c r="CC602" s="4"/>
      <c r="CD602" s="4"/>
      <c r="CE602" s="4"/>
      <c r="CF602" s="4"/>
      <c r="CG602" s="4"/>
    </row>
    <row r="603" spans="1:85" hidden="1" x14ac:dyDescent="0.2">
      <c r="A603">
        <v>0</v>
      </c>
      <c r="B603" s="29">
        <v>38534</v>
      </c>
      <c r="C603" s="29">
        <f>C191</f>
        <v>38534</v>
      </c>
      <c r="D603" s="29"/>
      <c r="E603" s="29"/>
      <c r="F603" s="29"/>
      <c r="G603" s="36">
        <f t="shared" si="80"/>
        <v>14</v>
      </c>
      <c r="H603" s="36">
        <f t="shared" si="81"/>
        <v>12.415094339622634</v>
      </c>
      <c r="I603" s="36"/>
      <c r="J603" s="41"/>
      <c r="K603" s="45">
        <f>'Filter-old'!E680</f>
        <v>73</v>
      </c>
      <c r="L603" s="27">
        <f>'Filter-new'!E680</f>
        <v>64.735849056603769</v>
      </c>
      <c r="M603" s="27"/>
      <c r="N603" s="27"/>
      <c r="O603" s="442"/>
      <c r="P603" s="27"/>
      <c r="Q603" s="45">
        <f>'Filter-old'!H680</f>
        <v>-59</v>
      </c>
      <c r="R603" s="27">
        <f>'Filter-new'!H680</f>
        <v>-52.320754716981135</v>
      </c>
      <c r="S603" s="27"/>
      <c r="T603" s="27"/>
      <c r="U603" s="459"/>
      <c r="V603" s="27"/>
      <c r="W603" s="45">
        <f>'Filter-old'!J680</f>
        <v>0</v>
      </c>
      <c r="X603" s="27">
        <f>'Filter-new'!J680</f>
        <v>0</v>
      </c>
      <c r="Y603" s="27"/>
      <c r="Z603" s="27"/>
      <c r="AA603" s="45">
        <f>'Filter-old'!F680</f>
        <v>0</v>
      </c>
      <c r="AB603" s="27">
        <f>'Filter-new'!F680</f>
        <v>0</v>
      </c>
      <c r="AC603" s="27"/>
      <c r="AD603" s="27"/>
      <c r="AE603" s="45">
        <f>'Filter-old'!P680</f>
        <v>0</v>
      </c>
      <c r="AF603" s="27">
        <f>'Filter-new'!P680</f>
        <v>0</v>
      </c>
      <c r="AG603" s="27"/>
      <c r="AH603" s="27"/>
      <c r="AI603" s="45">
        <f>'Filter-old'!L680</f>
        <v>0</v>
      </c>
      <c r="AJ603" s="27">
        <f>'Filter-new'!L680</f>
        <v>0</v>
      </c>
      <c r="AK603" s="27"/>
      <c r="AL603" s="27"/>
      <c r="AM603" s="27"/>
      <c r="AN603" s="27"/>
      <c r="AO603" s="45">
        <f>'Filter-old'!G680</f>
        <v>0</v>
      </c>
      <c r="AP603" s="27">
        <f>'Filter-new'!G680</f>
        <v>0</v>
      </c>
      <c r="AQ603" s="27"/>
      <c r="AR603" s="27"/>
      <c r="AS603" s="45"/>
      <c r="AT603" s="27"/>
      <c r="AU603" s="27"/>
      <c r="AV603" s="27"/>
      <c r="AW603" s="45">
        <f>'Filter-old'!I680</f>
        <v>0</v>
      </c>
      <c r="AX603" s="27">
        <f>'Filter-new'!I680</f>
        <v>0</v>
      </c>
      <c r="AY603" s="27"/>
      <c r="AZ603" s="27"/>
      <c r="BA603" s="27"/>
      <c r="BB603" s="27"/>
      <c r="BC603" s="45">
        <f>'Filter-old'!K680</f>
        <v>0</v>
      </c>
      <c r="BD603" s="27">
        <f>'Filter-new'!K680</f>
        <v>0</v>
      </c>
      <c r="BE603" s="27"/>
      <c r="BF603" s="27"/>
      <c r="BG603" s="45">
        <f>'Filter-old'!M680</f>
        <v>0</v>
      </c>
      <c r="BH603" s="61"/>
      <c r="BI603" s="61"/>
      <c r="BJ603" s="27">
        <f>'Filter-new'!M680</f>
        <v>0</v>
      </c>
      <c r="BK603" s="27"/>
      <c r="BL603" s="27"/>
      <c r="BM603" s="27"/>
      <c r="BN603" s="423"/>
      <c r="BO603" s="27"/>
      <c r="BP603" s="27"/>
      <c r="BQ603" s="45">
        <f>'Filter-old'!O680</f>
        <v>0</v>
      </c>
      <c r="BR603" s="27">
        <f>'Filter-new'!O680</f>
        <v>0</v>
      </c>
      <c r="BS603" s="27"/>
      <c r="BT603" s="27"/>
      <c r="BU603" s="45">
        <f>'Filter-old'!Q680</f>
        <v>0</v>
      </c>
      <c r="BV603" s="27">
        <f>'Filter-new'!Q680</f>
        <v>0</v>
      </c>
      <c r="BW603" s="27"/>
      <c r="BX603" s="27"/>
      <c r="BY603" s="27"/>
      <c r="BZ603" s="27"/>
      <c r="CA603" s="45">
        <f>'Filter-old'!R680</f>
        <v>0</v>
      </c>
      <c r="CB603" s="27">
        <f>'Filter-new'!R680</f>
        <v>0</v>
      </c>
      <c r="CC603" s="4"/>
      <c r="CD603" s="4"/>
      <c r="CE603" s="4"/>
      <c r="CF603" s="4"/>
      <c r="CG603" s="4"/>
    </row>
    <row r="604" spans="1:85" hidden="1" x14ac:dyDescent="0.2">
      <c r="A604">
        <v>0</v>
      </c>
      <c r="B604" s="29">
        <v>38565</v>
      </c>
      <c r="C604" s="29">
        <f>C192</f>
        <v>38565</v>
      </c>
      <c r="D604" s="29"/>
      <c r="E604" s="29"/>
      <c r="F604" s="29"/>
      <c r="G604" s="36">
        <f t="shared" si="80"/>
        <v>14</v>
      </c>
      <c r="H604" s="36">
        <f t="shared" si="81"/>
        <v>8.5106382978723474</v>
      </c>
      <c r="I604" s="36"/>
      <c r="J604" s="41"/>
      <c r="K604" s="45">
        <f>'Filter-old'!E681</f>
        <v>73</v>
      </c>
      <c r="L604" s="27">
        <f>'Filter-new'!E681</f>
        <v>77.659574468085111</v>
      </c>
      <c r="M604" s="27"/>
      <c r="N604" s="27"/>
      <c r="O604" s="442"/>
      <c r="P604" s="27"/>
      <c r="Q604" s="45">
        <f>'Filter-old'!H681</f>
        <v>-59</v>
      </c>
      <c r="R604" s="27">
        <f>'Filter-new'!H681</f>
        <v>-69.148936170212764</v>
      </c>
      <c r="S604" s="27"/>
      <c r="T604" s="27"/>
      <c r="U604" s="459"/>
      <c r="V604" s="27"/>
      <c r="W604" s="45">
        <f>'Filter-old'!J681</f>
        <v>0</v>
      </c>
      <c r="X604" s="27">
        <f>'Filter-new'!J681</f>
        <v>0</v>
      </c>
      <c r="Y604" s="27"/>
      <c r="Z604" s="27"/>
      <c r="AA604" s="45">
        <f>'Filter-old'!F681</f>
        <v>0</v>
      </c>
      <c r="AB604" s="27">
        <f>'Filter-new'!F681</f>
        <v>0</v>
      </c>
      <c r="AC604" s="27"/>
      <c r="AD604" s="27"/>
      <c r="AE604" s="45">
        <f>'Filter-old'!P681</f>
        <v>0</v>
      </c>
      <c r="AF604" s="27">
        <f>'Filter-new'!P681</f>
        <v>0</v>
      </c>
      <c r="AG604" s="27"/>
      <c r="AH604" s="27"/>
      <c r="AI604" s="45">
        <f>'Filter-old'!L681</f>
        <v>0</v>
      </c>
      <c r="AJ604" s="27">
        <f>'Filter-new'!L681</f>
        <v>0</v>
      </c>
      <c r="AK604" s="27"/>
      <c r="AL604" s="27"/>
      <c r="AM604" s="27"/>
      <c r="AN604" s="27"/>
      <c r="AO604" s="45">
        <f>'Filter-old'!G681</f>
        <v>0</v>
      </c>
      <c r="AP604" s="27">
        <f>'Filter-new'!G681</f>
        <v>0</v>
      </c>
      <c r="AQ604" s="27"/>
      <c r="AR604" s="27"/>
      <c r="AS604" s="45"/>
      <c r="AT604" s="27"/>
      <c r="AU604" s="27"/>
      <c r="AV604" s="27"/>
      <c r="AW604" s="45">
        <f>'Filter-old'!I681</f>
        <v>0</v>
      </c>
      <c r="AX604" s="27">
        <f>'Filter-new'!I681</f>
        <v>0</v>
      </c>
      <c r="AY604" s="27"/>
      <c r="AZ604" s="27"/>
      <c r="BA604" s="27"/>
      <c r="BB604" s="27"/>
      <c r="BC604" s="45">
        <f>'Filter-old'!K681</f>
        <v>0</v>
      </c>
      <c r="BD604" s="27">
        <f>'Filter-new'!K681</f>
        <v>0</v>
      </c>
      <c r="BE604" s="27"/>
      <c r="BF604" s="27"/>
      <c r="BG604" s="45">
        <f>'Filter-old'!M681</f>
        <v>0</v>
      </c>
      <c r="BH604" s="61"/>
      <c r="BI604" s="61"/>
      <c r="BJ604" s="27">
        <f>'Filter-new'!M681</f>
        <v>0</v>
      </c>
      <c r="BK604" s="27"/>
      <c r="BL604" s="27"/>
      <c r="BM604" s="27"/>
      <c r="BN604" s="423"/>
      <c r="BO604" s="27"/>
      <c r="BP604" s="27"/>
      <c r="BQ604" s="45">
        <f>'Filter-old'!O681</f>
        <v>0</v>
      </c>
      <c r="BR604" s="27">
        <f>'Filter-new'!O681</f>
        <v>0</v>
      </c>
      <c r="BS604" s="27"/>
      <c r="BT604" s="27"/>
      <c r="BU604" s="45">
        <f>'Filter-old'!Q681</f>
        <v>0</v>
      </c>
      <c r="BV604" s="27">
        <f>'Filter-new'!Q681</f>
        <v>0</v>
      </c>
      <c r="BW604" s="27"/>
      <c r="BX604" s="27"/>
      <c r="BY604" s="27"/>
      <c r="BZ604" s="27"/>
      <c r="CA604" s="45">
        <f>'Filter-old'!R681</f>
        <v>0</v>
      </c>
      <c r="CB604" s="27">
        <f>'Filter-new'!R681</f>
        <v>0</v>
      </c>
      <c r="CC604" s="4"/>
      <c r="CD604" s="4"/>
      <c r="CE604" s="4"/>
      <c r="CF604" s="4"/>
      <c r="CG604" s="4"/>
    </row>
    <row r="605" spans="1:85" hidden="1" x14ac:dyDescent="0.2">
      <c r="A605">
        <v>0</v>
      </c>
      <c r="B605" s="29">
        <v>38596</v>
      </c>
      <c r="C605" s="29">
        <f>C194</f>
        <v>38596</v>
      </c>
      <c r="D605" s="29"/>
      <c r="E605" s="29"/>
      <c r="F605" s="29"/>
      <c r="G605" s="36">
        <f t="shared" si="80"/>
        <v>8</v>
      </c>
      <c r="H605" s="36">
        <f t="shared" si="81"/>
        <v>6.9174999999999898</v>
      </c>
      <c r="I605" s="36"/>
      <c r="J605" s="41"/>
      <c r="K605" s="45">
        <f>'Filter-old'!E682</f>
        <v>73</v>
      </c>
      <c r="L605" s="27">
        <f>'Filter-new'!E682</f>
        <v>71.722499999999997</v>
      </c>
      <c r="M605" s="27"/>
      <c r="N605" s="27"/>
      <c r="O605" s="442"/>
      <c r="P605" s="27"/>
      <c r="Q605" s="45">
        <f>'Filter-old'!H682</f>
        <v>-65</v>
      </c>
      <c r="R605" s="27">
        <f>'Filter-new'!H682</f>
        <v>-64.805000000000007</v>
      </c>
      <c r="S605" s="27"/>
      <c r="T605" s="27"/>
      <c r="U605" s="459"/>
      <c r="V605" s="27"/>
      <c r="W605" s="45">
        <f>'Filter-old'!J682</f>
        <v>0</v>
      </c>
      <c r="X605" s="27">
        <f>'Filter-new'!J682</f>
        <v>0</v>
      </c>
      <c r="Y605" s="27"/>
      <c r="Z605" s="27"/>
      <c r="AA605" s="45">
        <f>'Filter-old'!F682</f>
        <v>0</v>
      </c>
      <c r="AB605" s="27">
        <f>'Filter-new'!F682</f>
        <v>0</v>
      </c>
      <c r="AC605" s="27"/>
      <c r="AD605" s="27"/>
      <c r="AE605" s="45">
        <f>'Filter-old'!P682</f>
        <v>0</v>
      </c>
      <c r="AF605" s="27">
        <f>'Filter-new'!P682</f>
        <v>0</v>
      </c>
      <c r="AG605" s="27"/>
      <c r="AH605" s="27"/>
      <c r="AI605" s="45">
        <f>'Filter-old'!L682</f>
        <v>0</v>
      </c>
      <c r="AJ605" s="27">
        <f>'Filter-new'!L682</f>
        <v>0</v>
      </c>
      <c r="AK605" s="27"/>
      <c r="AL605" s="27"/>
      <c r="AM605" s="27"/>
      <c r="AN605" s="27"/>
      <c r="AO605" s="45">
        <f>'Filter-old'!G682</f>
        <v>0</v>
      </c>
      <c r="AP605" s="27">
        <f>'Filter-new'!G682</f>
        <v>0</v>
      </c>
      <c r="AQ605" s="27"/>
      <c r="AR605" s="27"/>
      <c r="AS605" s="45"/>
      <c r="AT605" s="27"/>
      <c r="AU605" s="27"/>
      <c r="AV605" s="27"/>
      <c r="AW605" s="45">
        <f>'Filter-old'!I682</f>
        <v>0</v>
      </c>
      <c r="AX605" s="27">
        <f>'Filter-new'!I682</f>
        <v>0</v>
      </c>
      <c r="AY605" s="27"/>
      <c r="AZ605" s="27"/>
      <c r="BA605" s="27"/>
      <c r="BB605" s="27"/>
      <c r="BC605" s="45">
        <f>'Filter-old'!K682</f>
        <v>0</v>
      </c>
      <c r="BD605" s="27">
        <f>'Filter-new'!K682</f>
        <v>0</v>
      </c>
      <c r="BE605" s="27"/>
      <c r="BF605" s="27"/>
      <c r="BG605" s="45">
        <f>'Filter-old'!M682</f>
        <v>0</v>
      </c>
      <c r="BH605" s="61"/>
      <c r="BI605" s="61"/>
      <c r="BJ605" s="27">
        <f>'Filter-new'!M682</f>
        <v>0</v>
      </c>
      <c r="BK605" s="27"/>
      <c r="BL605" s="27"/>
      <c r="BM605" s="27"/>
      <c r="BN605" s="423"/>
      <c r="BO605" s="27"/>
      <c r="BP605" s="27"/>
      <c r="BQ605" s="45">
        <f>'Filter-old'!O682</f>
        <v>0</v>
      </c>
      <c r="BR605" s="27">
        <f>'Filter-new'!O682</f>
        <v>0</v>
      </c>
      <c r="BS605" s="27"/>
      <c r="BT605" s="27"/>
      <c r="BU605" s="45">
        <f>'Filter-old'!Q682</f>
        <v>0</v>
      </c>
      <c r="BV605" s="27">
        <f>'Filter-new'!Q682</f>
        <v>0</v>
      </c>
      <c r="BW605" s="27"/>
      <c r="BX605" s="27"/>
      <c r="BY605" s="27"/>
      <c r="BZ605" s="27"/>
      <c r="CA605" s="45">
        <f>'Filter-old'!R682</f>
        <v>0</v>
      </c>
      <c r="CB605" s="27">
        <f>'Filter-new'!R682</f>
        <v>0</v>
      </c>
      <c r="CC605" s="4"/>
      <c r="CD605" s="4"/>
      <c r="CE605" s="4"/>
      <c r="CF605" s="4"/>
      <c r="CG605" s="4"/>
    </row>
    <row r="606" spans="1:85" hidden="1" x14ac:dyDescent="0.2">
      <c r="A606">
        <v>0</v>
      </c>
      <c r="B606" s="29">
        <v>38626</v>
      </c>
      <c r="C606" s="29">
        <f>C196</f>
        <v>38626</v>
      </c>
      <c r="D606" s="29"/>
      <c r="E606" s="29"/>
      <c r="F606" s="29"/>
      <c r="G606" s="36">
        <f t="shared" si="80"/>
        <v>7.058673469387756</v>
      </c>
      <c r="H606" s="36">
        <f t="shared" si="81"/>
        <v>-0.97959183673469852</v>
      </c>
      <c r="I606" s="36"/>
      <c r="J606" s="41"/>
      <c r="K606" s="45">
        <f>'Filter-old'!E683</f>
        <v>73.186224489795919</v>
      </c>
      <c r="L606" s="27">
        <f>'Filter-new'!E683</f>
        <v>71.510204081632651</v>
      </c>
      <c r="M606" s="27"/>
      <c r="N606" s="27"/>
      <c r="O606" s="442"/>
      <c r="P606" s="27"/>
      <c r="Q606" s="45">
        <f>'Filter-old'!H683</f>
        <v>-66.127551020408163</v>
      </c>
      <c r="R606" s="27">
        <f>'Filter-new'!H683</f>
        <v>-72.489795918367349</v>
      </c>
      <c r="S606" s="27"/>
      <c r="T606" s="27"/>
      <c r="U606" s="459"/>
      <c r="V606" s="27"/>
      <c r="W606" s="45">
        <f>'Filter-old'!J683</f>
        <v>0</v>
      </c>
      <c r="X606" s="27">
        <f>'Filter-new'!J683</f>
        <v>0</v>
      </c>
      <c r="Y606" s="27"/>
      <c r="Z606" s="27"/>
      <c r="AA606" s="45">
        <f>'Filter-old'!F683</f>
        <v>0</v>
      </c>
      <c r="AB606" s="27">
        <f>'Filter-new'!F683</f>
        <v>0</v>
      </c>
      <c r="AC606" s="27"/>
      <c r="AD606" s="27"/>
      <c r="AE606" s="45">
        <f>'Filter-old'!P683</f>
        <v>0</v>
      </c>
      <c r="AF606" s="27">
        <f>'Filter-new'!P683</f>
        <v>0</v>
      </c>
      <c r="AG606" s="27"/>
      <c r="AH606" s="27"/>
      <c r="AI606" s="45">
        <f>'Filter-old'!L683</f>
        <v>0</v>
      </c>
      <c r="AJ606" s="27">
        <f>'Filter-new'!L683</f>
        <v>0</v>
      </c>
      <c r="AK606" s="27"/>
      <c r="AL606" s="27"/>
      <c r="AM606" s="27"/>
      <c r="AN606" s="27"/>
      <c r="AO606" s="45">
        <f>'Filter-old'!G683</f>
        <v>0</v>
      </c>
      <c r="AP606" s="27">
        <f>'Filter-new'!G683</f>
        <v>0</v>
      </c>
      <c r="AQ606" s="27"/>
      <c r="AR606" s="27"/>
      <c r="AS606" s="45"/>
      <c r="AT606" s="27"/>
      <c r="AU606" s="27"/>
      <c r="AV606" s="27"/>
      <c r="AW606" s="45">
        <f>'Filter-old'!I683</f>
        <v>0</v>
      </c>
      <c r="AX606" s="27">
        <f>'Filter-new'!I683</f>
        <v>0</v>
      </c>
      <c r="AY606" s="27"/>
      <c r="AZ606" s="27"/>
      <c r="BA606" s="27"/>
      <c r="BB606" s="27"/>
      <c r="BC606" s="45">
        <f>'Filter-old'!K683</f>
        <v>0</v>
      </c>
      <c r="BD606" s="27">
        <f>'Filter-new'!K683</f>
        <v>0</v>
      </c>
      <c r="BE606" s="27"/>
      <c r="BF606" s="27"/>
      <c r="BG606" s="45">
        <f>'Filter-old'!M683</f>
        <v>0</v>
      </c>
      <c r="BH606" s="61"/>
      <c r="BI606" s="61"/>
      <c r="BJ606" s="27">
        <f>'Filter-new'!M683</f>
        <v>0</v>
      </c>
      <c r="BK606" s="27"/>
      <c r="BL606" s="27"/>
      <c r="BM606" s="27"/>
      <c r="BN606" s="423"/>
      <c r="BO606" s="27"/>
      <c r="BP606" s="27"/>
      <c r="BQ606" s="45">
        <f>'Filter-old'!O683</f>
        <v>0</v>
      </c>
      <c r="BR606" s="27">
        <f>'Filter-new'!O683</f>
        <v>0</v>
      </c>
      <c r="BS606" s="27"/>
      <c r="BT606" s="27"/>
      <c r="BU606" s="45">
        <f>'Filter-old'!Q683</f>
        <v>0</v>
      </c>
      <c r="BV606" s="27">
        <f>'Filter-new'!Q683</f>
        <v>0</v>
      </c>
      <c r="BW606" s="27"/>
      <c r="BX606" s="27"/>
      <c r="BY606" s="27"/>
      <c r="BZ606" s="27"/>
      <c r="CA606" s="45">
        <f>'Filter-old'!R683</f>
        <v>0</v>
      </c>
      <c r="CB606" s="27">
        <f>'Filter-new'!R683</f>
        <v>0</v>
      </c>
      <c r="CC606" s="4"/>
      <c r="CD606" s="4"/>
      <c r="CE606" s="4"/>
      <c r="CF606" s="4"/>
      <c r="CG606" s="4"/>
    </row>
    <row r="607" spans="1:85" hidden="1" x14ac:dyDescent="0.2">
      <c r="A607">
        <v>0</v>
      </c>
      <c r="B607" s="29">
        <v>38657</v>
      </c>
      <c r="C607" s="29">
        <f>C197</f>
        <v>38657</v>
      </c>
      <c r="D607" s="29"/>
      <c r="E607" s="29"/>
      <c r="F607" s="29"/>
      <c r="G607" s="36">
        <f t="shared" si="80"/>
        <v>-1</v>
      </c>
      <c r="H607" s="36">
        <f t="shared" si="81"/>
        <v>0</v>
      </c>
      <c r="I607" s="36"/>
      <c r="J607" s="41"/>
      <c r="K607" s="45">
        <f>'Filter-old'!E684</f>
        <v>73</v>
      </c>
      <c r="L607" s="27">
        <f>'Filter-new'!E684</f>
        <v>80.604166666666671</v>
      </c>
      <c r="M607" s="27"/>
      <c r="N607" s="27"/>
      <c r="O607" s="442"/>
      <c r="P607" s="27"/>
      <c r="Q607" s="45">
        <f>'Filter-old'!H684</f>
        <v>-74</v>
      </c>
      <c r="R607" s="27">
        <f>'Filter-new'!H684</f>
        <v>-80.604166666666671</v>
      </c>
      <c r="S607" s="27"/>
      <c r="T607" s="27"/>
      <c r="U607" s="459"/>
      <c r="V607" s="27"/>
      <c r="W607" s="45">
        <f>'Filter-old'!J684</f>
        <v>0</v>
      </c>
      <c r="X607" s="27">
        <f>'Filter-new'!J684</f>
        <v>0</v>
      </c>
      <c r="Y607" s="27"/>
      <c r="Z607" s="27"/>
      <c r="AA607" s="45">
        <f>'Filter-old'!F684</f>
        <v>0</v>
      </c>
      <c r="AB607" s="27">
        <f>'Filter-new'!F684</f>
        <v>0</v>
      </c>
      <c r="AC607" s="27"/>
      <c r="AD607" s="27"/>
      <c r="AE607" s="45">
        <f>'Filter-old'!P684</f>
        <v>0</v>
      </c>
      <c r="AF607" s="27">
        <f>'Filter-new'!P684</f>
        <v>0</v>
      </c>
      <c r="AG607" s="27"/>
      <c r="AH607" s="27"/>
      <c r="AI607" s="45">
        <f>'Filter-old'!L684</f>
        <v>0</v>
      </c>
      <c r="AJ607" s="27">
        <f>'Filter-new'!L684</f>
        <v>0</v>
      </c>
      <c r="AK607" s="27"/>
      <c r="AL607" s="27"/>
      <c r="AM607" s="27"/>
      <c r="AN607" s="27"/>
      <c r="AO607" s="45">
        <f>'Filter-old'!G684</f>
        <v>0</v>
      </c>
      <c r="AP607" s="27">
        <f>'Filter-new'!G684</f>
        <v>0</v>
      </c>
      <c r="AQ607" s="27"/>
      <c r="AR607" s="27"/>
      <c r="AS607" s="45"/>
      <c r="AT607" s="27"/>
      <c r="AU607" s="27"/>
      <c r="AV607" s="27"/>
      <c r="AW607" s="45">
        <f>'Filter-old'!I684</f>
        <v>0</v>
      </c>
      <c r="AX607" s="27">
        <f>'Filter-new'!I684</f>
        <v>0</v>
      </c>
      <c r="AY607" s="27"/>
      <c r="AZ607" s="27"/>
      <c r="BA607" s="27"/>
      <c r="BB607" s="27"/>
      <c r="BC607" s="45">
        <f>'Filter-old'!K684</f>
        <v>0</v>
      </c>
      <c r="BD607" s="27">
        <f>'Filter-new'!K684</f>
        <v>0</v>
      </c>
      <c r="BE607" s="27"/>
      <c r="BF607" s="27"/>
      <c r="BG607" s="45">
        <f>'Filter-old'!M684</f>
        <v>0</v>
      </c>
      <c r="BH607" s="61"/>
      <c r="BI607" s="61"/>
      <c r="BJ607" s="27">
        <f>'Filter-new'!M684</f>
        <v>0</v>
      </c>
      <c r="BK607" s="27"/>
      <c r="BL607" s="27"/>
      <c r="BM607" s="27"/>
      <c r="BN607" s="423"/>
      <c r="BO607" s="27"/>
      <c r="BP607" s="27"/>
      <c r="BQ607" s="45">
        <f>'Filter-old'!O684</f>
        <v>0</v>
      </c>
      <c r="BR607" s="27">
        <f>'Filter-new'!O684</f>
        <v>0</v>
      </c>
      <c r="BS607" s="27"/>
      <c r="BT607" s="27"/>
      <c r="BU607" s="45">
        <f>'Filter-old'!Q684</f>
        <v>0</v>
      </c>
      <c r="BV607" s="27">
        <f>'Filter-new'!Q684</f>
        <v>0</v>
      </c>
      <c r="BW607" s="27"/>
      <c r="BX607" s="27"/>
      <c r="BY607" s="27"/>
      <c r="BZ607" s="27"/>
      <c r="CA607" s="45">
        <f>'Filter-old'!R684</f>
        <v>0</v>
      </c>
      <c r="CB607" s="27">
        <f>'Filter-new'!R684</f>
        <v>0</v>
      </c>
      <c r="CC607" s="4"/>
      <c r="CD607" s="4"/>
      <c r="CE607" s="4"/>
      <c r="CF607" s="4"/>
      <c r="CG607" s="4"/>
    </row>
    <row r="608" spans="1:85" hidden="1" x14ac:dyDescent="0.2">
      <c r="A608">
        <v>0</v>
      </c>
      <c r="B608" s="29">
        <v>38687</v>
      </c>
      <c r="C608" s="29">
        <f>C198</f>
        <v>38687</v>
      </c>
      <c r="D608" s="29"/>
      <c r="E608" s="29"/>
      <c r="F608" s="29"/>
      <c r="G608" s="36">
        <f t="shared" si="80"/>
        <v>0</v>
      </c>
      <c r="H608" s="36">
        <f t="shared" si="81"/>
        <v>-48.075471698113205</v>
      </c>
      <c r="I608" s="36"/>
      <c r="J608" s="41"/>
      <c r="K608" s="45">
        <f>'Filter-old'!E685</f>
        <v>73</v>
      </c>
      <c r="L608" s="27">
        <f>'Filter-new'!E685</f>
        <v>21.264150943396228</v>
      </c>
      <c r="M608" s="27"/>
      <c r="N608" s="27"/>
      <c r="O608" s="442"/>
      <c r="P608" s="27"/>
      <c r="Q608" s="45">
        <f>'Filter-old'!H685</f>
        <v>-73</v>
      </c>
      <c r="R608" s="27">
        <f>'Filter-new'!H685</f>
        <v>-69.339622641509436</v>
      </c>
      <c r="S608" s="27"/>
      <c r="T608" s="27"/>
      <c r="U608" s="459"/>
      <c r="V608" s="27"/>
      <c r="W608" s="45">
        <f>'Filter-old'!J685</f>
        <v>0</v>
      </c>
      <c r="X608" s="27">
        <f>'Filter-new'!J685</f>
        <v>0</v>
      </c>
      <c r="Y608" s="27"/>
      <c r="Z608" s="27"/>
      <c r="AA608" s="45">
        <f>'Filter-old'!F685</f>
        <v>0</v>
      </c>
      <c r="AB608" s="27">
        <f>'Filter-new'!F685</f>
        <v>0</v>
      </c>
      <c r="AC608" s="27"/>
      <c r="AD608" s="27"/>
      <c r="AE608" s="45">
        <f>'Filter-old'!P685</f>
        <v>0</v>
      </c>
      <c r="AF608" s="27">
        <f>'Filter-new'!P685</f>
        <v>0</v>
      </c>
      <c r="AG608" s="27"/>
      <c r="AH608" s="27"/>
      <c r="AI608" s="45">
        <f>'Filter-old'!L685</f>
        <v>0</v>
      </c>
      <c r="AJ608" s="27">
        <f>'Filter-new'!L685</f>
        <v>0</v>
      </c>
      <c r="AK608" s="27"/>
      <c r="AL608" s="27"/>
      <c r="AM608" s="27"/>
      <c r="AN608" s="27"/>
      <c r="AO608" s="45">
        <f>'Filter-old'!G685</f>
        <v>0</v>
      </c>
      <c r="AP608" s="27">
        <f>'Filter-new'!G685</f>
        <v>0</v>
      </c>
      <c r="AQ608" s="27"/>
      <c r="AR608" s="27"/>
      <c r="AS608" s="45"/>
      <c r="AT608" s="27"/>
      <c r="AU608" s="27"/>
      <c r="AV608" s="27"/>
      <c r="AW608" s="45">
        <f>'Filter-old'!I685</f>
        <v>0</v>
      </c>
      <c r="AX608" s="27">
        <f>'Filter-new'!I685</f>
        <v>0</v>
      </c>
      <c r="AY608" s="27"/>
      <c r="AZ608" s="27"/>
      <c r="BA608" s="27"/>
      <c r="BB608" s="27"/>
      <c r="BC608" s="45">
        <f>'Filter-old'!K685</f>
        <v>0</v>
      </c>
      <c r="BD608" s="27">
        <f>'Filter-new'!K685</f>
        <v>0</v>
      </c>
      <c r="BE608" s="27"/>
      <c r="BF608" s="27"/>
      <c r="BG608" s="45">
        <f>'Filter-old'!M685</f>
        <v>0</v>
      </c>
      <c r="BH608" s="61"/>
      <c r="BI608" s="61"/>
      <c r="BJ608" s="27">
        <f>'Filter-new'!M685</f>
        <v>0</v>
      </c>
      <c r="BK608" s="27"/>
      <c r="BL608" s="27"/>
      <c r="BM608" s="27"/>
      <c r="BN608" s="423"/>
      <c r="BO608" s="27"/>
      <c r="BP608" s="27"/>
      <c r="BQ608" s="45">
        <f>'Filter-old'!O685</f>
        <v>0</v>
      </c>
      <c r="BR608" s="27">
        <f>'Filter-new'!O685</f>
        <v>0</v>
      </c>
      <c r="BS608" s="27"/>
      <c r="BT608" s="27"/>
      <c r="BU608" s="45">
        <f>'Filter-old'!Q685</f>
        <v>0</v>
      </c>
      <c r="BV608" s="27">
        <f>'Filter-new'!Q685</f>
        <v>0</v>
      </c>
      <c r="BW608" s="27"/>
      <c r="BX608" s="27"/>
      <c r="BY608" s="27"/>
      <c r="BZ608" s="27"/>
      <c r="CA608" s="45">
        <f>'Filter-old'!R685</f>
        <v>0</v>
      </c>
      <c r="CB608" s="27">
        <f>'Filter-new'!R685</f>
        <v>0</v>
      </c>
      <c r="CC608" s="4"/>
      <c r="CD608" s="4"/>
      <c r="CE608" s="4"/>
      <c r="CF608" s="4"/>
      <c r="CG608" s="4"/>
    </row>
    <row r="609" spans="1:85" hidden="1" x14ac:dyDescent="0.2">
      <c r="A609">
        <v>0</v>
      </c>
      <c r="B609" s="29">
        <v>38718</v>
      </c>
      <c r="C609" s="29">
        <f t="shared" ref="C609:C618" si="82">C200</f>
        <v>38718</v>
      </c>
      <c r="D609" s="29"/>
      <c r="E609" s="29"/>
      <c r="F609" s="29"/>
      <c r="G609" s="36">
        <f t="shared" si="80"/>
        <v>-52</v>
      </c>
      <c r="H609" s="36">
        <f t="shared" si="81"/>
        <v>-44.897959183673471</v>
      </c>
      <c r="I609" s="36"/>
      <c r="J609" s="41"/>
      <c r="K609" s="45">
        <f>'Filter-old'!E686</f>
        <v>23</v>
      </c>
      <c r="L609" s="27">
        <f>'Filter-new'!E686</f>
        <v>20.653061224489797</v>
      </c>
      <c r="M609" s="27"/>
      <c r="N609" s="27"/>
      <c r="O609" s="442"/>
      <c r="P609" s="27"/>
      <c r="Q609" s="45">
        <f>'Filter-old'!H686</f>
        <v>-75</v>
      </c>
      <c r="R609" s="27">
        <f>'Filter-new'!H686</f>
        <v>-65.551020408163268</v>
      </c>
      <c r="S609" s="27"/>
      <c r="T609" s="27"/>
      <c r="U609" s="459"/>
      <c r="V609" s="27"/>
      <c r="W609" s="45">
        <f>'Filter-old'!J686</f>
        <v>0</v>
      </c>
      <c r="X609" s="27">
        <f>'Filter-new'!J686</f>
        <v>0</v>
      </c>
      <c r="Y609" s="27"/>
      <c r="Z609" s="27"/>
      <c r="AA609" s="45">
        <f>'Filter-old'!F686</f>
        <v>0</v>
      </c>
      <c r="AB609" s="27">
        <f>'Filter-new'!F686</f>
        <v>0</v>
      </c>
      <c r="AC609" s="27"/>
      <c r="AD609" s="27"/>
      <c r="AE609" s="45">
        <f>'Filter-old'!P686</f>
        <v>0</v>
      </c>
      <c r="AF609" s="27">
        <f>'Filter-new'!P686</f>
        <v>0</v>
      </c>
      <c r="AG609" s="27"/>
      <c r="AH609" s="27"/>
      <c r="AI609" s="45">
        <f>'Filter-old'!L686</f>
        <v>0</v>
      </c>
      <c r="AJ609" s="27">
        <f>'Filter-new'!L686</f>
        <v>0</v>
      </c>
      <c r="AK609" s="27"/>
      <c r="AL609" s="27"/>
      <c r="AM609" s="27"/>
      <c r="AN609" s="27"/>
      <c r="AO609" s="45">
        <f>'Filter-old'!G686</f>
        <v>0</v>
      </c>
      <c r="AP609" s="27">
        <f>'Filter-new'!G686</f>
        <v>0</v>
      </c>
      <c r="AQ609" s="27"/>
      <c r="AR609" s="27"/>
      <c r="AS609" s="45"/>
      <c r="AT609" s="27"/>
      <c r="AU609" s="27"/>
      <c r="AV609" s="27"/>
      <c r="AW609" s="45">
        <f>'Filter-old'!I686</f>
        <v>0</v>
      </c>
      <c r="AX609" s="27">
        <f>'Filter-new'!I686</f>
        <v>0</v>
      </c>
      <c r="AY609" s="27"/>
      <c r="AZ609" s="27"/>
      <c r="BA609" s="27"/>
      <c r="BB609" s="27"/>
      <c r="BC609" s="45">
        <f>'Filter-old'!K686</f>
        <v>0</v>
      </c>
      <c r="BD609" s="27">
        <f>'Filter-new'!K686</f>
        <v>0</v>
      </c>
      <c r="BE609" s="27"/>
      <c r="BF609" s="27"/>
      <c r="BG609" s="45">
        <f>'Filter-old'!M686</f>
        <v>0</v>
      </c>
      <c r="BH609" s="61"/>
      <c r="BI609" s="61"/>
      <c r="BJ609" s="27">
        <f>'Filter-new'!M686</f>
        <v>0</v>
      </c>
      <c r="BK609" s="27"/>
      <c r="BL609" s="27"/>
      <c r="BM609" s="27"/>
      <c r="BN609" s="423"/>
      <c r="BO609" s="27"/>
      <c r="BP609" s="27"/>
      <c r="BQ609" s="45">
        <f>'Filter-old'!O686</f>
        <v>0</v>
      </c>
      <c r="BR609" s="27">
        <f>'Filter-new'!O686</f>
        <v>0</v>
      </c>
      <c r="BS609" s="27"/>
      <c r="BT609" s="27"/>
      <c r="BU609" s="45">
        <f>'Filter-old'!Q686</f>
        <v>0</v>
      </c>
      <c r="BV609" s="27">
        <f>'Filter-new'!Q686</f>
        <v>0</v>
      </c>
      <c r="BW609" s="27"/>
      <c r="BX609" s="27"/>
      <c r="BY609" s="27"/>
      <c r="BZ609" s="27"/>
      <c r="CA609" s="45">
        <f>'Filter-old'!R686</f>
        <v>0</v>
      </c>
      <c r="CB609" s="27">
        <f>'Filter-new'!R686</f>
        <v>0</v>
      </c>
      <c r="CC609" s="4"/>
      <c r="CD609" s="4"/>
      <c r="CE609" s="4"/>
      <c r="CF609" s="4"/>
      <c r="CG609" s="4"/>
    </row>
    <row r="610" spans="1:85" hidden="1" x14ac:dyDescent="0.2">
      <c r="A610">
        <v>0</v>
      </c>
      <c r="B610" s="29">
        <v>38749</v>
      </c>
      <c r="C610" s="29">
        <f t="shared" si="82"/>
        <v>38749</v>
      </c>
      <c r="D610" s="29"/>
      <c r="E610" s="29"/>
      <c r="F610" s="29"/>
      <c r="G610" s="36">
        <f t="shared" si="80"/>
        <v>-50</v>
      </c>
      <c r="H610" s="36">
        <f t="shared" si="81"/>
        <v>-57.909090909090907</v>
      </c>
      <c r="I610" s="36"/>
      <c r="J610" s="41"/>
      <c r="K610" s="45">
        <f>'Filter-old'!E687</f>
        <v>23</v>
      </c>
      <c r="L610" s="27">
        <f>'Filter-new'!E687</f>
        <v>25.613636363636363</v>
      </c>
      <c r="M610" s="27"/>
      <c r="N610" s="27"/>
      <c r="O610" s="442"/>
      <c r="P610" s="27"/>
      <c r="Q610" s="45">
        <f>'Filter-old'!H687</f>
        <v>-73</v>
      </c>
      <c r="R610" s="27">
        <f>'Filter-new'!H687</f>
        <v>-83.522727272727266</v>
      </c>
      <c r="S610" s="27"/>
      <c r="T610" s="27"/>
      <c r="U610" s="459"/>
      <c r="V610" s="27"/>
      <c r="W610" s="45">
        <f>'Filter-old'!J687</f>
        <v>0</v>
      </c>
      <c r="X610" s="27">
        <f>'Filter-new'!J687</f>
        <v>0</v>
      </c>
      <c r="Y610" s="27"/>
      <c r="Z610" s="27"/>
      <c r="AA610" s="45">
        <f>'Filter-old'!F687</f>
        <v>0</v>
      </c>
      <c r="AB610" s="27">
        <f>'Filter-new'!F687</f>
        <v>0</v>
      </c>
      <c r="AC610" s="27"/>
      <c r="AD610" s="27"/>
      <c r="AE610" s="45">
        <f>'Filter-old'!P687</f>
        <v>0</v>
      </c>
      <c r="AF610" s="27">
        <f>'Filter-new'!P687</f>
        <v>0</v>
      </c>
      <c r="AG610" s="27"/>
      <c r="AH610" s="27"/>
      <c r="AI610" s="45">
        <f>'Filter-old'!L687</f>
        <v>0</v>
      </c>
      <c r="AJ610" s="27">
        <f>'Filter-new'!L687</f>
        <v>0</v>
      </c>
      <c r="AK610" s="27"/>
      <c r="AL610" s="27"/>
      <c r="AM610" s="27"/>
      <c r="AN610" s="27"/>
      <c r="AO610" s="45">
        <f>'Filter-old'!G687</f>
        <v>0</v>
      </c>
      <c r="AP610" s="27">
        <f>'Filter-new'!G687</f>
        <v>0</v>
      </c>
      <c r="AQ610" s="27"/>
      <c r="AR610" s="27"/>
      <c r="AS610" s="45"/>
      <c r="AT610" s="27"/>
      <c r="AU610" s="27"/>
      <c r="AV610" s="27"/>
      <c r="AW610" s="45">
        <f>'Filter-old'!I687</f>
        <v>0</v>
      </c>
      <c r="AX610" s="27">
        <f>'Filter-new'!I687</f>
        <v>0</v>
      </c>
      <c r="AY610" s="27"/>
      <c r="AZ610" s="27"/>
      <c r="BA610" s="27"/>
      <c r="BB610" s="27"/>
      <c r="BC610" s="45">
        <f>'Filter-old'!K687</f>
        <v>0</v>
      </c>
      <c r="BD610" s="27">
        <f>'Filter-new'!K687</f>
        <v>0</v>
      </c>
      <c r="BE610" s="27"/>
      <c r="BF610" s="27"/>
      <c r="BG610" s="45">
        <f>'Filter-old'!M687</f>
        <v>0</v>
      </c>
      <c r="BH610" s="61"/>
      <c r="BI610" s="61"/>
      <c r="BJ610" s="27">
        <f>'Filter-new'!M687</f>
        <v>0</v>
      </c>
      <c r="BK610" s="27"/>
      <c r="BL610" s="27"/>
      <c r="BM610" s="27"/>
      <c r="BN610" s="423"/>
      <c r="BO610" s="27"/>
      <c r="BP610" s="27"/>
      <c r="BQ610" s="45">
        <f>'Filter-old'!O687</f>
        <v>0</v>
      </c>
      <c r="BR610" s="27">
        <f>'Filter-new'!O687</f>
        <v>0</v>
      </c>
      <c r="BS610" s="27"/>
      <c r="BT610" s="27"/>
      <c r="BU610" s="45">
        <f>'Filter-old'!Q687</f>
        <v>0</v>
      </c>
      <c r="BV610" s="27">
        <f>'Filter-new'!Q687</f>
        <v>0</v>
      </c>
      <c r="BW610" s="27"/>
      <c r="BX610" s="27"/>
      <c r="BY610" s="27"/>
      <c r="BZ610" s="27"/>
      <c r="CA610" s="45">
        <f>'Filter-old'!R687</f>
        <v>0</v>
      </c>
      <c r="CB610" s="27">
        <f>'Filter-new'!R687</f>
        <v>0</v>
      </c>
      <c r="CC610" s="4"/>
      <c r="CD610" s="4"/>
      <c r="CE610" s="4"/>
      <c r="CF610" s="4"/>
      <c r="CG610" s="4"/>
    </row>
    <row r="611" spans="1:85" hidden="1" x14ac:dyDescent="0.2">
      <c r="A611">
        <v>0</v>
      </c>
      <c r="B611" s="29">
        <v>38777</v>
      </c>
      <c r="C611" s="29">
        <f t="shared" si="82"/>
        <v>38777</v>
      </c>
      <c r="D611" s="29"/>
      <c r="E611" s="29"/>
      <c r="F611" s="29"/>
      <c r="G611" s="36">
        <f t="shared" si="80"/>
        <v>-52</v>
      </c>
      <c r="H611" s="36">
        <f t="shared" si="81"/>
        <v>-49.890306122448983</v>
      </c>
      <c r="I611" s="36"/>
      <c r="J611" s="41"/>
      <c r="K611" s="45">
        <f>'Filter-old'!E688</f>
        <v>23</v>
      </c>
      <c r="L611" s="27">
        <f>'Filter-new'!E688</f>
        <v>22.471938775510203</v>
      </c>
      <c r="M611" s="27"/>
      <c r="N611" s="27"/>
      <c r="O611" s="442"/>
      <c r="P611" s="27"/>
      <c r="Q611" s="45">
        <f>'Filter-old'!H688</f>
        <v>-75</v>
      </c>
      <c r="R611" s="27">
        <f>'Filter-new'!H688</f>
        <v>-72.362244897959187</v>
      </c>
      <c r="S611" s="27"/>
      <c r="T611" s="27"/>
      <c r="U611" s="459"/>
      <c r="V611" s="27"/>
      <c r="W611" s="45">
        <f>'Filter-old'!J688</f>
        <v>0</v>
      </c>
      <c r="X611" s="27">
        <f>'Filter-new'!J688</f>
        <v>0</v>
      </c>
      <c r="Y611" s="27"/>
      <c r="Z611" s="27"/>
      <c r="AA611" s="45">
        <f>'Filter-old'!F688</f>
        <v>0</v>
      </c>
      <c r="AB611" s="27">
        <f>'Filter-new'!F688</f>
        <v>0</v>
      </c>
      <c r="AC611" s="27"/>
      <c r="AD611" s="27"/>
      <c r="AE611" s="45">
        <f>'Filter-old'!P688</f>
        <v>0</v>
      </c>
      <c r="AF611" s="27">
        <f>'Filter-new'!P688</f>
        <v>0</v>
      </c>
      <c r="AG611" s="27"/>
      <c r="AH611" s="27"/>
      <c r="AI611" s="45">
        <f>'Filter-old'!L688</f>
        <v>0</v>
      </c>
      <c r="AJ611" s="27">
        <f>'Filter-new'!L688</f>
        <v>0</v>
      </c>
      <c r="AK611" s="27"/>
      <c r="AL611" s="27"/>
      <c r="AM611" s="27"/>
      <c r="AN611" s="27"/>
      <c r="AO611" s="45">
        <f>'Filter-old'!G688</f>
        <v>0</v>
      </c>
      <c r="AP611" s="27">
        <f>'Filter-new'!G688</f>
        <v>0</v>
      </c>
      <c r="AQ611" s="27"/>
      <c r="AR611" s="27"/>
      <c r="AS611" s="45"/>
      <c r="AT611" s="27"/>
      <c r="AU611" s="27"/>
      <c r="AV611" s="27"/>
      <c r="AW611" s="45">
        <f>'Filter-old'!I688</f>
        <v>0</v>
      </c>
      <c r="AX611" s="27">
        <f>'Filter-new'!I688</f>
        <v>0</v>
      </c>
      <c r="AY611" s="27"/>
      <c r="AZ611" s="27"/>
      <c r="BA611" s="27"/>
      <c r="BB611" s="27"/>
      <c r="BC611" s="45">
        <f>'Filter-old'!K688</f>
        <v>0</v>
      </c>
      <c r="BD611" s="27">
        <f>'Filter-new'!K688</f>
        <v>0</v>
      </c>
      <c r="BE611" s="27"/>
      <c r="BF611" s="27"/>
      <c r="BG611" s="45">
        <f>'Filter-old'!M688</f>
        <v>0</v>
      </c>
      <c r="BH611" s="61"/>
      <c r="BI611" s="61"/>
      <c r="BJ611" s="27">
        <f>'Filter-new'!M688</f>
        <v>0</v>
      </c>
      <c r="BK611" s="27"/>
      <c r="BL611" s="27"/>
      <c r="BM611" s="27"/>
      <c r="BN611" s="423"/>
      <c r="BO611" s="27"/>
      <c r="BP611" s="27"/>
      <c r="BQ611" s="45">
        <f>'Filter-old'!O688</f>
        <v>0</v>
      </c>
      <c r="BR611" s="27">
        <f>'Filter-new'!O688</f>
        <v>0</v>
      </c>
      <c r="BS611" s="27"/>
      <c r="BT611" s="27"/>
      <c r="BU611" s="45">
        <f>'Filter-old'!Q688</f>
        <v>0</v>
      </c>
      <c r="BV611" s="27">
        <f>'Filter-new'!Q688</f>
        <v>0</v>
      </c>
      <c r="BW611" s="27"/>
      <c r="BX611" s="27"/>
      <c r="BY611" s="27"/>
      <c r="BZ611" s="27"/>
      <c r="CA611" s="45">
        <f>'Filter-old'!R688</f>
        <v>0</v>
      </c>
      <c r="CB611" s="27">
        <f>'Filter-new'!R688</f>
        <v>0</v>
      </c>
      <c r="CC611" s="4"/>
      <c r="CD611" s="4"/>
      <c r="CE611" s="4"/>
      <c r="CF611" s="4"/>
      <c r="CG611" s="4"/>
    </row>
    <row r="612" spans="1:85" hidden="1" x14ac:dyDescent="0.2">
      <c r="A612">
        <v>0</v>
      </c>
      <c r="B612" s="29">
        <v>38808</v>
      </c>
      <c r="C612" s="29">
        <f t="shared" si="82"/>
        <v>38808</v>
      </c>
      <c r="D612" s="29"/>
      <c r="E612" s="29"/>
      <c r="F612" s="29"/>
      <c r="G612" s="36">
        <f t="shared" si="80"/>
        <v>-50.9296875</v>
      </c>
      <c r="H612" s="36">
        <f t="shared" si="81"/>
        <v>-42.875</v>
      </c>
      <c r="I612" s="36"/>
      <c r="J612" s="41"/>
      <c r="K612" s="45">
        <f>'Filter-old'!E689</f>
        <v>22.940104166666668</v>
      </c>
      <c r="L612" s="27">
        <f>'Filter-new'!E689</f>
        <v>23.479166666666668</v>
      </c>
      <c r="M612" s="27"/>
      <c r="N612" s="27"/>
      <c r="O612" s="442"/>
      <c r="P612" s="27"/>
      <c r="Q612" s="45">
        <f>'Filter-old'!H689</f>
        <v>-73.869791666666671</v>
      </c>
      <c r="R612" s="27">
        <f>'Filter-new'!H689</f>
        <v>-66.354166666666671</v>
      </c>
      <c r="S612" s="27"/>
      <c r="T612" s="27"/>
      <c r="U612" s="459"/>
      <c r="V612" s="27"/>
      <c r="W612" s="45">
        <f>'Filter-old'!J689</f>
        <v>0</v>
      </c>
      <c r="X612" s="27">
        <f>'Filter-new'!J689</f>
        <v>0</v>
      </c>
      <c r="Y612" s="27"/>
      <c r="Z612" s="27"/>
      <c r="AA612" s="45">
        <f>'Filter-old'!F689</f>
        <v>0</v>
      </c>
      <c r="AB612" s="27">
        <f>'Filter-new'!F689</f>
        <v>0</v>
      </c>
      <c r="AC612" s="27"/>
      <c r="AD612" s="27"/>
      <c r="AE612" s="45">
        <f>'Filter-old'!P689</f>
        <v>0</v>
      </c>
      <c r="AF612" s="27">
        <f>'Filter-new'!P689</f>
        <v>0</v>
      </c>
      <c r="AG612" s="27"/>
      <c r="AH612" s="27"/>
      <c r="AI612" s="45">
        <f>'Filter-old'!L689</f>
        <v>0</v>
      </c>
      <c r="AJ612" s="27">
        <f>'Filter-new'!L689</f>
        <v>0</v>
      </c>
      <c r="AK612" s="27"/>
      <c r="AL612" s="27"/>
      <c r="AM612" s="27"/>
      <c r="AN612" s="27"/>
      <c r="AO612" s="45">
        <f>'Filter-old'!G689</f>
        <v>0</v>
      </c>
      <c r="AP612" s="27">
        <f>'Filter-new'!G689</f>
        <v>0</v>
      </c>
      <c r="AQ612" s="27"/>
      <c r="AR612" s="27"/>
      <c r="AS612" s="45"/>
      <c r="AT612" s="27"/>
      <c r="AU612" s="27"/>
      <c r="AV612" s="27"/>
      <c r="AW612" s="45">
        <f>'Filter-old'!I689</f>
        <v>0</v>
      </c>
      <c r="AX612" s="27">
        <f>'Filter-new'!I689</f>
        <v>0</v>
      </c>
      <c r="AY612" s="27"/>
      <c r="AZ612" s="27"/>
      <c r="BA612" s="27"/>
      <c r="BB612" s="27"/>
      <c r="BC612" s="45">
        <f>'Filter-old'!K689</f>
        <v>0</v>
      </c>
      <c r="BD612" s="27">
        <f>'Filter-new'!K689</f>
        <v>0</v>
      </c>
      <c r="BE612" s="27"/>
      <c r="BF612" s="27"/>
      <c r="BG612" s="45">
        <f>'Filter-old'!M689</f>
        <v>0</v>
      </c>
      <c r="BH612" s="61"/>
      <c r="BI612" s="61"/>
      <c r="BJ612" s="27">
        <f>'Filter-new'!M689</f>
        <v>0</v>
      </c>
      <c r="BK612" s="27"/>
      <c r="BL612" s="27"/>
      <c r="BM612" s="27"/>
      <c r="BN612" s="423"/>
      <c r="BO612" s="27"/>
      <c r="BP612" s="27"/>
      <c r="BQ612" s="45">
        <f>'Filter-old'!O689</f>
        <v>0</v>
      </c>
      <c r="BR612" s="27">
        <f>'Filter-new'!O689</f>
        <v>0</v>
      </c>
      <c r="BS612" s="27"/>
      <c r="BT612" s="27"/>
      <c r="BU612" s="45">
        <f>'Filter-old'!Q689</f>
        <v>0</v>
      </c>
      <c r="BV612" s="27">
        <f>'Filter-new'!Q689</f>
        <v>0</v>
      </c>
      <c r="BW612" s="27"/>
      <c r="BX612" s="27"/>
      <c r="BY612" s="27"/>
      <c r="BZ612" s="27"/>
      <c r="CA612" s="45">
        <f>'Filter-old'!R689</f>
        <v>0</v>
      </c>
      <c r="CB612" s="27">
        <f>'Filter-new'!R689</f>
        <v>0</v>
      </c>
      <c r="CC612" s="4"/>
      <c r="CD612" s="4"/>
      <c r="CE612" s="4"/>
      <c r="CF612" s="4"/>
      <c r="CG612" s="4"/>
    </row>
    <row r="613" spans="1:85" hidden="1" x14ac:dyDescent="0.2">
      <c r="A613">
        <v>0</v>
      </c>
      <c r="B613" s="29">
        <v>38838</v>
      </c>
      <c r="C613" s="29">
        <f t="shared" si="82"/>
        <v>38838</v>
      </c>
      <c r="D613" s="29"/>
      <c r="E613" s="29"/>
      <c r="F613" s="29"/>
      <c r="G613" s="36">
        <f t="shared" si="80"/>
        <v>-42</v>
      </c>
      <c r="H613" s="36">
        <f t="shared" si="81"/>
        <v>-38.204081632653065</v>
      </c>
      <c r="I613" s="36"/>
      <c r="J613" s="41"/>
      <c r="K613" s="45">
        <f>'Filter-old'!E690</f>
        <v>23</v>
      </c>
      <c r="L613" s="27">
        <f>'Filter-new'!E690</f>
        <v>22.530612244897959</v>
      </c>
      <c r="M613" s="27"/>
      <c r="N613" s="27"/>
      <c r="O613" s="442"/>
      <c r="P613" s="27"/>
      <c r="Q613" s="45">
        <f>'Filter-old'!H690</f>
        <v>-65</v>
      </c>
      <c r="R613" s="27">
        <f>'Filter-new'!H690</f>
        <v>-60.734693877551024</v>
      </c>
      <c r="S613" s="27"/>
      <c r="T613" s="27"/>
      <c r="U613" s="459"/>
      <c r="V613" s="27"/>
      <c r="W613" s="45">
        <f>'Filter-old'!J690</f>
        <v>0</v>
      </c>
      <c r="X613" s="27">
        <f>'Filter-new'!J690</f>
        <v>0</v>
      </c>
      <c r="Y613" s="27"/>
      <c r="Z613" s="27"/>
      <c r="AA613" s="45">
        <f>'Filter-old'!F690</f>
        <v>0</v>
      </c>
      <c r="AB613" s="27">
        <f>'Filter-new'!F690</f>
        <v>0</v>
      </c>
      <c r="AC613" s="27"/>
      <c r="AD613" s="27"/>
      <c r="AE613" s="45">
        <f>'Filter-old'!P690</f>
        <v>0</v>
      </c>
      <c r="AF613" s="27">
        <f>'Filter-new'!P690</f>
        <v>0</v>
      </c>
      <c r="AG613" s="27"/>
      <c r="AH613" s="27"/>
      <c r="AI613" s="45">
        <f>'Filter-old'!L690</f>
        <v>0</v>
      </c>
      <c r="AJ613" s="27">
        <f>'Filter-new'!L690</f>
        <v>0</v>
      </c>
      <c r="AK613" s="27"/>
      <c r="AL613" s="27"/>
      <c r="AM613" s="27"/>
      <c r="AN613" s="27"/>
      <c r="AO613" s="45">
        <f>'Filter-old'!G690</f>
        <v>0</v>
      </c>
      <c r="AP613" s="27">
        <f>'Filter-new'!G690</f>
        <v>0</v>
      </c>
      <c r="AQ613" s="27"/>
      <c r="AR613" s="27"/>
      <c r="AS613" s="45"/>
      <c r="AT613" s="27"/>
      <c r="AU613" s="27"/>
      <c r="AV613" s="27"/>
      <c r="AW613" s="45">
        <f>'Filter-old'!I690</f>
        <v>0</v>
      </c>
      <c r="AX613" s="27">
        <f>'Filter-new'!I690</f>
        <v>0</v>
      </c>
      <c r="AY613" s="27"/>
      <c r="AZ613" s="27"/>
      <c r="BA613" s="27"/>
      <c r="BB613" s="27"/>
      <c r="BC613" s="45">
        <f>'Filter-old'!K690</f>
        <v>0</v>
      </c>
      <c r="BD613" s="27">
        <f>'Filter-new'!K690</f>
        <v>0</v>
      </c>
      <c r="BE613" s="27"/>
      <c r="BF613" s="27"/>
      <c r="BG613" s="45">
        <f>'Filter-old'!M690</f>
        <v>0</v>
      </c>
      <c r="BH613" s="61"/>
      <c r="BI613" s="61"/>
      <c r="BJ613" s="27">
        <f>'Filter-new'!M690</f>
        <v>0</v>
      </c>
      <c r="BK613" s="27"/>
      <c r="BL613" s="27"/>
      <c r="BM613" s="27"/>
      <c r="BN613" s="423"/>
      <c r="BO613" s="27"/>
      <c r="BP613" s="27"/>
      <c r="BQ613" s="45">
        <f>'Filter-old'!O690</f>
        <v>0</v>
      </c>
      <c r="BR613" s="27">
        <f>'Filter-new'!O690</f>
        <v>0</v>
      </c>
      <c r="BS613" s="27"/>
      <c r="BT613" s="27"/>
      <c r="BU613" s="45">
        <f>'Filter-old'!Q690</f>
        <v>0</v>
      </c>
      <c r="BV613" s="27">
        <f>'Filter-new'!Q690</f>
        <v>0</v>
      </c>
      <c r="BW613" s="27"/>
      <c r="BX613" s="27"/>
      <c r="BY613" s="27"/>
      <c r="BZ613" s="27"/>
      <c r="CA613" s="45">
        <f>'Filter-old'!R690</f>
        <v>0</v>
      </c>
      <c r="CB613" s="27">
        <f>'Filter-new'!R690</f>
        <v>0</v>
      </c>
      <c r="CC613" s="4"/>
      <c r="CD613" s="4"/>
      <c r="CE613" s="4"/>
      <c r="CF613" s="4"/>
      <c r="CG613" s="4"/>
    </row>
    <row r="614" spans="1:85" hidden="1" x14ac:dyDescent="0.2">
      <c r="A614">
        <v>0</v>
      </c>
      <c r="B614" s="29">
        <v>38869</v>
      </c>
      <c r="C614" s="29">
        <f t="shared" si="82"/>
        <v>38869</v>
      </c>
      <c r="D614" s="29"/>
      <c r="E614" s="29"/>
      <c r="F614" s="29"/>
      <c r="G614" s="36">
        <f t="shared" si="80"/>
        <v>-39</v>
      </c>
      <c r="H614" s="36">
        <f t="shared" si="81"/>
        <v>-38.25</v>
      </c>
      <c r="I614" s="36"/>
      <c r="J614" s="41"/>
      <c r="K614" s="45">
        <f>'Filter-old'!E691</f>
        <v>23</v>
      </c>
      <c r="L614" s="27">
        <f>'Filter-new'!E691</f>
        <v>24.4375</v>
      </c>
      <c r="M614" s="27"/>
      <c r="N614" s="27"/>
      <c r="O614" s="442"/>
      <c r="P614" s="27"/>
      <c r="Q614" s="45">
        <f>'Filter-old'!H691</f>
        <v>-62</v>
      </c>
      <c r="R614" s="27">
        <f>'Filter-new'!H691</f>
        <v>-62.6875</v>
      </c>
      <c r="S614" s="27"/>
      <c r="T614" s="27"/>
      <c r="U614" s="459"/>
      <c r="V614" s="27"/>
      <c r="W614" s="45">
        <f>'Filter-old'!J691</f>
        <v>0</v>
      </c>
      <c r="X614" s="27">
        <f>'Filter-new'!J691</f>
        <v>0</v>
      </c>
      <c r="Y614" s="27"/>
      <c r="Z614" s="27"/>
      <c r="AA614" s="45">
        <f>'Filter-old'!F691</f>
        <v>0</v>
      </c>
      <c r="AB614" s="27">
        <f>'Filter-new'!F691</f>
        <v>0</v>
      </c>
      <c r="AC614" s="27"/>
      <c r="AD614" s="27"/>
      <c r="AE614" s="45">
        <f>'Filter-old'!P691</f>
        <v>0</v>
      </c>
      <c r="AF614" s="27">
        <f>'Filter-new'!P691</f>
        <v>0</v>
      </c>
      <c r="AG614" s="27"/>
      <c r="AH614" s="27"/>
      <c r="AI614" s="45">
        <f>'Filter-old'!L691</f>
        <v>0</v>
      </c>
      <c r="AJ614" s="27">
        <f>'Filter-new'!L691</f>
        <v>0</v>
      </c>
      <c r="AK614" s="27"/>
      <c r="AL614" s="27"/>
      <c r="AM614" s="27"/>
      <c r="AN614" s="27"/>
      <c r="AO614" s="45">
        <f>'Filter-old'!G691</f>
        <v>0</v>
      </c>
      <c r="AP614" s="27">
        <f>'Filter-new'!G691</f>
        <v>0</v>
      </c>
      <c r="AQ614" s="27"/>
      <c r="AR614" s="27"/>
      <c r="AS614" s="45"/>
      <c r="AT614" s="27"/>
      <c r="AU614" s="27"/>
      <c r="AV614" s="27"/>
      <c r="AW614" s="45">
        <f>'Filter-old'!I691</f>
        <v>0</v>
      </c>
      <c r="AX614" s="27">
        <f>'Filter-new'!I691</f>
        <v>0</v>
      </c>
      <c r="AY614" s="27"/>
      <c r="AZ614" s="27"/>
      <c r="BA614" s="27"/>
      <c r="BB614" s="27"/>
      <c r="BC614" s="45">
        <f>'Filter-old'!K691</f>
        <v>0</v>
      </c>
      <c r="BD614" s="27">
        <f>'Filter-new'!K691</f>
        <v>0</v>
      </c>
      <c r="BE614" s="27"/>
      <c r="BF614" s="27"/>
      <c r="BG614" s="45">
        <f>'Filter-old'!M691</f>
        <v>0</v>
      </c>
      <c r="BH614" s="61"/>
      <c r="BI614" s="61"/>
      <c r="BJ614" s="27">
        <f>'Filter-new'!M691</f>
        <v>0</v>
      </c>
      <c r="BK614" s="27"/>
      <c r="BL614" s="27"/>
      <c r="BM614" s="27"/>
      <c r="BN614" s="423"/>
      <c r="BO614" s="27"/>
      <c r="BP614" s="27"/>
      <c r="BQ614" s="45">
        <f>'Filter-old'!O691</f>
        <v>0</v>
      </c>
      <c r="BR614" s="27">
        <f>'Filter-new'!O691</f>
        <v>0</v>
      </c>
      <c r="BS614" s="27"/>
      <c r="BT614" s="27"/>
      <c r="BU614" s="45">
        <f>'Filter-old'!Q691</f>
        <v>0</v>
      </c>
      <c r="BV614" s="27">
        <f>'Filter-new'!Q691</f>
        <v>0</v>
      </c>
      <c r="BW614" s="27"/>
      <c r="BX614" s="27"/>
      <c r="BY614" s="27"/>
      <c r="BZ614" s="27"/>
      <c r="CA614" s="45">
        <f>'Filter-old'!R691</f>
        <v>0</v>
      </c>
      <c r="CB614" s="27">
        <f>'Filter-new'!R691</f>
        <v>0</v>
      </c>
      <c r="CC614" s="4"/>
      <c r="CD614" s="4"/>
      <c r="CE614" s="4"/>
      <c r="CF614" s="4"/>
      <c r="CG614" s="4"/>
    </row>
    <row r="615" spans="1:85" hidden="1" x14ac:dyDescent="0.2">
      <c r="A615">
        <v>0</v>
      </c>
      <c r="B615" s="29">
        <v>38899</v>
      </c>
      <c r="C615" s="29">
        <f t="shared" si="82"/>
        <v>38899</v>
      </c>
      <c r="D615" s="29"/>
      <c r="E615" s="29"/>
      <c r="F615" s="29"/>
      <c r="G615" s="36">
        <f t="shared" si="80"/>
        <v>-36</v>
      </c>
      <c r="H615" s="36">
        <f t="shared" si="81"/>
        <v>-33.176470588235297</v>
      </c>
      <c r="I615" s="36"/>
      <c r="J615" s="41"/>
      <c r="K615" s="45">
        <f>'Filter-old'!E692</f>
        <v>23</v>
      </c>
      <c r="L615" s="27">
        <f>'Filter-new'!E692</f>
        <v>21.196078431372548</v>
      </c>
      <c r="M615" s="27"/>
      <c r="N615" s="27"/>
      <c r="O615" s="442"/>
      <c r="P615" s="27"/>
      <c r="Q615" s="45">
        <f>'Filter-old'!H692</f>
        <v>-59</v>
      </c>
      <c r="R615" s="27">
        <f>'Filter-new'!H692</f>
        <v>-54.372549019607845</v>
      </c>
      <c r="S615" s="27"/>
      <c r="T615" s="27"/>
      <c r="U615" s="459"/>
      <c r="V615" s="27"/>
      <c r="W615" s="45">
        <f>'Filter-old'!J692</f>
        <v>0</v>
      </c>
      <c r="X615" s="27">
        <f>'Filter-new'!J692</f>
        <v>0</v>
      </c>
      <c r="Y615" s="27"/>
      <c r="Z615" s="27"/>
      <c r="AA615" s="45">
        <f>'Filter-old'!F692</f>
        <v>0</v>
      </c>
      <c r="AB615" s="27">
        <f>'Filter-new'!F692</f>
        <v>0</v>
      </c>
      <c r="AC615" s="27"/>
      <c r="AD615" s="27"/>
      <c r="AE615" s="45">
        <f>'Filter-old'!P692</f>
        <v>0</v>
      </c>
      <c r="AF615" s="27">
        <f>'Filter-new'!P692</f>
        <v>0</v>
      </c>
      <c r="AG615" s="27"/>
      <c r="AH615" s="27"/>
      <c r="AI615" s="45">
        <f>'Filter-old'!L692</f>
        <v>0</v>
      </c>
      <c r="AJ615" s="27">
        <f>'Filter-new'!L692</f>
        <v>0</v>
      </c>
      <c r="AK615" s="27"/>
      <c r="AL615" s="27"/>
      <c r="AM615" s="27"/>
      <c r="AN615" s="27"/>
      <c r="AO615" s="45">
        <f>'Filter-old'!G692</f>
        <v>0</v>
      </c>
      <c r="AP615" s="27">
        <f>'Filter-new'!G692</f>
        <v>0</v>
      </c>
      <c r="AQ615" s="27"/>
      <c r="AR615" s="27"/>
      <c r="AS615" s="45"/>
      <c r="AT615" s="27"/>
      <c r="AU615" s="27"/>
      <c r="AV615" s="27"/>
      <c r="AW615" s="45">
        <f>'Filter-old'!I692</f>
        <v>0</v>
      </c>
      <c r="AX615" s="27">
        <f>'Filter-new'!I692</f>
        <v>0</v>
      </c>
      <c r="AY615" s="27"/>
      <c r="AZ615" s="27"/>
      <c r="BA615" s="27"/>
      <c r="BB615" s="27"/>
      <c r="BC615" s="45">
        <f>'Filter-old'!K692</f>
        <v>0</v>
      </c>
      <c r="BD615" s="27">
        <f>'Filter-new'!K692</f>
        <v>0</v>
      </c>
      <c r="BE615" s="27"/>
      <c r="BF615" s="27"/>
      <c r="BG615" s="45">
        <f>'Filter-old'!M692</f>
        <v>0</v>
      </c>
      <c r="BH615" s="61"/>
      <c r="BI615" s="61"/>
      <c r="BJ615" s="27">
        <f>'Filter-new'!M692</f>
        <v>0</v>
      </c>
      <c r="BK615" s="27"/>
      <c r="BL615" s="27"/>
      <c r="BM615" s="27"/>
      <c r="BN615" s="423"/>
      <c r="BO615" s="27"/>
      <c r="BP615" s="27"/>
      <c r="BQ615" s="45">
        <f>'Filter-old'!O692</f>
        <v>0</v>
      </c>
      <c r="BR615" s="27">
        <f>'Filter-new'!O692</f>
        <v>0</v>
      </c>
      <c r="BS615" s="27"/>
      <c r="BT615" s="27"/>
      <c r="BU615" s="45">
        <f>'Filter-old'!Q692</f>
        <v>0</v>
      </c>
      <c r="BV615" s="27">
        <f>'Filter-new'!Q692</f>
        <v>0</v>
      </c>
      <c r="BW615" s="27"/>
      <c r="BX615" s="27"/>
      <c r="BY615" s="27"/>
      <c r="BZ615" s="27"/>
      <c r="CA615" s="45">
        <f>'Filter-old'!R692</f>
        <v>0</v>
      </c>
      <c r="CB615" s="27">
        <f>'Filter-new'!R692</f>
        <v>0</v>
      </c>
      <c r="CC615" s="4"/>
      <c r="CD615" s="4"/>
      <c r="CE615" s="4"/>
      <c r="CF615" s="4"/>
      <c r="CG615" s="4"/>
    </row>
    <row r="616" spans="1:85" hidden="1" x14ac:dyDescent="0.2">
      <c r="A616">
        <v>0</v>
      </c>
      <c r="B616" s="29">
        <v>38930</v>
      </c>
      <c r="C616" s="29">
        <f t="shared" si="82"/>
        <v>38930</v>
      </c>
      <c r="D616" s="29"/>
      <c r="E616" s="29"/>
      <c r="F616" s="29"/>
      <c r="G616" s="36">
        <f t="shared" si="80"/>
        <v>-36</v>
      </c>
      <c r="H616" s="36">
        <f t="shared" si="81"/>
        <v>-46.468085106382979</v>
      </c>
      <c r="I616" s="36"/>
      <c r="J616" s="41"/>
      <c r="K616" s="45">
        <f>'Filter-old'!E693</f>
        <v>23</v>
      </c>
      <c r="L616" s="27">
        <f>'Filter-new'!E693</f>
        <v>25.446808510638299</v>
      </c>
      <c r="M616" s="27"/>
      <c r="N616" s="27"/>
      <c r="O616" s="442"/>
      <c r="P616" s="27"/>
      <c r="Q616" s="45">
        <f>'Filter-old'!H693</f>
        <v>-59</v>
      </c>
      <c r="R616" s="27">
        <f>'Filter-new'!H693</f>
        <v>-71.914893617021278</v>
      </c>
      <c r="S616" s="27"/>
      <c r="T616" s="27"/>
      <c r="U616" s="459"/>
      <c r="V616" s="27"/>
      <c r="W616" s="45">
        <f>'Filter-old'!J693</f>
        <v>0</v>
      </c>
      <c r="X616" s="27">
        <f>'Filter-new'!J693</f>
        <v>0</v>
      </c>
      <c r="Y616" s="27"/>
      <c r="Z616" s="27"/>
      <c r="AA616" s="45">
        <f>'Filter-old'!F693</f>
        <v>0</v>
      </c>
      <c r="AB616" s="27">
        <f>'Filter-new'!F693</f>
        <v>0</v>
      </c>
      <c r="AC616" s="27"/>
      <c r="AD616" s="27"/>
      <c r="AE616" s="45">
        <f>'Filter-old'!P693</f>
        <v>0</v>
      </c>
      <c r="AF616" s="27">
        <f>'Filter-new'!P693</f>
        <v>0</v>
      </c>
      <c r="AG616" s="27"/>
      <c r="AH616" s="27"/>
      <c r="AI616" s="45">
        <f>'Filter-old'!L693</f>
        <v>0</v>
      </c>
      <c r="AJ616" s="27">
        <f>'Filter-new'!L693</f>
        <v>0</v>
      </c>
      <c r="AK616" s="27"/>
      <c r="AL616" s="27"/>
      <c r="AM616" s="27"/>
      <c r="AN616" s="27"/>
      <c r="AO616" s="45">
        <f>'Filter-old'!G693</f>
        <v>0</v>
      </c>
      <c r="AP616" s="27">
        <f>'Filter-new'!G693</f>
        <v>0</v>
      </c>
      <c r="AQ616" s="27"/>
      <c r="AR616" s="27"/>
      <c r="AS616" s="45"/>
      <c r="AT616" s="27"/>
      <c r="AU616" s="27"/>
      <c r="AV616" s="27"/>
      <c r="AW616" s="45">
        <f>'Filter-old'!I693</f>
        <v>0</v>
      </c>
      <c r="AX616" s="27">
        <f>'Filter-new'!I693</f>
        <v>0</v>
      </c>
      <c r="AY616" s="27"/>
      <c r="AZ616" s="27"/>
      <c r="BA616" s="27"/>
      <c r="BB616" s="27"/>
      <c r="BC616" s="45">
        <f>'Filter-old'!K693</f>
        <v>0</v>
      </c>
      <c r="BD616" s="27">
        <f>'Filter-new'!K693</f>
        <v>0</v>
      </c>
      <c r="BE616" s="27"/>
      <c r="BF616" s="27"/>
      <c r="BG616" s="45">
        <f>'Filter-old'!M693</f>
        <v>0</v>
      </c>
      <c r="BH616" s="61"/>
      <c r="BI616" s="61"/>
      <c r="BJ616" s="27">
        <f>'Filter-new'!M693</f>
        <v>0</v>
      </c>
      <c r="BK616" s="27"/>
      <c r="BL616" s="27"/>
      <c r="BM616" s="27"/>
      <c r="BN616" s="423"/>
      <c r="BO616" s="27"/>
      <c r="BP616" s="27"/>
      <c r="BQ616" s="45">
        <f>'Filter-old'!O693</f>
        <v>0</v>
      </c>
      <c r="BR616" s="27">
        <f>'Filter-new'!O693</f>
        <v>0</v>
      </c>
      <c r="BS616" s="27"/>
      <c r="BT616" s="27"/>
      <c r="BU616" s="45">
        <f>'Filter-old'!Q693</f>
        <v>0</v>
      </c>
      <c r="BV616" s="27">
        <f>'Filter-new'!Q693</f>
        <v>0</v>
      </c>
      <c r="BW616" s="27"/>
      <c r="BX616" s="27"/>
      <c r="BY616" s="27"/>
      <c r="BZ616" s="27"/>
      <c r="CA616" s="45">
        <f>'Filter-old'!R693</f>
        <v>0</v>
      </c>
      <c r="CB616" s="27">
        <f>'Filter-new'!R693</f>
        <v>0</v>
      </c>
      <c r="CC616" s="4"/>
      <c r="CD616" s="4"/>
      <c r="CE616" s="4"/>
      <c r="CF616" s="4"/>
      <c r="CG616" s="4"/>
    </row>
    <row r="617" spans="1:85" hidden="1" x14ac:dyDescent="0.2">
      <c r="A617">
        <v>0</v>
      </c>
      <c r="B617" s="29">
        <v>38961</v>
      </c>
      <c r="C617" s="29">
        <f t="shared" si="82"/>
        <v>38961</v>
      </c>
      <c r="D617" s="29"/>
      <c r="E617" s="29"/>
      <c r="F617" s="29"/>
      <c r="G617" s="36">
        <f t="shared" si="80"/>
        <v>-42</v>
      </c>
      <c r="H617" s="36">
        <f t="shared" si="81"/>
        <v>-38.93028846153846</v>
      </c>
      <c r="I617" s="36"/>
      <c r="J617" s="41"/>
      <c r="K617" s="45">
        <f>'Filter-old'!E694</f>
        <v>23</v>
      </c>
      <c r="L617" s="27">
        <f>'Filter-new'!E694</f>
        <v>20.84375</v>
      </c>
      <c r="M617" s="27"/>
      <c r="N617" s="27"/>
      <c r="O617" s="442"/>
      <c r="P617" s="27"/>
      <c r="Q617" s="45">
        <f>'Filter-old'!H694</f>
        <v>-65</v>
      </c>
      <c r="R617" s="27">
        <f>'Filter-new'!H694</f>
        <v>-59.77403846153846</v>
      </c>
      <c r="S617" s="27"/>
      <c r="T617" s="27"/>
      <c r="U617" s="459"/>
      <c r="V617" s="27"/>
      <c r="W617" s="45">
        <f>'Filter-old'!J694</f>
        <v>0</v>
      </c>
      <c r="X617" s="27">
        <f>'Filter-new'!J694</f>
        <v>0</v>
      </c>
      <c r="Y617" s="27"/>
      <c r="Z617" s="27"/>
      <c r="AA617" s="45">
        <f>'Filter-old'!F694</f>
        <v>0</v>
      </c>
      <c r="AB617" s="27">
        <f>'Filter-new'!F694</f>
        <v>0</v>
      </c>
      <c r="AC617" s="27"/>
      <c r="AD617" s="27"/>
      <c r="AE617" s="45">
        <f>'Filter-old'!P694</f>
        <v>0</v>
      </c>
      <c r="AF617" s="27">
        <f>'Filter-new'!P694</f>
        <v>0</v>
      </c>
      <c r="AG617" s="27"/>
      <c r="AH617" s="27"/>
      <c r="AI617" s="45">
        <f>'Filter-old'!L694</f>
        <v>0</v>
      </c>
      <c r="AJ617" s="27">
        <f>'Filter-new'!L694</f>
        <v>0</v>
      </c>
      <c r="AK617" s="27"/>
      <c r="AL617" s="27"/>
      <c r="AM617" s="27"/>
      <c r="AN617" s="27"/>
      <c r="AO617" s="45">
        <f>'Filter-old'!G694</f>
        <v>0</v>
      </c>
      <c r="AP617" s="27">
        <f>'Filter-new'!G694</f>
        <v>0</v>
      </c>
      <c r="AQ617" s="27"/>
      <c r="AR617" s="27"/>
      <c r="AS617" s="45"/>
      <c r="AT617" s="27"/>
      <c r="AU617" s="27"/>
      <c r="AV617" s="27"/>
      <c r="AW617" s="45">
        <f>'Filter-old'!I694</f>
        <v>0</v>
      </c>
      <c r="AX617" s="27">
        <f>'Filter-new'!I694</f>
        <v>0</v>
      </c>
      <c r="AY617" s="27"/>
      <c r="AZ617" s="27"/>
      <c r="BA617" s="27"/>
      <c r="BB617" s="27"/>
      <c r="BC617" s="45">
        <f>'Filter-old'!K694</f>
        <v>0</v>
      </c>
      <c r="BD617" s="27">
        <f>'Filter-new'!K694</f>
        <v>0</v>
      </c>
      <c r="BE617" s="27"/>
      <c r="BF617" s="27"/>
      <c r="BG617" s="45">
        <f>'Filter-old'!M694</f>
        <v>0</v>
      </c>
      <c r="BH617" s="61"/>
      <c r="BI617" s="61"/>
      <c r="BJ617" s="27">
        <f>'Filter-new'!M694</f>
        <v>0</v>
      </c>
      <c r="BK617" s="27"/>
      <c r="BL617" s="27"/>
      <c r="BM617" s="27"/>
      <c r="BN617" s="423"/>
      <c r="BO617" s="27"/>
      <c r="BP617" s="27"/>
      <c r="BQ617" s="45">
        <f>'Filter-old'!O694</f>
        <v>0</v>
      </c>
      <c r="BR617" s="27">
        <f>'Filter-new'!O694</f>
        <v>0</v>
      </c>
      <c r="BS617" s="27"/>
      <c r="BT617" s="27"/>
      <c r="BU617" s="45">
        <f>'Filter-old'!Q694</f>
        <v>0</v>
      </c>
      <c r="BV617" s="27">
        <f>'Filter-new'!Q694</f>
        <v>0</v>
      </c>
      <c r="BW617" s="27"/>
      <c r="BX617" s="27"/>
      <c r="BY617" s="27"/>
      <c r="BZ617" s="27"/>
      <c r="CA617" s="45">
        <f>'Filter-old'!R694</f>
        <v>0</v>
      </c>
      <c r="CB617" s="27">
        <f>'Filter-new'!R694</f>
        <v>0</v>
      </c>
      <c r="CC617" s="4"/>
      <c r="CD617" s="4"/>
      <c r="CE617" s="4"/>
      <c r="CF617" s="4"/>
      <c r="CG617" s="4"/>
    </row>
    <row r="618" spans="1:85" hidden="1" x14ac:dyDescent="0.2">
      <c r="A618">
        <v>0</v>
      </c>
      <c r="B618" s="29">
        <v>38991</v>
      </c>
      <c r="C618" s="29">
        <f t="shared" si="82"/>
        <v>38991</v>
      </c>
      <c r="D618" s="29"/>
      <c r="E618" s="29"/>
      <c r="F618" s="29"/>
      <c r="G618" s="36">
        <f t="shared" ref="G618:G649" si="83">SUM(K618,AA618,AO618,Q618,AW618,W618,BC618,AI618,BG618,BQ618,AE618,BU618,CA618)</f>
        <v>-43.071808510638292</v>
      </c>
      <c r="H618" s="36">
        <f t="shared" ref="H618:H649" si="84">SUM(L618,AB618,AP618,R618,AX618,X618,BD618,AJ618,BJ618,BR618,AF618,BV618,CB618)</f>
        <v>-52.085106382978729</v>
      </c>
      <c r="I618" s="36"/>
      <c r="J618" s="41"/>
      <c r="K618" s="45">
        <f>'Filter-old'!E695</f>
        <v>23.061170212765958</v>
      </c>
      <c r="L618" s="27">
        <f>'Filter-new'!E695</f>
        <v>23.48936170212766</v>
      </c>
      <c r="M618" s="27"/>
      <c r="N618" s="27"/>
      <c r="O618" s="442"/>
      <c r="P618" s="27"/>
      <c r="Q618" s="45">
        <f>'Filter-old'!H695</f>
        <v>-66.13297872340425</v>
      </c>
      <c r="R618" s="27">
        <f>'Filter-new'!H695</f>
        <v>-75.574468085106389</v>
      </c>
      <c r="S618" s="27"/>
      <c r="T618" s="27"/>
      <c r="U618" s="459"/>
      <c r="V618" s="27"/>
      <c r="W618" s="45">
        <f>'Filter-old'!J695</f>
        <v>0</v>
      </c>
      <c r="X618" s="27">
        <f>'Filter-new'!J695</f>
        <v>0</v>
      </c>
      <c r="Y618" s="27"/>
      <c r="Z618" s="27"/>
      <c r="AA618" s="45">
        <f>'Filter-old'!F695</f>
        <v>0</v>
      </c>
      <c r="AB618" s="27">
        <f>'Filter-new'!F695</f>
        <v>0</v>
      </c>
      <c r="AC618" s="27"/>
      <c r="AD618" s="27"/>
      <c r="AE618" s="45">
        <f>'Filter-old'!P695</f>
        <v>0</v>
      </c>
      <c r="AF618" s="27">
        <f>'Filter-new'!P695</f>
        <v>0</v>
      </c>
      <c r="AG618" s="27"/>
      <c r="AH618" s="27"/>
      <c r="AI618" s="45">
        <f>'Filter-old'!L695</f>
        <v>0</v>
      </c>
      <c r="AJ618" s="27">
        <f>'Filter-new'!L695</f>
        <v>0</v>
      </c>
      <c r="AK618" s="27"/>
      <c r="AL618" s="27"/>
      <c r="AM618" s="27"/>
      <c r="AN618" s="27"/>
      <c r="AO618" s="45">
        <f>'Filter-old'!G695</f>
        <v>0</v>
      </c>
      <c r="AP618" s="27">
        <f>'Filter-new'!G695</f>
        <v>0</v>
      </c>
      <c r="AQ618" s="27"/>
      <c r="AR618" s="27"/>
      <c r="AS618" s="45"/>
      <c r="AT618" s="27"/>
      <c r="AU618" s="27"/>
      <c r="AV618" s="27"/>
      <c r="AW618" s="45">
        <f>'Filter-old'!I695</f>
        <v>0</v>
      </c>
      <c r="AX618" s="27">
        <f>'Filter-new'!I695</f>
        <v>0</v>
      </c>
      <c r="AY618" s="27"/>
      <c r="AZ618" s="27"/>
      <c r="BA618" s="27"/>
      <c r="BB618" s="27"/>
      <c r="BC618" s="45">
        <f>'Filter-old'!K695</f>
        <v>0</v>
      </c>
      <c r="BD618" s="27">
        <f>'Filter-new'!K695</f>
        <v>0</v>
      </c>
      <c r="BE618" s="27"/>
      <c r="BF618" s="27"/>
      <c r="BG618" s="45">
        <f>'Filter-old'!M695</f>
        <v>0</v>
      </c>
      <c r="BH618" s="61"/>
      <c r="BI618" s="61"/>
      <c r="BJ618" s="27">
        <f>'Filter-new'!M695</f>
        <v>0</v>
      </c>
      <c r="BK618" s="27"/>
      <c r="BL618" s="27"/>
      <c r="BM618" s="27"/>
      <c r="BN618" s="423"/>
      <c r="BO618" s="27"/>
      <c r="BP618" s="27"/>
      <c r="BQ618" s="45">
        <f>'Filter-old'!O695</f>
        <v>0</v>
      </c>
      <c r="BR618" s="27">
        <f>'Filter-new'!O695</f>
        <v>0</v>
      </c>
      <c r="BS618" s="27"/>
      <c r="BT618" s="27"/>
      <c r="BU618" s="45">
        <f>'Filter-old'!Q695</f>
        <v>0</v>
      </c>
      <c r="BV618" s="27">
        <f>'Filter-new'!Q695</f>
        <v>0</v>
      </c>
      <c r="BW618" s="27"/>
      <c r="BX618" s="27"/>
      <c r="BY618" s="27"/>
      <c r="BZ618" s="27"/>
      <c r="CA618" s="45">
        <f>'Filter-old'!R695</f>
        <v>0</v>
      </c>
      <c r="CB618" s="27">
        <f>'Filter-new'!R695</f>
        <v>0</v>
      </c>
      <c r="CC618" s="4"/>
      <c r="CD618" s="4"/>
      <c r="CE618" s="4"/>
      <c r="CF618" s="4"/>
      <c r="CG618" s="4"/>
    </row>
    <row r="619" spans="1:85" hidden="1" x14ac:dyDescent="0.2">
      <c r="A619">
        <v>0</v>
      </c>
      <c r="B619" s="29">
        <v>39022</v>
      </c>
      <c r="C619" s="29">
        <f t="shared" ref="C619:C656" si="85">C210</f>
        <v>39022</v>
      </c>
      <c r="D619" s="29"/>
      <c r="E619" s="29"/>
      <c r="F619" s="29"/>
      <c r="G619" s="36">
        <f t="shared" si="83"/>
        <v>-51</v>
      </c>
      <c r="H619" s="36">
        <f t="shared" si="84"/>
        <v>-55.208333333333343</v>
      </c>
      <c r="I619" s="36"/>
      <c r="J619" s="41"/>
      <c r="K619" s="45">
        <f>'Filter-old'!E696</f>
        <v>23</v>
      </c>
      <c r="L619" s="27">
        <f>'Filter-new'!E696</f>
        <v>25.395833333333332</v>
      </c>
      <c r="M619" s="27"/>
      <c r="N619" s="27"/>
      <c r="O619" s="442"/>
      <c r="P619" s="27"/>
      <c r="Q619" s="45">
        <f>'Filter-old'!H696</f>
        <v>-74</v>
      </c>
      <c r="R619" s="27">
        <f>'Filter-new'!H696</f>
        <v>-80.604166666666671</v>
      </c>
      <c r="S619" s="27"/>
      <c r="T619" s="27"/>
      <c r="U619" s="459"/>
      <c r="V619" s="27"/>
      <c r="W619" s="45">
        <f>'Filter-old'!J696</f>
        <v>0</v>
      </c>
      <c r="X619" s="27">
        <f>'Filter-new'!J696</f>
        <v>0</v>
      </c>
      <c r="Y619" s="27"/>
      <c r="Z619" s="27"/>
      <c r="AA619" s="45">
        <f>'Filter-old'!F696</f>
        <v>0</v>
      </c>
      <c r="AB619" s="27">
        <f>'Filter-new'!F696</f>
        <v>0</v>
      </c>
      <c r="AC619" s="27"/>
      <c r="AD619" s="27"/>
      <c r="AE619" s="45">
        <f>'Filter-old'!P696</f>
        <v>0</v>
      </c>
      <c r="AF619" s="27">
        <f>'Filter-new'!P696</f>
        <v>0</v>
      </c>
      <c r="AG619" s="27"/>
      <c r="AH619" s="27"/>
      <c r="AI619" s="45">
        <f>'Filter-old'!L696</f>
        <v>0</v>
      </c>
      <c r="AJ619" s="27">
        <f>'Filter-new'!L696</f>
        <v>0</v>
      </c>
      <c r="AK619" s="27"/>
      <c r="AL619" s="27"/>
      <c r="AM619" s="27"/>
      <c r="AN619" s="27"/>
      <c r="AO619" s="45">
        <f>'Filter-old'!G696</f>
        <v>0</v>
      </c>
      <c r="AP619" s="27">
        <f>'Filter-new'!G696</f>
        <v>0</v>
      </c>
      <c r="AQ619" s="27"/>
      <c r="AR619" s="27"/>
      <c r="AS619" s="45"/>
      <c r="AT619" s="27"/>
      <c r="AU619" s="27"/>
      <c r="AV619" s="27"/>
      <c r="AW619" s="45">
        <f>'Filter-old'!I696</f>
        <v>0</v>
      </c>
      <c r="AX619" s="27">
        <f>'Filter-new'!I696</f>
        <v>0</v>
      </c>
      <c r="AY619" s="27"/>
      <c r="AZ619" s="27"/>
      <c r="BA619" s="27"/>
      <c r="BB619" s="27"/>
      <c r="BC619" s="45">
        <f>'Filter-old'!K696</f>
        <v>0</v>
      </c>
      <c r="BD619" s="27">
        <f>'Filter-new'!K696</f>
        <v>0</v>
      </c>
      <c r="BE619" s="27"/>
      <c r="BF619" s="27"/>
      <c r="BG619" s="45">
        <f>'Filter-old'!M696</f>
        <v>0</v>
      </c>
      <c r="BH619" s="61"/>
      <c r="BI619" s="61"/>
      <c r="BJ619" s="27">
        <f>'Filter-new'!M696</f>
        <v>0</v>
      </c>
      <c r="BK619" s="27"/>
      <c r="BL619" s="27"/>
      <c r="BM619" s="27"/>
      <c r="BN619" s="423"/>
      <c r="BO619" s="27"/>
      <c r="BP619" s="27"/>
      <c r="BQ619" s="45">
        <f>'Filter-old'!O696</f>
        <v>0</v>
      </c>
      <c r="BR619" s="27">
        <f>'Filter-new'!O696</f>
        <v>0</v>
      </c>
      <c r="BS619" s="27"/>
      <c r="BT619" s="27"/>
      <c r="BU619" s="45">
        <f>'Filter-old'!Q696</f>
        <v>0</v>
      </c>
      <c r="BV619" s="27">
        <f>'Filter-new'!Q696</f>
        <v>0</v>
      </c>
      <c r="BW619" s="27"/>
      <c r="BX619" s="27"/>
      <c r="BY619" s="27"/>
      <c r="BZ619" s="27"/>
      <c r="CA619" s="45">
        <f>'Filter-old'!R696</f>
        <v>0</v>
      </c>
      <c r="CB619" s="27">
        <f>'Filter-new'!R696</f>
        <v>0</v>
      </c>
      <c r="CC619" s="4"/>
      <c r="CD619" s="4"/>
      <c r="CE619" s="4"/>
      <c r="CF619" s="4"/>
      <c r="CG619" s="4"/>
    </row>
    <row r="620" spans="1:85" hidden="1" x14ac:dyDescent="0.2">
      <c r="A620">
        <v>0</v>
      </c>
      <c r="B620" s="29">
        <v>39052</v>
      </c>
      <c r="C620" s="29">
        <f t="shared" si="85"/>
        <v>39052</v>
      </c>
      <c r="D620" s="29"/>
      <c r="E620" s="29"/>
      <c r="F620" s="29"/>
      <c r="G620" s="36">
        <f t="shared" si="83"/>
        <v>-50</v>
      </c>
      <c r="H620" s="36">
        <f t="shared" si="84"/>
        <v>-140.52830188679246</v>
      </c>
      <c r="I620" s="36"/>
      <c r="J620" s="41"/>
      <c r="K620" s="45">
        <f>'Filter-old'!E697</f>
        <v>23</v>
      </c>
      <c r="L620" s="27">
        <f>'Filter-new'!E697</f>
        <v>-24.962264150943398</v>
      </c>
      <c r="M620" s="27"/>
      <c r="N620" s="27"/>
      <c r="O620" s="442"/>
      <c r="P620" s="27"/>
      <c r="Q620" s="45">
        <f>'Filter-old'!H697</f>
        <v>-73</v>
      </c>
      <c r="R620" s="27">
        <f>'Filter-new'!H697</f>
        <v>-69.339622641509436</v>
      </c>
      <c r="S620" s="27"/>
      <c r="T620" s="27"/>
      <c r="U620" s="459"/>
      <c r="V620" s="27"/>
      <c r="W620" s="45">
        <f>'Filter-old'!J697</f>
        <v>0</v>
      </c>
      <c r="X620" s="27">
        <f>'Filter-new'!J697</f>
        <v>0</v>
      </c>
      <c r="Y620" s="27"/>
      <c r="Z620" s="27"/>
      <c r="AA620" s="45">
        <f>'Filter-old'!F697</f>
        <v>0</v>
      </c>
      <c r="AB620" s="27">
        <f>'Filter-new'!F697</f>
        <v>0</v>
      </c>
      <c r="AC620" s="27"/>
      <c r="AD620" s="27"/>
      <c r="AE620" s="45">
        <f>'Filter-old'!P697</f>
        <v>0</v>
      </c>
      <c r="AF620" s="27">
        <f>'Filter-new'!P697</f>
        <v>0</v>
      </c>
      <c r="AG620" s="27"/>
      <c r="AH620" s="27"/>
      <c r="AI620" s="45">
        <f>'Filter-old'!L697</f>
        <v>0</v>
      </c>
      <c r="AJ620" s="27">
        <f>'Filter-new'!L697</f>
        <v>0</v>
      </c>
      <c r="AK620" s="27"/>
      <c r="AL620" s="27"/>
      <c r="AM620" s="27"/>
      <c r="AN620" s="27"/>
      <c r="AO620" s="45">
        <f>'Filter-old'!G697</f>
        <v>0</v>
      </c>
      <c r="AP620" s="27">
        <f>'Filter-new'!G697</f>
        <v>0</v>
      </c>
      <c r="AQ620" s="27"/>
      <c r="AR620" s="27"/>
      <c r="AS620" s="45"/>
      <c r="AT620" s="27"/>
      <c r="AU620" s="27"/>
      <c r="AV620" s="27"/>
      <c r="AW620" s="45">
        <f>'Filter-old'!I697</f>
        <v>0</v>
      </c>
      <c r="AX620" s="27">
        <f>'Filter-new'!I697</f>
        <v>-46.226415094339622</v>
      </c>
      <c r="AY620" s="27"/>
      <c r="AZ620" s="27"/>
      <c r="BA620" s="27"/>
      <c r="BB620" s="27"/>
      <c r="BC620" s="45">
        <f>'Filter-old'!K697</f>
        <v>0</v>
      </c>
      <c r="BD620" s="27">
        <f>'Filter-new'!K697</f>
        <v>0</v>
      </c>
      <c r="BE620" s="27"/>
      <c r="BF620" s="27"/>
      <c r="BG620" s="45">
        <f>'Filter-old'!M697</f>
        <v>0</v>
      </c>
      <c r="BH620" s="61"/>
      <c r="BI620" s="61"/>
      <c r="BJ620" s="27">
        <f>'Filter-new'!M697</f>
        <v>0</v>
      </c>
      <c r="BK620" s="27"/>
      <c r="BL620" s="27"/>
      <c r="BM620" s="27"/>
      <c r="BN620" s="423"/>
      <c r="BO620" s="27"/>
      <c r="BP620" s="27"/>
      <c r="BQ620" s="45">
        <f>'Filter-old'!O697</f>
        <v>0</v>
      </c>
      <c r="BR620" s="27">
        <f>'Filter-new'!O697</f>
        <v>0</v>
      </c>
      <c r="BS620" s="27"/>
      <c r="BT620" s="27"/>
      <c r="BU620" s="45">
        <f>'Filter-old'!Q697</f>
        <v>0</v>
      </c>
      <c r="BV620" s="27">
        <f>'Filter-new'!Q697</f>
        <v>0</v>
      </c>
      <c r="BW620" s="27"/>
      <c r="BX620" s="27"/>
      <c r="BY620" s="27"/>
      <c r="BZ620" s="27"/>
      <c r="CA620" s="45">
        <f>'Filter-old'!R697</f>
        <v>0</v>
      </c>
      <c r="CB620" s="27">
        <f>'Filter-new'!R697</f>
        <v>0</v>
      </c>
      <c r="CC620" s="4"/>
      <c r="CD620" s="4"/>
      <c r="CE620" s="4"/>
      <c r="CF620" s="4"/>
      <c r="CG620" s="4"/>
    </row>
    <row r="621" spans="1:85" hidden="1" x14ac:dyDescent="0.2">
      <c r="A621">
        <v>0</v>
      </c>
      <c r="B621" s="29">
        <v>39083</v>
      </c>
      <c r="C621" s="29">
        <f t="shared" si="85"/>
        <v>39083</v>
      </c>
      <c r="D621" s="29"/>
      <c r="E621" s="29"/>
      <c r="F621" s="29"/>
      <c r="G621" s="36">
        <f t="shared" si="83"/>
        <v>-102</v>
      </c>
      <c r="H621" s="36">
        <f t="shared" si="84"/>
        <v>-137.75510204081633</v>
      </c>
      <c r="I621" s="36"/>
      <c r="J621" s="41"/>
      <c r="K621" s="45">
        <f>'Filter-old'!E698</f>
        <v>-27</v>
      </c>
      <c r="L621" s="27">
        <f>'Filter-new'!E698</f>
        <v>-24.795918367346939</v>
      </c>
      <c r="M621" s="27"/>
      <c r="N621" s="27"/>
      <c r="O621" s="442"/>
      <c r="P621" s="27"/>
      <c r="Q621" s="45">
        <f>'Filter-old'!H698</f>
        <v>-75</v>
      </c>
      <c r="R621" s="27">
        <f>'Filter-new'!H698</f>
        <v>-67.040816326530617</v>
      </c>
      <c r="S621" s="27"/>
      <c r="T621" s="27"/>
      <c r="U621" s="459"/>
      <c r="V621" s="27"/>
      <c r="W621" s="45">
        <f>'Filter-old'!J698</f>
        <v>0</v>
      </c>
      <c r="X621" s="27">
        <f>'Filter-new'!J698</f>
        <v>0</v>
      </c>
      <c r="Y621" s="27"/>
      <c r="Z621" s="27"/>
      <c r="AA621" s="45">
        <f>'Filter-old'!F698</f>
        <v>0</v>
      </c>
      <c r="AB621" s="27">
        <f>'Filter-new'!F698</f>
        <v>0</v>
      </c>
      <c r="AC621" s="27"/>
      <c r="AD621" s="27"/>
      <c r="AE621" s="45">
        <f>'Filter-old'!P698</f>
        <v>0</v>
      </c>
      <c r="AF621" s="27">
        <f>'Filter-new'!P698</f>
        <v>0</v>
      </c>
      <c r="AG621" s="27"/>
      <c r="AH621" s="27"/>
      <c r="AI621" s="45">
        <f>'Filter-old'!L698</f>
        <v>0</v>
      </c>
      <c r="AJ621" s="27">
        <f>'Filter-new'!L698</f>
        <v>0</v>
      </c>
      <c r="AK621" s="27"/>
      <c r="AL621" s="27"/>
      <c r="AM621" s="27"/>
      <c r="AN621" s="27"/>
      <c r="AO621" s="45">
        <f>'Filter-old'!G698</f>
        <v>0</v>
      </c>
      <c r="AP621" s="27">
        <f>'Filter-new'!G698</f>
        <v>0</v>
      </c>
      <c r="AQ621" s="27"/>
      <c r="AR621" s="27"/>
      <c r="AS621" s="45"/>
      <c r="AT621" s="27"/>
      <c r="AU621" s="27"/>
      <c r="AV621" s="27"/>
      <c r="AW621" s="45">
        <f>'Filter-old'!I698</f>
        <v>0</v>
      </c>
      <c r="AX621" s="27">
        <f>'Filter-new'!I698</f>
        <v>-45.918367346938773</v>
      </c>
      <c r="AY621" s="27"/>
      <c r="AZ621" s="27"/>
      <c r="BA621" s="27"/>
      <c r="BB621" s="27"/>
      <c r="BC621" s="45">
        <f>'Filter-old'!K698</f>
        <v>0</v>
      </c>
      <c r="BD621" s="27">
        <f>'Filter-new'!K698</f>
        <v>0</v>
      </c>
      <c r="BE621" s="27"/>
      <c r="BF621" s="27"/>
      <c r="BG621" s="45">
        <f>'Filter-old'!M698</f>
        <v>0</v>
      </c>
      <c r="BH621" s="61"/>
      <c r="BI621" s="61"/>
      <c r="BJ621" s="27">
        <f>'Filter-new'!M698</f>
        <v>0</v>
      </c>
      <c r="BK621" s="27"/>
      <c r="BL621" s="27"/>
      <c r="BM621" s="27"/>
      <c r="BN621" s="423"/>
      <c r="BO621" s="27"/>
      <c r="BP621" s="27"/>
      <c r="BQ621" s="45">
        <f>'Filter-old'!O698</f>
        <v>0</v>
      </c>
      <c r="BR621" s="27">
        <f>'Filter-new'!O698</f>
        <v>0</v>
      </c>
      <c r="BS621" s="27"/>
      <c r="BT621" s="27"/>
      <c r="BU621" s="45">
        <f>'Filter-old'!Q698</f>
        <v>0</v>
      </c>
      <c r="BV621" s="27">
        <f>'Filter-new'!Q698</f>
        <v>0</v>
      </c>
      <c r="BW621" s="27"/>
      <c r="BX621" s="27"/>
      <c r="BY621" s="27"/>
      <c r="BZ621" s="27"/>
      <c r="CA621" s="45">
        <f>'Filter-old'!R698</f>
        <v>0</v>
      </c>
      <c r="CB621" s="27">
        <f>'Filter-new'!R698</f>
        <v>0</v>
      </c>
      <c r="CC621" s="4"/>
      <c r="CD621" s="4"/>
      <c r="CE621" s="4"/>
      <c r="CF621" s="4"/>
      <c r="CG621" s="4"/>
    </row>
    <row r="622" spans="1:85" hidden="1" x14ac:dyDescent="0.2">
      <c r="A622">
        <v>0</v>
      </c>
      <c r="B622" s="29">
        <v>39114</v>
      </c>
      <c r="C622" s="29">
        <f t="shared" si="85"/>
        <v>39114</v>
      </c>
      <c r="D622" s="29"/>
      <c r="E622" s="29"/>
      <c r="F622" s="29"/>
      <c r="G622" s="36">
        <f t="shared" si="83"/>
        <v>-100</v>
      </c>
      <c r="H622" s="36">
        <f t="shared" si="84"/>
        <v>-172.26666666666665</v>
      </c>
      <c r="I622" s="36"/>
      <c r="J622" s="41"/>
      <c r="K622" s="45">
        <f>'Filter-old'!E699</f>
        <v>-27</v>
      </c>
      <c r="L622" s="27">
        <f>'Filter-new'!E699</f>
        <v>-30.6</v>
      </c>
      <c r="M622" s="27"/>
      <c r="N622" s="27"/>
      <c r="O622" s="442"/>
      <c r="P622" s="27"/>
      <c r="Q622" s="45">
        <f>'Filter-old'!H699</f>
        <v>-73</v>
      </c>
      <c r="R622" s="27">
        <f>'Filter-new'!H699</f>
        <v>-85</v>
      </c>
      <c r="S622" s="27"/>
      <c r="T622" s="27"/>
      <c r="U622" s="459"/>
      <c r="V622" s="27"/>
      <c r="W622" s="45">
        <f>'Filter-old'!J699</f>
        <v>0</v>
      </c>
      <c r="X622" s="27">
        <f>'Filter-new'!J699</f>
        <v>0</v>
      </c>
      <c r="Y622" s="27"/>
      <c r="Z622" s="27"/>
      <c r="AA622" s="45">
        <f>'Filter-old'!F699</f>
        <v>0</v>
      </c>
      <c r="AB622" s="27">
        <f>'Filter-new'!F699</f>
        <v>0</v>
      </c>
      <c r="AC622" s="27"/>
      <c r="AD622" s="27"/>
      <c r="AE622" s="45">
        <f>'Filter-old'!P699</f>
        <v>0</v>
      </c>
      <c r="AF622" s="27">
        <f>'Filter-new'!P699</f>
        <v>0</v>
      </c>
      <c r="AG622" s="27"/>
      <c r="AH622" s="27"/>
      <c r="AI622" s="45">
        <f>'Filter-old'!L699</f>
        <v>0</v>
      </c>
      <c r="AJ622" s="27">
        <f>'Filter-new'!L699</f>
        <v>0</v>
      </c>
      <c r="AK622" s="27"/>
      <c r="AL622" s="27"/>
      <c r="AM622" s="27"/>
      <c r="AN622" s="27"/>
      <c r="AO622" s="45">
        <f>'Filter-old'!G699</f>
        <v>0</v>
      </c>
      <c r="AP622" s="27">
        <f>'Filter-new'!G699</f>
        <v>0</v>
      </c>
      <c r="AQ622" s="27"/>
      <c r="AR622" s="27"/>
      <c r="AS622" s="45"/>
      <c r="AT622" s="27"/>
      <c r="AU622" s="27"/>
      <c r="AV622" s="27"/>
      <c r="AW622" s="45">
        <f>'Filter-old'!I699</f>
        <v>0</v>
      </c>
      <c r="AX622" s="27">
        <f>'Filter-new'!I699</f>
        <v>-56.666666666666664</v>
      </c>
      <c r="AY622" s="27"/>
      <c r="AZ622" s="27"/>
      <c r="BA622" s="27"/>
      <c r="BB622" s="27"/>
      <c r="BC622" s="45">
        <f>'Filter-old'!K699</f>
        <v>0</v>
      </c>
      <c r="BD622" s="27">
        <f>'Filter-new'!K699</f>
        <v>0</v>
      </c>
      <c r="BE622" s="27"/>
      <c r="BF622" s="27"/>
      <c r="BG622" s="45">
        <f>'Filter-old'!M699</f>
        <v>0</v>
      </c>
      <c r="BH622" s="61"/>
      <c r="BI622" s="61"/>
      <c r="BJ622" s="27">
        <f>'Filter-new'!M699</f>
        <v>0</v>
      </c>
      <c r="BK622" s="27"/>
      <c r="BL622" s="27"/>
      <c r="BM622" s="27"/>
      <c r="BN622" s="423"/>
      <c r="BO622" s="27"/>
      <c r="BP622" s="27"/>
      <c r="BQ622" s="45">
        <f>'Filter-old'!O699</f>
        <v>0</v>
      </c>
      <c r="BR622" s="27">
        <f>'Filter-new'!O699</f>
        <v>0</v>
      </c>
      <c r="BS622" s="27"/>
      <c r="BT622" s="27"/>
      <c r="BU622" s="45">
        <f>'Filter-old'!Q699</f>
        <v>0</v>
      </c>
      <c r="BV622" s="27">
        <f>'Filter-new'!Q699</f>
        <v>0</v>
      </c>
      <c r="BW622" s="27"/>
      <c r="BX622" s="27"/>
      <c r="BY622" s="27"/>
      <c r="BZ622" s="27"/>
      <c r="CA622" s="45">
        <f>'Filter-old'!R699</f>
        <v>0</v>
      </c>
      <c r="CB622" s="27">
        <f>'Filter-new'!R699</f>
        <v>0</v>
      </c>
      <c r="CC622" s="4"/>
      <c r="CD622" s="4"/>
      <c r="CE622" s="4"/>
      <c r="CF622" s="4"/>
      <c r="CG622" s="4"/>
    </row>
    <row r="623" spans="1:85" hidden="1" x14ac:dyDescent="0.2">
      <c r="A623">
        <v>0</v>
      </c>
      <c r="B623" s="29">
        <v>39142</v>
      </c>
      <c r="C623" s="29">
        <f t="shared" si="85"/>
        <v>39142</v>
      </c>
      <c r="D623" s="29"/>
      <c r="E623" s="29"/>
      <c r="F623" s="29"/>
      <c r="G623" s="36">
        <f t="shared" si="83"/>
        <v>-102</v>
      </c>
      <c r="H623" s="36">
        <f t="shared" si="84"/>
        <v>-135.88480392156862</v>
      </c>
      <c r="I623" s="36"/>
      <c r="J623" s="41"/>
      <c r="K623" s="45">
        <f>'Filter-old'!E700</f>
        <v>-27</v>
      </c>
      <c r="L623" s="27">
        <f>'Filter-new'!E700</f>
        <v>-24.286764705882351</v>
      </c>
      <c r="M623" s="27"/>
      <c r="N623" s="27"/>
      <c r="O623" s="442"/>
      <c r="P623" s="27"/>
      <c r="Q623" s="45">
        <f>'Filter-old'!H700</f>
        <v>-75</v>
      </c>
      <c r="R623" s="27">
        <f>'Filter-new'!H700</f>
        <v>-66.622549019607845</v>
      </c>
      <c r="S623" s="27"/>
      <c r="T623" s="27"/>
      <c r="U623" s="459"/>
      <c r="V623" s="27"/>
      <c r="W623" s="45">
        <f>'Filter-old'!J700</f>
        <v>0</v>
      </c>
      <c r="X623" s="27">
        <f>'Filter-new'!J700</f>
        <v>0</v>
      </c>
      <c r="Y623" s="27"/>
      <c r="Z623" s="27"/>
      <c r="AA623" s="45">
        <f>'Filter-old'!F700</f>
        <v>0</v>
      </c>
      <c r="AB623" s="27">
        <f>'Filter-new'!F700</f>
        <v>0</v>
      </c>
      <c r="AC623" s="27"/>
      <c r="AD623" s="27"/>
      <c r="AE623" s="45">
        <f>'Filter-old'!P700</f>
        <v>0</v>
      </c>
      <c r="AF623" s="27">
        <f>'Filter-new'!P700</f>
        <v>0</v>
      </c>
      <c r="AG623" s="27"/>
      <c r="AH623" s="27"/>
      <c r="AI623" s="45">
        <f>'Filter-old'!L700</f>
        <v>0</v>
      </c>
      <c r="AJ623" s="27">
        <f>'Filter-new'!L700</f>
        <v>0</v>
      </c>
      <c r="AK623" s="27"/>
      <c r="AL623" s="27"/>
      <c r="AM623" s="27"/>
      <c r="AN623" s="27"/>
      <c r="AO623" s="45">
        <f>'Filter-old'!G700</f>
        <v>0</v>
      </c>
      <c r="AP623" s="27">
        <f>'Filter-new'!G700</f>
        <v>0</v>
      </c>
      <c r="AQ623" s="27"/>
      <c r="AR623" s="27"/>
      <c r="AS623" s="45"/>
      <c r="AT623" s="27"/>
      <c r="AU623" s="27"/>
      <c r="AV623" s="27"/>
      <c r="AW623" s="45">
        <f>'Filter-old'!I700</f>
        <v>0</v>
      </c>
      <c r="AX623" s="27">
        <f>'Filter-new'!I700</f>
        <v>-44.975490196078432</v>
      </c>
      <c r="AY623" s="27"/>
      <c r="AZ623" s="27"/>
      <c r="BA623" s="27"/>
      <c r="BB623" s="27"/>
      <c r="BC623" s="45">
        <f>'Filter-old'!K700</f>
        <v>0</v>
      </c>
      <c r="BD623" s="27">
        <f>'Filter-new'!K700</f>
        <v>0</v>
      </c>
      <c r="BE623" s="27"/>
      <c r="BF623" s="27"/>
      <c r="BG623" s="45">
        <f>'Filter-old'!M700</f>
        <v>0</v>
      </c>
      <c r="BH623" s="61"/>
      <c r="BI623" s="61"/>
      <c r="BJ623" s="27">
        <f>'Filter-new'!M700</f>
        <v>0</v>
      </c>
      <c r="BK623" s="27"/>
      <c r="BL623" s="27"/>
      <c r="BM623" s="27"/>
      <c r="BN623" s="423"/>
      <c r="BO623" s="27"/>
      <c r="BP623" s="27"/>
      <c r="BQ623" s="45">
        <f>'Filter-old'!O700</f>
        <v>0</v>
      </c>
      <c r="BR623" s="27">
        <f>'Filter-new'!O700</f>
        <v>0</v>
      </c>
      <c r="BS623" s="27"/>
      <c r="BT623" s="27"/>
      <c r="BU623" s="45">
        <f>'Filter-old'!Q700</f>
        <v>0</v>
      </c>
      <c r="BV623" s="27">
        <f>'Filter-new'!Q700</f>
        <v>0</v>
      </c>
      <c r="BW623" s="27"/>
      <c r="BX623" s="27"/>
      <c r="BY623" s="27"/>
      <c r="BZ623" s="27"/>
      <c r="CA623" s="45">
        <f>'Filter-old'!R700</f>
        <v>0</v>
      </c>
      <c r="CB623" s="27">
        <f>'Filter-new'!R700</f>
        <v>0</v>
      </c>
      <c r="CC623" s="4"/>
      <c r="CD623" s="4"/>
      <c r="CE623" s="4"/>
      <c r="CF623" s="4"/>
      <c r="CG623" s="4"/>
    </row>
    <row r="624" spans="1:85" hidden="1" x14ac:dyDescent="0.2">
      <c r="A624">
        <v>0</v>
      </c>
      <c r="B624" s="29">
        <v>39173</v>
      </c>
      <c r="C624" s="29">
        <f t="shared" si="85"/>
        <v>39173</v>
      </c>
      <c r="D624" s="29"/>
      <c r="E624" s="29"/>
      <c r="F624" s="29"/>
      <c r="G624" s="36">
        <f t="shared" si="83"/>
        <v>-100.79076086956522</v>
      </c>
      <c r="H624" s="36">
        <f t="shared" si="84"/>
        <v>-157.43478260869566</v>
      </c>
      <c r="I624" s="36"/>
      <c r="J624" s="41"/>
      <c r="K624" s="45">
        <f>'Filter-old'!E701</f>
        <v>-26.926630434782609</v>
      </c>
      <c r="L624" s="27">
        <f>'Filter-new'!E701</f>
        <v>-29.934782608695652</v>
      </c>
      <c r="M624" s="27"/>
      <c r="N624" s="27"/>
      <c r="O624" s="442"/>
      <c r="P624" s="27"/>
      <c r="Q624" s="45">
        <f>'Filter-old'!H701</f>
        <v>-73.864130434782609</v>
      </c>
      <c r="R624" s="27">
        <f>'Filter-new'!H701</f>
        <v>-72.065217391304344</v>
      </c>
      <c r="S624" s="27"/>
      <c r="T624" s="27"/>
      <c r="U624" s="459"/>
      <c r="V624" s="27"/>
      <c r="W624" s="45">
        <f>'Filter-old'!J701</f>
        <v>0</v>
      </c>
      <c r="X624" s="27">
        <f>'Filter-new'!J701</f>
        <v>0</v>
      </c>
      <c r="Y624" s="27"/>
      <c r="Z624" s="27"/>
      <c r="AA624" s="45">
        <f>'Filter-old'!F701</f>
        <v>0</v>
      </c>
      <c r="AB624" s="27">
        <f>'Filter-new'!F701</f>
        <v>0</v>
      </c>
      <c r="AC624" s="27"/>
      <c r="AD624" s="27"/>
      <c r="AE624" s="45">
        <f>'Filter-old'!P701</f>
        <v>0</v>
      </c>
      <c r="AF624" s="27">
        <f>'Filter-new'!P701</f>
        <v>0</v>
      </c>
      <c r="AG624" s="27"/>
      <c r="AH624" s="27"/>
      <c r="AI624" s="45">
        <f>'Filter-old'!L701</f>
        <v>0</v>
      </c>
      <c r="AJ624" s="27">
        <f>'Filter-new'!L701</f>
        <v>0</v>
      </c>
      <c r="AK624" s="27"/>
      <c r="AL624" s="27"/>
      <c r="AM624" s="27"/>
      <c r="AN624" s="27"/>
      <c r="AO624" s="45">
        <f>'Filter-old'!G701</f>
        <v>0</v>
      </c>
      <c r="AP624" s="27">
        <f>'Filter-new'!G701</f>
        <v>0</v>
      </c>
      <c r="AQ624" s="27"/>
      <c r="AR624" s="27"/>
      <c r="AS624" s="45"/>
      <c r="AT624" s="27"/>
      <c r="AU624" s="27"/>
      <c r="AV624" s="27"/>
      <c r="AW624" s="45">
        <f>'Filter-old'!I701</f>
        <v>0</v>
      </c>
      <c r="AX624" s="27">
        <f>'Filter-new'!I701</f>
        <v>-55.434782608695649</v>
      </c>
      <c r="AY624" s="27"/>
      <c r="AZ624" s="27"/>
      <c r="BA624" s="27"/>
      <c r="BB624" s="27"/>
      <c r="BC624" s="45">
        <f>'Filter-old'!K701</f>
        <v>0</v>
      </c>
      <c r="BD624" s="27">
        <f>'Filter-new'!K701</f>
        <v>0</v>
      </c>
      <c r="BE624" s="27"/>
      <c r="BF624" s="27"/>
      <c r="BG624" s="45">
        <f>'Filter-old'!M701</f>
        <v>0</v>
      </c>
      <c r="BH624" s="61"/>
      <c r="BI624" s="61"/>
      <c r="BJ624" s="27">
        <f>'Filter-new'!M701</f>
        <v>0</v>
      </c>
      <c r="BK624" s="27"/>
      <c r="BL624" s="27"/>
      <c r="BM624" s="27"/>
      <c r="BN624" s="423"/>
      <c r="BO624" s="27"/>
      <c r="BP624" s="27"/>
      <c r="BQ624" s="45">
        <f>'Filter-old'!O701</f>
        <v>0</v>
      </c>
      <c r="BR624" s="27">
        <f>'Filter-new'!O701</f>
        <v>0</v>
      </c>
      <c r="BS624" s="27"/>
      <c r="BT624" s="27"/>
      <c r="BU624" s="45">
        <f>'Filter-old'!Q701</f>
        <v>0</v>
      </c>
      <c r="BV624" s="27">
        <f>'Filter-new'!Q701</f>
        <v>0</v>
      </c>
      <c r="BW624" s="27"/>
      <c r="BX624" s="27"/>
      <c r="BY624" s="27"/>
      <c r="BZ624" s="27"/>
      <c r="CA624" s="45">
        <f>'Filter-old'!R701</f>
        <v>0</v>
      </c>
      <c r="CB624" s="27">
        <f>'Filter-new'!R701</f>
        <v>0</v>
      </c>
      <c r="CC624" s="4"/>
      <c r="CD624" s="4"/>
      <c r="CE624" s="4"/>
      <c r="CF624" s="4"/>
      <c r="CG624" s="4"/>
    </row>
    <row r="625" spans="1:85" hidden="1" x14ac:dyDescent="0.2">
      <c r="A625">
        <v>0</v>
      </c>
      <c r="B625" s="29">
        <v>39203</v>
      </c>
      <c r="C625" s="29">
        <f t="shared" si="85"/>
        <v>39203</v>
      </c>
      <c r="D625" s="29"/>
      <c r="E625" s="29"/>
      <c r="F625" s="29"/>
      <c r="G625" s="36">
        <f t="shared" si="83"/>
        <v>-92</v>
      </c>
      <c r="H625" s="36">
        <f t="shared" si="84"/>
        <v>-130.8235294117647</v>
      </c>
      <c r="I625" s="36"/>
      <c r="J625" s="41"/>
      <c r="K625" s="45">
        <f>'Filter-old'!E702</f>
        <v>-27</v>
      </c>
      <c r="L625" s="27">
        <f>'Filter-new'!E702</f>
        <v>-25.411764705882351</v>
      </c>
      <c r="M625" s="27"/>
      <c r="N625" s="27"/>
      <c r="O625" s="442"/>
      <c r="P625" s="27"/>
      <c r="Q625" s="45">
        <f>'Filter-old'!H702</f>
        <v>-65</v>
      </c>
      <c r="R625" s="27">
        <f>'Filter-new'!H702</f>
        <v>-58.352941176470587</v>
      </c>
      <c r="S625" s="27"/>
      <c r="T625" s="27"/>
      <c r="U625" s="459"/>
      <c r="V625" s="27"/>
      <c r="W625" s="45">
        <f>'Filter-old'!J702</f>
        <v>0</v>
      </c>
      <c r="X625" s="27">
        <f>'Filter-new'!J702</f>
        <v>0</v>
      </c>
      <c r="Y625" s="27"/>
      <c r="Z625" s="27"/>
      <c r="AA625" s="45">
        <f>'Filter-old'!F702</f>
        <v>0</v>
      </c>
      <c r="AB625" s="27">
        <f>'Filter-new'!F702</f>
        <v>0</v>
      </c>
      <c r="AC625" s="27"/>
      <c r="AD625" s="27"/>
      <c r="AE625" s="45">
        <f>'Filter-old'!P702</f>
        <v>0</v>
      </c>
      <c r="AF625" s="27">
        <f>'Filter-new'!P702</f>
        <v>0</v>
      </c>
      <c r="AG625" s="27"/>
      <c r="AH625" s="27"/>
      <c r="AI625" s="45">
        <f>'Filter-old'!L702</f>
        <v>0</v>
      </c>
      <c r="AJ625" s="27">
        <f>'Filter-new'!L702</f>
        <v>0</v>
      </c>
      <c r="AK625" s="27"/>
      <c r="AL625" s="27"/>
      <c r="AM625" s="27"/>
      <c r="AN625" s="27"/>
      <c r="AO625" s="45">
        <f>'Filter-old'!G702</f>
        <v>0</v>
      </c>
      <c r="AP625" s="27">
        <f>'Filter-new'!G702</f>
        <v>0</v>
      </c>
      <c r="AQ625" s="27"/>
      <c r="AR625" s="27"/>
      <c r="AS625" s="45"/>
      <c r="AT625" s="27"/>
      <c r="AU625" s="27"/>
      <c r="AV625" s="27"/>
      <c r="AW625" s="45">
        <f>'Filter-old'!I702</f>
        <v>0</v>
      </c>
      <c r="AX625" s="27">
        <f>'Filter-new'!I702</f>
        <v>-47.058823529411768</v>
      </c>
      <c r="AY625" s="27"/>
      <c r="AZ625" s="27"/>
      <c r="BA625" s="27"/>
      <c r="BB625" s="27"/>
      <c r="BC625" s="45">
        <f>'Filter-old'!K702</f>
        <v>0</v>
      </c>
      <c r="BD625" s="27">
        <f>'Filter-new'!K702</f>
        <v>0</v>
      </c>
      <c r="BE625" s="27"/>
      <c r="BF625" s="27"/>
      <c r="BG625" s="45">
        <f>'Filter-old'!M702</f>
        <v>0</v>
      </c>
      <c r="BH625" s="61"/>
      <c r="BI625" s="61"/>
      <c r="BJ625" s="27">
        <f>'Filter-new'!M702</f>
        <v>0</v>
      </c>
      <c r="BK625" s="27"/>
      <c r="BL625" s="27"/>
      <c r="BM625" s="27"/>
      <c r="BN625" s="423"/>
      <c r="BO625" s="27"/>
      <c r="BP625" s="27"/>
      <c r="BQ625" s="45">
        <f>'Filter-old'!O702</f>
        <v>0</v>
      </c>
      <c r="BR625" s="27">
        <f>'Filter-new'!O702</f>
        <v>0</v>
      </c>
      <c r="BS625" s="27"/>
      <c r="BT625" s="27"/>
      <c r="BU625" s="45">
        <f>'Filter-old'!Q702</f>
        <v>0</v>
      </c>
      <c r="BV625" s="27">
        <f>'Filter-new'!Q702</f>
        <v>0</v>
      </c>
      <c r="BW625" s="27"/>
      <c r="BX625" s="27"/>
      <c r="BY625" s="27"/>
      <c r="BZ625" s="27"/>
      <c r="CA625" s="45">
        <f>'Filter-old'!R702</f>
        <v>0</v>
      </c>
      <c r="CB625" s="27">
        <f>'Filter-new'!R702</f>
        <v>0</v>
      </c>
      <c r="CC625" s="4"/>
      <c r="CD625" s="4"/>
      <c r="CE625" s="4"/>
      <c r="CF625" s="4"/>
      <c r="CG625" s="4"/>
    </row>
    <row r="626" spans="1:85" hidden="1" x14ac:dyDescent="0.2">
      <c r="A626">
        <v>0</v>
      </c>
      <c r="B626" s="29">
        <v>39234</v>
      </c>
      <c r="C626" s="29">
        <f t="shared" si="85"/>
        <v>39234</v>
      </c>
      <c r="D626" s="29"/>
      <c r="E626" s="29"/>
      <c r="F626" s="29"/>
      <c r="G626" s="36">
        <f t="shared" si="83"/>
        <v>-89</v>
      </c>
      <c r="H626" s="36">
        <f t="shared" si="84"/>
        <v>-138.83333333333331</v>
      </c>
      <c r="I626" s="36"/>
      <c r="J626" s="41"/>
      <c r="K626" s="45">
        <f>'Filter-old'!E703</f>
        <v>-27</v>
      </c>
      <c r="L626" s="27">
        <f>'Filter-new'!E703</f>
        <v>-27.5625</v>
      </c>
      <c r="M626" s="27"/>
      <c r="N626" s="27"/>
      <c r="O626" s="442"/>
      <c r="P626" s="27"/>
      <c r="Q626" s="45">
        <f>'Filter-old'!H703</f>
        <v>-62</v>
      </c>
      <c r="R626" s="27">
        <f>'Filter-new'!H703</f>
        <v>-60.229166666666664</v>
      </c>
      <c r="S626" s="27"/>
      <c r="T626" s="27"/>
      <c r="U626" s="459"/>
      <c r="V626" s="27"/>
      <c r="W626" s="45">
        <f>'Filter-old'!J703</f>
        <v>0</v>
      </c>
      <c r="X626" s="27">
        <f>'Filter-new'!J703</f>
        <v>0</v>
      </c>
      <c r="Y626" s="27"/>
      <c r="Z626" s="27"/>
      <c r="AA626" s="45">
        <f>'Filter-old'!F703</f>
        <v>0</v>
      </c>
      <c r="AB626" s="27">
        <f>'Filter-new'!F703</f>
        <v>0</v>
      </c>
      <c r="AC626" s="27"/>
      <c r="AD626" s="27"/>
      <c r="AE626" s="45">
        <f>'Filter-old'!P703</f>
        <v>0</v>
      </c>
      <c r="AF626" s="27">
        <f>'Filter-new'!P703</f>
        <v>0</v>
      </c>
      <c r="AG626" s="27"/>
      <c r="AH626" s="27"/>
      <c r="AI626" s="45">
        <f>'Filter-old'!L703</f>
        <v>0</v>
      </c>
      <c r="AJ626" s="27">
        <f>'Filter-new'!L703</f>
        <v>0</v>
      </c>
      <c r="AK626" s="27"/>
      <c r="AL626" s="27"/>
      <c r="AM626" s="27"/>
      <c r="AN626" s="27"/>
      <c r="AO626" s="45">
        <f>'Filter-old'!G703</f>
        <v>0</v>
      </c>
      <c r="AP626" s="27">
        <f>'Filter-new'!G703</f>
        <v>0</v>
      </c>
      <c r="AQ626" s="27"/>
      <c r="AR626" s="27"/>
      <c r="AS626" s="45"/>
      <c r="AT626" s="27"/>
      <c r="AU626" s="27"/>
      <c r="AV626" s="27"/>
      <c r="AW626" s="45">
        <f>'Filter-old'!I703</f>
        <v>0</v>
      </c>
      <c r="AX626" s="27">
        <f>'Filter-new'!I703</f>
        <v>-51.041666666666664</v>
      </c>
      <c r="AY626" s="27"/>
      <c r="AZ626" s="27"/>
      <c r="BA626" s="27"/>
      <c r="BB626" s="27"/>
      <c r="BC626" s="45">
        <f>'Filter-old'!K703</f>
        <v>0</v>
      </c>
      <c r="BD626" s="27">
        <f>'Filter-new'!K703</f>
        <v>0</v>
      </c>
      <c r="BE626" s="27"/>
      <c r="BF626" s="27"/>
      <c r="BG626" s="45">
        <f>'Filter-old'!M703</f>
        <v>0</v>
      </c>
      <c r="BH626" s="61"/>
      <c r="BI626" s="61"/>
      <c r="BJ626" s="27">
        <f>'Filter-new'!M703</f>
        <v>0</v>
      </c>
      <c r="BK626" s="27"/>
      <c r="BL626" s="27"/>
      <c r="BM626" s="27"/>
      <c r="BN626" s="423"/>
      <c r="BO626" s="27"/>
      <c r="BP626" s="27"/>
      <c r="BQ626" s="45">
        <f>'Filter-old'!O703</f>
        <v>0</v>
      </c>
      <c r="BR626" s="27">
        <f>'Filter-new'!O703</f>
        <v>0</v>
      </c>
      <c r="BS626" s="27"/>
      <c r="BT626" s="27"/>
      <c r="BU626" s="45">
        <f>'Filter-old'!Q703</f>
        <v>0</v>
      </c>
      <c r="BV626" s="27">
        <f>'Filter-new'!Q703</f>
        <v>0</v>
      </c>
      <c r="BW626" s="27"/>
      <c r="BX626" s="27"/>
      <c r="BY626" s="27"/>
      <c r="BZ626" s="27"/>
      <c r="CA626" s="45">
        <f>'Filter-old'!R703</f>
        <v>0</v>
      </c>
      <c r="CB626" s="27">
        <f>'Filter-new'!R703</f>
        <v>0</v>
      </c>
      <c r="CC626" s="4"/>
      <c r="CD626" s="4"/>
      <c r="CE626" s="4"/>
      <c r="CF626" s="4"/>
      <c r="CG626" s="4"/>
    </row>
    <row r="627" spans="1:85" hidden="1" x14ac:dyDescent="0.2">
      <c r="A627">
        <v>0</v>
      </c>
      <c r="B627" s="29">
        <v>39264</v>
      </c>
      <c r="C627" s="29">
        <f t="shared" si="85"/>
        <v>39264</v>
      </c>
      <c r="D627" s="29"/>
      <c r="E627" s="29"/>
      <c r="F627" s="29"/>
      <c r="G627" s="36">
        <f t="shared" si="83"/>
        <v>-86</v>
      </c>
      <c r="H627" s="36">
        <f t="shared" si="84"/>
        <v>-141.55102040816325</v>
      </c>
      <c r="I627" s="36"/>
      <c r="J627" s="41"/>
      <c r="K627" s="45">
        <f>'Filter-old'!E704</f>
        <v>-27</v>
      </c>
      <c r="L627" s="27">
        <f>'Filter-new'!E704</f>
        <v>-28.102040816326532</v>
      </c>
      <c r="M627" s="27"/>
      <c r="N627" s="27"/>
      <c r="O627" s="442"/>
      <c r="P627" s="27"/>
      <c r="Q627" s="45">
        <f>'Filter-old'!H704</f>
        <v>-59</v>
      </c>
      <c r="R627" s="27">
        <f>'Filter-new'!H704</f>
        <v>-61.408163265306122</v>
      </c>
      <c r="S627" s="27"/>
      <c r="T627" s="27"/>
      <c r="U627" s="459"/>
      <c r="V627" s="27"/>
      <c r="W627" s="45">
        <f>'Filter-old'!J704</f>
        <v>0</v>
      </c>
      <c r="X627" s="27">
        <f>'Filter-new'!J704</f>
        <v>0</v>
      </c>
      <c r="Y627" s="27"/>
      <c r="Z627" s="27"/>
      <c r="AA627" s="45">
        <f>'Filter-old'!F704</f>
        <v>0</v>
      </c>
      <c r="AB627" s="27">
        <f>'Filter-new'!F704</f>
        <v>0</v>
      </c>
      <c r="AC627" s="27"/>
      <c r="AD627" s="27"/>
      <c r="AE627" s="45">
        <f>'Filter-old'!P704</f>
        <v>0</v>
      </c>
      <c r="AF627" s="27">
        <f>'Filter-new'!P704</f>
        <v>0</v>
      </c>
      <c r="AG627" s="27"/>
      <c r="AH627" s="27"/>
      <c r="AI627" s="45">
        <f>'Filter-old'!L704</f>
        <v>0</v>
      </c>
      <c r="AJ627" s="27">
        <f>'Filter-new'!L704</f>
        <v>0</v>
      </c>
      <c r="AK627" s="27"/>
      <c r="AL627" s="27"/>
      <c r="AM627" s="27"/>
      <c r="AN627" s="27"/>
      <c r="AO627" s="45">
        <f>'Filter-old'!G704</f>
        <v>0</v>
      </c>
      <c r="AP627" s="27">
        <f>'Filter-new'!G704</f>
        <v>0</v>
      </c>
      <c r="AQ627" s="27"/>
      <c r="AR627" s="27"/>
      <c r="AS627" s="45"/>
      <c r="AT627" s="27"/>
      <c r="AU627" s="27"/>
      <c r="AV627" s="27"/>
      <c r="AW627" s="45">
        <f>'Filter-old'!I704</f>
        <v>0</v>
      </c>
      <c r="AX627" s="27">
        <f>'Filter-new'!I704</f>
        <v>-52.04081632653061</v>
      </c>
      <c r="AY627" s="27"/>
      <c r="AZ627" s="27"/>
      <c r="BA627" s="27"/>
      <c r="BB627" s="27"/>
      <c r="BC627" s="45">
        <f>'Filter-old'!K704</f>
        <v>0</v>
      </c>
      <c r="BD627" s="27">
        <f>'Filter-new'!K704</f>
        <v>0</v>
      </c>
      <c r="BE627" s="27"/>
      <c r="BF627" s="27"/>
      <c r="BG627" s="45">
        <f>'Filter-old'!M704</f>
        <v>0</v>
      </c>
      <c r="BH627" s="61"/>
      <c r="BI627" s="61"/>
      <c r="BJ627" s="27">
        <f>'Filter-new'!M704</f>
        <v>0</v>
      </c>
      <c r="BK627" s="27"/>
      <c r="BL627" s="27"/>
      <c r="BM627" s="27"/>
      <c r="BN627" s="423"/>
      <c r="BO627" s="27"/>
      <c r="BP627" s="27"/>
      <c r="BQ627" s="45">
        <f>'Filter-old'!O704</f>
        <v>0</v>
      </c>
      <c r="BR627" s="27">
        <f>'Filter-new'!O704</f>
        <v>0</v>
      </c>
      <c r="BS627" s="27"/>
      <c r="BT627" s="27"/>
      <c r="BU627" s="45">
        <f>'Filter-old'!Q704</f>
        <v>0</v>
      </c>
      <c r="BV627" s="27">
        <f>'Filter-new'!Q704</f>
        <v>0</v>
      </c>
      <c r="BW627" s="27"/>
      <c r="BX627" s="27"/>
      <c r="BY627" s="27"/>
      <c r="BZ627" s="27"/>
      <c r="CA627" s="45">
        <f>'Filter-old'!R704</f>
        <v>0</v>
      </c>
      <c r="CB627" s="27">
        <f>'Filter-new'!R704</f>
        <v>0</v>
      </c>
      <c r="CC627" s="4"/>
      <c r="CD627" s="4"/>
      <c r="CE627" s="4"/>
      <c r="CF627" s="4"/>
      <c r="CG627" s="4"/>
    </row>
    <row r="628" spans="1:85" hidden="1" x14ac:dyDescent="0.2">
      <c r="A628">
        <v>0</v>
      </c>
      <c r="B628" s="29">
        <v>39295</v>
      </c>
      <c r="C628" s="29">
        <f t="shared" si="85"/>
        <v>39295</v>
      </c>
      <c r="D628" s="29"/>
      <c r="E628" s="29"/>
      <c r="F628" s="29"/>
      <c r="G628" s="36">
        <f t="shared" si="83"/>
        <v>-86</v>
      </c>
      <c r="H628" s="36">
        <f t="shared" si="84"/>
        <v>-119.52941176470588</v>
      </c>
      <c r="I628" s="36"/>
      <c r="J628" s="41"/>
      <c r="K628" s="45">
        <f>'Filter-old'!E705</f>
        <v>-27</v>
      </c>
      <c r="L628" s="27">
        <f>'Filter-new'!E705</f>
        <v>-25.411764705882351</v>
      </c>
      <c r="M628" s="27"/>
      <c r="N628" s="27"/>
      <c r="O628" s="442"/>
      <c r="P628" s="27"/>
      <c r="Q628" s="45">
        <f>'Filter-old'!H705</f>
        <v>-59</v>
      </c>
      <c r="R628" s="27">
        <f>'Filter-new'!H705</f>
        <v>-47.058823529411768</v>
      </c>
      <c r="S628" s="27"/>
      <c r="T628" s="27"/>
      <c r="U628" s="459"/>
      <c r="V628" s="27"/>
      <c r="W628" s="45">
        <f>'Filter-old'!J705</f>
        <v>0</v>
      </c>
      <c r="X628" s="27">
        <f>'Filter-new'!J705</f>
        <v>0</v>
      </c>
      <c r="Y628" s="27"/>
      <c r="Z628" s="27"/>
      <c r="AA628" s="45">
        <f>'Filter-old'!F705</f>
        <v>0</v>
      </c>
      <c r="AB628" s="27">
        <f>'Filter-new'!F705</f>
        <v>0</v>
      </c>
      <c r="AC628" s="27"/>
      <c r="AD628" s="27"/>
      <c r="AE628" s="45">
        <f>'Filter-old'!P705</f>
        <v>0</v>
      </c>
      <c r="AF628" s="27">
        <f>'Filter-new'!P705</f>
        <v>0</v>
      </c>
      <c r="AG628" s="27"/>
      <c r="AH628" s="27"/>
      <c r="AI628" s="45">
        <f>'Filter-old'!L705</f>
        <v>0</v>
      </c>
      <c r="AJ628" s="27">
        <f>'Filter-new'!L705</f>
        <v>0</v>
      </c>
      <c r="AK628" s="27"/>
      <c r="AL628" s="27"/>
      <c r="AM628" s="27"/>
      <c r="AN628" s="27"/>
      <c r="AO628" s="45">
        <f>'Filter-old'!G705</f>
        <v>0</v>
      </c>
      <c r="AP628" s="27">
        <f>'Filter-new'!G705</f>
        <v>0</v>
      </c>
      <c r="AQ628" s="27"/>
      <c r="AR628" s="27"/>
      <c r="AS628" s="45"/>
      <c r="AT628" s="27"/>
      <c r="AU628" s="27"/>
      <c r="AV628" s="27"/>
      <c r="AW628" s="45">
        <f>'Filter-old'!I705</f>
        <v>0</v>
      </c>
      <c r="AX628" s="27">
        <f>'Filter-new'!I705</f>
        <v>-47.058823529411768</v>
      </c>
      <c r="AY628" s="27"/>
      <c r="AZ628" s="27"/>
      <c r="BA628" s="27"/>
      <c r="BB628" s="27"/>
      <c r="BC628" s="45">
        <f>'Filter-old'!K705</f>
        <v>0</v>
      </c>
      <c r="BD628" s="27">
        <f>'Filter-new'!K705</f>
        <v>0</v>
      </c>
      <c r="BE628" s="27"/>
      <c r="BF628" s="27"/>
      <c r="BG628" s="45">
        <f>'Filter-old'!M705</f>
        <v>0</v>
      </c>
      <c r="BH628" s="61"/>
      <c r="BI628" s="61"/>
      <c r="BJ628" s="27">
        <f>'Filter-new'!M705</f>
        <v>0</v>
      </c>
      <c r="BK628" s="27"/>
      <c r="BL628" s="27"/>
      <c r="BM628" s="27"/>
      <c r="BN628" s="423"/>
      <c r="BO628" s="27"/>
      <c r="BP628" s="27"/>
      <c r="BQ628" s="45">
        <f>'Filter-old'!O705</f>
        <v>0</v>
      </c>
      <c r="BR628" s="27">
        <f>'Filter-new'!O705</f>
        <v>0</v>
      </c>
      <c r="BS628" s="27"/>
      <c r="BT628" s="27"/>
      <c r="BU628" s="45">
        <f>'Filter-old'!Q705</f>
        <v>0</v>
      </c>
      <c r="BV628" s="27">
        <f>'Filter-new'!Q705</f>
        <v>0</v>
      </c>
      <c r="BW628" s="27"/>
      <c r="BX628" s="27"/>
      <c r="BY628" s="27"/>
      <c r="BZ628" s="27"/>
      <c r="CA628" s="45">
        <f>'Filter-old'!R705</f>
        <v>0</v>
      </c>
      <c r="CB628" s="27">
        <f>'Filter-new'!R705</f>
        <v>0</v>
      </c>
      <c r="CC628" s="4"/>
      <c r="CD628" s="4"/>
      <c r="CE628" s="4"/>
      <c r="CF628" s="4"/>
      <c r="CG628" s="4"/>
    </row>
    <row r="629" spans="1:85" hidden="1" x14ac:dyDescent="0.2">
      <c r="A629">
        <v>0</v>
      </c>
      <c r="B629" s="29">
        <v>39326</v>
      </c>
      <c r="C629" s="29">
        <f t="shared" si="85"/>
        <v>39326</v>
      </c>
      <c r="D629" s="29"/>
      <c r="E629" s="29"/>
      <c r="F629" s="29"/>
      <c r="G629" s="36">
        <f t="shared" si="83"/>
        <v>-77</v>
      </c>
      <c r="H629" s="36">
        <f t="shared" si="84"/>
        <v>-124.68489583333331</v>
      </c>
      <c r="I629" s="36"/>
      <c r="J629" s="41"/>
      <c r="K629" s="45">
        <f>'Filter-old'!E706</f>
        <v>-27</v>
      </c>
      <c r="L629" s="27">
        <f>'Filter-new'!E706</f>
        <v>-26.5078125</v>
      </c>
      <c r="M629" s="27"/>
      <c r="N629" s="27"/>
      <c r="O629" s="442"/>
      <c r="P629" s="27"/>
      <c r="Q629" s="45">
        <f>'Filter-old'!H706</f>
        <v>-50</v>
      </c>
      <c r="R629" s="27">
        <f>'Filter-new'!H706</f>
        <v>-49.088541666666664</v>
      </c>
      <c r="S629" s="27"/>
      <c r="T629" s="27"/>
      <c r="U629" s="459"/>
      <c r="V629" s="27"/>
      <c r="W629" s="45">
        <f>'Filter-old'!J706</f>
        <v>0</v>
      </c>
      <c r="X629" s="27">
        <f>'Filter-new'!J706</f>
        <v>0</v>
      </c>
      <c r="Y629" s="27"/>
      <c r="Z629" s="27"/>
      <c r="AA629" s="45">
        <f>'Filter-old'!F706</f>
        <v>0</v>
      </c>
      <c r="AB629" s="27">
        <f>'Filter-new'!F706</f>
        <v>0</v>
      </c>
      <c r="AC629" s="27"/>
      <c r="AD629" s="27"/>
      <c r="AE629" s="45">
        <f>'Filter-old'!P706</f>
        <v>0</v>
      </c>
      <c r="AF629" s="27">
        <f>'Filter-new'!P706</f>
        <v>0</v>
      </c>
      <c r="AG629" s="27"/>
      <c r="AH629" s="27"/>
      <c r="AI629" s="45">
        <f>'Filter-old'!L706</f>
        <v>0</v>
      </c>
      <c r="AJ629" s="27">
        <f>'Filter-new'!L706</f>
        <v>0</v>
      </c>
      <c r="AK629" s="27"/>
      <c r="AL629" s="27"/>
      <c r="AM629" s="27"/>
      <c r="AN629" s="27"/>
      <c r="AO629" s="45">
        <f>'Filter-old'!G706</f>
        <v>0</v>
      </c>
      <c r="AP629" s="27">
        <f>'Filter-new'!G706</f>
        <v>0</v>
      </c>
      <c r="AQ629" s="27"/>
      <c r="AR629" s="27"/>
      <c r="AS629" s="45"/>
      <c r="AT629" s="27"/>
      <c r="AU629" s="27"/>
      <c r="AV629" s="27"/>
      <c r="AW629" s="45">
        <f>'Filter-old'!I706</f>
        <v>0</v>
      </c>
      <c r="AX629" s="27">
        <f>'Filter-new'!I706</f>
        <v>-49.088541666666664</v>
      </c>
      <c r="AY629" s="27"/>
      <c r="AZ629" s="27"/>
      <c r="BA629" s="27"/>
      <c r="BB629" s="27"/>
      <c r="BC629" s="45">
        <f>'Filter-old'!K706</f>
        <v>0</v>
      </c>
      <c r="BD629" s="27">
        <f>'Filter-new'!K706</f>
        <v>0</v>
      </c>
      <c r="BE629" s="27"/>
      <c r="BF629" s="27"/>
      <c r="BG629" s="45">
        <f>'Filter-old'!M706</f>
        <v>0</v>
      </c>
      <c r="BH629" s="61"/>
      <c r="BI629" s="61"/>
      <c r="BJ629" s="27">
        <f>'Filter-new'!M706</f>
        <v>0</v>
      </c>
      <c r="BK629" s="27"/>
      <c r="BL629" s="27"/>
      <c r="BM629" s="27"/>
      <c r="BN629" s="423"/>
      <c r="BO629" s="27"/>
      <c r="BP629" s="27"/>
      <c r="BQ629" s="45">
        <f>'Filter-old'!O706</f>
        <v>0</v>
      </c>
      <c r="BR629" s="27">
        <f>'Filter-new'!O706</f>
        <v>0</v>
      </c>
      <c r="BS629" s="27"/>
      <c r="BT629" s="27"/>
      <c r="BU629" s="45">
        <f>'Filter-old'!Q706</f>
        <v>0</v>
      </c>
      <c r="BV629" s="27">
        <f>'Filter-new'!Q706</f>
        <v>0</v>
      </c>
      <c r="BW629" s="27"/>
      <c r="BX629" s="27"/>
      <c r="BY629" s="27"/>
      <c r="BZ629" s="27"/>
      <c r="CA629" s="45">
        <f>'Filter-old'!R706</f>
        <v>0</v>
      </c>
      <c r="CB629" s="27">
        <f>'Filter-new'!R706</f>
        <v>0</v>
      </c>
      <c r="CC629" s="4"/>
      <c r="CD629" s="4"/>
      <c r="CE629" s="4"/>
      <c r="CF629" s="4"/>
      <c r="CG629" s="4"/>
    </row>
    <row r="630" spans="1:85" hidden="1" x14ac:dyDescent="0.2">
      <c r="A630">
        <v>0</v>
      </c>
      <c r="B630" s="29">
        <v>39356</v>
      </c>
      <c r="C630" s="29">
        <f t="shared" si="85"/>
        <v>39356</v>
      </c>
      <c r="D630" s="29"/>
      <c r="E630" s="29"/>
      <c r="F630" s="29"/>
      <c r="G630" s="36">
        <f t="shared" si="83"/>
        <v>-77.204787234042556</v>
      </c>
      <c r="H630" s="36">
        <f t="shared" si="84"/>
        <v>-140.51063829787233</v>
      </c>
      <c r="I630" s="36"/>
      <c r="J630" s="41"/>
      <c r="K630" s="45">
        <f>'Filter-old'!E707</f>
        <v>-27.071808510638299</v>
      </c>
      <c r="L630" s="27">
        <f>'Filter-new'!E707</f>
        <v>-29.872340425531913</v>
      </c>
      <c r="M630" s="27"/>
      <c r="N630" s="27"/>
      <c r="O630" s="442"/>
      <c r="P630" s="27"/>
      <c r="Q630" s="45">
        <f>'Filter-old'!H707</f>
        <v>-50.132978723404257</v>
      </c>
      <c r="R630" s="27">
        <f>'Filter-new'!H707</f>
        <v>-55.319148936170215</v>
      </c>
      <c r="S630" s="27"/>
      <c r="T630" s="27"/>
      <c r="U630" s="459"/>
      <c r="V630" s="27"/>
      <c r="W630" s="45">
        <f>'Filter-old'!J707</f>
        <v>0</v>
      </c>
      <c r="X630" s="27">
        <f>'Filter-new'!J707</f>
        <v>0</v>
      </c>
      <c r="Y630" s="27"/>
      <c r="Z630" s="27"/>
      <c r="AA630" s="45">
        <f>'Filter-old'!F707</f>
        <v>0</v>
      </c>
      <c r="AB630" s="27">
        <f>'Filter-new'!F707</f>
        <v>0</v>
      </c>
      <c r="AC630" s="27"/>
      <c r="AD630" s="27"/>
      <c r="AE630" s="45">
        <f>'Filter-old'!P707</f>
        <v>0</v>
      </c>
      <c r="AF630" s="27">
        <f>'Filter-new'!P707</f>
        <v>0</v>
      </c>
      <c r="AG630" s="27"/>
      <c r="AH630" s="27"/>
      <c r="AI630" s="45">
        <f>'Filter-old'!L707</f>
        <v>0</v>
      </c>
      <c r="AJ630" s="27">
        <f>'Filter-new'!L707</f>
        <v>0</v>
      </c>
      <c r="AK630" s="27"/>
      <c r="AL630" s="27"/>
      <c r="AM630" s="27"/>
      <c r="AN630" s="27"/>
      <c r="AO630" s="45">
        <f>'Filter-old'!G707</f>
        <v>0</v>
      </c>
      <c r="AP630" s="27">
        <f>'Filter-new'!G707</f>
        <v>0</v>
      </c>
      <c r="AQ630" s="27"/>
      <c r="AR630" s="27"/>
      <c r="AS630" s="45"/>
      <c r="AT630" s="27"/>
      <c r="AU630" s="27"/>
      <c r="AV630" s="27"/>
      <c r="AW630" s="45">
        <f>'Filter-old'!I707</f>
        <v>0</v>
      </c>
      <c r="AX630" s="27">
        <f>'Filter-new'!I707</f>
        <v>-55.319148936170215</v>
      </c>
      <c r="AY630" s="27"/>
      <c r="AZ630" s="27"/>
      <c r="BA630" s="27"/>
      <c r="BB630" s="27"/>
      <c r="BC630" s="45">
        <f>'Filter-old'!K707</f>
        <v>0</v>
      </c>
      <c r="BD630" s="27">
        <f>'Filter-new'!K707</f>
        <v>0</v>
      </c>
      <c r="BE630" s="27"/>
      <c r="BF630" s="27"/>
      <c r="BG630" s="45">
        <f>'Filter-old'!M707</f>
        <v>0</v>
      </c>
      <c r="BH630" s="61"/>
      <c r="BI630" s="61"/>
      <c r="BJ630" s="27">
        <f>'Filter-new'!M707</f>
        <v>0</v>
      </c>
      <c r="BK630" s="27"/>
      <c r="BL630" s="27"/>
      <c r="BM630" s="27"/>
      <c r="BN630" s="423"/>
      <c r="BO630" s="27"/>
      <c r="BP630" s="27"/>
      <c r="BQ630" s="45">
        <f>'Filter-old'!O707</f>
        <v>0</v>
      </c>
      <c r="BR630" s="27">
        <f>'Filter-new'!O707</f>
        <v>0</v>
      </c>
      <c r="BS630" s="27"/>
      <c r="BT630" s="27"/>
      <c r="BU630" s="45">
        <f>'Filter-old'!Q707</f>
        <v>0</v>
      </c>
      <c r="BV630" s="27">
        <f>'Filter-new'!Q707</f>
        <v>0</v>
      </c>
      <c r="BW630" s="27"/>
      <c r="BX630" s="27"/>
      <c r="BY630" s="27"/>
      <c r="BZ630" s="27"/>
      <c r="CA630" s="45">
        <f>'Filter-old'!R707</f>
        <v>0</v>
      </c>
      <c r="CB630" s="27">
        <f>'Filter-new'!R707</f>
        <v>0</v>
      </c>
      <c r="CC630" s="4"/>
      <c r="CD630" s="4"/>
      <c r="CE630" s="4"/>
      <c r="CF630" s="4"/>
      <c r="CG630" s="4"/>
    </row>
    <row r="631" spans="1:85" hidden="1" x14ac:dyDescent="0.2">
      <c r="A631">
        <v>0</v>
      </c>
      <c r="B631" s="29">
        <v>39387</v>
      </c>
      <c r="C631" s="29">
        <f t="shared" si="85"/>
        <v>39387</v>
      </c>
      <c r="D631" s="29"/>
      <c r="E631" s="29"/>
      <c r="F631" s="29"/>
      <c r="G631" s="36">
        <f t="shared" si="83"/>
        <v>-77</v>
      </c>
      <c r="H631" s="36">
        <f t="shared" si="84"/>
        <v>-119.67307692307692</v>
      </c>
      <c r="I631" s="36"/>
      <c r="J631" s="41"/>
      <c r="K631" s="45">
        <f>'Filter-old'!E708</f>
        <v>-27</v>
      </c>
      <c r="L631" s="27">
        <f>'Filter-new'!E708</f>
        <v>-25.442307692307693</v>
      </c>
      <c r="M631" s="27"/>
      <c r="N631" s="27"/>
      <c r="O631" s="442"/>
      <c r="P631" s="27"/>
      <c r="Q631" s="45">
        <f>'Filter-old'!H708</f>
        <v>-50</v>
      </c>
      <c r="R631" s="27">
        <f>'Filter-new'!H708</f>
        <v>-47.115384615384613</v>
      </c>
      <c r="S631" s="27"/>
      <c r="T631" s="27"/>
      <c r="U631" s="459"/>
      <c r="V631" s="27"/>
      <c r="W631" s="45">
        <f>'Filter-old'!J708</f>
        <v>0</v>
      </c>
      <c r="X631" s="27">
        <f>'Filter-new'!J708</f>
        <v>0</v>
      </c>
      <c r="Y631" s="27"/>
      <c r="Z631" s="27"/>
      <c r="AA631" s="45">
        <f>'Filter-old'!F708</f>
        <v>0</v>
      </c>
      <c r="AB631" s="27">
        <f>'Filter-new'!F708</f>
        <v>0</v>
      </c>
      <c r="AC631" s="27"/>
      <c r="AD631" s="27"/>
      <c r="AE631" s="45">
        <f>'Filter-old'!P708</f>
        <v>0</v>
      </c>
      <c r="AF631" s="27">
        <f>'Filter-new'!P708</f>
        <v>0</v>
      </c>
      <c r="AG631" s="27"/>
      <c r="AH631" s="27"/>
      <c r="AI631" s="45">
        <f>'Filter-old'!L708</f>
        <v>0</v>
      </c>
      <c r="AJ631" s="27">
        <f>'Filter-new'!L708</f>
        <v>0</v>
      </c>
      <c r="AK631" s="27"/>
      <c r="AL631" s="27"/>
      <c r="AM631" s="27"/>
      <c r="AN631" s="27"/>
      <c r="AO631" s="45">
        <f>'Filter-old'!G708</f>
        <v>0</v>
      </c>
      <c r="AP631" s="27">
        <f>'Filter-new'!G708</f>
        <v>0</v>
      </c>
      <c r="AQ631" s="27"/>
      <c r="AR631" s="27"/>
      <c r="AS631" s="45"/>
      <c r="AT631" s="27"/>
      <c r="AU631" s="27"/>
      <c r="AV631" s="27"/>
      <c r="AW631" s="45">
        <f>'Filter-old'!I708</f>
        <v>0</v>
      </c>
      <c r="AX631" s="27">
        <f>'Filter-new'!I708</f>
        <v>-47.115384615384613</v>
      </c>
      <c r="AY631" s="27"/>
      <c r="AZ631" s="27"/>
      <c r="BA631" s="27"/>
      <c r="BB631" s="27"/>
      <c r="BC631" s="45">
        <f>'Filter-old'!K708</f>
        <v>0</v>
      </c>
      <c r="BD631" s="27">
        <f>'Filter-new'!K708</f>
        <v>0</v>
      </c>
      <c r="BE631" s="27"/>
      <c r="BF631" s="27"/>
      <c r="BG631" s="45">
        <f>'Filter-old'!M708</f>
        <v>0</v>
      </c>
      <c r="BH631" s="61"/>
      <c r="BI631" s="61"/>
      <c r="BJ631" s="27">
        <f>'Filter-new'!M708</f>
        <v>0</v>
      </c>
      <c r="BK631" s="27"/>
      <c r="BL631" s="27"/>
      <c r="BM631" s="27"/>
      <c r="BN631" s="423"/>
      <c r="BO631" s="27"/>
      <c r="BP631" s="27"/>
      <c r="BQ631" s="45">
        <f>'Filter-old'!O708</f>
        <v>0</v>
      </c>
      <c r="BR631" s="27">
        <f>'Filter-new'!O708</f>
        <v>0</v>
      </c>
      <c r="BS631" s="27"/>
      <c r="BT631" s="27"/>
      <c r="BU631" s="45">
        <f>'Filter-old'!Q708</f>
        <v>0</v>
      </c>
      <c r="BV631" s="27">
        <f>'Filter-new'!Q708</f>
        <v>0</v>
      </c>
      <c r="BW631" s="27"/>
      <c r="BX631" s="27"/>
      <c r="BY631" s="27"/>
      <c r="BZ631" s="27"/>
      <c r="CA631" s="45">
        <f>'Filter-old'!R708</f>
        <v>0</v>
      </c>
      <c r="CB631" s="27">
        <f>'Filter-new'!R708</f>
        <v>0</v>
      </c>
      <c r="CC631" s="4"/>
      <c r="CD631" s="4"/>
      <c r="CE631" s="4"/>
      <c r="CF631" s="4"/>
      <c r="CG631" s="4"/>
    </row>
    <row r="632" spans="1:85" hidden="1" x14ac:dyDescent="0.2">
      <c r="A632">
        <v>0</v>
      </c>
      <c r="B632" s="29">
        <v>39417</v>
      </c>
      <c r="C632" s="29">
        <f t="shared" si="85"/>
        <v>39417</v>
      </c>
      <c r="D632" s="29"/>
      <c r="E632" s="29"/>
      <c r="F632" s="29"/>
      <c r="G632" s="36">
        <f t="shared" si="83"/>
        <v>-77</v>
      </c>
      <c r="H632" s="36">
        <f t="shared" si="84"/>
        <v>-52.04081632653061</v>
      </c>
      <c r="I632" s="36"/>
      <c r="J632" s="41"/>
      <c r="K632" s="45">
        <f>'Filter-old'!E709</f>
        <v>-27</v>
      </c>
      <c r="L632" s="27">
        <f>'Filter-new'!E709</f>
        <v>0</v>
      </c>
      <c r="M632" s="27"/>
      <c r="N632" s="27"/>
      <c r="O632" s="442"/>
      <c r="P632" s="27"/>
      <c r="Q632" s="45">
        <f>'Filter-old'!H709</f>
        <v>-50</v>
      </c>
      <c r="R632" s="27">
        <f>'Filter-new'!H709</f>
        <v>-52.04081632653061</v>
      </c>
      <c r="S632" s="27"/>
      <c r="T632" s="27"/>
      <c r="U632" s="459"/>
      <c r="V632" s="27"/>
      <c r="W632" s="45">
        <f>'Filter-old'!J709</f>
        <v>0</v>
      </c>
      <c r="X632" s="27">
        <f>'Filter-new'!J709</f>
        <v>0</v>
      </c>
      <c r="Y632" s="27"/>
      <c r="Z632" s="27"/>
      <c r="AA632" s="45">
        <f>'Filter-old'!F709</f>
        <v>0</v>
      </c>
      <c r="AB632" s="27">
        <f>'Filter-new'!F709</f>
        <v>0</v>
      </c>
      <c r="AC632" s="27"/>
      <c r="AD632" s="27"/>
      <c r="AE632" s="45">
        <f>'Filter-old'!P709</f>
        <v>0</v>
      </c>
      <c r="AF632" s="27">
        <f>'Filter-new'!P709</f>
        <v>0</v>
      </c>
      <c r="AG632" s="27"/>
      <c r="AH632" s="27"/>
      <c r="AI632" s="45">
        <f>'Filter-old'!L709</f>
        <v>0</v>
      </c>
      <c r="AJ632" s="27">
        <f>'Filter-new'!L709</f>
        <v>0</v>
      </c>
      <c r="AK632" s="27"/>
      <c r="AL632" s="27"/>
      <c r="AM632" s="27"/>
      <c r="AN632" s="27"/>
      <c r="AO632" s="45">
        <f>'Filter-old'!G709</f>
        <v>0</v>
      </c>
      <c r="AP632" s="27">
        <f>'Filter-new'!G709</f>
        <v>0</v>
      </c>
      <c r="AQ632" s="27"/>
      <c r="AR632" s="27"/>
      <c r="AS632" s="45"/>
      <c r="AT632" s="27"/>
      <c r="AU632" s="27"/>
      <c r="AV632" s="27"/>
      <c r="AW632" s="45">
        <f>'Filter-old'!I709</f>
        <v>0</v>
      </c>
      <c r="AX632" s="27">
        <f>'Filter-new'!I709</f>
        <v>0</v>
      </c>
      <c r="AY632" s="27"/>
      <c r="AZ632" s="27"/>
      <c r="BA632" s="27"/>
      <c r="BB632" s="27"/>
      <c r="BC632" s="45">
        <f>'Filter-old'!K709</f>
        <v>0</v>
      </c>
      <c r="BD632" s="27">
        <f>'Filter-new'!K709</f>
        <v>0</v>
      </c>
      <c r="BE632" s="27"/>
      <c r="BF632" s="27"/>
      <c r="BG632" s="45">
        <f>'Filter-old'!M709</f>
        <v>0</v>
      </c>
      <c r="BH632" s="61"/>
      <c r="BI632" s="61"/>
      <c r="BJ632" s="27">
        <f>'Filter-new'!M709</f>
        <v>0</v>
      </c>
      <c r="BK632" s="27"/>
      <c r="BL632" s="27"/>
      <c r="BM632" s="27"/>
      <c r="BN632" s="423"/>
      <c r="BO632" s="27"/>
      <c r="BP632" s="27"/>
      <c r="BQ632" s="45">
        <f>'Filter-old'!O709</f>
        <v>0</v>
      </c>
      <c r="BR632" s="27">
        <f>'Filter-new'!O709</f>
        <v>0</v>
      </c>
      <c r="BS632" s="27"/>
      <c r="BT632" s="27"/>
      <c r="BU632" s="45">
        <f>'Filter-old'!Q709</f>
        <v>0</v>
      </c>
      <c r="BV632" s="27">
        <f>'Filter-new'!Q709</f>
        <v>0</v>
      </c>
      <c r="BW632" s="27"/>
      <c r="BX632" s="27"/>
      <c r="BY632" s="27"/>
      <c r="BZ632" s="27"/>
      <c r="CA632" s="45">
        <f>'Filter-old'!R709</f>
        <v>0</v>
      </c>
      <c r="CB632" s="27">
        <f>'Filter-new'!R709</f>
        <v>0</v>
      </c>
      <c r="CC632" s="4"/>
      <c r="CD632" s="4"/>
      <c r="CE632" s="4"/>
      <c r="CF632" s="4"/>
      <c r="CG632" s="4"/>
    </row>
    <row r="633" spans="1:85" hidden="1" x14ac:dyDescent="0.2">
      <c r="A633">
        <v>0</v>
      </c>
      <c r="B633" s="29">
        <v>39448</v>
      </c>
      <c r="C633" s="29">
        <f t="shared" si="85"/>
        <v>39448</v>
      </c>
      <c r="D633" s="29"/>
      <c r="E633" s="29"/>
      <c r="F633" s="29"/>
      <c r="G633" s="36">
        <f t="shared" si="83"/>
        <v>-50</v>
      </c>
      <c r="H633" s="36">
        <f t="shared" si="84"/>
        <v>-43.137254901960787</v>
      </c>
      <c r="I633" s="36"/>
      <c r="J633" s="41"/>
      <c r="K633" s="45">
        <f>'Filter-old'!E710</f>
        <v>0</v>
      </c>
      <c r="L633" s="27">
        <f>'Filter-new'!E710</f>
        <v>0</v>
      </c>
      <c r="M633" s="27"/>
      <c r="N633" s="27"/>
      <c r="O633" s="442"/>
      <c r="P633" s="27"/>
      <c r="Q633" s="45">
        <f>'Filter-old'!H710</f>
        <v>-50</v>
      </c>
      <c r="R633" s="27">
        <f>'Filter-new'!H710</f>
        <v>-43.137254901960787</v>
      </c>
      <c r="S633" s="27"/>
      <c r="T633" s="27"/>
      <c r="U633" s="459"/>
      <c r="V633" s="27"/>
      <c r="W633" s="45">
        <f>'Filter-old'!J710</f>
        <v>0</v>
      </c>
      <c r="X633" s="27">
        <f>'Filter-new'!J710</f>
        <v>0</v>
      </c>
      <c r="Y633" s="27"/>
      <c r="Z633" s="27"/>
      <c r="AA633" s="45">
        <f>'Filter-old'!F710</f>
        <v>0</v>
      </c>
      <c r="AB633" s="27">
        <f>'Filter-new'!F710</f>
        <v>0</v>
      </c>
      <c r="AC633" s="27"/>
      <c r="AD633" s="27"/>
      <c r="AE633" s="45">
        <f>'Filter-old'!P710</f>
        <v>0</v>
      </c>
      <c r="AF633" s="27">
        <f>'Filter-new'!P710</f>
        <v>0</v>
      </c>
      <c r="AG633" s="27"/>
      <c r="AH633" s="27"/>
      <c r="AI633" s="45">
        <f>'Filter-old'!L710</f>
        <v>0</v>
      </c>
      <c r="AJ633" s="27">
        <f>'Filter-new'!L710</f>
        <v>0</v>
      </c>
      <c r="AK633" s="27"/>
      <c r="AL633" s="27"/>
      <c r="AM633" s="27"/>
      <c r="AN633" s="27"/>
      <c r="AO633" s="45">
        <f>'Filter-old'!G710</f>
        <v>0</v>
      </c>
      <c r="AP633" s="27">
        <f>'Filter-new'!G710</f>
        <v>0</v>
      </c>
      <c r="AQ633" s="27"/>
      <c r="AR633" s="27"/>
      <c r="AS633" s="45"/>
      <c r="AT633" s="27"/>
      <c r="AU633" s="27"/>
      <c r="AV633" s="27"/>
      <c r="AW633" s="45">
        <f>'Filter-old'!I710</f>
        <v>0</v>
      </c>
      <c r="AX633" s="27">
        <f>'Filter-new'!I710</f>
        <v>0</v>
      </c>
      <c r="AY633" s="27"/>
      <c r="AZ633" s="27"/>
      <c r="BA633" s="27"/>
      <c r="BB633" s="27"/>
      <c r="BC633" s="45">
        <f>'Filter-old'!K710</f>
        <v>0</v>
      </c>
      <c r="BD633" s="27">
        <f>'Filter-new'!K710</f>
        <v>0</v>
      </c>
      <c r="BE633" s="27"/>
      <c r="BF633" s="27"/>
      <c r="BG633" s="45">
        <f>'Filter-old'!M710</f>
        <v>0</v>
      </c>
      <c r="BH633" s="61"/>
      <c r="BI633" s="61"/>
      <c r="BJ633" s="27">
        <f>'Filter-new'!M710</f>
        <v>0</v>
      </c>
      <c r="BK633" s="27"/>
      <c r="BL633" s="27"/>
      <c r="BM633" s="27"/>
      <c r="BN633" s="423"/>
      <c r="BO633" s="27"/>
      <c r="BP633" s="27"/>
      <c r="BQ633" s="45">
        <f>'Filter-old'!O710</f>
        <v>0</v>
      </c>
      <c r="BR633" s="27">
        <f>'Filter-new'!O710</f>
        <v>0</v>
      </c>
      <c r="BS633" s="27"/>
      <c r="BT633" s="27"/>
      <c r="BU633" s="45">
        <f>'Filter-old'!Q710</f>
        <v>0</v>
      </c>
      <c r="BV633" s="27">
        <f>'Filter-new'!Q710</f>
        <v>0</v>
      </c>
      <c r="BW633" s="27"/>
      <c r="BX633" s="27"/>
      <c r="BY633" s="27"/>
      <c r="BZ633" s="27"/>
      <c r="CA633" s="45">
        <f>'Filter-old'!R710</f>
        <v>0</v>
      </c>
      <c r="CB633" s="27">
        <f>'Filter-new'!R710</f>
        <v>0</v>
      </c>
      <c r="CC633" s="4"/>
      <c r="CD633" s="4"/>
      <c r="CE633" s="4"/>
      <c r="CF633" s="4"/>
      <c r="CG633" s="4"/>
    </row>
    <row r="634" spans="1:85" hidden="1" x14ac:dyDescent="0.2">
      <c r="A634">
        <v>0</v>
      </c>
      <c r="B634" s="29">
        <v>39479</v>
      </c>
      <c r="C634" s="29">
        <f t="shared" si="85"/>
        <v>39479</v>
      </c>
      <c r="D634" s="29"/>
      <c r="E634" s="29"/>
      <c r="F634" s="29"/>
      <c r="G634" s="36">
        <f t="shared" si="83"/>
        <v>-50</v>
      </c>
      <c r="H634" s="36">
        <f t="shared" si="84"/>
        <v>-55.68181818181818</v>
      </c>
      <c r="I634" s="36"/>
      <c r="J634" s="41"/>
      <c r="K634" s="45">
        <f>'Filter-old'!E711</f>
        <v>0</v>
      </c>
      <c r="L634" s="27">
        <f>'Filter-new'!E711</f>
        <v>0</v>
      </c>
      <c r="M634" s="27"/>
      <c r="N634" s="27"/>
      <c r="O634" s="442"/>
      <c r="P634" s="27"/>
      <c r="Q634" s="45">
        <f>'Filter-old'!H711</f>
        <v>-50</v>
      </c>
      <c r="R634" s="27">
        <f>'Filter-new'!H711</f>
        <v>-55.68181818181818</v>
      </c>
      <c r="S634" s="27"/>
      <c r="T634" s="27"/>
      <c r="U634" s="459"/>
      <c r="V634" s="27"/>
      <c r="W634" s="45">
        <f>'Filter-old'!J711</f>
        <v>0</v>
      </c>
      <c r="X634" s="27">
        <f>'Filter-new'!J711</f>
        <v>0</v>
      </c>
      <c r="Y634" s="27"/>
      <c r="Z634" s="27"/>
      <c r="AA634" s="45">
        <f>'Filter-old'!F711</f>
        <v>0</v>
      </c>
      <c r="AB634" s="27">
        <f>'Filter-new'!F711</f>
        <v>0</v>
      </c>
      <c r="AC634" s="27"/>
      <c r="AD634" s="27"/>
      <c r="AE634" s="45">
        <f>'Filter-old'!P711</f>
        <v>0</v>
      </c>
      <c r="AF634" s="27">
        <f>'Filter-new'!P711</f>
        <v>0</v>
      </c>
      <c r="AG634" s="27"/>
      <c r="AH634" s="27"/>
      <c r="AI634" s="45">
        <f>'Filter-old'!L711</f>
        <v>0</v>
      </c>
      <c r="AJ634" s="27">
        <f>'Filter-new'!L711</f>
        <v>0</v>
      </c>
      <c r="AK634" s="27"/>
      <c r="AL634" s="27"/>
      <c r="AM634" s="27"/>
      <c r="AN634" s="27"/>
      <c r="AO634" s="45">
        <f>'Filter-old'!G711</f>
        <v>0</v>
      </c>
      <c r="AP634" s="27">
        <f>'Filter-new'!G711</f>
        <v>0</v>
      </c>
      <c r="AQ634" s="27"/>
      <c r="AR634" s="27"/>
      <c r="AS634" s="45"/>
      <c r="AT634" s="27"/>
      <c r="AU634" s="27"/>
      <c r="AV634" s="27"/>
      <c r="AW634" s="45">
        <f>'Filter-old'!I711</f>
        <v>0</v>
      </c>
      <c r="AX634" s="27">
        <f>'Filter-new'!I711</f>
        <v>0</v>
      </c>
      <c r="AY634" s="27"/>
      <c r="AZ634" s="27"/>
      <c r="BA634" s="27"/>
      <c r="BB634" s="27"/>
      <c r="BC634" s="45">
        <f>'Filter-old'!K711</f>
        <v>0</v>
      </c>
      <c r="BD634" s="27">
        <f>'Filter-new'!K711</f>
        <v>0</v>
      </c>
      <c r="BE634" s="27"/>
      <c r="BF634" s="27"/>
      <c r="BG634" s="45">
        <f>'Filter-old'!M711</f>
        <v>0</v>
      </c>
      <c r="BH634" s="61"/>
      <c r="BI634" s="61"/>
      <c r="BJ634" s="27">
        <f>'Filter-new'!M711</f>
        <v>0</v>
      </c>
      <c r="BK634" s="27"/>
      <c r="BL634" s="27"/>
      <c r="BM634" s="27"/>
      <c r="BN634" s="423"/>
      <c r="BO634" s="27"/>
      <c r="BP634" s="27"/>
      <c r="BQ634" s="45">
        <f>'Filter-old'!O711</f>
        <v>0</v>
      </c>
      <c r="BR634" s="27">
        <f>'Filter-new'!O711</f>
        <v>0</v>
      </c>
      <c r="BS634" s="27"/>
      <c r="BT634" s="27"/>
      <c r="BU634" s="45">
        <f>'Filter-old'!Q711</f>
        <v>0</v>
      </c>
      <c r="BV634" s="27">
        <f>'Filter-new'!Q711</f>
        <v>0</v>
      </c>
      <c r="BW634" s="27"/>
      <c r="BX634" s="27"/>
      <c r="BY634" s="27"/>
      <c r="BZ634" s="27"/>
      <c r="CA634" s="45">
        <f>'Filter-old'!R711</f>
        <v>0</v>
      </c>
      <c r="CB634" s="27">
        <f>'Filter-new'!R711</f>
        <v>0</v>
      </c>
      <c r="CC634" s="4"/>
      <c r="CD634" s="4"/>
      <c r="CE634" s="4"/>
      <c r="CF634" s="4"/>
      <c r="CG634" s="4"/>
    </row>
    <row r="635" spans="1:85" hidden="1" x14ac:dyDescent="0.2">
      <c r="A635">
        <v>0</v>
      </c>
      <c r="B635" s="29">
        <v>39508</v>
      </c>
      <c r="C635" s="29">
        <f t="shared" si="85"/>
        <v>39508</v>
      </c>
      <c r="D635" s="29"/>
      <c r="E635" s="29"/>
      <c r="F635" s="29"/>
      <c r="G635" s="36">
        <f t="shared" si="83"/>
        <v>-50</v>
      </c>
      <c r="H635" s="36">
        <f t="shared" si="84"/>
        <v>-46.811224489795919</v>
      </c>
      <c r="I635" s="36"/>
      <c r="J635" s="41"/>
      <c r="K635" s="45">
        <f>'Filter-old'!E712</f>
        <v>0</v>
      </c>
      <c r="L635" s="27">
        <f>'Filter-new'!E712</f>
        <v>0</v>
      </c>
      <c r="M635" s="27"/>
      <c r="N635" s="27"/>
      <c r="O635" s="442"/>
      <c r="P635" s="27"/>
      <c r="Q635" s="45">
        <f>'Filter-old'!H712</f>
        <v>-50</v>
      </c>
      <c r="R635" s="27">
        <f>'Filter-new'!H712</f>
        <v>-46.811224489795919</v>
      </c>
      <c r="S635" s="27"/>
      <c r="T635" s="27"/>
      <c r="U635" s="459"/>
      <c r="V635" s="27"/>
      <c r="W635" s="45">
        <f>'Filter-old'!J712</f>
        <v>0</v>
      </c>
      <c r="X635" s="27">
        <f>'Filter-new'!J712</f>
        <v>0</v>
      </c>
      <c r="Y635" s="27"/>
      <c r="Z635" s="27"/>
      <c r="AA635" s="45">
        <f>'Filter-old'!F712</f>
        <v>0</v>
      </c>
      <c r="AB635" s="27">
        <f>'Filter-new'!F712</f>
        <v>0</v>
      </c>
      <c r="AC635" s="27"/>
      <c r="AD635" s="27"/>
      <c r="AE635" s="45">
        <f>'Filter-old'!P712</f>
        <v>0</v>
      </c>
      <c r="AF635" s="27">
        <f>'Filter-new'!P712</f>
        <v>0</v>
      </c>
      <c r="AG635" s="27"/>
      <c r="AH635" s="27"/>
      <c r="AI635" s="45">
        <f>'Filter-old'!L712</f>
        <v>0</v>
      </c>
      <c r="AJ635" s="27">
        <f>'Filter-new'!L712</f>
        <v>0</v>
      </c>
      <c r="AK635" s="27"/>
      <c r="AL635" s="27"/>
      <c r="AM635" s="27"/>
      <c r="AN635" s="27"/>
      <c r="AO635" s="45">
        <f>'Filter-old'!G712</f>
        <v>0</v>
      </c>
      <c r="AP635" s="27">
        <f>'Filter-new'!G712</f>
        <v>0</v>
      </c>
      <c r="AQ635" s="27"/>
      <c r="AR635" s="27"/>
      <c r="AS635" s="45"/>
      <c r="AT635" s="27"/>
      <c r="AU635" s="27"/>
      <c r="AV635" s="27"/>
      <c r="AW635" s="45">
        <f>'Filter-old'!I712</f>
        <v>0</v>
      </c>
      <c r="AX635" s="27">
        <f>'Filter-new'!I712</f>
        <v>0</v>
      </c>
      <c r="AY635" s="27"/>
      <c r="AZ635" s="27"/>
      <c r="BA635" s="27"/>
      <c r="BB635" s="27"/>
      <c r="BC635" s="45">
        <f>'Filter-old'!K712</f>
        <v>0</v>
      </c>
      <c r="BD635" s="27">
        <f>'Filter-new'!K712</f>
        <v>0</v>
      </c>
      <c r="BE635" s="27"/>
      <c r="BF635" s="27"/>
      <c r="BG635" s="45">
        <f>'Filter-old'!M712</f>
        <v>0</v>
      </c>
      <c r="BH635" s="61"/>
      <c r="BI635" s="61"/>
      <c r="BJ635" s="27">
        <f>'Filter-new'!M712</f>
        <v>0</v>
      </c>
      <c r="BK635" s="27"/>
      <c r="BL635" s="27"/>
      <c r="BM635" s="27"/>
      <c r="BN635" s="423"/>
      <c r="BO635" s="27"/>
      <c r="BP635" s="27"/>
      <c r="BQ635" s="45">
        <f>'Filter-old'!O712</f>
        <v>0</v>
      </c>
      <c r="BR635" s="27">
        <f>'Filter-new'!O712</f>
        <v>0</v>
      </c>
      <c r="BS635" s="27"/>
      <c r="BT635" s="27"/>
      <c r="BU635" s="45">
        <f>'Filter-old'!Q712</f>
        <v>0</v>
      </c>
      <c r="BV635" s="27">
        <f>'Filter-new'!Q712</f>
        <v>0</v>
      </c>
      <c r="BW635" s="27"/>
      <c r="BX635" s="27"/>
      <c r="BY635" s="27"/>
      <c r="BZ635" s="27"/>
      <c r="CA635" s="45">
        <f>'Filter-old'!R712</f>
        <v>0</v>
      </c>
      <c r="CB635" s="27">
        <f>'Filter-new'!R712</f>
        <v>0</v>
      </c>
      <c r="CC635" s="4"/>
      <c r="CD635" s="4"/>
      <c r="CE635" s="4"/>
      <c r="CF635" s="4"/>
      <c r="CG635" s="4"/>
    </row>
    <row r="636" spans="1:85" hidden="1" x14ac:dyDescent="0.2">
      <c r="A636">
        <v>0</v>
      </c>
      <c r="B636" s="29">
        <v>39539</v>
      </c>
      <c r="C636" s="29">
        <f t="shared" si="85"/>
        <v>39539</v>
      </c>
      <c r="D636" s="29"/>
      <c r="E636" s="29"/>
      <c r="F636" s="29"/>
      <c r="G636" s="36">
        <f t="shared" si="83"/>
        <v>-49.864130434782609</v>
      </c>
      <c r="H636" s="36">
        <f t="shared" si="84"/>
        <v>-57.608695652173914</v>
      </c>
      <c r="I636" s="36"/>
      <c r="J636" s="41"/>
      <c r="K636" s="45">
        <f>'Filter-old'!E713</f>
        <v>0</v>
      </c>
      <c r="L636" s="27">
        <f>'Filter-new'!E713</f>
        <v>0</v>
      </c>
      <c r="M636" s="27"/>
      <c r="N636" s="27"/>
      <c r="O636" s="442"/>
      <c r="P636" s="27"/>
      <c r="Q636" s="45">
        <f>'Filter-old'!H713</f>
        <v>-49.864130434782609</v>
      </c>
      <c r="R636" s="27">
        <f>'Filter-new'!H713</f>
        <v>-57.608695652173914</v>
      </c>
      <c r="S636" s="27"/>
      <c r="T636" s="27"/>
      <c r="U636" s="459"/>
      <c r="V636" s="27"/>
      <c r="W636" s="45">
        <f>'Filter-old'!J713</f>
        <v>0</v>
      </c>
      <c r="X636" s="27">
        <f>'Filter-new'!J713</f>
        <v>0</v>
      </c>
      <c r="Y636" s="27"/>
      <c r="Z636" s="27"/>
      <c r="AA636" s="45">
        <f>'Filter-old'!F713</f>
        <v>0</v>
      </c>
      <c r="AB636" s="27">
        <f>'Filter-new'!F713</f>
        <v>0</v>
      </c>
      <c r="AC636" s="27"/>
      <c r="AD636" s="27"/>
      <c r="AE636" s="45">
        <f>'Filter-old'!P713</f>
        <v>0</v>
      </c>
      <c r="AF636" s="27">
        <f>'Filter-new'!P713</f>
        <v>0</v>
      </c>
      <c r="AG636" s="27"/>
      <c r="AH636" s="27"/>
      <c r="AI636" s="45">
        <f>'Filter-old'!L713</f>
        <v>0</v>
      </c>
      <c r="AJ636" s="27">
        <f>'Filter-new'!L713</f>
        <v>0</v>
      </c>
      <c r="AK636" s="27"/>
      <c r="AL636" s="27"/>
      <c r="AM636" s="27"/>
      <c r="AN636" s="27"/>
      <c r="AO636" s="45">
        <f>'Filter-old'!G713</f>
        <v>0</v>
      </c>
      <c r="AP636" s="27">
        <f>'Filter-new'!G713</f>
        <v>0</v>
      </c>
      <c r="AQ636" s="27"/>
      <c r="AR636" s="27"/>
      <c r="AS636" s="45"/>
      <c r="AT636" s="27"/>
      <c r="AU636" s="27"/>
      <c r="AV636" s="27"/>
      <c r="AW636" s="45">
        <f>'Filter-old'!I713</f>
        <v>0</v>
      </c>
      <c r="AX636" s="27">
        <f>'Filter-new'!I713</f>
        <v>0</v>
      </c>
      <c r="AY636" s="27"/>
      <c r="AZ636" s="27"/>
      <c r="BA636" s="27"/>
      <c r="BB636" s="27"/>
      <c r="BC636" s="45">
        <f>'Filter-old'!K713</f>
        <v>0</v>
      </c>
      <c r="BD636" s="27">
        <f>'Filter-new'!K713</f>
        <v>0</v>
      </c>
      <c r="BE636" s="27"/>
      <c r="BF636" s="27"/>
      <c r="BG636" s="45">
        <f>'Filter-old'!M713</f>
        <v>0</v>
      </c>
      <c r="BH636" s="61"/>
      <c r="BI636" s="61"/>
      <c r="BJ636" s="27">
        <f>'Filter-new'!M713</f>
        <v>0</v>
      </c>
      <c r="BK636" s="27"/>
      <c r="BL636" s="27"/>
      <c r="BM636" s="27"/>
      <c r="BN636" s="423"/>
      <c r="BO636" s="27"/>
      <c r="BP636" s="27"/>
      <c r="BQ636" s="45">
        <f>'Filter-old'!O713</f>
        <v>0</v>
      </c>
      <c r="BR636" s="27">
        <f>'Filter-new'!O713</f>
        <v>0</v>
      </c>
      <c r="BS636" s="27"/>
      <c r="BT636" s="27"/>
      <c r="BU636" s="45">
        <f>'Filter-old'!Q713</f>
        <v>0</v>
      </c>
      <c r="BV636" s="27">
        <f>'Filter-new'!Q713</f>
        <v>0</v>
      </c>
      <c r="BW636" s="27"/>
      <c r="BX636" s="27"/>
      <c r="BY636" s="27"/>
      <c r="BZ636" s="27"/>
      <c r="CA636" s="45">
        <f>'Filter-old'!R713</f>
        <v>0</v>
      </c>
      <c r="CB636" s="27">
        <f>'Filter-new'!R713</f>
        <v>0</v>
      </c>
      <c r="CC636" s="4"/>
      <c r="CD636" s="4"/>
      <c r="CE636" s="4"/>
      <c r="CF636" s="4"/>
      <c r="CG636" s="4"/>
    </row>
    <row r="637" spans="1:85" hidden="1" x14ac:dyDescent="0.2">
      <c r="A637">
        <v>0</v>
      </c>
      <c r="B637" s="29">
        <v>39569</v>
      </c>
      <c r="C637" s="29">
        <f t="shared" si="85"/>
        <v>39569</v>
      </c>
      <c r="D637" s="29"/>
      <c r="E637" s="29"/>
      <c r="F637" s="29"/>
      <c r="G637" s="36">
        <f t="shared" si="83"/>
        <v>-50</v>
      </c>
      <c r="H637" s="36">
        <f t="shared" si="84"/>
        <v>-43.39622641509434</v>
      </c>
      <c r="I637" s="36"/>
      <c r="J637" s="41"/>
      <c r="K637" s="45">
        <f>'Filter-old'!E714</f>
        <v>0</v>
      </c>
      <c r="L637" s="27">
        <f>'Filter-new'!E714</f>
        <v>0</v>
      </c>
      <c r="M637" s="27"/>
      <c r="N637" s="27"/>
      <c r="O637" s="442"/>
      <c r="P637" s="27"/>
      <c r="Q637" s="45">
        <f>'Filter-old'!H714</f>
        <v>-50</v>
      </c>
      <c r="R637" s="27">
        <f>'Filter-new'!H714</f>
        <v>-43.39622641509434</v>
      </c>
      <c r="S637" s="27"/>
      <c r="T637" s="27"/>
      <c r="U637" s="459"/>
      <c r="V637" s="27"/>
      <c r="W637" s="45">
        <f>'Filter-old'!J714</f>
        <v>0</v>
      </c>
      <c r="X637" s="27">
        <f>'Filter-new'!J714</f>
        <v>0</v>
      </c>
      <c r="Y637" s="27"/>
      <c r="Z637" s="27"/>
      <c r="AA637" s="45">
        <f>'Filter-old'!F714</f>
        <v>0</v>
      </c>
      <c r="AB637" s="27">
        <f>'Filter-new'!F714</f>
        <v>0</v>
      </c>
      <c r="AC637" s="27"/>
      <c r="AD637" s="27"/>
      <c r="AE637" s="45">
        <f>'Filter-old'!P714</f>
        <v>0</v>
      </c>
      <c r="AF637" s="27">
        <f>'Filter-new'!P714</f>
        <v>0</v>
      </c>
      <c r="AG637" s="27"/>
      <c r="AH637" s="27"/>
      <c r="AI637" s="45">
        <f>'Filter-old'!L714</f>
        <v>0</v>
      </c>
      <c r="AJ637" s="27">
        <f>'Filter-new'!L714</f>
        <v>0</v>
      </c>
      <c r="AK637" s="27"/>
      <c r="AL637" s="27"/>
      <c r="AM637" s="27"/>
      <c r="AN637" s="27"/>
      <c r="AO637" s="45">
        <f>'Filter-old'!G714</f>
        <v>0</v>
      </c>
      <c r="AP637" s="27">
        <f>'Filter-new'!G714</f>
        <v>0</v>
      </c>
      <c r="AQ637" s="27"/>
      <c r="AR637" s="27"/>
      <c r="AS637" s="45"/>
      <c r="AT637" s="27"/>
      <c r="AU637" s="27"/>
      <c r="AV637" s="27"/>
      <c r="AW637" s="45">
        <f>'Filter-old'!I714</f>
        <v>0</v>
      </c>
      <c r="AX637" s="27">
        <f>'Filter-new'!I714</f>
        <v>0</v>
      </c>
      <c r="AY637" s="27"/>
      <c r="AZ637" s="27"/>
      <c r="BA637" s="27"/>
      <c r="BB637" s="27"/>
      <c r="BC637" s="45">
        <f>'Filter-old'!K714</f>
        <v>0</v>
      </c>
      <c r="BD637" s="27">
        <f>'Filter-new'!K714</f>
        <v>0</v>
      </c>
      <c r="BE637" s="27"/>
      <c r="BF637" s="27"/>
      <c r="BG637" s="45">
        <f>'Filter-old'!M714</f>
        <v>0</v>
      </c>
      <c r="BH637" s="61"/>
      <c r="BI637" s="61"/>
      <c r="BJ637" s="27">
        <f>'Filter-new'!M714</f>
        <v>0</v>
      </c>
      <c r="BK637" s="27"/>
      <c r="BL637" s="27"/>
      <c r="BM637" s="27"/>
      <c r="BN637" s="423"/>
      <c r="BO637" s="27"/>
      <c r="BP637" s="27"/>
      <c r="BQ637" s="45">
        <f>'Filter-old'!O714</f>
        <v>0</v>
      </c>
      <c r="BR637" s="27">
        <f>'Filter-new'!O714</f>
        <v>0</v>
      </c>
      <c r="BS637" s="27"/>
      <c r="BT637" s="27"/>
      <c r="BU637" s="45">
        <f>'Filter-old'!Q714</f>
        <v>0</v>
      </c>
      <c r="BV637" s="27">
        <f>'Filter-new'!Q714</f>
        <v>0</v>
      </c>
      <c r="BW637" s="27"/>
      <c r="BX637" s="27"/>
      <c r="BY637" s="27"/>
      <c r="BZ637" s="27"/>
      <c r="CA637" s="45">
        <f>'Filter-old'!R714</f>
        <v>0</v>
      </c>
      <c r="CB637" s="27">
        <f>'Filter-new'!R714</f>
        <v>0</v>
      </c>
      <c r="CC637" s="4"/>
      <c r="CD637" s="4"/>
      <c r="CE637" s="4"/>
      <c r="CF637" s="4"/>
      <c r="CG637" s="4"/>
    </row>
    <row r="638" spans="1:85" hidden="1" x14ac:dyDescent="0.2">
      <c r="A638">
        <v>0</v>
      </c>
      <c r="B638" s="29">
        <v>39600</v>
      </c>
      <c r="C638" s="29">
        <f t="shared" si="85"/>
        <v>39600</v>
      </c>
      <c r="D638" s="29"/>
      <c r="E638" s="29"/>
      <c r="F638" s="29"/>
      <c r="G638" s="36">
        <f t="shared" si="83"/>
        <v>-50</v>
      </c>
      <c r="H638" s="36">
        <f t="shared" si="84"/>
        <v>-51.086956521739133</v>
      </c>
      <c r="I638" s="36"/>
      <c r="J638" s="41"/>
      <c r="K638" s="45">
        <f>'Filter-old'!E715</f>
        <v>0</v>
      </c>
      <c r="L638" s="27">
        <f>'Filter-new'!E715</f>
        <v>0</v>
      </c>
      <c r="M638" s="27"/>
      <c r="N638" s="27"/>
      <c r="O638" s="442"/>
      <c r="P638" s="27"/>
      <c r="Q638" s="45">
        <f>'Filter-old'!H715</f>
        <v>-50</v>
      </c>
      <c r="R638" s="27">
        <f>'Filter-new'!H715</f>
        <v>-51.086956521739133</v>
      </c>
      <c r="S638" s="27"/>
      <c r="T638" s="27"/>
      <c r="U638" s="459"/>
      <c r="V638" s="27"/>
      <c r="W638" s="45">
        <f>'Filter-old'!J715</f>
        <v>0</v>
      </c>
      <c r="X638" s="27">
        <f>'Filter-new'!J715</f>
        <v>0</v>
      </c>
      <c r="Y638" s="27"/>
      <c r="Z638" s="27"/>
      <c r="AA638" s="45">
        <f>'Filter-old'!F715</f>
        <v>0</v>
      </c>
      <c r="AB638" s="27">
        <f>'Filter-new'!F715</f>
        <v>0</v>
      </c>
      <c r="AC638" s="27"/>
      <c r="AD638" s="27"/>
      <c r="AE638" s="45">
        <f>'Filter-old'!P715</f>
        <v>0</v>
      </c>
      <c r="AF638" s="27">
        <f>'Filter-new'!P715</f>
        <v>0</v>
      </c>
      <c r="AG638" s="27"/>
      <c r="AH638" s="27"/>
      <c r="AI638" s="45">
        <f>'Filter-old'!L715</f>
        <v>0</v>
      </c>
      <c r="AJ638" s="27">
        <f>'Filter-new'!L715</f>
        <v>0</v>
      </c>
      <c r="AK638" s="27"/>
      <c r="AL638" s="27"/>
      <c r="AM638" s="27"/>
      <c r="AN638" s="27"/>
      <c r="AO638" s="45">
        <f>'Filter-old'!G715</f>
        <v>0</v>
      </c>
      <c r="AP638" s="27">
        <f>'Filter-new'!G715</f>
        <v>0</v>
      </c>
      <c r="AQ638" s="27"/>
      <c r="AR638" s="27"/>
      <c r="AS638" s="45"/>
      <c r="AT638" s="27"/>
      <c r="AU638" s="27"/>
      <c r="AV638" s="27"/>
      <c r="AW638" s="45">
        <f>'Filter-old'!I715</f>
        <v>0</v>
      </c>
      <c r="AX638" s="27">
        <f>'Filter-new'!I715</f>
        <v>0</v>
      </c>
      <c r="AY638" s="27"/>
      <c r="AZ638" s="27"/>
      <c r="BA638" s="27"/>
      <c r="BB638" s="27"/>
      <c r="BC638" s="45">
        <f>'Filter-old'!K715</f>
        <v>0</v>
      </c>
      <c r="BD638" s="27">
        <f>'Filter-new'!K715</f>
        <v>0</v>
      </c>
      <c r="BE638" s="27"/>
      <c r="BF638" s="27"/>
      <c r="BG638" s="45">
        <f>'Filter-old'!M715</f>
        <v>0</v>
      </c>
      <c r="BH638" s="61"/>
      <c r="BI638" s="61"/>
      <c r="BJ638" s="27">
        <f>'Filter-new'!M715</f>
        <v>0</v>
      </c>
      <c r="BK638" s="27"/>
      <c r="BL638" s="27"/>
      <c r="BM638" s="27"/>
      <c r="BN638" s="423"/>
      <c r="BO638" s="27"/>
      <c r="BP638" s="27"/>
      <c r="BQ638" s="45">
        <f>'Filter-old'!O715</f>
        <v>0</v>
      </c>
      <c r="BR638" s="27">
        <f>'Filter-new'!O715</f>
        <v>0</v>
      </c>
      <c r="BS638" s="27"/>
      <c r="BT638" s="27"/>
      <c r="BU638" s="45">
        <f>'Filter-old'!Q715</f>
        <v>0</v>
      </c>
      <c r="BV638" s="27">
        <f>'Filter-new'!Q715</f>
        <v>0</v>
      </c>
      <c r="BW638" s="27"/>
      <c r="BX638" s="27"/>
      <c r="BY638" s="27"/>
      <c r="BZ638" s="27"/>
      <c r="CA638" s="45">
        <f>'Filter-old'!R715</f>
        <v>0</v>
      </c>
      <c r="CB638" s="27">
        <f>'Filter-new'!R715</f>
        <v>0</v>
      </c>
      <c r="CC638" s="4"/>
      <c r="CD638" s="4"/>
      <c r="CE638" s="4"/>
      <c r="CF638" s="4"/>
      <c r="CG638" s="4"/>
    </row>
    <row r="639" spans="1:85" hidden="1" x14ac:dyDescent="0.2">
      <c r="A639">
        <v>0</v>
      </c>
      <c r="B639" s="29">
        <v>39630</v>
      </c>
      <c r="C639" s="29">
        <f t="shared" si="85"/>
        <v>39630</v>
      </c>
      <c r="D639" s="29"/>
      <c r="E639" s="29"/>
      <c r="F639" s="29"/>
      <c r="G639" s="36">
        <f t="shared" si="83"/>
        <v>-50</v>
      </c>
      <c r="H639" s="36">
        <f t="shared" si="84"/>
        <v>-54.255319148936174</v>
      </c>
      <c r="I639" s="36"/>
      <c r="J639" s="41"/>
      <c r="K639" s="45">
        <f>'Filter-old'!E716</f>
        <v>0</v>
      </c>
      <c r="L639" s="27">
        <f>'Filter-new'!E716</f>
        <v>0</v>
      </c>
      <c r="M639" s="27"/>
      <c r="N639" s="27"/>
      <c r="O639" s="442"/>
      <c r="P639" s="27"/>
      <c r="Q639" s="45">
        <f>'Filter-old'!H716</f>
        <v>-50</v>
      </c>
      <c r="R639" s="27">
        <f>'Filter-new'!H716</f>
        <v>-54.255319148936174</v>
      </c>
      <c r="S639" s="27"/>
      <c r="T639" s="27"/>
      <c r="U639" s="459"/>
      <c r="V639" s="27"/>
      <c r="W639" s="45">
        <f>'Filter-old'!J716</f>
        <v>0</v>
      </c>
      <c r="X639" s="27">
        <f>'Filter-new'!J716</f>
        <v>0</v>
      </c>
      <c r="Y639" s="27"/>
      <c r="Z639" s="27"/>
      <c r="AA639" s="45">
        <f>'Filter-old'!F716</f>
        <v>0</v>
      </c>
      <c r="AB639" s="27">
        <f>'Filter-new'!F716</f>
        <v>0</v>
      </c>
      <c r="AC639" s="27"/>
      <c r="AD639" s="27"/>
      <c r="AE639" s="45">
        <f>'Filter-old'!P716</f>
        <v>0</v>
      </c>
      <c r="AF639" s="27">
        <f>'Filter-new'!P716</f>
        <v>0</v>
      </c>
      <c r="AG639" s="27"/>
      <c r="AH639" s="27"/>
      <c r="AI639" s="45">
        <f>'Filter-old'!L716</f>
        <v>0</v>
      </c>
      <c r="AJ639" s="27">
        <f>'Filter-new'!L716</f>
        <v>0</v>
      </c>
      <c r="AK639" s="27"/>
      <c r="AL639" s="27"/>
      <c r="AM639" s="27"/>
      <c r="AN639" s="27"/>
      <c r="AO639" s="45">
        <f>'Filter-old'!G716</f>
        <v>0</v>
      </c>
      <c r="AP639" s="27">
        <f>'Filter-new'!G716</f>
        <v>0</v>
      </c>
      <c r="AQ639" s="27"/>
      <c r="AR639" s="27"/>
      <c r="AS639" s="45"/>
      <c r="AT639" s="27"/>
      <c r="AU639" s="27"/>
      <c r="AV639" s="27"/>
      <c r="AW639" s="45">
        <f>'Filter-old'!I716</f>
        <v>0</v>
      </c>
      <c r="AX639" s="27">
        <f>'Filter-new'!I716</f>
        <v>0</v>
      </c>
      <c r="AY639" s="27"/>
      <c r="AZ639" s="27"/>
      <c r="BA639" s="27"/>
      <c r="BB639" s="27"/>
      <c r="BC639" s="45">
        <f>'Filter-old'!K716</f>
        <v>0</v>
      </c>
      <c r="BD639" s="27">
        <f>'Filter-new'!K716</f>
        <v>0</v>
      </c>
      <c r="BE639" s="27"/>
      <c r="BF639" s="27"/>
      <c r="BG639" s="45">
        <f>'Filter-old'!M716</f>
        <v>0</v>
      </c>
      <c r="BH639" s="61"/>
      <c r="BI639" s="61"/>
      <c r="BJ639" s="27">
        <f>'Filter-new'!M716</f>
        <v>0</v>
      </c>
      <c r="BK639" s="27"/>
      <c r="BL639" s="27"/>
      <c r="BM639" s="27"/>
      <c r="BN639" s="423"/>
      <c r="BO639" s="27"/>
      <c r="BP639" s="27"/>
      <c r="BQ639" s="45">
        <f>'Filter-old'!O716</f>
        <v>0</v>
      </c>
      <c r="BR639" s="27">
        <f>'Filter-new'!O716</f>
        <v>0</v>
      </c>
      <c r="BS639" s="27"/>
      <c r="BT639" s="27"/>
      <c r="BU639" s="45">
        <f>'Filter-old'!Q716</f>
        <v>0</v>
      </c>
      <c r="BV639" s="27">
        <f>'Filter-new'!Q716</f>
        <v>0</v>
      </c>
      <c r="BW639" s="27"/>
      <c r="BX639" s="27"/>
      <c r="BY639" s="27"/>
      <c r="BZ639" s="27"/>
      <c r="CA639" s="45">
        <f>'Filter-old'!R716</f>
        <v>0</v>
      </c>
      <c r="CB639" s="27">
        <f>'Filter-new'!R716</f>
        <v>0</v>
      </c>
      <c r="CC639" s="4"/>
      <c r="CD639" s="4"/>
      <c r="CE639" s="4"/>
      <c r="CF639" s="4"/>
      <c r="CG639" s="4"/>
    </row>
    <row r="640" spans="1:85" hidden="1" x14ac:dyDescent="0.2">
      <c r="A640">
        <v>0</v>
      </c>
      <c r="B640" s="29">
        <v>39661</v>
      </c>
      <c r="C640" s="29">
        <f t="shared" si="85"/>
        <v>39661</v>
      </c>
      <c r="D640" s="29"/>
      <c r="E640" s="29"/>
      <c r="F640" s="29"/>
      <c r="G640" s="36">
        <f t="shared" si="83"/>
        <v>-50</v>
      </c>
      <c r="H640" s="36">
        <f t="shared" si="84"/>
        <v>-47.058823529411768</v>
      </c>
      <c r="I640" s="36"/>
      <c r="J640" s="41"/>
      <c r="K640" s="45">
        <f>'Filter-old'!E717</f>
        <v>0</v>
      </c>
      <c r="L640" s="27">
        <f>'Filter-new'!E717</f>
        <v>0</v>
      </c>
      <c r="M640" s="27"/>
      <c r="N640" s="27"/>
      <c r="O640" s="442"/>
      <c r="P640" s="27"/>
      <c r="Q640" s="45">
        <f>'Filter-old'!H717</f>
        <v>-50</v>
      </c>
      <c r="R640" s="27">
        <f>'Filter-new'!H717</f>
        <v>-47.058823529411768</v>
      </c>
      <c r="S640" s="27"/>
      <c r="T640" s="27"/>
      <c r="U640" s="459"/>
      <c r="V640" s="27"/>
      <c r="W640" s="45">
        <f>'Filter-old'!J717</f>
        <v>0</v>
      </c>
      <c r="X640" s="27">
        <f>'Filter-new'!J717</f>
        <v>0</v>
      </c>
      <c r="Y640" s="27"/>
      <c r="Z640" s="27"/>
      <c r="AA640" s="45">
        <f>'Filter-old'!F717</f>
        <v>0</v>
      </c>
      <c r="AB640" s="27">
        <f>'Filter-new'!F717</f>
        <v>0</v>
      </c>
      <c r="AC640" s="27"/>
      <c r="AD640" s="27"/>
      <c r="AE640" s="45">
        <f>'Filter-old'!P717</f>
        <v>0</v>
      </c>
      <c r="AF640" s="27">
        <f>'Filter-new'!P717</f>
        <v>0</v>
      </c>
      <c r="AG640" s="27"/>
      <c r="AH640" s="27"/>
      <c r="AI640" s="45">
        <f>'Filter-old'!L717</f>
        <v>0</v>
      </c>
      <c r="AJ640" s="27">
        <f>'Filter-new'!L717</f>
        <v>0</v>
      </c>
      <c r="AK640" s="27"/>
      <c r="AL640" s="27"/>
      <c r="AM640" s="27"/>
      <c r="AN640" s="27"/>
      <c r="AO640" s="45">
        <f>'Filter-old'!G717</f>
        <v>0</v>
      </c>
      <c r="AP640" s="27">
        <f>'Filter-new'!G717</f>
        <v>0</v>
      </c>
      <c r="AQ640" s="27"/>
      <c r="AR640" s="27"/>
      <c r="AS640" s="45"/>
      <c r="AT640" s="27"/>
      <c r="AU640" s="27"/>
      <c r="AV640" s="27"/>
      <c r="AW640" s="45">
        <f>'Filter-old'!I717</f>
        <v>0</v>
      </c>
      <c r="AX640" s="27">
        <f>'Filter-new'!I717</f>
        <v>0</v>
      </c>
      <c r="AY640" s="27"/>
      <c r="AZ640" s="27"/>
      <c r="BA640" s="27"/>
      <c r="BB640" s="27"/>
      <c r="BC640" s="45">
        <f>'Filter-old'!K717</f>
        <v>0</v>
      </c>
      <c r="BD640" s="27">
        <f>'Filter-new'!K717</f>
        <v>0</v>
      </c>
      <c r="BE640" s="27"/>
      <c r="BF640" s="27"/>
      <c r="BG640" s="45">
        <f>'Filter-old'!M717</f>
        <v>0</v>
      </c>
      <c r="BH640" s="61"/>
      <c r="BI640" s="61"/>
      <c r="BJ640" s="27">
        <f>'Filter-new'!M717</f>
        <v>0</v>
      </c>
      <c r="BK640" s="27"/>
      <c r="BL640" s="27"/>
      <c r="BM640" s="27"/>
      <c r="BN640" s="423"/>
      <c r="BO640" s="27"/>
      <c r="BP640" s="27"/>
      <c r="BQ640" s="45">
        <f>'Filter-old'!O717</f>
        <v>0</v>
      </c>
      <c r="BR640" s="27">
        <f>'Filter-new'!O717</f>
        <v>0</v>
      </c>
      <c r="BS640" s="27"/>
      <c r="BT640" s="27"/>
      <c r="BU640" s="45">
        <f>'Filter-old'!Q717</f>
        <v>0</v>
      </c>
      <c r="BV640" s="27">
        <f>'Filter-new'!Q717</f>
        <v>0</v>
      </c>
      <c r="BW640" s="27"/>
      <c r="BX640" s="27"/>
      <c r="BY640" s="27"/>
      <c r="BZ640" s="27"/>
      <c r="CA640" s="45">
        <f>'Filter-old'!R717</f>
        <v>0</v>
      </c>
      <c r="CB640" s="27">
        <f>'Filter-new'!R717</f>
        <v>0</v>
      </c>
      <c r="CC640" s="4"/>
      <c r="CD640" s="4"/>
      <c r="CE640" s="4"/>
      <c r="CF640" s="4"/>
      <c r="CG640" s="4"/>
    </row>
    <row r="641" spans="1:85" hidden="1" x14ac:dyDescent="0.2">
      <c r="A641">
        <v>0</v>
      </c>
      <c r="B641" s="29">
        <v>39692</v>
      </c>
      <c r="C641" s="29">
        <f t="shared" si="85"/>
        <v>39692</v>
      </c>
      <c r="D641" s="29"/>
      <c r="E641" s="29"/>
      <c r="F641" s="29"/>
      <c r="G641" s="36">
        <f t="shared" si="83"/>
        <v>-50</v>
      </c>
      <c r="H641" s="36">
        <f t="shared" si="84"/>
        <v>-51.171875</v>
      </c>
      <c r="I641" s="36"/>
      <c r="J641" s="41"/>
      <c r="K641" s="45">
        <f>'Filter-old'!E718</f>
        <v>0</v>
      </c>
      <c r="L641" s="27">
        <f>'Filter-new'!E718</f>
        <v>0</v>
      </c>
      <c r="M641" s="27"/>
      <c r="N641" s="27"/>
      <c r="O641" s="442"/>
      <c r="P641" s="27"/>
      <c r="Q641" s="45">
        <f>'Filter-old'!H718</f>
        <v>-50</v>
      </c>
      <c r="R641" s="27">
        <f>'Filter-new'!H718</f>
        <v>-51.171875</v>
      </c>
      <c r="S641" s="27"/>
      <c r="T641" s="27"/>
      <c r="U641" s="459"/>
      <c r="V641" s="27"/>
      <c r="W641" s="45">
        <f>'Filter-old'!J718</f>
        <v>0</v>
      </c>
      <c r="X641" s="27">
        <f>'Filter-new'!J718</f>
        <v>0</v>
      </c>
      <c r="Y641" s="27"/>
      <c r="Z641" s="27"/>
      <c r="AA641" s="45">
        <f>'Filter-old'!F718</f>
        <v>0</v>
      </c>
      <c r="AB641" s="27">
        <f>'Filter-new'!F718</f>
        <v>0</v>
      </c>
      <c r="AC641" s="27"/>
      <c r="AD641" s="27"/>
      <c r="AE641" s="45">
        <f>'Filter-old'!P718</f>
        <v>0</v>
      </c>
      <c r="AF641" s="27">
        <f>'Filter-new'!P718</f>
        <v>0</v>
      </c>
      <c r="AG641" s="27"/>
      <c r="AH641" s="27"/>
      <c r="AI641" s="45">
        <f>'Filter-old'!L718</f>
        <v>0</v>
      </c>
      <c r="AJ641" s="27">
        <f>'Filter-new'!L718</f>
        <v>0</v>
      </c>
      <c r="AK641" s="27"/>
      <c r="AL641" s="27"/>
      <c r="AM641" s="27"/>
      <c r="AN641" s="27"/>
      <c r="AO641" s="45">
        <f>'Filter-old'!G718</f>
        <v>0</v>
      </c>
      <c r="AP641" s="27">
        <f>'Filter-new'!G718</f>
        <v>0</v>
      </c>
      <c r="AQ641" s="27"/>
      <c r="AR641" s="27"/>
      <c r="AS641" s="45"/>
      <c r="AT641" s="27"/>
      <c r="AU641" s="27"/>
      <c r="AV641" s="27"/>
      <c r="AW641" s="45">
        <f>'Filter-old'!I718</f>
        <v>0</v>
      </c>
      <c r="AX641" s="27">
        <f>'Filter-new'!I718</f>
        <v>0</v>
      </c>
      <c r="AY641" s="27"/>
      <c r="AZ641" s="27"/>
      <c r="BA641" s="27"/>
      <c r="BB641" s="27"/>
      <c r="BC641" s="45">
        <f>'Filter-old'!K718</f>
        <v>0</v>
      </c>
      <c r="BD641" s="27">
        <f>'Filter-new'!K718</f>
        <v>0</v>
      </c>
      <c r="BE641" s="27"/>
      <c r="BF641" s="27"/>
      <c r="BG641" s="45">
        <f>'Filter-old'!M718</f>
        <v>0</v>
      </c>
      <c r="BH641" s="61"/>
      <c r="BI641" s="61"/>
      <c r="BJ641" s="27">
        <f>'Filter-new'!M718</f>
        <v>0</v>
      </c>
      <c r="BK641" s="27"/>
      <c r="BL641" s="27"/>
      <c r="BM641" s="27"/>
      <c r="BN641" s="423"/>
      <c r="BO641" s="27"/>
      <c r="BP641" s="27"/>
      <c r="BQ641" s="45">
        <f>'Filter-old'!O718</f>
        <v>0</v>
      </c>
      <c r="BR641" s="27">
        <f>'Filter-new'!O718</f>
        <v>0</v>
      </c>
      <c r="BS641" s="27"/>
      <c r="BT641" s="27"/>
      <c r="BU641" s="45">
        <f>'Filter-old'!Q718</f>
        <v>0</v>
      </c>
      <c r="BV641" s="27">
        <f>'Filter-new'!Q718</f>
        <v>0</v>
      </c>
      <c r="BW641" s="27"/>
      <c r="BX641" s="27"/>
      <c r="BY641" s="27"/>
      <c r="BZ641" s="27"/>
      <c r="CA641" s="45">
        <f>'Filter-old'!R718</f>
        <v>0</v>
      </c>
      <c r="CB641" s="27">
        <f>'Filter-new'!R718</f>
        <v>0</v>
      </c>
      <c r="CC641" s="4"/>
      <c r="CD641" s="4"/>
      <c r="CE641" s="4"/>
      <c r="CF641" s="4"/>
      <c r="CG641" s="4"/>
    </row>
    <row r="642" spans="1:85" hidden="1" x14ac:dyDescent="0.2">
      <c r="A642">
        <v>0</v>
      </c>
      <c r="B642" s="29">
        <v>39722</v>
      </c>
      <c r="C642" s="29">
        <f t="shared" si="85"/>
        <v>39722</v>
      </c>
      <c r="D642" s="29"/>
      <c r="E642" s="29"/>
      <c r="F642" s="29"/>
      <c r="G642" s="36">
        <f t="shared" si="83"/>
        <v>-50.127551020408163</v>
      </c>
      <c r="H642" s="36">
        <f t="shared" si="84"/>
        <v>-51.020408163265309</v>
      </c>
      <c r="I642" s="36"/>
      <c r="J642" s="41"/>
      <c r="K642" s="45">
        <f>'Filter-old'!E719</f>
        <v>0</v>
      </c>
      <c r="L642" s="27">
        <f>'Filter-new'!E719</f>
        <v>0</v>
      </c>
      <c r="M642" s="27"/>
      <c r="N642" s="27"/>
      <c r="O642" s="442"/>
      <c r="P642" s="27"/>
      <c r="Q642" s="45">
        <f>'Filter-old'!H719</f>
        <v>-50.127551020408163</v>
      </c>
      <c r="R642" s="27">
        <f>'Filter-new'!H719</f>
        <v>-51.020408163265309</v>
      </c>
      <c r="S642" s="27"/>
      <c r="T642" s="27"/>
      <c r="U642" s="459"/>
      <c r="V642" s="27"/>
      <c r="W642" s="45">
        <f>'Filter-old'!J719</f>
        <v>0</v>
      </c>
      <c r="X642" s="27">
        <f>'Filter-new'!J719</f>
        <v>0</v>
      </c>
      <c r="Y642" s="27"/>
      <c r="Z642" s="27"/>
      <c r="AA642" s="45">
        <f>'Filter-old'!F719</f>
        <v>0</v>
      </c>
      <c r="AB642" s="27">
        <f>'Filter-new'!F719</f>
        <v>0</v>
      </c>
      <c r="AC642" s="27"/>
      <c r="AD642" s="27"/>
      <c r="AE642" s="45">
        <f>'Filter-old'!P719</f>
        <v>0</v>
      </c>
      <c r="AF642" s="27">
        <f>'Filter-new'!P719</f>
        <v>0</v>
      </c>
      <c r="AG642" s="27"/>
      <c r="AH642" s="27"/>
      <c r="AI642" s="45">
        <f>'Filter-old'!L719</f>
        <v>0</v>
      </c>
      <c r="AJ642" s="27">
        <f>'Filter-new'!L719</f>
        <v>0</v>
      </c>
      <c r="AK642" s="27"/>
      <c r="AL642" s="27"/>
      <c r="AM642" s="27"/>
      <c r="AN642" s="27"/>
      <c r="AO642" s="45">
        <f>'Filter-old'!G719</f>
        <v>0</v>
      </c>
      <c r="AP642" s="27">
        <f>'Filter-new'!G719</f>
        <v>0</v>
      </c>
      <c r="AQ642" s="27"/>
      <c r="AR642" s="27"/>
      <c r="AS642" s="45"/>
      <c r="AT642" s="27"/>
      <c r="AU642" s="27"/>
      <c r="AV642" s="27"/>
      <c r="AW642" s="45">
        <f>'Filter-old'!I719</f>
        <v>0</v>
      </c>
      <c r="AX642" s="27">
        <f>'Filter-new'!I719</f>
        <v>0</v>
      </c>
      <c r="AY642" s="27"/>
      <c r="AZ642" s="27"/>
      <c r="BA642" s="27"/>
      <c r="BB642" s="27"/>
      <c r="BC642" s="45">
        <f>'Filter-old'!K719</f>
        <v>0</v>
      </c>
      <c r="BD642" s="27">
        <f>'Filter-new'!K719</f>
        <v>0</v>
      </c>
      <c r="BE642" s="27"/>
      <c r="BF642" s="27"/>
      <c r="BG642" s="45">
        <f>'Filter-old'!M719</f>
        <v>0</v>
      </c>
      <c r="BH642" s="61"/>
      <c r="BI642" s="61"/>
      <c r="BJ642" s="27">
        <f>'Filter-new'!M719</f>
        <v>0</v>
      </c>
      <c r="BK642" s="27"/>
      <c r="BL642" s="27"/>
      <c r="BM642" s="27"/>
      <c r="BN642" s="423"/>
      <c r="BO642" s="27"/>
      <c r="BP642" s="27"/>
      <c r="BQ642" s="45">
        <f>'Filter-old'!O719</f>
        <v>0</v>
      </c>
      <c r="BR642" s="27">
        <f>'Filter-new'!O719</f>
        <v>0</v>
      </c>
      <c r="BS642" s="27"/>
      <c r="BT642" s="27"/>
      <c r="BU642" s="45">
        <f>'Filter-old'!Q719</f>
        <v>0</v>
      </c>
      <c r="BV642" s="27">
        <f>'Filter-new'!Q719</f>
        <v>0</v>
      </c>
      <c r="BW642" s="27"/>
      <c r="BX642" s="27"/>
      <c r="BY642" s="27"/>
      <c r="BZ642" s="27"/>
      <c r="CA642" s="45">
        <f>'Filter-old'!R719</f>
        <v>0</v>
      </c>
      <c r="CB642" s="27">
        <f>'Filter-new'!R719</f>
        <v>0</v>
      </c>
      <c r="CC642" s="4"/>
      <c r="CD642" s="4"/>
      <c r="CE642" s="4"/>
      <c r="CF642" s="4"/>
      <c r="CG642" s="4"/>
    </row>
    <row r="643" spans="1:85" hidden="1" x14ac:dyDescent="0.2">
      <c r="A643">
        <v>0</v>
      </c>
      <c r="B643" s="29">
        <v>39753</v>
      </c>
      <c r="C643" s="29">
        <f t="shared" si="85"/>
        <v>39753</v>
      </c>
      <c r="D643" s="29"/>
      <c r="E643" s="29"/>
      <c r="F643" s="29"/>
      <c r="G643" s="36">
        <f t="shared" si="83"/>
        <v>-50</v>
      </c>
      <c r="H643" s="36">
        <f t="shared" si="84"/>
        <v>-49</v>
      </c>
      <c r="I643" s="36"/>
      <c r="J643" s="41"/>
      <c r="K643" s="45">
        <f>'Filter-old'!E720</f>
        <v>0</v>
      </c>
      <c r="L643" s="27">
        <f>'Filter-new'!E720</f>
        <v>0</v>
      </c>
      <c r="M643" s="27"/>
      <c r="N643" s="27"/>
      <c r="O643" s="442"/>
      <c r="P643" s="27"/>
      <c r="Q643" s="45">
        <f>'Filter-old'!H720</f>
        <v>-50</v>
      </c>
      <c r="R643" s="27">
        <f>'Filter-new'!H720</f>
        <v>-49</v>
      </c>
      <c r="S643" s="27"/>
      <c r="T643" s="27"/>
      <c r="U643" s="459"/>
      <c r="V643" s="27"/>
      <c r="W643" s="45">
        <f>'Filter-old'!J720</f>
        <v>0</v>
      </c>
      <c r="X643" s="27">
        <f>'Filter-new'!J720</f>
        <v>0</v>
      </c>
      <c r="Y643" s="27"/>
      <c r="Z643" s="27"/>
      <c r="AA643" s="45">
        <f>'Filter-old'!F720</f>
        <v>0</v>
      </c>
      <c r="AB643" s="27">
        <f>'Filter-new'!F720</f>
        <v>0</v>
      </c>
      <c r="AC643" s="27"/>
      <c r="AD643" s="27"/>
      <c r="AE643" s="45">
        <f>'Filter-old'!P720</f>
        <v>0</v>
      </c>
      <c r="AF643" s="27">
        <f>'Filter-new'!P720</f>
        <v>0</v>
      </c>
      <c r="AG643" s="27"/>
      <c r="AH643" s="27"/>
      <c r="AI643" s="45">
        <f>'Filter-old'!L720</f>
        <v>0</v>
      </c>
      <c r="AJ643" s="27">
        <f>'Filter-new'!L720</f>
        <v>0</v>
      </c>
      <c r="AK643" s="27"/>
      <c r="AL643" s="27"/>
      <c r="AM643" s="27"/>
      <c r="AN643" s="27"/>
      <c r="AO643" s="45">
        <f>'Filter-old'!G720</f>
        <v>0</v>
      </c>
      <c r="AP643" s="27">
        <f>'Filter-new'!G720</f>
        <v>0</v>
      </c>
      <c r="AQ643" s="27"/>
      <c r="AR643" s="27"/>
      <c r="AS643" s="45"/>
      <c r="AT643" s="27"/>
      <c r="AU643" s="27"/>
      <c r="AV643" s="27"/>
      <c r="AW643" s="45">
        <f>'Filter-old'!I720</f>
        <v>0</v>
      </c>
      <c r="AX643" s="27">
        <f>'Filter-new'!I720</f>
        <v>0</v>
      </c>
      <c r="AY643" s="27"/>
      <c r="AZ643" s="27"/>
      <c r="BA643" s="27"/>
      <c r="BB643" s="27"/>
      <c r="BC643" s="45">
        <f>'Filter-old'!K720</f>
        <v>0</v>
      </c>
      <c r="BD643" s="27">
        <f>'Filter-new'!K720</f>
        <v>0</v>
      </c>
      <c r="BE643" s="27"/>
      <c r="BF643" s="27"/>
      <c r="BG643" s="45">
        <f>'Filter-old'!M720</f>
        <v>0</v>
      </c>
      <c r="BH643" s="61"/>
      <c r="BI643" s="61"/>
      <c r="BJ643" s="27">
        <f>'Filter-new'!M720</f>
        <v>0</v>
      </c>
      <c r="BK643" s="27"/>
      <c r="BL643" s="27"/>
      <c r="BM643" s="27"/>
      <c r="BN643" s="423"/>
      <c r="BO643" s="27"/>
      <c r="BP643" s="27"/>
      <c r="BQ643" s="45">
        <f>'Filter-old'!O720</f>
        <v>0</v>
      </c>
      <c r="BR643" s="27">
        <f>'Filter-new'!O720</f>
        <v>0</v>
      </c>
      <c r="BS643" s="27"/>
      <c r="BT643" s="27"/>
      <c r="BU643" s="45">
        <f>'Filter-old'!Q720</f>
        <v>0</v>
      </c>
      <c r="BV643" s="27">
        <f>'Filter-new'!Q720</f>
        <v>0</v>
      </c>
      <c r="BW643" s="27"/>
      <c r="BX643" s="27"/>
      <c r="BY643" s="27"/>
      <c r="BZ643" s="27"/>
      <c r="CA643" s="45">
        <f>'Filter-old'!R720</f>
        <v>0</v>
      </c>
      <c r="CB643" s="27">
        <f>'Filter-new'!R720</f>
        <v>0</v>
      </c>
      <c r="CC643" s="4"/>
      <c r="CD643" s="4"/>
      <c r="CE643" s="4"/>
      <c r="CF643" s="4"/>
      <c r="CG643" s="4"/>
    </row>
    <row r="644" spans="1:85" hidden="1" x14ac:dyDescent="0.2">
      <c r="A644">
        <v>0</v>
      </c>
      <c r="B644" s="29">
        <v>39783</v>
      </c>
      <c r="C644" s="29">
        <f t="shared" si="85"/>
        <v>39783</v>
      </c>
      <c r="D644" s="29"/>
      <c r="E644" s="29"/>
      <c r="F644" s="29"/>
      <c r="G644" s="36">
        <f t="shared" si="83"/>
        <v>-50</v>
      </c>
      <c r="H644" s="36">
        <f t="shared" si="84"/>
        <v>-54.081632653061227</v>
      </c>
      <c r="I644" s="36"/>
      <c r="J644" s="41"/>
      <c r="K644" s="45">
        <f>'Filter-old'!E721</f>
        <v>0</v>
      </c>
      <c r="L644" s="27">
        <f>'Filter-new'!E721</f>
        <v>0</v>
      </c>
      <c r="M644" s="27"/>
      <c r="N644" s="27"/>
      <c r="O644" s="442"/>
      <c r="P644" s="27"/>
      <c r="Q644" s="45">
        <f>'Filter-old'!H721</f>
        <v>-50</v>
      </c>
      <c r="R644" s="27">
        <f>'Filter-new'!H721</f>
        <v>-54.081632653061227</v>
      </c>
      <c r="S644" s="27"/>
      <c r="T644" s="27"/>
      <c r="U644" s="459"/>
      <c r="V644" s="27"/>
      <c r="W644" s="45">
        <f>'Filter-old'!J721</f>
        <v>0</v>
      </c>
      <c r="X644" s="27">
        <f>'Filter-new'!J721</f>
        <v>0</v>
      </c>
      <c r="Y644" s="27"/>
      <c r="Z644" s="27"/>
      <c r="AA644" s="45">
        <f>'Filter-old'!F721</f>
        <v>0</v>
      </c>
      <c r="AB644" s="27">
        <f>'Filter-new'!F721</f>
        <v>0</v>
      </c>
      <c r="AC644" s="27"/>
      <c r="AD644" s="27"/>
      <c r="AE644" s="45">
        <f>'Filter-old'!P721</f>
        <v>0</v>
      </c>
      <c r="AF644" s="27">
        <f>'Filter-new'!P721</f>
        <v>0</v>
      </c>
      <c r="AG644" s="27"/>
      <c r="AH644" s="27"/>
      <c r="AI644" s="45">
        <f>'Filter-old'!L721</f>
        <v>0</v>
      </c>
      <c r="AJ644" s="27">
        <f>'Filter-new'!L721</f>
        <v>0</v>
      </c>
      <c r="AK644" s="27"/>
      <c r="AL644" s="27"/>
      <c r="AM644" s="27"/>
      <c r="AN644" s="27"/>
      <c r="AO644" s="45">
        <f>'Filter-old'!G721</f>
        <v>0</v>
      </c>
      <c r="AP644" s="27">
        <f>'Filter-new'!G721</f>
        <v>0</v>
      </c>
      <c r="AQ644" s="27"/>
      <c r="AR644" s="27"/>
      <c r="AS644" s="45"/>
      <c r="AT644" s="27"/>
      <c r="AU644" s="27"/>
      <c r="AV644" s="27"/>
      <c r="AW644" s="45">
        <f>'Filter-old'!I721</f>
        <v>0</v>
      </c>
      <c r="AX644" s="27">
        <f>'Filter-new'!I721</f>
        <v>0</v>
      </c>
      <c r="AY644" s="27"/>
      <c r="AZ644" s="27"/>
      <c r="BA644" s="27"/>
      <c r="BB644" s="27"/>
      <c r="BC644" s="45">
        <f>'Filter-old'!K721</f>
        <v>0</v>
      </c>
      <c r="BD644" s="27">
        <f>'Filter-new'!K721</f>
        <v>0</v>
      </c>
      <c r="BE644" s="27"/>
      <c r="BF644" s="27"/>
      <c r="BG644" s="45">
        <f>'Filter-old'!M721</f>
        <v>0</v>
      </c>
      <c r="BH644" s="61"/>
      <c r="BI644" s="61"/>
      <c r="BJ644" s="27">
        <f>'Filter-new'!M721</f>
        <v>0</v>
      </c>
      <c r="BK644" s="27"/>
      <c r="BL644" s="27"/>
      <c r="BM644" s="27"/>
      <c r="BN644" s="423"/>
      <c r="BO644" s="27"/>
      <c r="BP644" s="27"/>
      <c r="BQ644" s="45">
        <f>'Filter-old'!O721</f>
        <v>0</v>
      </c>
      <c r="BR644" s="27">
        <f>'Filter-new'!O721</f>
        <v>0</v>
      </c>
      <c r="BS644" s="27"/>
      <c r="BT644" s="27"/>
      <c r="BU644" s="45">
        <f>'Filter-old'!Q721</f>
        <v>0</v>
      </c>
      <c r="BV644" s="27">
        <f>'Filter-new'!Q721</f>
        <v>0</v>
      </c>
      <c r="BW644" s="27"/>
      <c r="BX644" s="27"/>
      <c r="BY644" s="27"/>
      <c r="BZ644" s="27"/>
      <c r="CA644" s="45">
        <f>'Filter-old'!R721</f>
        <v>0</v>
      </c>
      <c r="CB644" s="27">
        <f>'Filter-new'!R721</f>
        <v>0</v>
      </c>
      <c r="CC644" s="4"/>
      <c r="CD644" s="4"/>
      <c r="CE644" s="4"/>
      <c r="CF644" s="4"/>
      <c r="CG644" s="4"/>
    </row>
    <row r="645" spans="1:85" hidden="1" x14ac:dyDescent="0.2">
      <c r="A645">
        <v>0</v>
      </c>
      <c r="B645" s="29">
        <v>39814</v>
      </c>
      <c r="C645" s="29">
        <f t="shared" si="85"/>
        <v>39814</v>
      </c>
      <c r="D645" s="29"/>
      <c r="E645" s="29"/>
      <c r="F645" s="29"/>
      <c r="G645" s="36">
        <f t="shared" si="83"/>
        <v>-50</v>
      </c>
      <c r="H645" s="36">
        <f t="shared" si="84"/>
        <v>-41.509433962264154</v>
      </c>
      <c r="I645" s="36"/>
      <c r="J645" s="41"/>
      <c r="K645" s="45">
        <f>'Filter-old'!E722</f>
        <v>0</v>
      </c>
      <c r="L645" s="27">
        <f>'Filter-new'!E722</f>
        <v>0</v>
      </c>
      <c r="M645" s="27"/>
      <c r="N645" s="27"/>
      <c r="O645" s="442"/>
      <c r="P645" s="27"/>
      <c r="Q645" s="45">
        <f>'Filter-old'!H722</f>
        <v>-50</v>
      </c>
      <c r="R645" s="27">
        <f>'Filter-new'!H722</f>
        <v>-41.509433962264154</v>
      </c>
      <c r="S645" s="27"/>
      <c r="T645" s="27"/>
      <c r="U645" s="459"/>
      <c r="V645" s="27"/>
      <c r="W645" s="45">
        <f>'Filter-old'!J722</f>
        <v>0</v>
      </c>
      <c r="X645" s="27">
        <f>'Filter-new'!J722</f>
        <v>0</v>
      </c>
      <c r="Y645" s="27"/>
      <c r="Z645" s="27"/>
      <c r="AA645" s="45">
        <f>'Filter-old'!F722</f>
        <v>0</v>
      </c>
      <c r="AB645" s="27">
        <f>'Filter-new'!F722</f>
        <v>0</v>
      </c>
      <c r="AC645" s="27"/>
      <c r="AD645" s="27"/>
      <c r="AE645" s="45">
        <f>'Filter-old'!P722</f>
        <v>0</v>
      </c>
      <c r="AF645" s="27">
        <f>'Filter-new'!P722</f>
        <v>0</v>
      </c>
      <c r="AG645" s="27"/>
      <c r="AH645" s="27"/>
      <c r="AI645" s="45">
        <f>'Filter-old'!L722</f>
        <v>0</v>
      </c>
      <c r="AJ645" s="27">
        <f>'Filter-new'!L722</f>
        <v>0</v>
      </c>
      <c r="AK645" s="27"/>
      <c r="AL645" s="27"/>
      <c r="AM645" s="27"/>
      <c r="AN645" s="27"/>
      <c r="AO645" s="45">
        <f>'Filter-old'!G722</f>
        <v>0</v>
      </c>
      <c r="AP645" s="27">
        <f>'Filter-new'!G722</f>
        <v>0</v>
      </c>
      <c r="AQ645" s="27"/>
      <c r="AR645" s="27"/>
      <c r="AS645" s="45"/>
      <c r="AT645" s="27"/>
      <c r="AU645" s="27"/>
      <c r="AV645" s="27"/>
      <c r="AW645" s="45">
        <f>'Filter-old'!I722</f>
        <v>0</v>
      </c>
      <c r="AX645" s="27">
        <f>'Filter-new'!I722</f>
        <v>0</v>
      </c>
      <c r="AY645" s="27"/>
      <c r="AZ645" s="27"/>
      <c r="BA645" s="27"/>
      <c r="BB645" s="27"/>
      <c r="BC645" s="45">
        <f>'Filter-old'!K722</f>
        <v>0</v>
      </c>
      <c r="BD645" s="27">
        <f>'Filter-new'!K722</f>
        <v>0</v>
      </c>
      <c r="BE645" s="27"/>
      <c r="BF645" s="27"/>
      <c r="BG645" s="45">
        <f>'Filter-old'!M722</f>
        <v>0</v>
      </c>
      <c r="BH645" s="61"/>
      <c r="BI645" s="61"/>
      <c r="BJ645" s="27">
        <f>'Filter-new'!M722</f>
        <v>0</v>
      </c>
      <c r="BK645" s="27"/>
      <c r="BL645" s="27"/>
      <c r="BM645" s="27"/>
      <c r="BN645" s="423"/>
      <c r="BO645" s="27"/>
      <c r="BP645" s="27"/>
      <c r="BQ645" s="45">
        <f>'Filter-old'!O722</f>
        <v>0</v>
      </c>
      <c r="BR645" s="27">
        <f>'Filter-new'!O722</f>
        <v>0</v>
      </c>
      <c r="BS645" s="27"/>
      <c r="BT645" s="27"/>
      <c r="BU645" s="45">
        <f>'Filter-old'!Q722</f>
        <v>0</v>
      </c>
      <c r="BV645" s="27">
        <f>'Filter-new'!Q722</f>
        <v>0</v>
      </c>
      <c r="BW645" s="27"/>
      <c r="BX645" s="27"/>
      <c r="BY645" s="27"/>
      <c r="BZ645" s="27"/>
      <c r="CA645" s="45">
        <f>'Filter-old'!R722</f>
        <v>0</v>
      </c>
      <c r="CB645" s="27">
        <f>'Filter-new'!R722</f>
        <v>0</v>
      </c>
      <c r="CC645" s="4"/>
      <c r="CD645" s="4"/>
      <c r="CE645" s="4"/>
      <c r="CF645" s="4"/>
      <c r="CG645" s="4"/>
    </row>
    <row r="646" spans="1:85" hidden="1" x14ac:dyDescent="0.2">
      <c r="A646">
        <v>0</v>
      </c>
      <c r="B646" s="29">
        <v>39845</v>
      </c>
      <c r="C646" s="29">
        <f t="shared" si="85"/>
        <v>39845</v>
      </c>
      <c r="D646" s="29"/>
      <c r="E646" s="29"/>
      <c r="F646" s="29"/>
      <c r="G646" s="36">
        <f t="shared" si="83"/>
        <v>-50</v>
      </c>
      <c r="H646" s="36">
        <f t="shared" si="84"/>
        <v>-53.409090909090907</v>
      </c>
      <c r="I646" s="36"/>
      <c r="J646" s="41"/>
      <c r="K646" s="45">
        <f>'Filter-old'!E723</f>
        <v>0</v>
      </c>
      <c r="L646" s="27">
        <f>'Filter-new'!E723</f>
        <v>0</v>
      </c>
      <c r="M646" s="27"/>
      <c r="N646" s="27"/>
      <c r="O646" s="442"/>
      <c r="P646" s="27"/>
      <c r="Q646" s="45">
        <f>'Filter-old'!H723</f>
        <v>-50</v>
      </c>
      <c r="R646" s="27">
        <f>'Filter-new'!H723</f>
        <v>-53.409090909090907</v>
      </c>
      <c r="S646" s="27"/>
      <c r="T646" s="27"/>
      <c r="U646" s="459"/>
      <c r="V646" s="27"/>
      <c r="W646" s="45">
        <f>'Filter-old'!J723</f>
        <v>0</v>
      </c>
      <c r="X646" s="27">
        <f>'Filter-new'!J723</f>
        <v>0</v>
      </c>
      <c r="Y646" s="27"/>
      <c r="Z646" s="27"/>
      <c r="AA646" s="45">
        <f>'Filter-old'!F723</f>
        <v>0</v>
      </c>
      <c r="AB646" s="27">
        <f>'Filter-new'!F723</f>
        <v>0</v>
      </c>
      <c r="AC646" s="27"/>
      <c r="AD646" s="27"/>
      <c r="AE646" s="45">
        <f>'Filter-old'!P723</f>
        <v>0</v>
      </c>
      <c r="AF646" s="27">
        <f>'Filter-new'!P723</f>
        <v>0</v>
      </c>
      <c r="AG646" s="27"/>
      <c r="AH646" s="27"/>
      <c r="AI646" s="45">
        <f>'Filter-old'!L723</f>
        <v>0</v>
      </c>
      <c r="AJ646" s="27">
        <f>'Filter-new'!L723</f>
        <v>0</v>
      </c>
      <c r="AK646" s="27"/>
      <c r="AL646" s="27"/>
      <c r="AM646" s="27"/>
      <c r="AN646" s="27"/>
      <c r="AO646" s="45">
        <f>'Filter-old'!G723</f>
        <v>0</v>
      </c>
      <c r="AP646" s="27">
        <f>'Filter-new'!G723</f>
        <v>0</v>
      </c>
      <c r="AQ646" s="27"/>
      <c r="AR646" s="27"/>
      <c r="AS646" s="45"/>
      <c r="AT646" s="27"/>
      <c r="AU646" s="27"/>
      <c r="AV646" s="27"/>
      <c r="AW646" s="45">
        <f>'Filter-old'!I723</f>
        <v>0</v>
      </c>
      <c r="AX646" s="27">
        <f>'Filter-new'!I723</f>
        <v>0</v>
      </c>
      <c r="AY646" s="27"/>
      <c r="AZ646" s="27"/>
      <c r="BA646" s="27"/>
      <c r="BB646" s="27"/>
      <c r="BC646" s="45">
        <f>'Filter-old'!K723</f>
        <v>0</v>
      </c>
      <c r="BD646" s="27">
        <f>'Filter-new'!K723</f>
        <v>0</v>
      </c>
      <c r="BE646" s="27"/>
      <c r="BF646" s="27"/>
      <c r="BG646" s="45">
        <f>'Filter-old'!M723</f>
        <v>0</v>
      </c>
      <c r="BH646" s="61"/>
      <c r="BI646" s="61"/>
      <c r="BJ646" s="27">
        <f>'Filter-new'!M723</f>
        <v>0</v>
      </c>
      <c r="BK646" s="27"/>
      <c r="BL646" s="27"/>
      <c r="BM646" s="27"/>
      <c r="BN646" s="423"/>
      <c r="BO646" s="27"/>
      <c r="BP646" s="27"/>
      <c r="BQ646" s="45">
        <f>'Filter-old'!O723</f>
        <v>0</v>
      </c>
      <c r="BR646" s="27">
        <f>'Filter-new'!O723</f>
        <v>0</v>
      </c>
      <c r="BS646" s="27"/>
      <c r="BT646" s="27"/>
      <c r="BU646" s="45">
        <f>'Filter-old'!Q723</f>
        <v>0</v>
      </c>
      <c r="BV646" s="27">
        <f>'Filter-new'!Q723</f>
        <v>0</v>
      </c>
      <c r="BW646" s="27"/>
      <c r="BX646" s="27"/>
      <c r="BY646" s="27"/>
      <c r="BZ646" s="27"/>
      <c r="CA646" s="45">
        <f>'Filter-old'!R723</f>
        <v>0</v>
      </c>
      <c r="CB646" s="27">
        <f>'Filter-new'!R723</f>
        <v>0</v>
      </c>
      <c r="CC646" s="4"/>
      <c r="CD646" s="4"/>
      <c r="CE646" s="4"/>
      <c r="CF646" s="4"/>
      <c r="CG646" s="4"/>
    </row>
    <row r="647" spans="1:85" hidden="1" x14ac:dyDescent="0.2">
      <c r="A647">
        <v>0</v>
      </c>
      <c r="B647" s="29">
        <v>39873</v>
      </c>
      <c r="C647" s="29">
        <f t="shared" si="85"/>
        <v>39873</v>
      </c>
      <c r="D647" s="29"/>
      <c r="E647" s="29"/>
      <c r="F647" s="29"/>
      <c r="G647" s="36">
        <f t="shared" si="83"/>
        <v>-50</v>
      </c>
      <c r="H647" s="36">
        <f t="shared" si="84"/>
        <v>-48.803191489361701</v>
      </c>
      <c r="I647" s="36"/>
      <c r="J647" s="41"/>
      <c r="K647" s="45">
        <f>'Filter-old'!E724</f>
        <v>0</v>
      </c>
      <c r="L647" s="27">
        <f>'Filter-new'!E724</f>
        <v>0</v>
      </c>
      <c r="M647" s="27"/>
      <c r="N647" s="27"/>
      <c r="O647" s="442"/>
      <c r="P647" s="27"/>
      <c r="Q647" s="45">
        <f>'Filter-old'!H724</f>
        <v>-50</v>
      </c>
      <c r="R647" s="27">
        <f>'Filter-new'!H724</f>
        <v>-48.803191489361701</v>
      </c>
      <c r="S647" s="27"/>
      <c r="T647" s="27"/>
      <c r="U647" s="459"/>
      <c r="V647" s="27"/>
      <c r="W647" s="45">
        <f>'Filter-old'!J724</f>
        <v>0</v>
      </c>
      <c r="X647" s="27">
        <f>'Filter-new'!J724</f>
        <v>0</v>
      </c>
      <c r="Y647" s="27"/>
      <c r="Z647" s="27"/>
      <c r="AA647" s="45">
        <f>'Filter-old'!F724</f>
        <v>0</v>
      </c>
      <c r="AB647" s="27">
        <f>'Filter-new'!F724</f>
        <v>0</v>
      </c>
      <c r="AC647" s="27"/>
      <c r="AD647" s="27"/>
      <c r="AE647" s="45">
        <f>'Filter-old'!P724</f>
        <v>0</v>
      </c>
      <c r="AF647" s="27">
        <f>'Filter-new'!P724</f>
        <v>0</v>
      </c>
      <c r="AG647" s="27"/>
      <c r="AH647" s="27"/>
      <c r="AI647" s="45">
        <f>'Filter-old'!L724</f>
        <v>0</v>
      </c>
      <c r="AJ647" s="27">
        <f>'Filter-new'!L724</f>
        <v>0</v>
      </c>
      <c r="AK647" s="27"/>
      <c r="AL647" s="27"/>
      <c r="AM647" s="27"/>
      <c r="AN647" s="27"/>
      <c r="AO647" s="45">
        <f>'Filter-old'!G724</f>
        <v>0</v>
      </c>
      <c r="AP647" s="27">
        <f>'Filter-new'!G724</f>
        <v>0</v>
      </c>
      <c r="AQ647" s="27"/>
      <c r="AR647" s="27"/>
      <c r="AS647" s="45"/>
      <c r="AT647" s="27"/>
      <c r="AU647" s="27"/>
      <c r="AV647" s="27"/>
      <c r="AW647" s="45">
        <f>'Filter-old'!I724</f>
        <v>0</v>
      </c>
      <c r="AX647" s="27">
        <f>'Filter-new'!I724</f>
        <v>0</v>
      </c>
      <c r="AY647" s="27"/>
      <c r="AZ647" s="27"/>
      <c r="BA647" s="27"/>
      <c r="BB647" s="27"/>
      <c r="BC647" s="45">
        <f>'Filter-old'!K724</f>
        <v>0</v>
      </c>
      <c r="BD647" s="27">
        <f>'Filter-new'!K724</f>
        <v>0</v>
      </c>
      <c r="BE647" s="27"/>
      <c r="BF647" s="27"/>
      <c r="BG647" s="45">
        <f>'Filter-old'!M724</f>
        <v>0</v>
      </c>
      <c r="BH647" s="61"/>
      <c r="BI647" s="61"/>
      <c r="BJ647" s="27">
        <f>'Filter-new'!M724</f>
        <v>0</v>
      </c>
      <c r="BK647" s="27"/>
      <c r="BL647" s="27"/>
      <c r="BM647" s="27"/>
      <c r="BN647" s="423"/>
      <c r="BO647" s="27"/>
      <c r="BP647" s="27"/>
      <c r="BQ647" s="45">
        <f>'Filter-old'!O724</f>
        <v>0</v>
      </c>
      <c r="BR647" s="27">
        <f>'Filter-new'!O724</f>
        <v>0</v>
      </c>
      <c r="BS647" s="27"/>
      <c r="BT647" s="27"/>
      <c r="BU647" s="45">
        <f>'Filter-old'!Q724</f>
        <v>0</v>
      </c>
      <c r="BV647" s="27">
        <f>'Filter-new'!Q724</f>
        <v>0</v>
      </c>
      <c r="BW647" s="27"/>
      <c r="BX647" s="27"/>
      <c r="BY647" s="27"/>
      <c r="BZ647" s="27"/>
      <c r="CA647" s="45">
        <f>'Filter-old'!R724</f>
        <v>0</v>
      </c>
      <c r="CB647" s="27">
        <f>'Filter-new'!R724</f>
        <v>0</v>
      </c>
      <c r="CC647" s="4"/>
      <c r="CD647" s="4"/>
      <c r="CE647" s="4"/>
      <c r="CF647" s="4"/>
      <c r="CG647" s="4"/>
    </row>
    <row r="648" spans="1:85" hidden="1" x14ac:dyDescent="0.2">
      <c r="A648">
        <v>0</v>
      </c>
      <c r="B648" s="29">
        <v>39904</v>
      </c>
      <c r="C648" s="29">
        <f t="shared" si="85"/>
        <v>39904</v>
      </c>
      <c r="D648" s="29"/>
      <c r="E648" s="29"/>
      <c r="F648" s="29"/>
      <c r="G648" s="36">
        <f t="shared" si="83"/>
        <v>-49.864130434782609</v>
      </c>
      <c r="H648" s="36">
        <f t="shared" si="84"/>
        <v>-57.608695652173914</v>
      </c>
      <c r="I648" s="36"/>
      <c r="J648" s="41"/>
      <c r="K648" s="45">
        <f>'Filter-old'!E725</f>
        <v>0</v>
      </c>
      <c r="L648" s="27">
        <f>'Filter-new'!E725</f>
        <v>0</v>
      </c>
      <c r="M648" s="27"/>
      <c r="N648" s="27"/>
      <c r="O648" s="442"/>
      <c r="P648" s="27"/>
      <c r="Q648" s="45">
        <f>'Filter-old'!H725</f>
        <v>-49.864130434782609</v>
      </c>
      <c r="R648" s="27">
        <f>'Filter-new'!H725</f>
        <v>-57.608695652173914</v>
      </c>
      <c r="S648" s="27"/>
      <c r="T648" s="27"/>
      <c r="U648" s="459"/>
      <c r="V648" s="27"/>
      <c r="W648" s="45">
        <f>'Filter-old'!J725</f>
        <v>0</v>
      </c>
      <c r="X648" s="27">
        <f>'Filter-new'!J725</f>
        <v>0</v>
      </c>
      <c r="Y648" s="27"/>
      <c r="Z648" s="27"/>
      <c r="AA648" s="45">
        <f>'Filter-old'!F725</f>
        <v>0</v>
      </c>
      <c r="AB648" s="27">
        <f>'Filter-new'!F725</f>
        <v>0</v>
      </c>
      <c r="AC648" s="27"/>
      <c r="AD648" s="27"/>
      <c r="AE648" s="45">
        <f>'Filter-old'!P725</f>
        <v>0</v>
      </c>
      <c r="AF648" s="27">
        <f>'Filter-new'!P725</f>
        <v>0</v>
      </c>
      <c r="AG648" s="27"/>
      <c r="AH648" s="27"/>
      <c r="AI648" s="45">
        <f>'Filter-old'!L725</f>
        <v>0</v>
      </c>
      <c r="AJ648" s="27">
        <f>'Filter-new'!L725</f>
        <v>0</v>
      </c>
      <c r="AK648" s="27"/>
      <c r="AL648" s="27"/>
      <c r="AM648" s="27"/>
      <c r="AN648" s="27"/>
      <c r="AO648" s="45">
        <f>'Filter-old'!G725</f>
        <v>0</v>
      </c>
      <c r="AP648" s="27">
        <f>'Filter-new'!G725</f>
        <v>0</v>
      </c>
      <c r="AQ648" s="27"/>
      <c r="AR648" s="27"/>
      <c r="AS648" s="45"/>
      <c r="AT648" s="27"/>
      <c r="AU648" s="27"/>
      <c r="AV648" s="27"/>
      <c r="AW648" s="45">
        <f>'Filter-old'!I725</f>
        <v>0</v>
      </c>
      <c r="AX648" s="27">
        <f>'Filter-new'!I725</f>
        <v>0</v>
      </c>
      <c r="AY648" s="27"/>
      <c r="AZ648" s="27"/>
      <c r="BA648" s="27"/>
      <c r="BB648" s="27"/>
      <c r="BC648" s="45">
        <f>'Filter-old'!K725</f>
        <v>0</v>
      </c>
      <c r="BD648" s="27">
        <f>'Filter-new'!K725</f>
        <v>0</v>
      </c>
      <c r="BE648" s="27"/>
      <c r="BF648" s="27"/>
      <c r="BG648" s="45">
        <f>'Filter-old'!M725</f>
        <v>0</v>
      </c>
      <c r="BH648" s="61"/>
      <c r="BI648" s="61"/>
      <c r="BJ648" s="27">
        <f>'Filter-new'!M725</f>
        <v>0</v>
      </c>
      <c r="BK648" s="27"/>
      <c r="BL648" s="27"/>
      <c r="BM648" s="27"/>
      <c r="BN648" s="423"/>
      <c r="BO648" s="27"/>
      <c r="BP648" s="27"/>
      <c r="BQ648" s="45">
        <f>'Filter-old'!O725</f>
        <v>0</v>
      </c>
      <c r="BR648" s="27">
        <f>'Filter-new'!O725</f>
        <v>0</v>
      </c>
      <c r="BS648" s="27"/>
      <c r="BT648" s="27"/>
      <c r="BU648" s="45">
        <f>'Filter-old'!Q725</f>
        <v>0</v>
      </c>
      <c r="BV648" s="27">
        <f>'Filter-new'!Q725</f>
        <v>0</v>
      </c>
      <c r="BW648" s="27"/>
      <c r="BX648" s="27"/>
      <c r="BY648" s="27"/>
      <c r="BZ648" s="27"/>
      <c r="CA648" s="45">
        <f>'Filter-old'!R725</f>
        <v>0</v>
      </c>
      <c r="CB648" s="27">
        <f>'Filter-new'!R725</f>
        <v>0</v>
      </c>
      <c r="CC648" s="4"/>
      <c r="CD648" s="4"/>
      <c r="CE648" s="4"/>
      <c r="CF648" s="4"/>
      <c r="CG648" s="4"/>
    </row>
    <row r="649" spans="1:85" hidden="1" x14ac:dyDescent="0.2">
      <c r="A649">
        <v>0</v>
      </c>
      <c r="B649" s="29">
        <v>39934</v>
      </c>
      <c r="C649" s="29">
        <f t="shared" si="85"/>
        <v>39934</v>
      </c>
      <c r="D649" s="29"/>
      <c r="E649" s="29"/>
      <c r="F649" s="29"/>
      <c r="G649" s="36">
        <f t="shared" si="83"/>
        <v>-50</v>
      </c>
      <c r="H649" s="36">
        <f t="shared" si="84"/>
        <v>-43.39622641509434</v>
      </c>
      <c r="I649" s="36"/>
      <c r="J649" s="41"/>
      <c r="K649" s="45">
        <f>'Filter-old'!E726</f>
        <v>0</v>
      </c>
      <c r="L649" s="27">
        <f>'Filter-new'!E726</f>
        <v>0</v>
      </c>
      <c r="M649" s="27"/>
      <c r="N649" s="27"/>
      <c r="O649" s="442"/>
      <c r="P649" s="27"/>
      <c r="Q649" s="45">
        <f>'Filter-old'!H726</f>
        <v>-50</v>
      </c>
      <c r="R649" s="27">
        <f>'Filter-new'!H726</f>
        <v>-43.39622641509434</v>
      </c>
      <c r="S649" s="27"/>
      <c r="T649" s="27"/>
      <c r="U649" s="459"/>
      <c r="V649" s="27"/>
      <c r="W649" s="45">
        <f>'Filter-old'!J726</f>
        <v>0</v>
      </c>
      <c r="X649" s="27">
        <f>'Filter-new'!J726</f>
        <v>0</v>
      </c>
      <c r="Y649" s="27"/>
      <c r="Z649" s="27"/>
      <c r="AA649" s="45">
        <f>'Filter-old'!F726</f>
        <v>0</v>
      </c>
      <c r="AB649" s="27">
        <f>'Filter-new'!F726</f>
        <v>0</v>
      </c>
      <c r="AC649" s="27"/>
      <c r="AD649" s="27"/>
      <c r="AE649" s="45">
        <f>'Filter-old'!P726</f>
        <v>0</v>
      </c>
      <c r="AF649" s="27">
        <f>'Filter-new'!P726</f>
        <v>0</v>
      </c>
      <c r="AG649" s="27"/>
      <c r="AH649" s="27"/>
      <c r="AI649" s="45">
        <f>'Filter-old'!L726</f>
        <v>0</v>
      </c>
      <c r="AJ649" s="27">
        <f>'Filter-new'!L726</f>
        <v>0</v>
      </c>
      <c r="AK649" s="27"/>
      <c r="AL649" s="27"/>
      <c r="AM649" s="27"/>
      <c r="AN649" s="27"/>
      <c r="AO649" s="45">
        <f>'Filter-old'!G726</f>
        <v>0</v>
      </c>
      <c r="AP649" s="27">
        <f>'Filter-new'!G726</f>
        <v>0</v>
      </c>
      <c r="AQ649" s="27"/>
      <c r="AR649" s="27"/>
      <c r="AS649" s="45"/>
      <c r="AT649" s="27"/>
      <c r="AU649" s="27"/>
      <c r="AV649" s="27"/>
      <c r="AW649" s="45">
        <f>'Filter-old'!I726</f>
        <v>0</v>
      </c>
      <c r="AX649" s="27">
        <f>'Filter-new'!I726</f>
        <v>0</v>
      </c>
      <c r="AY649" s="27"/>
      <c r="AZ649" s="27"/>
      <c r="BA649" s="27"/>
      <c r="BB649" s="27"/>
      <c r="BC649" s="45">
        <f>'Filter-old'!K726</f>
        <v>0</v>
      </c>
      <c r="BD649" s="27">
        <f>'Filter-new'!K726</f>
        <v>0</v>
      </c>
      <c r="BE649" s="27"/>
      <c r="BF649" s="27"/>
      <c r="BG649" s="45">
        <f>'Filter-old'!M726</f>
        <v>0</v>
      </c>
      <c r="BH649" s="61"/>
      <c r="BI649" s="61"/>
      <c r="BJ649" s="27">
        <f>'Filter-new'!M726</f>
        <v>0</v>
      </c>
      <c r="BK649" s="27"/>
      <c r="BL649" s="27"/>
      <c r="BM649" s="27"/>
      <c r="BN649" s="423"/>
      <c r="BO649" s="27"/>
      <c r="BP649" s="27"/>
      <c r="BQ649" s="45">
        <f>'Filter-old'!O726</f>
        <v>0</v>
      </c>
      <c r="BR649" s="27">
        <f>'Filter-new'!O726</f>
        <v>0</v>
      </c>
      <c r="BS649" s="27"/>
      <c r="BT649" s="27"/>
      <c r="BU649" s="45">
        <f>'Filter-old'!Q726</f>
        <v>0</v>
      </c>
      <c r="BV649" s="27">
        <f>'Filter-new'!Q726</f>
        <v>0</v>
      </c>
      <c r="BW649" s="27"/>
      <c r="BX649" s="27"/>
      <c r="BY649" s="27"/>
      <c r="BZ649" s="27"/>
      <c r="CA649" s="45">
        <f>'Filter-old'!R726</f>
        <v>0</v>
      </c>
      <c r="CB649" s="27">
        <f>'Filter-new'!R726</f>
        <v>0</v>
      </c>
      <c r="CC649" s="4"/>
      <c r="CD649" s="4"/>
      <c r="CE649" s="4"/>
      <c r="CF649" s="4"/>
      <c r="CG649" s="4"/>
    </row>
    <row r="650" spans="1:85" hidden="1" x14ac:dyDescent="0.2">
      <c r="A650">
        <v>0</v>
      </c>
      <c r="B650" s="29">
        <v>39965</v>
      </c>
      <c r="C650" s="29">
        <f t="shared" si="85"/>
        <v>39965</v>
      </c>
      <c r="D650" s="29"/>
      <c r="E650" s="29"/>
      <c r="F650" s="29"/>
      <c r="G650" s="36">
        <f t="shared" ref="G650:G656" si="86">SUM(K650,AA650,AO650,Q650,AW650,W650,BC650,AI650,BG650,BQ650,AE650,BU650,CA650)</f>
        <v>-50</v>
      </c>
      <c r="H650" s="36">
        <f t="shared" ref="H650:H656" si="87">SUM(L650,AB650,AP650,R650,AX650,X650,BD650,AJ650,BJ650,BR650,AF650,BV650,CB650)</f>
        <v>-55.434782608695649</v>
      </c>
      <c r="I650" s="36"/>
      <c r="J650" s="41"/>
      <c r="K650" s="45">
        <f>'Filter-old'!E727</f>
        <v>0</v>
      </c>
      <c r="L650" s="27">
        <f>'Filter-new'!E727</f>
        <v>0</v>
      </c>
      <c r="M650" s="27"/>
      <c r="N650" s="27"/>
      <c r="O650" s="442"/>
      <c r="P650" s="27"/>
      <c r="Q650" s="45">
        <f>'Filter-old'!H727</f>
        <v>-50</v>
      </c>
      <c r="R650" s="27">
        <f>'Filter-new'!H727</f>
        <v>-55.434782608695649</v>
      </c>
      <c r="S650" s="27"/>
      <c r="T650" s="27"/>
      <c r="U650" s="459"/>
      <c r="V650" s="27"/>
      <c r="W650" s="45">
        <f>'Filter-old'!J727</f>
        <v>0</v>
      </c>
      <c r="X650" s="27">
        <f>'Filter-new'!J727</f>
        <v>0</v>
      </c>
      <c r="Y650" s="27"/>
      <c r="Z650" s="27"/>
      <c r="AA650" s="45">
        <f>'Filter-old'!F727</f>
        <v>0</v>
      </c>
      <c r="AB650" s="27">
        <f>'Filter-new'!F727</f>
        <v>0</v>
      </c>
      <c r="AC650" s="27"/>
      <c r="AD650" s="27"/>
      <c r="AE650" s="45">
        <f>'Filter-old'!P727</f>
        <v>0</v>
      </c>
      <c r="AF650" s="27">
        <f>'Filter-new'!P727</f>
        <v>0</v>
      </c>
      <c r="AG650" s="27"/>
      <c r="AH650" s="27"/>
      <c r="AI650" s="45">
        <f>'Filter-old'!L727</f>
        <v>0</v>
      </c>
      <c r="AJ650" s="27">
        <f>'Filter-new'!L727</f>
        <v>0</v>
      </c>
      <c r="AK650" s="27"/>
      <c r="AL650" s="27"/>
      <c r="AM650" s="27"/>
      <c r="AN650" s="27"/>
      <c r="AO650" s="45">
        <f>'Filter-old'!G727</f>
        <v>0</v>
      </c>
      <c r="AP650" s="27">
        <f>'Filter-new'!G727</f>
        <v>0</v>
      </c>
      <c r="AQ650" s="27"/>
      <c r="AR650" s="27"/>
      <c r="AS650" s="45"/>
      <c r="AT650" s="27"/>
      <c r="AU650" s="27"/>
      <c r="AV650" s="27"/>
      <c r="AW650" s="45">
        <f>'Filter-old'!I727</f>
        <v>0</v>
      </c>
      <c r="AX650" s="27">
        <f>'Filter-new'!I727</f>
        <v>0</v>
      </c>
      <c r="AY650" s="27"/>
      <c r="AZ650" s="27"/>
      <c r="BA650" s="27"/>
      <c r="BB650" s="27"/>
      <c r="BC650" s="45">
        <f>'Filter-old'!K727</f>
        <v>0</v>
      </c>
      <c r="BD650" s="27">
        <f>'Filter-new'!K727</f>
        <v>0</v>
      </c>
      <c r="BE650" s="27"/>
      <c r="BF650" s="27"/>
      <c r="BG650" s="45">
        <f>'Filter-old'!M727</f>
        <v>0</v>
      </c>
      <c r="BH650" s="61"/>
      <c r="BI650" s="61"/>
      <c r="BJ650" s="27">
        <f>'Filter-new'!M727</f>
        <v>0</v>
      </c>
      <c r="BK650" s="27"/>
      <c r="BL650" s="27"/>
      <c r="BM650" s="27"/>
      <c r="BN650" s="423"/>
      <c r="BO650" s="27"/>
      <c r="BP650" s="27"/>
      <c r="BQ650" s="45">
        <f>'Filter-old'!O727</f>
        <v>0</v>
      </c>
      <c r="BR650" s="27">
        <f>'Filter-new'!O727</f>
        <v>0</v>
      </c>
      <c r="BS650" s="27"/>
      <c r="BT650" s="27"/>
      <c r="BU650" s="45">
        <f>'Filter-old'!Q727</f>
        <v>0</v>
      </c>
      <c r="BV650" s="27">
        <f>'Filter-new'!Q727</f>
        <v>0</v>
      </c>
      <c r="BW650" s="27"/>
      <c r="BX650" s="27"/>
      <c r="BY650" s="27"/>
      <c r="BZ650" s="27"/>
      <c r="CA650" s="45">
        <f>'Filter-old'!R727</f>
        <v>0</v>
      </c>
      <c r="CB650" s="27">
        <f>'Filter-new'!R727</f>
        <v>0</v>
      </c>
      <c r="CC650" s="4"/>
      <c r="CD650" s="4"/>
      <c r="CE650" s="4"/>
      <c r="CF650" s="4"/>
      <c r="CG650" s="4"/>
    </row>
    <row r="651" spans="1:85" hidden="1" x14ac:dyDescent="0.2">
      <c r="A651">
        <v>0</v>
      </c>
      <c r="B651" s="29">
        <v>39995</v>
      </c>
      <c r="C651" s="29">
        <f t="shared" si="85"/>
        <v>39995</v>
      </c>
      <c r="D651" s="29"/>
      <c r="E651" s="29"/>
      <c r="F651" s="29"/>
      <c r="G651" s="36">
        <f t="shared" si="86"/>
        <v>-50</v>
      </c>
      <c r="H651" s="36">
        <f t="shared" si="87"/>
        <v>-48.03921568627451</v>
      </c>
      <c r="I651" s="36"/>
      <c r="J651" s="41"/>
      <c r="K651" s="45">
        <f>'Filter-old'!E728</f>
        <v>0</v>
      </c>
      <c r="L651" s="27">
        <f>'Filter-new'!E728</f>
        <v>0</v>
      </c>
      <c r="M651" s="27"/>
      <c r="N651" s="27"/>
      <c r="O651" s="442"/>
      <c r="P651" s="27"/>
      <c r="Q651" s="45">
        <f>'Filter-old'!H728</f>
        <v>-50</v>
      </c>
      <c r="R651" s="27">
        <f>'Filter-new'!H728</f>
        <v>-48.03921568627451</v>
      </c>
      <c r="S651" s="27"/>
      <c r="T651" s="27"/>
      <c r="U651" s="459"/>
      <c r="V651" s="27"/>
      <c r="W651" s="45">
        <f>'Filter-old'!J728</f>
        <v>0</v>
      </c>
      <c r="X651" s="27">
        <f>'Filter-new'!J728</f>
        <v>0</v>
      </c>
      <c r="Y651" s="27"/>
      <c r="Z651" s="27"/>
      <c r="AA651" s="45">
        <f>'Filter-old'!F728</f>
        <v>0</v>
      </c>
      <c r="AB651" s="27">
        <f>'Filter-new'!F728</f>
        <v>0</v>
      </c>
      <c r="AC651" s="27"/>
      <c r="AD651" s="27"/>
      <c r="AE651" s="45">
        <f>'Filter-old'!P728</f>
        <v>0</v>
      </c>
      <c r="AF651" s="27">
        <f>'Filter-new'!P728</f>
        <v>0</v>
      </c>
      <c r="AG651" s="27"/>
      <c r="AH651" s="27"/>
      <c r="AI651" s="45">
        <f>'Filter-old'!L728</f>
        <v>0</v>
      </c>
      <c r="AJ651" s="27">
        <f>'Filter-new'!L728</f>
        <v>0</v>
      </c>
      <c r="AK651" s="27"/>
      <c r="AL651" s="27"/>
      <c r="AM651" s="27"/>
      <c r="AN651" s="27"/>
      <c r="AO651" s="45">
        <f>'Filter-old'!G728</f>
        <v>0</v>
      </c>
      <c r="AP651" s="27">
        <f>'Filter-new'!G728</f>
        <v>0</v>
      </c>
      <c r="AQ651" s="27"/>
      <c r="AR651" s="27"/>
      <c r="AS651" s="45"/>
      <c r="AT651" s="27"/>
      <c r="AU651" s="27"/>
      <c r="AV651" s="27"/>
      <c r="AW651" s="45">
        <f>'Filter-old'!I728</f>
        <v>0</v>
      </c>
      <c r="AX651" s="27">
        <f>'Filter-new'!I728</f>
        <v>0</v>
      </c>
      <c r="AY651" s="27"/>
      <c r="AZ651" s="27"/>
      <c r="BA651" s="27"/>
      <c r="BB651" s="27"/>
      <c r="BC651" s="45">
        <f>'Filter-old'!K728</f>
        <v>0</v>
      </c>
      <c r="BD651" s="27">
        <f>'Filter-new'!K728</f>
        <v>0</v>
      </c>
      <c r="BE651" s="27"/>
      <c r="BF651" s="27"/>
      <c r="BG651" s="45">
        <f>'Filter-old'!M728</f>
        <v>0</v>
      </c>
      <c r="BH651" s="61"/>
      <c r="BI651" s="61"/>
      <c r="BJ651" s="27">
        <f>'Filter-new'!M728</f>
        <v>0</v>
      </c>
      <c r="BK651" s="27"/>
      <c r="BL651" s="27"/>
      <c r="BM651" s="27"/>
      <c r="BN651" s="423"/>
      <c r="BO651" s="27"/>
      <c r="BP651" s="27"/>
      <c r="BQ651" s="45">
        <f>'Filter-old'!O728</f>
        <v>0</v>
      </c>
      <c r="BR651" s="27">
        <f>'Filter-new'!O728</f>
        <v>0</v>
      </c>
      <c r="BS651" s="27"/>
      <c r="BT651" s="27"/>
      <c r="BU651" s="45">
        <f>'Filter-old'!Q728</f>
        <v>0</v>
      </c>
      <c r="BV651" s="27">
        <f>'Filter-new'!Q728</f>
        <v>0</v>
      </c>
      <c r="BW651" s="27"/>
      <c r="BX651" s="27"/>
      <c r="BY651" s="27"/>
      <c r="BZ651" s="27"/>
      <c r="CA651" s="45">
        <f>'Filter-old'!R728</f>
        <v>0</v>
      </c>
      <c r="CB651" s="27">
        <f>'Filter-new'!R728</f>
        <v>0</v>
      </c>
      <c r="CC651" s="4"/>
      <c r="CD651" s="4"/>
      <c r="CE651" s="4"/>
      <c r="CF651" s="4"/>
      <c r="CG651" s="4"/>
    </row>
    <row r="652" spans="1:85" hidden="1" x14ac:dyDescent="0.2">
      <c r="A652">
        <v>0</v>
      </c>
      <c r="B652" s="29">
        <v>40026</v>
      </c>
      <c r="C652" s="29">
        <f t="shared" si="85"/>
        <v>40026</v>
      </c>
      <c r="D652" s="29"/>
      <c r="E652" s="29"/>
      <c r="F652" s="29"/>
      <c r="G652" s="36">
        <f t="shared" si="86"/>
        <v>-50</v>
      </c>
      <c r="H652" s="36">
        <f t="shared" si="87"/>
        <v>-48.979591836734691</v>
      </c>
      <c r="I652" s="36"/>
      <c r="J652" s="41"/>
      <c r="K652" s="45">
        <f>'Filter-old'!E729</f>
        <v>0</v>
      </c>
      <c r="L652" s="27">
        <f>'Filter-new'!E729</f>
        <v>0</v>
      </c>
      <c r="M652" s="27"/>
      <c r="N652" s="27"/>
      <c r="O652" s="442"/>
      <c r="P652" s="27"/>
      <c r="Q652" s="45">
        <f>'Filter-old'!H729</f>
        <v>-50</v>
      </c>
      <c r="R652" s="27">
        <f>'Filter-new'!H729</f>
        <v>-48.979591836734691</v>
      </c>
      <c r="S652" s="27"/>
      <c r="T652" s="27"/>
      <c r="U652" s="459"/>
      <c r="V652" s="27"/>
      <c r="W652" s="45">
        <f>'Filter-old'!J729</f>
        <v>0</v>
      </c>
      <c r="X652" s="27">
        <f>'Filter-new'!J729</f>
        <v>0</v>
      </c>
      <c r="Y652" s="27"/>
      <c r="Z652" s="27"/>
      <c r="AA652" s="45">
        <f>'Filter-old'!F729</f>
        <v>0</v>
      </c>
      <c r="AB652" s="27">
        <f>'Filter-new'!F729</f>
        <v>0</v>
      </c>
      <c r="AC652" s="27"/>
      <c r="AD652" s="27"/>
      <c r="AE652" s="45">
        <f>'Filter-old'!P729</f>
        <v>0</v>
      </c>
      <c r="AF652" s="27">
        <f>'Filter-new'!P729</f>
        <v>0</v>
      </c>
      <c r="AG652" s="27"/>
      <c r="AH652" s="27"/>
      <c r="AI652" s="45">
        <f>'Filter-old'!L729</f>
        <v>0</v>
      </c>
      <c r="AJ652" s="27">
        <f>'Filter-new'!L729</f>
        <v>0</v>
      </c>
      <c r="AK652" s="27"/>
      <c r="AL652" s="27"/>
      <c r="AM652" s="27"/>
      <c r="AN652" s="27"/>
      <c r="AO652" s="45">
        <f>'Filter-old'!G729</f>
        <v>0</v>
      </c>
      <c r="AP652" s="27">
        <f>'Filter-new'!G729</f>
        <v>0</v>
      </c>
      <c r="AQ652" s="27"/>
      <c r="AR652" s="27"/>
      <c r="AS652" s="45"/>
      <c r="AT652" s="27"/>
      <c r="AU652" s="27"/>
      <c r="AV652" s="27"/>
      <c r="AW652" s="45">
        <f>'Filter-old'!I729</f>
        <v>0</v>
      </c>
      <c r="AX652" s="27">
        <f>'Filter-new'!I729</f>
        <v>0</v>
      </c>
      <c r="AY652" s="27"/>
      <c r="AZ652" s="27"/>
      <c r="BA652" s="27"/>
      <c r="BB652" s="27"/>
      <c r="BC652" s="45">
        <f>'Filter-old'!K729</f>
        <v>0</v>
      </c>
      <c r="BD652" s="27">
        <f>'Filter-new'!K729</f>
        <v>0</v>
      </c>
      <c r="BE652" s="27"/>
      <c r="BF652" s="27"/>
      <c r="BG652" s="45">
        <f>'Filter-old'!M729</f>
        <v>0</v>
      </c>
      <c r="BH652" s="61"/>
      <c r="BI652" s="61"/>
      <c r="BJ652" s="27">
        <f>'Filter-new'!M729</f>
        <v>0</v>
      </c>
      <c r="BK652" s="27"/>
      <c r="BL652" s="27"/>
      <c r="BM652" s="27"/>
      <c r="BN652" s="423"/>
      <c r="BO652" s="27"/>
      <c r="BP652" s="27"/>
      <c r="BQ652" s="45">
        <f>'Filter-old'!O729</f>
        <v>0</v>
      </c>
      <c r="BR652" s="27">
        <f>'Filter-new'!O729</f>
        <v>0</v>
      </c>
      <c r="BS652" s="27"/>
      <c r="BT652" s="27"/>
      <c r="BU652" s="45">
        <f>'Filter-old'!Q729</f>
        <v>0</v>
      </c>
      <c r="BV652" s="27">
        <f>'Filter-new'!Q729</f>
        <v>0</v>
      </c>
      <c r="BW652" s="27"/>
      <c r="BX652" s="27"/>
      <c r="BY652" s="27"/>
      <c r="BZ652" s="27"/>
      <c r="CA652" s="45">
        <f>'Filter-old'!R729</f>
        <v>0</v>
      </c>
      <c r="CB652" s="27">
        <f>'Filter-new'!R729</f>
        <v>0</v>
      </c>
      <c r="CC652" s="4"/>
      <c r="CD652" s="4"/>
      <c r="CE652" s="4"/>
      <c r="CF652" s="4"/>
      <c r="CG652" s="4"/>
    </row>
    <row r="653" spans="1:85" hidden="1" x14ac:dyDescent="0.2">
      <c r="A653">
        <v>0</v>
      </c>
      <c r="B653" s="29">
        <v>40057</v>
      </c>
      <c r="C653" s="29">
        <f t="shared" si="85"/>
        <v>40057</v>
      </c>
      <c r="D653" s="29"/>
      <c r="E653" s="29"/>
      <c r="F653" s="29"/>
      <c r="G653" s="36">
        <f t="shared" si="86"/>
        <v>-50</v>
      </c>
      <c r="H653" s="36">
        <f t="shared" si="87"/>
        <v>-53.255208333333336</v>
      </c>
      <c r="I653" s="36"/>
      <c r="J653" s="41"/>
      <c r="K653" s="45">
        <f>'Filter-old'!E730</f>
        <v>0</v>
      </c>
      <c r="L653" s="27">
        <f>'Filter-new'!E730</f>
        <v>0</v>
      </c>
      <c r="M653" s="27"/>
      <c r="N653" s="27"/>
      <c r="O653" s="442"/>
      <c r="P653" s="27"/>
      <c r="Q653" s="45">
        <f>'Filter-old'!H730</f>
        <v>-50</v>
      </c>
      <c r="R653" s="27">
        <f>'Filter-new'!H730</f>
        <v>-53.255208333333336</v>
      </c>
      <c r="S653" s="27"/>
      <c r="T653" s="27"/>
      <c r="U653" s="459"/>
      <c r="V653" s="27"/>
      <c r="W653" s="45">
        <f>'Filter-old'!J730</f>
        <v>0</v>
      </c>
      <c r="X653" s="27">
        <f>'Filter-new'!J730</f>
        <v>0</v>
      </c>
      <c r="Y653" s="27"/>
      <c r="Z653" s="27"/>
      <c r="AA653" s="45">
        <f>'Filter-old'!F730</f>
        <v>0</v>
      </c>
      <c r="AB653" s="27">
        <f>'Filter-new'!F730</f>
        <v>0</v>
      </c>
      <c r="AC653" s="27"/>
      <c r="AD653" s="27"/>
      <c r="AE653" s="45">
        <f>'Filter-old'!P730</f>
        <v>0</v>
      </c>
      <c r="AF653" s="27">
        <f>'Filter-new'!P730</f>
        <v>0</v>
      </c>
      <c r="AG653" s="27"/>
      <c r="AH653" s="27"/>
      <c r="AI653" s="45">
        <f>'Filter-old'!L730</f>
        <v>0</v>
      </c>
      <c r="AJ653" s="27">
        <f>'Filter-new'!L730</f>
        <v>0</v>
      </c>
      <c r="AK653" s="27"/>
      <c r="AL653" s="27"/>
      <c r="AM653" s="27"/>
      <c r="AN653" s="27"/>
      <c r="AO653" s="45">
        <f>'Filter-old'!G730</f>
        <v>0</v>
      </c>
      <c r="AP653" s="27">
        <f>'Filter-new'!G730</f>
        <v>0</v>
      </c>
      <c r="AQ653" s="27"/>
      <c r="AR653" s="27"/>
      <c r="AS653" s="45"/>
      <c r="AT653" s="27"/>
      <c r="AU653" s="27"/>
      <c r="AV653" s="27"/>
      <c r="AW653" s="45">
        <f>'Filter-old'!I730</f>
        <v>0</v>
      </c>
      <c r="AX653" s="27">
        <f>'Filter-new'!I730</f>
        <v>0</v>
      </c>
      <c r="AY653" s="27"/>
      <c r="AZ653" s="27"/>
      <c r="BA653" s="27"/>
      <c r="BB653" s="27"/>
      <c r="BC653" s="45">
        <f>'Filter-old'!K730</f>
        <v>0</v>
      </c>
      <c r="BD653" s="27">
        <f>'Filter-new'!K730</f>
        <v>0</v>
      </c>
      <c r="BE653" s="27"/>
      <c r="BF653" s="27"/>
      <c r="BG653" s="45">
        <f>'Filter-old'!M730</f>
        <v>0</v>
      </c>
      <c r="BH653" s="61"/>
      <c r="BI653" s="61"/>
      <c r="BJ653" s="27">
        <f>'Filter-new'!M730</f>
        <v>0</v>
      </c>
      <c r="BK653" s="27"/>
      <c r="BL653" s="27"/>
      <c r="BM653" s="27"/>
      <c r="BN653" s="423"/>
      <c r="BO653" s="27"/>
      <c r="BP653" s="27"/>
      <c r="BQ653" s="45">
        <f>'Filter-old'!O730</f>
        <v>0</v>
      </c>
      <c r="BR653" s="27">
        <f>'Filter-new'!O730</f>
        <v>0</v>
      </c>
      <c r="BS653" s="27"/>
      <c r="BT653" s="27"/>
      <c r="BU653" s="45">
        <f>'Filter-old'!Q730</f>
        <v>0</v>
      </c>
      <c r="BV653" s="27">
        <f>'Filter-new'!Q730</f>
        <v>0</v>
      </c>
      <c r="BW653" s="27"/>
      <c r="BX653" s="27"/>
      <c r="BY653" s="27"/>
      <c r="BZ653" s="27"/>
      <c r="CA653" s="45">
        <f>'Filter-old'!R730</f>
        <v>0</v>
      </c>
      <c r="CB653" s="27">
        <f>'Filter-new'!R730</f>
        <v>0</v>
      </c>
      <c r="CC653" s="4"/>
      <c r="CD653" s="4"/>
      <c r="CE653" s="4"/>
      <c r="CF653" s="4"/>
      <c r="CG653" s="4"/>
    </row>
    <row r="654" spans="1:85" hidden="1" x14ac:dyDescent="0.2">
      <c r="A654">
        <v>0</v>
      </c>
      <c r="B654" s="29">
        <v>40087</v>
      </c>
      <c r="C654" s="29">
        <f t="shared" si="85"/>
        <v>40087</v>
      </c>
      <c r="D654" s="29"/>
      <c r="E654" s="29"/>
      <c r="F654" s="29"/>
      <c r="G654" s="36">
        <f t="shared" si="86"/>
        <v>-50.122549019607845</v>
      </c>
      <c r="H654" s="36">
        <f t="shared" si="87"/>
        <v>-47.058823529411768</v>
      </c>
      <c r="I654" s="36"/>
      <c r="J654" s="41"/>
      <c r="K654" s="45">
        <f>'Filter-old'!E731</f>
        <v>0</v>
      </c>
      <c r="L654" s="27">
        <f>'Filter-new'!E731</f>
        <v>0</v>
      </c>
      <c r="M654" s="27"/>
      <c r="N654" s="27"/>
      <c r="O654" s="442"/>
      <c r="P654" s="27"/>
      <c r="Q654" s="45">
        <f>'Filter-old'!H731</f>
        <v>-50.122549019607845</v>
      </c>
      <c r="R654" s="27">
        <f>'Filter-new'!H731</f>
        <v>-47.058823529411768</v>
      </c>
      <c r="S654" s="27"/>
      <c r="T654" s="27"/>
      <c r="U654" s="459"/>
      <c r="V654" s="27"/>
      <c r="W654" s="45">
        <f>'Filter-old'!J731</f>
        <v>0</v>
      </c>
      <c r="X654" s="27">
        <f>'Filter-new'!J731</f>
        <v>0</v>
      </c>
      <c r="Y654" s="27"/>
      <c r="Z654" s="27"/>
      <c r="AA654" s="45">
        <f>'Filter-old'!F731</f>
        <v>0</v>
      </c>
      <c r="AB654" s="27">
        <f>'Filter-new'!F731</f>
        <v>0</v>
      </c>
      <c r="AC654" s="27"/>
      <c r="AD654" s="27"/>
      <c r="AE654" s="45">
        <f>'Filter-old'!P731</f>
        <v>0</v>
      </c>
      <c r="AF654" s="27">
        <f>'Filter-new'!P731</f>
        <v>0</v>
      </c>
      <c r="AG654" s="27"/>
      <c r="AH654" s="27"/>
      <c r="AI654" s="45">
        <f>'Filter-old'!L731</f>
        <v>0</v>
      </c>
      <c r="AJ654" s="27">
        <f>'Filter-new'!L731</f>
        <v>0</v>
      </c>
      <c r="AK654" s="27"/>
      <c r="AL654" s="27"/>
      <c r="AM654" s="27"/>
      <c r="AN654" s="27"/>
      <c r="AO654" s="45">
        <f>'Filter-old'!G731</f>
        <v>0</v>
      </c>
      <c r="AP654" s="27">
        <f>'Filter-new'!G731</f>
        <v>0</v>
      </c>
      <c r="AQ654" s="27"/>
      <c r="AR654" s="27"/>
      <c r="AS654" s="45"/>
      <c r="AT654" s="27"/>
      <c r="AU654" s="27"/>
      <c r="AV654" s="27"/>
      <c r="AW654" s="45">
        <f>'Filter-old'!I731</f>
        <v>0</v>
      </c>
      <c r="AX654" s="27">
        <f>'Filter-new'!I731</f>
        <v>0</v>
      </c>
      <c r="AY654" s="27"/>
      <c r="AZ654" s="27"/>
      <c r="BA654" s="27"/>
      <c r="BB654" s="27"/>
      <c r="BC654" s="45">
        <f>'Filter-old'!K731</f>
        <v>0</v>
      </c>
      <c r="BD654" s="27">
        <f>'Filter-new'!K731</f>
        <v>0</v>
      </c>
      <c r="BE654" s="27"/>
      <c r="BF654" s="27"/>
      <c r="BG654" s="45">
        <f>'Filter-old'!M731</f>
        <v>0</v>
      </c>
      <c r="BH654" s="61"/>
      <c r="BI654" s="61"/>
      <c r="BJ654" s="27">
        <f>'Filter-new'!M731</f>
        <v>0</v>
      </c>
      <c r="BK654" s="27"/>
      <c r="BL654" s="27"/>
      <c r="BM654" s="27"/>
      <c r="BN654" s="423"/>
      <c r="BO654" s="27"/>
      <c r="BP654" s="27"/>
      <c r="BQ654" s="45">
        <f>'Filter-old'!O731</f>
        <v>0</v>
      </c>
      <c r="BR654" s="27">
        <f>'Filter-new'!O731</f>
        <v>0</v>
      </c>
      <c r="BS654" s="27"/>
      <c r="BT654" s="27"/>
      <c r="BU654" s="45">
        <f>'Filter-old'!Q731</f>
        <v>0</v>
      </c>
      <c r="BV654" s="27">
        <f>'Filter-new'!Q731</f>
        <v>0</v>
      </c>
      <c r="BW654" s="27"/>
      <c r="BX654" s="27"/>
      <c r="BY654" s="27"/>
      <c r="BZ654" s="27"/>
      <c r="CA654" s="45">
        <f>'Filter-old'!R731</f>
        <v>0</v>
      </c>
      <c r="CB654" s="27">
        <f>'Filter-new'!R731</f>
        <v>0</v>
      </c>
      <c r="CC654" s="4"/>
      <c r="CD654" s="4"/>
      <c r="CE654" s="4"/>
      <c r="CF654" s="4"/>
      <c r="CG654" s="4"/>
    </row>
    <row r="655" spans="1:85" hidden="1" x14ac:dyDescent="0.2">
      <c r="A655">
        <v>0</v>
      </c>
      <c r="B655" s="29">
        <v>40118</v>
      </c>
      <c r="C655" s="29">
        <f t="shared" si="85"/>
        <v>40118</v>
      </c>
      <c r="D655" s="29"/>
      <c r="E655" s="29"/>
      <c r="F655" s="29"/>
      <c r="G655" s="36">
        <f t="shared" si="86"/>
        <v>-50</v>
      </c>
      <c r="H655" s="36">
        <f t="shared" si="87"/>
        <v>-48.958333333333336</v>
      </c>
      <c r="I655" s="36"/>
      <c r="J655" s="41"/>
      <c r="K655" s="45">
        <f>'Filter-old'!E732</f>
        <v>0</v>
      </c>
      <c r="L655" s="27">
        <f>'Filter-new'!E732</f>
        <v>0</v>
      </c>
      <c r="M655" s="27"/>
      <c r="N655" s="27"/>
      <c r="O655" s="442"/>
      <c r="P655" s="27"/>
      <c r="Q655" s="45">
        <f>'Filter-old'!H732</f>
        <v>-50</v>
      </c>
      <c r="R655" s="27">
        <f>'Filter-new'!H732</f>
        <v>-48.958333333333336</v>
      </c>
      <c r="S655" s="27"/>
      <c r="T655" s="27"/>
      <c r="U655" s="459"/>
      <c r="V655" s="27"/>
      <c r="W655" s="45">
        <f>'Filter-old'!J732</f>
        <v>0</v>
      </c>
      <c r="X655" s="27">
        <f>'Filter-new'!J732</f>
        <v>0</v>
      </c>
      <c r="Y655" s="27"/>
      <c r="Z655" s="27"/>
      <c r="AA655" s="45">
        <f>'Filter-old'!F732</f>
        <v>0</v>
      </c>
      <c r="AB655" s="27">
        <f>'Filter-new'!F732</f>
        <v>0</v>
      </c>
      <c r="AC655" s="27"/>
      <c r="AD655" s="27"/>
      <c r="AE655" s="45">
        <f>'Filter-old'!P732</f>
        <v>0</v>
      </c>
      <c r="AF655" s="27">
        <f>'Filter-new'!P732</f>
        <v>0</v>
      </c>
      <c r="AG655" s="27"/>
      <c r="AH655" s="27"/>
      <c r="AI655" s="45">
        <f>'Filter-old'!L732</f>
        <v>0</v>
      </c>
      <c r="AJ655" s="27">
        <f>'Filter-new'!L732</f>
        <v>0</v>
      </c>
      <c r="AK655" s="27"/>
      <c r="AL655" s="27"/>
      <c r="AM655" s="27"/>
      <c r="AN655" s="27"/>
      <c r="AO655" s="45">
        <f>'Filter-old'!G732</f>
        <v>0</v>
      </c>
      <c r="AP655" s="27">
        <f>'Filter-new'!G732</f>
        <v>0</v>
      </c>
      <c r="AQ655" s="27"/>
      <c r="AR655" s="27"/>
      <c r="AS655" s="45"/>
      <c r="AT655" s="27"/>
      <c r="AU655" s="27"/>
      <c r="AV655" s="27"/>
      <c r="AW655" s="45">
        <f>'Filter-old'!I732</f>
        <v>0</v>
      </c>
      <c r="AX655" s="27">
        <f>'Filter-new'!I732</f>
        <v>0</v>
      </c>
      <c r="AY655" s="27"/>
      <c r="AZ655" s="27"/>
      <c r="BA655" s="27"/>
      <c r="BB655" s="27"/>
      <c r="BC655" s="45">
        <f>'Filter-old'!K732</f>
        <v>0</v>
      </c>
      <c r="BD655" s="27">
        <f>'Filter-new'!K732</f>
        <v>0</v>
      </c>
      <c r="BE655" s="27"/>
      <c r="BF655" s="27"/>
      <c r="BG655" s="45">
        <f>'Filter-old'!M732</f>
        <v>0</v>
      </c>
      <c r="BH655" s="61"/>
      <c r="BI655" s="61"/>
      <c r="BJ655" s="27">
        <f>'Filter-new'!M732</f>
        <v>0</v>
      </c>
      <c r="BK655" s="27"/>
      <c r="BL655" s="27"/>
      <c r="BM655" s="27"/>
      <c r="BN655" s="423"/>
      <c r="BO655" s="27"/>
      <c r="BP655" s="27"/>
      <c r="BQ655" s="45">
        <f>'Filter-old'!O732</f>
        <v>0</v>
      </c>
      <c r="BR655" s="27">
        <f>'Filter-new'!O732</f>
        <v>0</v>
      </c>
      <c r="BS655" s="27"/>
      <c r="BT655" s="27"/>
      <c r="BU655" s="45">
        <f>'Filter-old'!Q732</f>
        <v>0</v>
      </c>
      <c r="BV655" s="27">
        <f>'Filter-new'!Q732</f>
        <v>0</v>
      </c>
      <c r="BW655" s="27"/>
      <c r="BX655" s="27"/>
      <c r="BY655" s="27"/>
      <c r="BZ655" s="27"/>
      <c r="CA655" s="45">
        <f>'Filter-old'!R732</f>
        <v>0</v>
      </c>
      <c r="CB655" s="27">
        <f>'Filter-new'!R732</f>
        <v>0</v>
      </c>
      <c r="CC655" s="4"/>
      <c r="CD655" s="4"/>
      <c r="CE655" s="4"/>
      <c r="CF655" s="4"/>
      <c r="CG655" s="4"/>
    </row>
    <row r="656" spans="1:85" hidden="1" x14ac:dyDescent="0.2">
      <c r="A656">
        <v>0</v>
      </c>
      <c r="B656" s="29">
        <v>40148</v>
      </c>
      <c r="C656" s="29">
        <f t="shared" si="85"/>
        <v>40148</v>
      </c>
      <c r="D656" s="29"/>
      <c r="E656" s="29"/>
      <c r="F656" s="29"/>
      <c r="G656" s="36">
        <f t="shared" si="86"/>
        <v>-50</v>
      </c>
      <c r="H656" s="36">
        <f t="shared" si="87"/>
        <v>-8515.1170212765956</v>
      </c>
      <c r="I656" s="36"/>
      <c r="J656" s="41"/>
      <c r="K656" s="45">
        <f>'Filter-old'!E733</f>
        <v>0</v>
      </c>
      <c r="L656" s="27">
        <f>'Filter-new'!E733</f>
        <v>-334.84574468085106</v>
      </c>
      <c r="M656" s="27"/>
      <c r="N656" s="27"/>
      <c r="O656" s="442"/>
      <c r="P656" s="27"/>
      <c r="Q656" s="45">
        <f>'Filter-old'!H733</f>
        <v>-50</v>
      </c>
      <c r="R656" s="27">
        <f>'Filter-new'!H733</f>
        <v>-5223.2765957446809</v>
      </c>
      <c r="S656" s="27"/>
      <c r="T656" s="27"/>
      <c r="U656" s="459"/>
      <c r="V656" s="27"/>
      <c r="W656" s="45">
        <f>'Filter-old'!J733</f>
        <v>0</v>
      </c>
      <c r="X656" s="27">
        <f>'Filter-new'!J733</f>
        <v>0</v>
      </c>
      <c r="Y656" s="27"/>
      <c r="Z656" s="27"/>
      <c r="AA656" s="45">
        <f>'Filter-old'!F733</f>
        <v>0</v>
      </c>
      <c r="AB656" s="27">
        <f>'Filter-new'!F733</f>
        <v>0</v>
      </c>
      <c r="AC656" s="27"/>
      <c r="AD656" s="27"/>
      <c r="AE656" s="45">
        <f>'Filter-old'!P733</f>
        <v>0</v>
      </c>
      <c r="AF656" s="27">
        <f>'Filter-new'!P733</f>
        <v>0</v>
      </c>
      <c r="AG656" s="27"/>
      <c r="AH656" s="27"/>
      <c r="AI656" s="45">
        <f>'Filter-old'!L733</f>
        <v>0</v>
      </c>
      <c r="AJ656" s="27">
        <f>'Filter-new'!L733</f>
        <v>672.12765957446811</v>
      </c>
      <c r="AK656" s="27"/>
      <c r="AL656" s="27"/>
      <c r="AM656" s="27"/>
      <c r="AN656" s="27"/>
      <c r="AO656" s="45">
        <f>'Filter-old'!G733</f>
        <v>0</v>
      </c>
      <c r="AP656" s="27">
        <f>'Filter-new'!G733</f>
        <v>0</v>
      </c>
      <c r="AQ656" s="27"/>
      <c r="AR656" s="27"/>
      <c r="AS656" s="45"/>
      <c r="AT656" s="27"/>
      <c r="AU656" s="27"/>
      <c r="AV656" s="27"/>
      <c r="AW656" s="45">
        <f>'Filter-old'!I733</f>
        <v>0</v>
      </c>
      <c r="AX656" s="27">
        <f>'Filter-new'!I733</f>
        <v>-1245.7446808510638</v>
      </c>
      <c r="AY656" s="27"/>
      <c r="AZ656" s="27"/>
      <c r="BA656" s="27"/>
      <c r="BB656" s="27"/>
      <c r="BC656" s="45">
        <f>'Filter-old'!K733</f>
        <v>0</v>
      </c>
      <c r="BD656" s="27">
        <f>'Filter-new'!K733</f>
        <v>-1244.6808510638298</v>
      </c>
      <c r="BE656" s="27"/>
      <c r="BF656" s="27"/>
      <c r="BG656" s="45">
        <f>'Filter-old'!M733</f>
        <v>0</v>
      </c>
      <c r="BH656" s="61"/>
      <c r="BI656" s="61"/>
      <c r="BJ656" s="27">
        <f>'Filter-new'!M733</f>
        <v>0</v>
      </c>
      <c r="BK656" s="27"/>
      <c r="BL656" s="27"/>
      <c r="BM656" s="27"/>
      <c r="BN656" s="423"/>
      <c r="BO656" s="27"/>
      <c r="BP656" s="27"/>
      <c r="BQ656" s="45">
        <f>'Filter-old'!O733</f>
        <v>0</v>
      </c>
      <c r="BR656" s="27">
        <f>'Filter-new'!O733</f>
        <v>0</v>
      </c>
      <c r="BS656" s="27"/>
      <c r="BT656" s="27"/>
      <c r="BU656" s="45">
        <f>'Filter-old'!Q733</f>
        <v>0</v>
      </c>
      <c r="BV656" s="27">
        <f>'Filter-new'!Q733</f>
        <v>-263.29787234042556</v>
      </c>
      <c r="BW656" s="27"/>
      <c r="BX656" s="27"/>
      <c r="BY656" s="27"/>
      <c r="BZ656" s="27"/>
      <c r="CA656" s="45">
        <f>'Filter-old'!R733</f>
        <v>0</v>
      </c>
      <c r="CB656" s="27">
        <f>'Filter-new'!R733</f>
        <v>-875.39893617021278</v>
      </c>
      <c r="CC656" s="4"/>
      <c r="CD656" s="4"/>
      <c r="CE656" s="4"/>
      <c r="CF656" s="4"/>
      <c r="CG656" s="4"/>
    </row>
    <row r="657" spans="1:85" s="5" customFormat="1" hidden="1" x14ac:dyDescent="0.2">
      <c r="A657" s="5">
        <v>0</v>
      </c>
      <c r="B657" s="30" t="s">
        <v>75</v>
      </c>
      <c r="C657" s="30" t="s">
        <v>75</v>
      </c>
      <c r="D657" s="30"/>
      <c r="E657" s="30"/>
      <c r="F657" s="30"/>
      <c r="G657" s="39"/>
      <c r="H657" s="39"/>
      <c r="I657" s="39"/>
      <c r="J657" s="43"/>
      <c r="K657" s="43"/>
      <c r="L657" s="31"/>
      <c r="M657" s="31"/>
      <c r="N657" s="31"/>
      <c r="O657" s="443"/>
      <c r="P657" s="31"/>
      <c r="Q657" s="43"/>
      <c r="R657" s="31"/>
      <c r="S657" s="31"/>
      <c r="T657" s="31"/>
      <c r="U657" s="460"/>
      <c r="V657" s="31"/>
      <c r="W657" s="43"/>
      <c r="X657" s="31"/>
      <c r="Y657" s="31"/>
      <c r="Z657" s="31"/>
      <c r="AA657" s="43"/>
      <c r="AB657" s="31"/>
      <c r="AC657" s="31"/>
      <c r="AD657" s="31"/>
      <c r="AE657" s="43"/>
      <c r="AF657" s="31"/>
      <c r="AG657" s="31"/>
      <c r="AH657" s="31"/>
      <c r="AI657" s="43"/>
      <c r="AJ657" s="31"/>
      <c r="AK657" s="31"/>
      <c r="AL657" s="31"/>
      <c r="AM657" s="31"/>
      <c r="AN657" s="31"/>
      <c r="AO657" s="43"/>
      <c r="AP657" s="31"/>
      <c r="AQ657" s="31"/>
      <c r="AR657" s="31"/>
      <c r="AS657" s="43"/>
      <c r="AT657" s="31"/>
      <c r="AU657" s="31"/>
      <c r="AV657" s="31"/>
      <c r="AW657" s="43"/>
      <c r="AX657" s="31"/>
      <c r="AY657" s="31"/>
      <c r="AZ657" s="31"/>
      <c r="BA657" s="31"/>
      <c r="BB657" s="31"/>
      <c r="BC657" s="43"/>
      <c r="BD657" s="31"/>
      <c r="BE657" s="31"/>
      <c r="BF657" s="31"/>
      <c r="BG657" s="43"/>
      <c r="BH657" s="73"/>
      <c r="BI657" s="73"/>
      <c r="BJ657" s="31"/>
      <c r="BK657" s="31"/>
      <c r="BL657" s="31"/>
      <c r="BM657" s="31"/>
      <c r="BN657" s="424"/>
      <c r="BO657" s="31"/>
      <c r="BP657" s="31"/>
      <c r="BQ657" s="43"/>
      <c r="BR657" s="31"/>
      <c r="BS657" s="31"/>
      <c r="BT657" s="31"/>
      <c r="BU657" s="43"/>
      <c r="BV657" s="31"/>
      <c r="BW657" s="31"/>
      <c r="BX657" s="31"/>
      <c r="BY657" s="31"/>
      <c r="BZ657" s="31"/>
      <c r="CA657" s="43"/>
      <c r="CB657" s="30"/>
      <c r="CC657" s="30"/>
      <c r="CD657" s="30"/>
      <c r="CE657" s="30"/>
      <c r="CF657" s="30"/>
      <c r="CG657" s="30"/>
    </row>
    <row r="658" spans="1:85" hidden="1" x14ac:dyDescent="0.2">
      <c r="A658">
        <v>0</v>
      </c>
      <c r="B658" s="29">
        <v>36892</v>
      </c>
      <c r="C658" s="29">
        <f>'Filter-new'!C248</f>
        <v>36892</v>
      </c>
      <c r="K658" s="47">
        <f>'Filter-old'!E248</f>
        <v>0</v>
      </c>
      <c r="L658" s="24">
        <f>'Filter-new'!E248</f>
        <v>0</v>
      </c>
      <c r="O658" s="444"/>
      <c r="Q658" s="47">
        <f>'Filter-old'!H248</f>
        <v>0</v>
      </c>
      <c r="R658" s="24">
        <f>'Filter-new'!H248</f>
        <v>0</v>
      </c>
      <c r="W658" s="47">
        <f>'Filter-old'!J248</f>
        <v>0</v>
      </c>
      <c r="X658" s="24">
        <f>'Filter-new'!J248</f>
        <v>0</v>
      </c>
      <c r="AA658" s="47">
        <f>'Filter-old'!F248</f>
        <v>0</v>
      </c>
      <c r="AB658" s="24">
        <f>'Filter-new'!F248</f>
        <v>0</v>
      </c>
      <c r="AE658" s="47">
        <f>'Filter-old'!P248</f>
        <v>0</v>
      </c>
      <c r="AF658" s="24">
        <f>'Filter-new'!P248</f>
        <v>0</v>
      </c>
      <c r="AI658" s="47">
        <f>'Filter-old'!L248</f>
        <v>0</v>
      </c>
      <c r="AJ658" s="24">
        <f>'Filter-new'!L248</f>
        <v>0</v>
      </c>
      <c r="AO658" s="47">
        <f>'Filter-old'!G248</f>
        <v>0</v>
      </c>
      <c r="AP658" s="24">
        <f>'Filter-new'!G248</f>
        <v>0</v>
      </c>
      <c r="AS658" s="47"/>
      <c r="AT658" s="24"/>
      <c r="AW658" s="47">
        <f>'Filter-old'!I248</f>
        <v>0</v>
      </c>
      <c r="AX658" s="24">
        <f>'Filter-new'!I248</f>
        <v>0</v>
      </c>
      <c r="BC658" s="47">
        <f>'Filter-old'!K248</f>
        <v>0</v>
      </c>
      <c r="BD658" s="24">
        <f>'Filter-new'!K248</f>
        <v>0</v>
      </c>
      <c r="BG658" s="47">
        <f>'Filter-old'!M248</f>
        <v>0</v>
      </c>
      <c r="BH658" s="219"/>
      <c r="BI658" s="219"/>
      <c r="BJ658" s="24">
        <f>'Filter-new'!M248</f>
        <v>0</v>
      </c>
      <c r="BQ658" s="47">
        <f>'Filter-old'!O248</f>
        <v>0</v>
      </c>
      <c r="BR658" s="24">
        <f>'Filter-new'!O248</f>
        <v>0</v>
      </c>
      <c r="BU658" s="47">
        <f>'Filter-old'!Q248</f>
        <v>0</v>
      </c>
      <c r="BV658" s="24">
        <f>'Filter-new'!Q248</f>
        <v>0</v>
      </c>
      <c r="CA658" s="47">
        <f>'Filter-old'!R248</f>
        <v>0</v>
      </c>
      <c r="CB658" s="24">
        <f>'Filter-new'!R248</f>
        <v>0</v>
      </c>
    </row>
    <row r="659" spans="1:85" hidden="1" x14ac:dyDescent="0.2">
      <c r="A659">
        <v>0</v>
      </c>
      <c r="B659" s="29">
        <v>36923</v>
      </c>
      <c r="C659" s="29">
        <f>'Filter-new'!C249</f>
        <v>36923</v>
      </c>
      <c r="K659" s="47">
        <f>'Filter-old'!E249</f>
        <v>0</v>
      </c>
      <c r="L659" s="24">
        <f>'Filter-new'!E249</f>
        <v>0</v>
      </c>
      <c r="O659" s="444"/>
      <c r="Q659" s="47">
        <f>'Filter-old'!H249</f>
        <v>0</v>
      </c>
      <c r="R659" s="24">
        <f>'Filter-new'!H249</f>
        <v>0</v>
      </c>
      <c r="W659" s="47">
        <f>'Filter-old'!J249</f>
        <v>0</v>
      </c>
      <c r="X659" s="24">
        <f>'Filter-new'!J249</f>
        <v>0</v>
      </c>
      <c r="AA659" s="47">
        <f>'Filter-old'!F249</f>
        <v>0</v>
      </c>
      <c r="AB659" s="24">
        <f>'Filter-new'!F249</f>
        <v>0</v>
      </c>
      <c r="AE659" s="47">
        <f>'Filter-old'!P249</f>
        <v>0</v>
      </c>
      <c r="AF659" s="24">
        <f>'Filter-new'!P249</f>
        <v>0</v>
      </c>
      <c r="AI659" s="47">
        <f>'Filter-old'!L249</f>
        <v>0</v>
      </c>
      <c r="AJ659" s="24">
        <f>'Filter-new'!L249</f>
        <v>0</v>
      </c>
      <c r="AO659" s="47">
        <f>'Filter-old'!G249</f>
        <v>0</v>
      </c>
      <c r="AP659" s="24">
        <f>'Filter-new'!G249</f>
        <v>0</v>
      </c>
      <c r="AS659" s="47"/>
      <c r="AT659" s="24"/>
      <c r="AW659" s="47">
        <f>'Filter-old'!I249</f>
        <v>0</v>
      </c>
      <c r="AX659" s="24">
        <f>'Filter-new'!I249</f>
        <v>0</v>
      </c>
      <c r="BC659" s="47">
        <f>'Filter-old'!K249</f>
        <v>0</v>
      </c>
      <c r="BD659" s="24">
        <f>'Filter-new'!K249</f>
        <v>0</v>
      </c>
      <c r="BG659" s="47">
        <f>'Filter-old'!M249</f>
        <v>0</v>
      </c>
      <c r="BH659" s="219"/>
      <c r="BI659" s="219"/>
      <c r="BJ659" s="24">
        <f>'Filter-new'!M249</f>
        <v>0</v>
      </c>
      <c r="BQ659" s="47">
        <f>'Filter-old'!O249</f>
        <v>0</v>
      </c>
      <c r="BR659" s="24">
        <f>'Filter-new'!O249</f>
        <v>0</v>
      </c>
      <c r="BU659" s="47">
        <f>'Filter-old'!Q249</f>
        <v>0</v>
      </c>
      <c r="BV659" s="24">
        <f>'Filter-new'!Q249</f>
        <v>0</v>
      </c>
      <c r="CA659" s="47">
        <f>'Filter-old'!R249</f>
        <v>0</v>
      </c>
      <c r="CB659" s="24">
        <f>'Filter-new'!R249</f>
        <v>0</v>
      </c>
    </row>
    <row r="660" spans="1:85" hidden="1" x14ac:dyDescent="0.2">
      <c r="A660">
        <v>0</v>
      </c>
      <c r="B660" s="29">
        <v>36951</v>
      </c>
      <c r="C660" s="29">
        <f>'Filter-new'!C250</f>
        <v>36951</v>
      </c>
      <c r="K660" s="47">
        <f>'Filter-old'!E250</f>
        <v>0</v>
      </c>
      <c r="L660" s="24">
        <f>'Filter-new'!E250</f>
        <v>0</v>
      </c>
      <c r="O660" s="444"/>
      <c r="Q660" s="47">
        <f>'Filter-old'!H250</f>
        <v>0</v>
      </c>
      <c r="R660" s="24">
        <f>'Filter-new'!H250</f>
        <v>0</v>
      </c>
      <c r="W660" s="47">
        <f>'Filter-old'!J250</f>
        <v>0</v>
      </c>
      <c r="X660" s="24">
        <f>'Filter-new'!J250</f>
        <v>0</v>
      </c>
      <c r="AA660" s="47">
        <f>'Filter-old'!F250</f>
        <v>0</v>
      </c>
      <c r="AB660" s="24">
        <f>'Filter-new'!F250</f>
        <v>0</v>
      </c>
      <c r="AE660" s="47">
        <f>'Filter-old'!P250</f>
        <v>0</v>
      </c>
      <c r="AF660" s="24">
        <f>'Filter-new'!P250</f>
        <v>0</v>
      </c>
      <c r="AI660" s="47">
        <f>'Filter-old'!L250</f>
        <v>0</v>
      </c>
      <c r="AJ660" s="24">
        <f>'Filter-new'!L250</f>
        <v>0</v>
      </c>
      <c r="AO660" s="47">
        <f>'Filter-old'!G250</f>
        <v>0</v>
      </c>
      <c r="AP660" s="24">
        <f>'Filter-new'!G250</f>
        <v>0</v>
      </c>
      <c r="AS660" s="47"/>
      <c r="AT660" s="24"/>
      <c r="AW660" s="47">
        <f>'Filter-old'!I250</f>
        <v>0</v>
      </c>
      <c r="AX660" s="24">
        <f>'Filter-new'!I250</f>
        <v>0</v>
      </c>
      <c r="BC660" s="47">
        <f>'Filter-old'!K250</f>
        <v>0</v>
      </c>
      <c r="BD660" s="24">
        <f>'Filter-new'!K250</f>
        <v>0</v>
      </c>
      <c r="BG660" s="47">
        <f>'Filter-old'!M250</f>
        <v>0</v>
      </c>
      <c r="BH660" s="219"/>
      <c r="BI660" s="219"/>
      <c r="BJ660" s="24">
        <f>'Filter-new'!M250</f>
        <v>0</v>
      </c>
      <c r="BQ660" s="47">
        <f>'Filter-old'!O250</f>
        <v>0</v>
      </c>
      <c r="BR660" s="24">
        <f>'Filter-new'!O250</f>
        <v>0</v>
      </c>
      <c r="BU660" s="47">
        <f>'Filter-old'!Q250</f>
        <v>0</v>
      </c>
      <c r="BV660" s="24">
        <f>'Filter-new'!Q250</f>
        <v>0</v>
      </c>
      <c r="CA660" s="47">
        <f>'Filter-old'!R250</f>
        <v>0</v>
      </c>
      <c r="CB660" s="24">
        <f>'Filter-new'!R250</f>
        <v>0</v>
      </c>
    </row>
    <row r="661" spans="1:85" hidden="1" x14ac:dyDescent="0.2">
      <c r="A661">
        <v>0</v>
      </c>
      <c r="B661" s="29">
        <v>36982</v>
      </c>
      <c r="C661" s="29">
        <f>'Filter-new'!C251</f>
        <v>36982</v>
      </c>
      <c r="K661" s="47">
        <f>'Filter-old'!E251</f>
        <v>0</v>
      </c>
      <c r="L661" s="24">
        <f>'Filter-new'!E251</f>
        <v>0</v>
      </c>
      <c r="O661" s="444"/>
      <c r="Q661" s="47">
        <f>'Filter-old'!H251</f>
        <v>0</v>
      </c>
      <c r="R661" s="24">
        <f>'Filter-new'!H251</f>
        <v>0</v>
      </c>
      <c r="W661" s="47">
        <f>'Filter-old'!J251</f>
        <v>0</v>
      </c>
      <c r="X661" s="24">
        <f>'Filter-new'!J251</f>
        <v>0</v>
      </c>
      <c r="AA661" s="47">
        <f>'Filter-old'!F251</f>
        <v>0</v>
      </c>
      <c r="AB661" s="24">
        <f>'Filter-new'!F251</f>
        <v>0</v>
      </c>
      <c r="AE661" s="47">
        <f>'Filter-old'!P251</f>
        <v>0</v>
      </c>
      <c r="AF661" s="24">
        <f>'Filter-new'!P251</f>
        <v>0</v>
      </c>
      <c r="AI661" s="47">
        <f>'Filter-old'!L251</f>
        <v>0</v>
      </c>
      <c r="AJ661" s="24">
        <f>'Filter-new'!L251</f>
        <v>0</v>
      </c>
      <c r="AO661" s="47">
        <f>'Filter-old'!G251</f>
        <v>0</v>
      </c>
      <c r="AP661" s="24">
        <f>'Filter-new'!G251</f>
        <v>0</v>
      </c>
      <c r="AS661" s="47"/>
      <c r="AT661" s="24"/>
      <c r="AW661" s="47">
        <f>'Filter-old'!I251</f>
        <v>0</v>
      </c>
      <c r="AX661" s="24">
        <f>'Filter-new'!I251</f>
        <v>0</v>
      </c>
      <c r="BC661" s="47">
        <f>'Filter-old'!K251</f>
        <v>0</v>
      </c>
      <c r="BD661" s="24">
        <f>'Filter-new'!K251</f>
        <v>0</v>
      </c>
      <c r="BG661" s="47">
        <f>'Filter-old'!M251</f>
        <v>0</v>
      </c>
      <c r="BH661" s="219"/>
      <c r="BI661" s="219"/>
      <c r="BJ661" s="24">
        <f>'Filter-new'!M251</f>
        <v>0</v>
      </c>
      <c r="BQ661" s="47">
        <f>'Filter-old'!O251</f>
        <v>0</v>
      </c>
      <c r="BR661" s="24">
        <f>'Filter-new'!O251</f>
        <v>0</v>
      </c>
      <c r="BU661" s="47">
        <f>'Filter-old'!Q251</f>
        <v>0</v>
      </c>
      <c r="BV661" s="24">
        <f>'Filter-new'!Q251</f>
        <v>0</v>
      </c>
      <c r="CA661" s="47">
        <f>'Filter-old'!R251</f>
        <v>0</v>
      </c>
      <c r="CB661" s="24">
        <f>'Filter-new'!R251</f>
        <v>0</v>
      </c>
    </row>
    <row r="662" spans="1:85" hidden="1" x14ac:dyDescent="0.2">
      <c r="A662">
        <v>0</v>
      </c>
      <c r="B662" s="29">
        <v>37012</v>
      </c>
      <c r="C662" s="29">
        <f>'Filter-new'!C252</f>
        <v>37012</v>
      </c>
      <c r="K662" s="47">
        <f>'Filter-old'!E252</f>
        <v>0</v>
      </c>
      <c r="L662" s="24">
        <f>'Filter-new'!E252</f>
        <v>0</v>
      </c>
      <c r="O662" s="444"/>
      <c r="Q662" s="47">
        <f>'Filter-old'!H252</f>
        <v>0</v>
      </c>
      <c r="R662" s="24">
        <f>'Filter-new'!H252</f>
        <v>0</v>
      </c>
      <c r="W662" s="47">
        <f>'Filter-old'!J252</f>
        <v>0</v>
      </c>
      <c r="X662" s="24">
        <f>'Filter-new'!J252</f>
        <v>0</v>
      </c>
      <c r="AA662" s="47">
        <f>'Filter-old'!F252</f>
        <v>0</v>
      </c>
      <c r="AB662" s="24">
        <f>'Filter-new'!F252</f>
        <v>0</v>
      </c>
      <c r="AE662" s="47">
        <f>'Filter-old'!P252</f>
        <v>0</v>
      </c>
      <c r="AF662" s="24">
        <f>'Filter-new'!P252</f>
        <v>0</v>
      </c>
      <c r="AI662" s="47">
        <f>'Filter-old'!L252</f>
        <v>0</v>
      </c>
      <c r="AJ662" s="24">
        <f>'Filter-new'!L252</f>
        <v>0</v>
      </c>
      <c r="AO662" s="47">
        <f>'Filter-old'!G252</f>
        <v>0</v>
      </c>
      <c r="AP662" s="24">
        <f>'Filter-new'!G252</f>
        <v>0</v>
      </c>
      <c r="AS662" s="47"/>
      <c r="AT662" s="24"/>
      <c r="AW662" s="47">
        <f>'Filter-old'!I252</f>
        <v>0</v>
      </c>
      <c r="AX662" s="24">
        <f>'Filter-new'!I252</f>
        <v>0</v>
      </c>
      <c r="BC662" s="47">
        <f>'Filter-old'!K252</f>
        <v>0</v>
      </c>
      <c r="BD662" s="24">
        <f>'Filter-new'!K252</f>
        <v>0</v>
      </c>
      <c r="BG662" s="47">
        <f>'Filter-old'!M252</f>
        <v>0</v>
      </c>
      <c r="BH662" s="219"/>
      <c r="BI662" s="219"/>
      <c r="BJ662" s="24">
        <f>'Filter-new'!M252</f>
        <v>0</v>
      </c>
      <c r="BQ662" s="47">
        <f>'Filter-old'!O252</f>
        <v>0</v>
      </c>
      <c r="BR662" s="24">
        <f>'Filter-new'!O252</f>
        <v>0</v>
      </c>
      <c r="BU662" s="47">
        <f>'Filter-old'!Q252</f>
        <v>0</v>
      </c>
      <c r="BV662" s="24">
        <f>'Filter-new'!Q252</f>
        <v>0</v>
      </c>
      <c r="CA662" s="47">
        <f>'Filter-old'!R252</f>
        <v>0</v>
      </c>
      <c r="CB662" s="24">
        <f>'Filter-new'!R252</f>
        <v>0</v>
      </c>
    </row>
    <row r="663" spans="1:85" hidden="1" x14ac:dyDescent="0.2">
      <c r="A663">
        <v>0</v>
      </c>
      <c r="B663" s="29">
        <v>37043</v>
      </c>
      <c r="C663" s="29">
        <f>'Filter-new'!C253</f>
        <v>37043</v>
      </c>
      <c r="K663" s="47">
        <f>'Filter-old'!E253</f>
        <v>13982.792610141647</v>
      </c>
      <c r="L663" s="24">
        <f>'Filter-new'!E253</f>
        <v>10999.371464487744</v>
      </c>
      <c r="O663" s="444"/>
      <c r="Q663" s="47">
        <f>'Filter-old'!H253</f>
        <v>13186.111921659169</v>
      </c>
      <c r="R663" s="24">
        <f>'Filter-new'!H253</f>
        <v>10999.371464487744</v>
      </c>
      <c r="W663" s="47">
        <f>'Filter-old'!J253</f>
        <v>12534.227952456797</v>
      </c>
      <c r="X663" s="24">
        <f>'Filter-new'!J253</f>
        <v>10999.371464487744</v>
      </c>
      <c r="AA663" s="47">
        <f>'Filter-old'!F253</f>
        <v>13982.792610141647</v>
      </c>
      <c r="AB663" s="24">
        <f>'Filter-new'!F253</f>
        <v>10999.371464487744</v>
      </c>
      <c r="AE663" s="47">
        <f>'Filter-old'!P253</f>
        <v>14115.471414085099</v>
      </c>
      <c r="AF663" s="24">
        <f>'Filter-new'!P253</f>
        <v>10999.371464487744</v>
      </c>
      <c r="AI663" s="47">
        <f>'Filter-old'!L253</f>
        <v>18847.691748455105</v>
      </c>
      <c r="AJ663" s="24">
        <f>'Filter-new'!L253</f>
        <v>10999.371464487744</v>
      </c>
      <c r="AO663" s="47">
        <f>'Filter-old'!G253</f>
        <v>12156.185629468073</v>
      </c>
      <c r="AP663" s="24">
        <f>'Filter-new'!G253</f>
        <v>10999.371464487744</v>
      </c>
      <c r="AS663" s="47"/>
      <c r="AT663" s="24"/>
      <c r="AW663" s="47">
        <f>'Filter-old'!I253</f>
        <v>14337.210711256512</v>
      </c>
      <c r="AX663" s="24">
        <f>'Filter-new'!I253</f>
        <v>10999.371464487744</v>
      </c>
      <c r="BC663" s="47">
        <f>'Filter-old'!K253</f>
        <v>15168.726523688356</v>
      </c>
      <c r="BD663" s="24">
        <f>'Filter-new'!K253</f>
        <v>10999.371464487744</v>
      </c>
      <c r="BG663" s="47">
        <f>'Filter-old'!M253</f>
        <v>13714.406882345813</v>
      </c>
      <c r="BH663" s="219"/>
      <c r="BI663" s="219"/>
      <c r="BJ663" s="24">
        <f>'Filter-new'!M253</f>
        <v>10999.371464487744</v>
      </c>
      <c r="BQ663" s="47">
        <f>'Filter-old'!O253</f>
        <v>16030.534351145036</v>
      </c>
      <c r="BR663" s="24">
        <f>'Filter-new'!O253</f>
        <v>10999.371464487744</v>
      </c>
      <c r="BU663" s="47">
        <f>'Filter-old'!Q253</f>
        <v>16248.63685932388</v>
      </c>
      <c r="BV663" s="24">
        <f>'Filter-new'!Q253</f>
        <v>10999.371464487744</v>
      </c>
      <c r="CA663" s="47">
        <f>'Filter-old'!R253</f>
        <v>13714.406882345813</v>
      </c>
      <c r="CB663" s="24">
        <f>'Filter-new'!R253</f>
        <v>10999.371464487744</v>
      </c>
    </row>
    <row r="664" spans="1:85" hidden="1" x14ac:dyDescent="0.2">
      <c r="A664">
        <v>0</v>
      </c>
      <c r="B664" s="29">
        <v>37073</v>
      </c>
      <c r="C664" s="29">
        <f>'Filter-new'!C254</f>
        <v>37073</v>
      </c>
      <c r="K664" s="47">
        <f>'Filter-old'!E254</f>
        <v>20234.363529584491</v>
      </c>
      <c r="L664" s="24">
        <f>'Filter-new'!E254</f>
        <v>7023.8843494657467</v>
      </c>
      <c r="O664" s="444"/>
      <c r="Q664" s="47">
        <f>'Filter-old'!H254</f>
        <v>21126.975970244213</v>
      </c>
      <c r="R664" s="24">
        <f>'Filter-new'!H254</f>
        <v>6945.3174104336895</v>
      </c>
      <c r="W664" s="47">
        <f>'Filter-old'!J254</f>
        <v>13933.711037238845</v>
      </c>
      <c r="X664" s="24">
        <f>'Filter-new'!J254</f>
        <v>13722.701247998901</v>
      </c>
      <c r="AA664" s="47">
        <f>'Filter-old'!F254</f>
        <v>20234.363529584491</v>
      </c>
      <c r="AB664" s="24">
        <f>'Filter-new'!F254</f>
        <v>6992.457573852922</v>
      </c>
      <c r="AE664" s="47">
        <f>'Filter-old'!P254</f>
        <v>18173.176607639667</v>
      </c>
      <c r="AF664" s="24">
        <f>'Filter-new'!P254</f>
        <v>13378.428633598178</v>
      </c>
      <c r="AI664" s="47">
        <f>'Filter-old'!L254</f>
        <v>27235.354573484066</v>
      </c>
      <c r="AJ664" s="24">
        <f>'Filter-new'!L254</f>
        <v>24652.813156770524</v>
      </c>
      <c r="AO664" s="47">
        <f>'Filter-old'!G254</f>
        <v>15994.347379239463</v>
      </c>
      <c r="AP664" s="24">
        <f>'Filter-new'!G254</f>
        <v>12076.860400283218</v>
      </c>
      <c r="AS664" s="47"/>
      <c r="AT664" s="24"/>
      <c r="AW664" s="47">
        <f>'Filter-old'!I254</f>
        <v>22610.483042137716</v>
      </c>
      <c r="AX664" s="24">
        <f>'Filter-new'!I254</f>
        <v>14014.845296019359</v>
      </c>
      <c r="BC664" s="47">
        <f>'Filter-old'!K254</f>
        <v>19141.829393627955</v>
      </c>
      <c r="BD664" s="24">
        <f>'Filter-new'!K254</f>
        <v>15904.193401036959</v>
      </c>
      <c r="BG664" s="47">
        <f>'Filter-old'!M254</f>
        <v>21325.796505652619</v>
      </c>
      <c r="BH664" s="219"/>
      <c r="BI664" s="219"/>
      <c r="BJ664" s="24">
        <f>'Filter-new'!M254</f>
        <v>14602.227154053802</v>
      </c>
      <c r="BQ664" s="47">
        <f>'Filter-old'!O254</f>
        <v>25115.621788283657</v>
      </c>
      <c r="BR664" s="24">
        <f>'Filter-new'!O254</f>
        <v>17468.04904518152</v>
      </c>
      <c r="BU664" s="47">
        <f>'Filter-old'!Q254</f>
        <v>23188.591983556009</v>
      </c>
      <c r="BV664" s="24">
        <f>'Filter-new'!Q254</f>
        <v>16876.926817735137</v>
      </c>
      <c r="CA664" s="47">
        <f>'Filter-old'!R254</f>
        <v>21325.796505652619</v>
      </c>
      <c r="CB664" s="24">
        <f>'Filter-new'!R254</f>
        <v>15824.577480198681</v>
      </c>
    </row>
    <row r="665" spans="1:85" hidden="1" x14ac:dyDescent="0.2">
      <c r="A665">
        <v>0</v>
      </c>
      <c r="B665" s="29">
        <v>37104</v>
      </c>
      <c r="C665" s="29">
        <f>'Filter-new'!C255</f>
        <v>37104</v>
      </c>
      <c r="K665" s="47">
        <f>'Filter-old'!E255</f>
        <v>18301.886792452831</v>
      </c>
      <c r="L665" s="24">
        <f>'Filter-new'!E255</f>
        <v>1764.2879696874018</v>
      </c>
      <c r="O665" s="444"/>
      <c r="Q665" s="47">
        <f>'Filter-old'!H255</f>
        <v>17798.740219020241</v>
      </c>
      <c r="R665" s="24">
        <f>'Filter-new'!H255</f>
        <v>1744.5532049257974</v>
      </c>
      <c r="W665" s="47">
        <f>'Filter-old'!J255</f>
        <v>17987.419464303261</v>
      </c>
      <c r="X665" s="24">
        <f>'Filter-new'!J255</f>
        <v>17040.540564500603</v>
      </c>
      <c r="AA665" s="47">
        <f>'Filter-old'!F255</f>
        <v>18301.886792452831</v>
      </c>
      <c r="AB665" s="24">
        <f>'Filter-new'!F255</f>
        <v>0</v>
      </c>
      <c r="AE665" s="47">
        <f>'Filter-old'!P255</f>
        <v>22138.36286052968</v>
      </c>
      <c r="AF665" s="24">
        <f>'Filter-new'!P255</f>
        <v>15943.633821208588</v>
      </c>
      <c r="AI665" s="47">
        <f>'Filter-old'!L255</f>
        <v>26666.666666666664</v>
      </c>
      <c r="AJ665" s="24">
        <f>'Filter-new'!L255</f>
        <v>19745.060951129337</v>
      </c>
      <c r="AO665" s="47">
        <f>'Filter-old'!G255</f>
        <v>15408.80503144654</v>
      </c>
      <c r="AP665" s="24">
        <f>'Filter-new'!G255</f>
        <v>19178.759686608842</v>
      </c>
      <c r="AS665" s="47"/>
      <c r="AT665" s="24"/>
      <c r="AW665" s="47">
        <f>'Filter-old'!I255</f>
        <v>19245.283018867922</v>
      </c>
      <c r="AX665" s="24">
        <f>'Filter-new'!I255</f>
        <v>15815.268716188792</v>
      </c>
      <c r="BC665" s="47">
        <f>'Filter-old'!K255</f>
        <v>18742.138364779872</v>
      </c>
      <c r="BD665" s="24">
        <f>'Filter-new'!K255</f>
        <v>20764.405395392172</v>
      </c>
      <c r="BG665" s="47">
        <f>'Filter-old'!M255</f>
        <v>18490.566037735851</v>
      </c>
      <c r="BH665" s="219"/>
      <c r="BI665" s="219"/>
      <c r="BJ665" s="24">
        <f>'Filter-new'!M255</f>
        <v>15039.60718143464</v>
      </c>
      <c r="BQ665" s="47">
        <f>'Filter-old'!O255</f>
        <v>24591.19496855346</v>
      </c>
      <c r="BR665" s="24">
        <f>'Filter-new'!O255</f>
        <v>15702.008222381814</v>
      </c>
      <c r="BU665" s="47">
        <f>'Filter-old'!Q255</f>
        <v>22704.402515723272</v>
      </c>
      <c r="BV665" s="24">
        <f>'Filter-new'!Q255</f>
        <v>15901.072303090212</v>
      </c>
      <c r="CA665" s="47">
        <f>'Filter-old'!R255</f>
        <v>18490.566037735851</v>
      </c>
      <c r="CB665" s="24">
        <f>'Filter-new'!R255</f>
        <v>16629.371125125195</v>
      </c>
    </row>
    <row r="666" spans="1:85" hidden="1" x14ac:dyDescent="0.2">
      <c r="A666">
        <v>0</v>
      </c>
      <c r="B666" s="29">
        <v>37135</v>
      </c>
      <c r="C666" s="29">
        <f>'Filter-new'!C256</f>
        <v>37135</v>
      </c>
      <c r="K666" s="47">
        <f>'Filter-old'!E256</f>
        <v>9093.1738913801673</v>
      </c>
      <c r="L666" s="24">
        <f>'Filter-new'!E256</f>
        <v>12515.651894031287</v>
      </c>
      <c r="O666" s="444"/>
      <c r="Q666" s="47">
        <f>'Filter-old'!H256</f>
        <v>8657.1988503494595</v>
      </c>
      <c r="R666" s="24">
        <f>'Filter-new'!H256</f>
        <v>11850.81747881987</v>
      </c>
      <c r="W666" s="47">
        <f>'Filter-old'!J256</f>
        <v>8557.5472494827663</v>
      </c>
      <c r="X666" s="24">
        <f>'Filter-new'!J256</f>
        <v>13387.111589020393</v>
      </c>
      <c r="AA666" s="47">
        <f>'Filter-old'!F256</f>
        <v>9093.1738913801673</v>
      </c>
      <c r="AB666" s="24">
        <f>'Filter-new'!F256</f>
        <v>13387.111589020393</v>
      </c>
      <c r="AE666" s="47">
        <f>'Filter-old'!P256</f>
        <v>11048.829668365312</v>
      </c>
      <c r="AF666" s="24">
        <f>'Filter-new'!P256</f>
        <v>12945.874947608148</v>
      </c>
      <c r="AI666" s="47">
        <f>'Filter-old'!L256</f>
        <v>14947.683109118087</v>
      </c>
      <c r="AJ666" s="24">
        <f>'Filter-new'!L256</f>
        <v>11982.570806100219</v>
      </c>
      <c r="AO666" s="47">
        <f>'Filter-old'!G256</f>
        <v>11023.917243322685</v>
      </c>
      <c r="AP666" s="24">
        <f>'Filter-new'!G256</f>
        <v>11162.710917021961</v>
      </c>
      <c r="AS666" s="47"/>
      <c r="AT666" s="24"/>
      <c r="AW666" s="47">
        <f>'Filter-old'!I256</f>
        <v>9342.3019431988032</v>
      </c>
      <c r="AX666" s="24">
        <f>'Filter-new'!I256</f>
        <v>12166.037798447276</v>
      </c>
      <c r="BC666" s="47">
        <f>'Filter-old'!K256</f>
        <v>12518.684603886397</v>
      </c>
      <c r="BD666" s="24">
        <f>'Filter-new'!K256</f>
        <v>17618.392911092375</v>
      </c>
      <c r="BG666" s="47">
        <f>'Filter-old'!M256</f>
        <v>9778.2760338814151</v>
      </c>
      <c r="BH666" s="219"/>
      <c r="BI666" s="219"/>
      <c r="BJ666" s="24">
        <f>'Filter-new'!M256</f>
        <v>15571.60919787839</v>
      </c>
      <c r="BQ666" s="47">
        <f>'Filter-old'!O256</f>
        <v>10774.788241155953</v>
      </c>
      <c r="BR666" s="24">
        <f>'Filter-new'!O256</f>
        <v>13496.160403316078</v>
      </c>
      <c r="BU666" s="47">
        <f>'Filter-old'!Q256</f>
        <v>10587.943152640075</v>
      </c>
      <c r="BV666" s="24">
        <f>'Filter-new'!Q256</f>
        <v>11764.705882352942</v>
      </c>
      <c r="CA666" s="47">
        <f>'Filter-old'!R256</f>
        <v>9778.2760338814151</v>
      </c>
      <c r="CB666" s="24">
        <f>'Filter-new'!R256</f>
        <v>15151.015138314422</v>
      </c>
    </row>
    <row r="667" spans="1:85" hidden="1" x14ac:dyDescent="0.2">
      <c r="A667">
        <v>0</v>
      </c>
      <c r="B667" s="29">
        <v>37165</v>
      </c>
      <c r="C667" s="29">
        <f>'Filter-new'!C257</f>
        <v>37165</v>
      </c>
      <c r="K667" s="47">
        <f>'Filter-old'!E257</f>
        <v>8534.3951948417125</v>
      </c>
      <c r="L667" s="24">
        <f>'Filter-new'!E257</f>
        <v>10914.466941291532</v>
      </c>
      <c r="O667" s="444"/>
      <c r="Q667" s="47">
        <f>'Filter-old'!H257</f>
        <v>8191.9071176808402</v>
      </c>
      <c r="R667" s="24">
        <f>'Filter-new'!H257</f>
        <v>10729.627140232787</v>
      </c>
      <c r="W667" s="47">
        <f>'Filter-old'!J257</f>
        <v>7639.3669440820404</v>
      </c>
      <c r="X667" s="24">
        <f>'Filter-new'!J257</f>
        <v>10914.466941291532</v>
      </c>
      <c r="AA667" s="47">
        <f>'Filter-old'!F257</f>
        <v>8534.3951948417125</v>
      </c>
      <c r="AB667" s="24">
        <f>'Filter-new'!F257</f>
        <v>10914.466941291532</v>
      </c>
      <c r="AE667" s="47">
        <f>'Filter-old'!P257</f>
        <v>9003.4514974359809</v>
      </c>
      <c r="AF667" s="24">
        <f>'Filter-new'!P257</f>
        <v>10721.788250032021</v>
      </c>
      <c r="AI667" s="47">
        <f>'Filter-old'!L257</f>
        <v>14553.527380365071</v>
      </c>
      <c r="AJ667" s="24">
        <f>'Filter-new'!L257</f>
        <v>12480.974457954426</v>
      </c>
      <c r="AO667" s="47">
        <f>'Filter-old'!G257</f>
        <v>8991.1181878502503</v>
      </c>
      <c r="AP667" s="24">
        <f>'Filter-new'!G257</f>
        <v>10311.233020219672</v>
      </c>
      <c r="AS667" s="47"/>
      <c r="AT667" s="24"/>
      <c r="AW667" s="47">
        <f>'Filter-old'!I257</f>
        <v>8571.780957079427</v>
      </c>
      <c r="AX667" s="24">
        <f>'Filter-new'!I257</f>
        <v>10369.58329664552</v>
      </c>
      <c r="BC667" s="47">
        <f>'Filter-old'!K257</f>
        <v>12395.165268870251</v>
      </c>
      <c r="BD667" s="24">
        <f>'Filter-new'!K257</f>
        <v>19880.015472245355</v>
      </c>
      <c r="BG667" s="47">
        <f>'Filter-old'!M257</f>
        <v>8818.4509126788362</v>
      </c>
      <c r="BH667" s="219"/>
      <c r="BI667" s="219"/>
      <c r="BJ667" s="24">
        <f>'Filter-new'!M257</f>
        <v>16379.187537021309</v>
      </c>
      <c r="BQ667" s="47">
        <f>'Filter-old'!O257</f>
        <v>9435.1258016773554</v>
      </c>
      <c r="BR667" s="24">
        <f>'Filter-new'!O257</f>
        <v>13387.979184343496</v>
      </c>
      <c r="BU667" s="47">
        <f>'Filter-old'!Q257</f>
        <v>9003.4533793783903</v>
      </c>
      <c r="BV667" s="24">
        <f>'Filter-new'!Q257</f>
        <v>10245.900597077267</v>
      </c>
      <c r="CA667" s="47">
        <f>'Filter-old'!R257</f>
        <v>8818.4509126788362</v>
      </c>
      <c r="CB667" s="24">
        <f>'Filter-new'!R257</f>
        <v>14186.271292264371</v>
      </c>
    </row>
    <row r="668" spans="1:85" hidden="1" x14ac:dyDescent="0.2">
      <c r="A668">
        <v>0</v>
      </c>
      <c r="B668" s="29">
        <v>37196</v>
      </c>
      <c r="C668" s="29">
        <f>'Filter-new'!C258</f>
        <v>37196</v>
      </c>
      <c r="K668" s="47">
        <f>'Filter-old'!E258</f>
        <v>7820.9919943025297</v>
      </c>
      <c r="L668" s="24">
        <f>'Filter-new'!E258</f>
        <v>0</v>
      </c>
      <c r="O668" s="444"/>
      <c r="Q668" s="47">
        <f>'Filter-old'!H258</f>
        <v>7514.1757106961286</v>
      </c>
      <c r="R668" s="24">
        <f>'Filter-new'!H258</f>
        <v>0</v>
      </c>
      <c r="W668" s="47">
        <f>'Filter-old'!J258</f>
        <v>6981.7834179883639</v>
      </c>
      <c r="X668" s="24">
        <f>'Filter-new'!J258</f>
        <v>0</v>
      </c>
      <c r="AA668" s="47">
        <f>'Filter-old'!F258</f>
        <v>7820.9919943025297</v>
      </c>
      <c r="AB668" s="24">
        <f>'Filter-new'!F258</f>
        <v>0</v>
      </c>
      <c r="AE668" s="47">
        <f>'Filter-old'!P258</f>
        <v>8270.3195582716126</v>
      </c>
      <c r="AF668" s="24">
        <f>'Filter-new'!P258</f>
        <v>0</v>
      </c>
      <c r="AI668" s="47">
        <f>'Filter-old'!L258</f>
        <v>13941.398865784498</v>
      </c>
      <c r="AJ668" s="24">
        <f>'Filter-new'!L258</f>
        <v>0</v>
      </c>
      <c r="AO668" s="47">
        <f>'Filter-old'!G258</f>
        <v>7785.9143002948149</v>
      </c>
      <c r="AP668" s="24">
        <f>'Filter-new'!G258</f>
        <v>0</v>
      </c>
      <c r="AS668" s="47"/>
      <c r="AT668" s="24"/>
      <c r="AW668" s="47">
        <f>'Filter-old'!I258</f>
        <v>8211.2476370510394</v>
      </c>
      <c r="AX668" s="24">
        <f>'Filter-new'!I258</f>
        <v>0</v>
      </c>
      <c r="BC668" s="47">
        <f>'Filter-old'!K258</f>
        <v>11873.818525519848</v>
      </c>
      <c r="BD668" s="24">
        <f>'Filter-new'!K258</f>
        <v>0</v>
      </c>
      <c r="BG668" s="47">
        <f>'Filter-old'!M258</f>
        <v>8447.542533081285</v>
      </c>
      <c r="BH668" s="219"/>
      <c r="BI668" s="219"/>
      <c r="BJ668" s="24">
        <f>'Filter-new'!M258</f>
        <v>0</v>
      </c>
      <c r="BQ668" s="47">
        <f>'Filter-old'!O258</f>
        <v>9038.279773156899</v>
      </c>
      <c r="BR668" s="24">
        <f>'Filter-new'!O258</f>
        <v>0</v>
      </c>
      <c r="BU668" s="47">
        <f>'Filter-old'!Q258</f>
        <v>8624.7637051039692</v>
      </c>
      <c r="BV668" s="24">
        <f>'Filter-new'!Q258</f>
        <v>0</v>
      </c>
      <c r="CA668" s="47">
        <f>'Filter-old'!R258</f>
        <v>8447.542533081285</v>
      </c>
      <c r="CB668" s="24">
        <f>'Filter-new'!R258</f>
        <v>0</v>
      </c>
    </row>
    <row r="669" spans="1:85" hidden="1" x14ac:dyDescent="0.2">
      <c r="A669">
        <v>0</v>
      </c>
      <c r="B669" s="29">
        <v>37226</v>
      </c>
      <c r="C669" s="29">
        <f>'Filter-new'!C259</f>
        <v>37226</v>
      </c>
      <c r="K669" s="47">
        <f>'Filter-old'!E259</f>
        <v>8214.9037548241886</v>
      </c>
      <c r="L669" s="24">
        <f>'Filter-new'!E259</f>
        <v>9581.8940702360433</v>
      </c>
      <c r="O669" s="444"/>
      <c r="Q669" s="47">
        <f>'Filter-old'!H259</f>
        <v>8090.37003270287</v>
      </c>
      <c r="R669" s="24">
        <f>'Filter-new'!H259</f>
        <v>9460.7560928804487</v>
      </c>
      <c r="W669" s="47">
        <f>'Filter-old'!J259</f>
        <v>7579.9940284223148</v>
      </c>
      <c r="X669" s="24">
        <f>'Filter-new'!J259</f>
        <v>9581.8940702360433</v>
      </c>
      <c r="AA669" s="47">
        <f>'Filter-old'!F259</f>
        <v>8214.9037548241886</v>
      </c>
      <c r="AB669" s="24">
        <f>'Filter-new'!F259</f>
        <v>9581.8940702360433</v>
      </c>
      <c r="AE669" s="47">
        <f>'Filter-old'!P259</f>
        <v>8646.6826491741358</v>
      </c>
      <c r="AF669" s="24">
        <f>'Filter-new'!P259</f>
        <v>9970.4951065054684</v>
      </c>
      <c r="AI669" s="47">
        <f>'Filter-old'!L259</f>
        <v>13396.911898274297</v>
      </c>
      <c r="AJ669" s="24">
        <f>'Filter-new'!L259</f>
        <v>9517.1272308577991</v>
      </c>
      <c r="AO669" s="47">
        <f>'Filter-old'!G259</f>
        <v>7708.8985737619569</v>
      </c>
      <c r="AP669" s="24">
        <f>'Filter-new'!G259</f>
        <v>8527.6338514680501</v>
      </c>
      <c r="AS669" s="47"/>
      <c r="AT669" s="24"/>
      <c r="AW669" s="47">
        <f>'Filter-old'!I259</f>
        <v>7890.5540417801994</v>
      </c>
      <c r="AX669" s="24">
        <f>'Filter-new'!I259</f>
        <v>9517.1272308578027</v>
      </c>
      <c r="BC669" s="47">
        <f>'Filter-old'!K259</f>
        <v>11410.08174386921</v>
      </c>
      <c r="BD669" s="24">
        <f>'Filter-new'!K259</f>
        <v>12851.420072922665</v>
      </c>
      <c r="BG669" s="47">
        <f>'Filter-old'!M259</f>
        <v>8117.62034514078</v>
      </c>
      <c r="BH669" s="219"/>
      <c r="BI669" s="219"/>
      <c r="BJ669" s="24">
        <f>'Filter-new'!M259</f>
        <v>11319.804260218765</v>
      </c>
      <c r="BQ669" s="47">
        <f>'Filter-old'!O259</f>
        <v>8685.2861035422338</v>
      </c>
      <c r="BR669" s="24">
        <f>'Filter-new'!O259</f>
        <v>9373.2009211283839</v>
      </c>
      <c r="BU669" s="47">
        <f>'Filter-old'!Q259</f>
        <v>8287.920072661218</v>
      </c>
      <c r="BV669" s="24">
        <f>'Filter-new'!Q259</f>
        <v>8281.759739013627</v>
      </c>
      <c r="CA669" s="47">
        <f>'Filter-old'!R259</f>
        <v>8117.62034514078</v>
      </c>
      <c r="CB669" s="24">
        <f>'Filter-new'!R259</f>
        <v>10086.835540203418</v>
      </c>
    </row>
    <row r="670" spans="1:85" hidden="1" x14ac:dyDescent="0.2">
      <c r="A670">
        <v>0</v>
      </c>
      <c r="B670" s="29">
        <v>37257</v>
      </c>
      <c r="C670" s="29">
        <f>'Filter-new'!C260</f>
        <v>37257</v>
      </c>
      <c r="K670" s="47">
        <f>'Filter-old'!E260</f>
        <v>8501.5009780124692</v>
      </c>
      <c r="L670" s="24">
        <f>'Filter-new'!E260</f>
        <v>10279.280648371256</v>
      </c>
      <c r="O670" s="444"/>
      <c r="Q670" s="47">
        <f>'Filter-old'!H260</f>
        <v>8054.3461792374164</v>
      </c>
      <c r="R670" s="24">
        <f>'Filter-new'!H260</f>
        <v>9183.333131597954</v>
      </c>
      <c r="W670" s="47">
        <f>'Filter-old'!J260</f>
        <v>9120.2147155134189</v>
      </c>
      <c r="X670" s="24">
        <f>'Filter-new'!J260</f>
        <v>10279.280648371256</v>
      </c>
      <c r="AA670" s="47">
        <f>'Filter-old'!F260</f>
        <v>8501.5009780124692</v>
      </c>
      <c r="AB670" s="24">
        <f>'Filter-new'!F260</f>
        <v>10279.280648371256</v>
      </c>
      <c r="AE670" s="47">
        <f>'Filter-old'!P260</f>
        <v>8334.1850038612847</v>
      </c>
      <c r="AF670" s="24">
        <f>'Filter-new'!P260</f>
        <v>10640.578880601004</v>
      </c>
      <c r="AI670" s="47">
        <f>'Filter-old'!L260</f>
        <v>15645.954403218597</v>
      </c>
      <c r="AJ670" s="24">
        <f>'Filter-new'!L260</f>
        <v>10496.424365263789</v>
      </c>
      <c r="AO670" s="47">
        <f>'Filter-old'!G260</f>
        <v>8296.8241623804734</v>
      </c>
      <c r="AP670" s="24">
        <f>'Filter-new'!G260</f>
        <v>8897.5240982282212</v>
      </c>
      <c r="AS670" s="47"/>
      <c r="AT670" s="24"/>
      <c r="AW670" s="47">
        <f>'Filter-old'!I260</f>
        <v>8494.6350588775076</v>
      </c>
      <c r="AX670" s="24">
        <f>'Filter-new'!I260</f>
        <v>10092.790803484342</v>
      </c>
      <c r="BC670" s="47">
        <f>'Filter-old'!K260</f>
        <v>13410.818059901654</v>
      </c>
      <c r="BD670" s="24">
        <f>'Filter-new'!K260</f>
        <v>14753.184707133199</v>
      </c>
      <c r="BG670" s="47">
        <f>'Filter-old'!M260</f>
        <v>9331.694233348233</v>
      </c>
      <c r="BH670" s="219"/>
      <c r="BI670" s="219"/>
      <c r="BJ670" s="24">
        <f>'Filter-new'!M260</f>
        <v>11742.27217984745</v>
      </c>
      <c r="BQ670" s="47">
        <f>'Filter-old'!O260</f>
        <v>9109.2975532896671</v>
      </c>
      <c r="BR670" s="24">
        <f>'Filter-new'!O260</f>
        <v>11039.743075070252</v>
      </c>
      <c r="BU670" s="47">
        <f>'Filter-old'!Q260</f>
        <v>8627.6262852033979</v>
      </c>
      <c r="BV670" s="24">
        <f>'Filter-new'!Q260</f>
        <v>9032.5170614211165</v>
      </c>
      <c r="CA670" s="47">
        <f>'Filter-old'!R260</f>
        <v>9331.694233348233</v>
      </c>
      <c r="CB670" s="24">
        <f>'Filter-new'!R260</f>
        <v>11441.18827780008</v>
      </c>
    </row>
    <row r="671" spans="1:85" hidden="1" x14ac:dyDescent="0.2">
      <c r="A671">
        <v>0</v>
      </c>
      <c r="B671" s="29">
        <v>37288</v>
      </c>
      <c r="C671" s="29">
        <f>'Filter-new'!C261</f>
        <v>37288</v>
      </c>
      <c r="K671" s="47">
        <f>'Filter-old'!E261</f>
        <v>8578.3027238335071</v>
      </c>
      <c r="L671" s="24">
        <f>'Filter-new'!E261</f>
        <v>9889.4817073170725</v>
      </c>
      <c r="O671" s="444"/>
      <c r="Q671" s="47">
        <f>'Filter-old'!H261</f>
        <v>8120.334880489695</v>
      </c>
      <c r="R671" s="24">
        <f>'Filter-new'!H261</f>
        <v>8849.085365853658</v>
      </c>
      <c r="W671" s="47">
        <f>'Filter-old'!J261</f>
        <v>8891.805828874205</v>
      </c>
      <c r="X671" s="24">
        <f>'Filter-new'!J261</f>
        <v>9908.5365853658532</v>
      </c>
      <c r="AA671" s="47">
        <f>'Filter-old'!F261</f>
        <v>8578.3027238335071</v>
      </c>
      <c r="AB671" s="24">
        <f>'Filter-new'!F261</f>
        <v>9908.5365853658532</v>
      </c>
      <c r="AE671" s="47">
        <f>'Filter-old'!P261</f>
        <v>8406.7693442843793</v>
      </c>
      <c r="AF671" s="24">
        <f>'Filter-new'!P261</f>
        <v>11223.323170731706</v>
      </c>
      <c r="AI671" s="47">
        <f>'Filter-old'!L261</f>
        <v>16040.329972502292</v>
      </c>
      <c r="AJ671" s="24">
        <f>'Filter-new'!L261</f>
        <v>11310.975609756097</v>
      </c>
      <c r="AO671" s="47">
        <f>'Filter-old'!G261</f>
        <v>8104.9467203925224</v>
      </c>
      <c r="AP671" s="24">
        <f>'Filter-new'!G261</f>
        <v>8258.3841463414628</v>
      </c>
      <c r="AS671" s="47"/>
      <c r="AT671" s="24"/>
      <c r="AW671" s="47">
        <f>'Filter-old'!I261</f>
        <v>8707.6085734870012</v>
      </c>
      <c r="AX671" s="24">
        <f>'Filter-new'!I261</f>
        <v>9744.6646341463402</v>
      </c>
      <c r="BC671" s="47">
        <f>'Filter-old'!K261</f>
        <v>13748.854262144821</v>
      </c>
      <c r="BD671" s="24">
        <f>'Filter-new'!K261</f>
        <v>14005.335365853658</v>
      </c>
      <c r="BG671" s="47">
        <f>'Filter-old'!M261</f>
        <v>9566.9110907424383</v>
      </c>
      <c r="BH671" s="219"/>
      <c r="BI671" s="219"/>
      <c r="BJ671" s="24">
        <f>'Filter-new'!M261</f>
        <v>11147.103658536585</v>
      </c>
      <c r="BQ671" s="47">
        <f>'Filter-old'!O261</f>
        <v>9337.7643938353031</v>
      </c>
      <c r="BR671" s="24">
        <f>'Filter-new'!O261</f>
        <v>10480.182926829268</v>
      </c>
      <c r="BU671" s="47">
        <f>'Filter-old'!Q261</f>
        <v>8845.0962419798343</v>
      </c>
      <c r="BV671" s="24">
        <f>'Filter-new'!Q261</f>
        <v>8574.6951219512193</v>
      </c>
      <c r="CA671" s="47">
        <f>'Filter-old'!R261</f>
        <v>9566.9110907424383</v>
      </c>
      <c r="CB671" s="24">
        <f>'Filter-new'!R261</f>
        <v>10861.280487804877</v>
      </c>
    </row>
    <row r="672" spans="1:85" hidden="1" x14ac:dyDescent="0.2">
      <c r="A672">
        <v>0</v>
      </c>
      <c r="B672" s="29">
        <v>37316</v>
      </c>
      <c r="C672" s="29">
        <f>'Filter-new'!C262</f>
        <v>37316</v>
      </c>
      <c r="K672" s="47">
        <f>'Filter-old'!E262</f>
        <v>8251.4103540266642</v>
      </c>
      <c r="L672" s="24">
        <f>'Filter-new'!E262</f>
        <v>9342.4553401748381</v>
      </c>
      <c r="O672" s="444"/>
      <c r="Q672" s="47">
        <f>'Filter-old'!H262</f>
        <v>8133.1371608079126</v>
      </c>
      <c r="R672" s="24">
        <f>'Filter-new'!H262</f>
        <v>8772.329912580768</v>
      </c>
      <c r="W672" s="47">
        <f>'Filter-old'!J262</f>
        <v>8167.8773426220341</v>
      </c>
      <c r="X672" s="24">
        <f>'Filter-new'!J262</f>
        <v>9437.4762447738503</v>
      </c>
      <c r="AA672" s="47">
        <f>'Filter-old'!F262</f>
        <v>8251.4103540266642</v>
      </c>
      <c r="AB672" s="24">
        <f>'Filter-new'!F262</f>
        <v>9437.4762447738503</v>
      </c>
      <c r="AE672" s="47">
        <f>'Filter-old'!P262</f>
        <v>7835.4463261574556</v>
      </c>
      <c r="AF672" s="24">
        <f>'Filter-new'!P262</f>
        <v>9627.5180539718749</v>
      </c>
      <c r="AI672" s="47">
        <f>'Filter-old'!L262</f>
        <v>13098.356751607525</v>
      </c>
      <c r="AJ672" s="24">
        <f>'Filter-new'!L262</f>
        <v>10900.798175598633</v>
      </c>
      <c r="AO672" s="47">
        <f>'Filter-old'!G262</f>
        <v>8287.6855460028619</v>
      </c>
      <c r="AP672" s="24">
        <f>'Filter-new'!G262</f>
        <v>8741.9232231090846</v>
      </c>
      <c r="AS672" s="47"/>
      <c r="AT672" s="24"/>
      <c r="AW672" s="47">
        <f>'Filter-old'!I262</f>
        <v>8335.3179328411534</v>
      </c>
      <c r="AX672" s="24">
        <f>'Filter-new'!I262</f>
        <v>9114.4051691372097</v>
      </c>
      <c r="BC672" s="47">
        <f>'Filter-old'!K262</f>
        <v>11074.065253631818</v>
      </c>
      <c r="BD672" s="24">
        <f>'Filter-new'!K262</f>
        <v>12542.759407069558</v>
      </c>
      <c r="BG672" s="47">
        <f>'Filter-old'!M262</f>
        <v>9109.3117408906892</v>
      </c>
      <c r="BH672" s="219"/>
      <c r="BI672" s="219"/>
      <c r="BJ672" s="24">
        <f>'Filter-new'!M262</f>
        <v>10262.257696693274</v>
      </c>
      <c r="BQ672" s="47">
        <f>'Filter-old'!O262</f>
        <v>9228.3877113598464</v>
      </c>
      <c r="BR672" s="24">
        <f>'Filter-new'!O262</f>
        <v>9806.1573546180171</v>
      </c>
      <c r="BU672" s="47">
        <f>'Filter-old'!Q262</f>
        <v>8454.3939033103106</v>
      </c>
      <c r="BV672" s="24">
        <f>'Filter-new'!Q262</f>
        <v>8361.8396047130373</v>
      </c>
      <c r="CA672" s="47">
        <f>'Filter-old'!R262</f>
        <v>9109.3117408906892</v>
      </c>
      <c r="CB672" s="24">
        <f>'Filter-new'!R262</f>
        <v>10224.249334853668</v>
      </c>
    </row>
    <row r="673" spans="1:80" hidden="1" x14ac:dyDescent="0.2">
      <c r="A673">
        <v>0</v>
      </c>
      <c r="B673" s="29">
        <v>37347</v>
      </c>
      <c r="C673" s="29">
        <f>'Filter-new'!C263</f>
        <v>37347</v>
      </c>
      <c r="K673" s="47">
        <f>'Filter-old'!E263</f>
        <v>9077.2796702773339</v>
      </c>
      <c r="L673" s="24">
        <f>'Filter-new'!E263</f>
        <v>9582.6952526799378</v>
      </c>
      <c r="O673" s="444"/>
      <c r="Q673" s="47">
        <f>'Filter-old'!H263</f>
        <v>8947.9144832435213</v>
      </c>
      <c r="R673" s="24">
        <f>'Filter-new'!H263</f>
        <v>9008.422664624808</v>
      </c>
      <c r="W673" s="47">
        <f>'Filter-old'!J263</f>
        <v>8321.6761325479456</v>
      </c>
      <c r="X673" s="24">
        <f>'Filter-new'!J263</f>
        <v>9678.4073506891273</v>
      </c>
      <c r="AA673" s="47">
        <f>'Filter-old'!F263</f>
        <v>9077.2796702773339</v>
      </c>
      <c r="AB673" s="24">
        <f>'Filter-new'!F263</f>
        <v>9678.4073506891273</v>
      </c>
      <c r="AE673" s="47">
        <f>'Filter-old'!P263</f>
        <v>8622.3088567782943</v>
      </c>
      <c r="AF673" s="24">
        <f>'Filter-new'!P263</f>
        <v>9869.8315467075045</v>
      </c>
      <c r="AI673" s="47">
        <f>'Filter-old'!L263</f>
        <v>14066.163063297734</v>
      </c>
      <c r="AJ673" s="24">
        <f>'Filter-new'!L263</f>
        <v>11152.373660030626</v>
      </c>
      <c r="AO673" s="47">
        <f>'Filter-old'!G263</f>
        <v>8986.7123094316757</v>
      </c>
      <c r="AP673" s="24">
        <f>'Filter-new'!G263</f>
        <v>8652.3736600306274</v>
      </c>
      <c r="AS673" s="47"/>
      <c r="AT673" s="24"/>
      <c r="AW673" s="47">
        <f>'Filter-old'!I263</f>
        <v>9116.9575410263096</v>
      </c>
      <c r="AX673" s="24">
        <f>'Filter-new'!I263</f>
        <v>9352.9862174578866</v>
      </c>
      <c r="BC673" s="47">
        <f>'Filter-old'!K263</f>
        <v>12112.529304506381</v>
      </c>
      <c r="BD673" s="24">
        <f>'Filter-new'!K263</f>
        <v>12633.996937212863</v>
      </c>
      <c r="BG673" s="47">
        <f>'Filter-old'!M263</f>
        <v>9703.0476686637139</v>
      </c>
      <c r="BH673" s="219"/>
      <c r="BI673" s="219"/>
      <c r="BJ673" s="24">
        <f>'Filter-new'!M263</f>
        <v>10336.906584992343</v>
      </c>
      <c r="BQ673" s="47">
        <f>'Filter-old'!O263</f>
        <v>10093.774420421985</v>
      </c>
      <c r="BR673" s="24">
        <f>'Filter-new'!O263</f>
        <v>9877.4885145482385</v>
      </c>
      <c r="BU673" s="47">
        <f>'Filter-old'!Q263</f>
        <v>9247.1997916123983</v>
      </c>
      <c r="BV673" s="24">
        <f>'Filter-new'!Q263</f>
        <v>8422.6646248085763</v>
      </c>
      <c r="CA673" s="47">
        <f>'Filter-old'!R263</f>
        <v>9703.0476686637139</v>
      </c>
      <c r="CB673" s="24">
        <f>'Filter-new'!R263</f>
        <v>10298.621745788667</v>
      </c>
    </row>
    <row r="674" spans="1:80" hidden="1" x14ac:dyDescent="0.2">
      <c r="A674">
        <v>0</v>
      </c>
      <c r="B674" s="29">
        <v>37377</v>
      </c>
      <c r="C674" s="29">
        <f>'Filter-new'!C264</f>
        <v>37377</v>
      </c>
      <c r="K674" s="47">
        <f>'Filter-old'!E264</f>
        <v>10480.233483682674</v>
      </c>
      <c r="L674" s="24">
        <f>'Filter-new'!E264</f>
        <v>10229.841748304447</v>
      </c>
      <c r="O674" s="444"/>
      <c r="Q674" s="47">
        <f>'Filter-old'!H264</f>
        <v>10148.578501089272</v>
      </c>
      <c r="R674" s="24">
        <f>'Filter-new'!H264</f>
        <v>9238.8847023360977</v>
      </c>
      <c r="W674" s="47">
        <f>'Filter-old'!J264</f>
        <v>9179.3356855214824</v>
      </c>
      <c r="X674" s="24">
        <f>'Filter-new'!J264</f>
        <v>10324.039186134136</v>
      </c>
      <c r="AA674" s="47">
        <f>'Filter-old'!F264</f>
        <v>10480.233483682674</v>
      </c>
      <c r="AB674" s="24">
        <f>'Filter-new'!F264</f>
        <v>10324.039186134136</v>
      </c>
      <c r="AE674" s="47">
        <f>'Filter-old'!P264</f>
        <v>10745.554838233678</v>
      </c>
      <c r="AF674" s="24">
        <f>'Filter-new'!P264</f>
        <v>10135.644310474754</v>
      </c>
      <c r="AI674" s="47">
        <f>'Filter-old'!L264</f>
        <v>14592.730167153091</v>
      </c>
      <c r="AJ674" s="24">
        <f>'Filter-new'!L264</f>
        <v>11548.605877920121</v>
      </c>
      <c r="AO674" s="47">
        <f>'Filter-old'!G264</f>
        <v>10652.695451120571</v>
      </c>
      <c r="AP674" s="24">
        <f>'Filter-new'!G264</f>
        <v>9794.6495855312751</v>
      </c>
      <c r="AS674" s="47"/>
      <c r="AT674" s="24"/>
      <c r="AW674" s="47">
        <f>'Filter-old'!I264</f>
        <v>10679.225258689306</v>
      </c>
      <c r="AX674" s="24">
        <f>'Filter-new'!I264</f>
        <v>9988.6963074604391</v>
      </c>
      <c r="BC674" s="47">
        <f>'Filter-old'!K264</f>
        <v>12337.490050411248</v>
      </c>
      <c r="BD674" s="24">
        <f>'Filter-new'!K264</f>
        <v>12716.654107008291</v>
      </c>
      <c r="BG674" s="47">
        <f>'Filter-old'!M264</f>
        <v>10745.555850358185</v>
      </c>
      <c r="BH674" s="219"/>
      <c r="BI674" s="219"/>
      <c r="BJ674" s="24">
        <f>'Filter-new'!M264</f>
        <v>10926.902788244161</v>
      </c>
      <c r="BQ674" s="47">
        <f>'Filter-old'!O264</f>
        <v>11475.19235871584</v>
      </c>
      <c r="BR674" s="24">
        <f>'Filter-new'!O264</f>
        <v>10474.755086661644</v>
      </c>
      <c r="BU674" s="47">
        <f>'Filter-old'!Q264</f>
        <v>10811.886442027064</v>
      </c>
      <c r="BV674" s="24">
        <f>'Filter-new'!Q264</f>
        <v>9419.7437829691025</v>
      </c>
      <c r="CA674" s="47">
        <f>'Filter-old'!R264</f>
        <v>10745.555850358185</v>
      </c>
      <c r="CB674" s="24">
        <f>'Filter-new'!R264</f>
        <v>11303.692539562924</v>
      </c>
    </row>
    <row r="675" spans="1:80" hidden="1" x14ac:dyDescent="0.2">
      <c r="A675">
        <v>0</v>
      </c>
      <c r="B675" s="29">
        <v>37408</v>
      </c>
      <c r="C675" s="29">
        <f>'Filter-new'!C265</f>
        <v>37408</v>
      </c>
      <c r="K675" s="47">
        <f>'Filter-old'!E265</f>
        <v>13026.97041110238</v>
      </c>
      <c r="L675" s="24">
        <f>'Filter-new'!E265</f>
        <v>13313.609467455621</v>
      </c>
      <c r="O675" s="444"/>
      <c r="Q675" s="47">
        <f>'Filter-old'!H265</f>
        <v>12437.81094527363</v>
      </c>
      <c r="R675" s="24">
        <f>'Filter-new'!H265</f>
        <v>12248.520710059171</v>
      </c>
      <c r="W675" s="47">
        <f>'Filter-old'!J265</f>
        <v>12222.388927522645</v>
      </c>
      <c r="X675" s="24">
        <f>'Filter-new'!J265</f>
        <v>13332.100591715975</v>
      </c>
      <c r="AA675" s="47">
        <f>'Filter-old'!F265</f>
        <v>13026.97041110238</v>
      </c>
      <c r="AB675" s="24">
        <f>'Filter-new'!F265</f>
        <v>13332.100591715975</v>
      </c>
      <c r="AE675" s="47">
        <f>'Filter-old'!P265</f>
        <v>13812.516365540716</v>
      </c>
      <c r="AF675" s="24">
        <f>'Filter-new'!P265</f>
        <v>14286.242603550296</v>
      </c>
      <c r="AI675" s="47">
        <f>'Filter-old'!L265</f>
        <v>19900.497512437811</v>
      </c>
      <c r="AJ675" s="24">
        <f>'Filter-new'!L265</f>
        <v>14977.810650887574</v>
      </c>
      <c r="AO675" s="47">
        <f>'Filter-old'!G265</f>
        <v>11063.104526133211</v>
      </c>
      <c r="AP675" s="24">
        <f>'Filter-new'!G265</f>
        <v>10355.029585798815</v>
      </c>
      <c r="AS675" s="47"/>
      <c r="AT675" s="24"/>
      <c r="AW675" s="47">
        <f>'Filter-old'!I265</f>
        <v>13157.894736842105</v>
      </c>
      <c r="AX675" s="24">
        <f>'Filter-new'!I265</f>
        <v>12688.609467455621</v>
      </c>
      <c r="BC675" s="47">
        <f>'Filter-old'!K265</f>
        <v>14270.751505629745</v>
      </c>
      <c r="BD675" s="24">
        <f>'Filter-new'!K265</f>
        <v>15070.266272189348</v>
      </c>
      <c r="BG675" s="47">
        <f>'Filter-old'!M265</f>
        <v>13419.743388321549</v>
      </c>
      <c r="BH675" s="219"/>
      <c r="BI675" s="219"/>
      <c r="BJ675" s="24">
        <f>'Filter-new'!M265</f>
        <v>14607.988165680472</v>
      </c>
      <c r="BQ675" s="47">
        <f>'Filter-old'!O265</f>
        <v>14598.06231997905</v>
      </c>
      <c r="BR675" s="24">
        <f>'Filter-new'!O265</f>
        <v>13498.520710059172</v>
      </c>
      <c r="BU675" s="47">
        <f>'Filter-old'!Q265</f>
        <v>13616.129876931132</v>
      </c>
      <c r="BV675" s="24">
        <f>'Filter-new'!Q265</f>
        <v>12019.230769230768</v>
      </c>
      <c r="CA675" s="47">
        <f>'Filter-old'!R265</f>
        <v>13419.743388321549</v>
      </c>
      <c r="CB675" s="24">
        <f>'Filter-new'!R265</f>
        <v>14700.443786982249</v>
      </c>
    </row>
    <row r="676" spans="1:80" hidden="1" x14ac:dyDescent="0.2">
      <c r="A676">
        <v>0</v>
      </c>
      <c r="B676" s="29">
        <v>37438</v>
      </c>
      <c r="C676" s="29">
        <f>'Filter-new'!C266</f>
        <v>37438</v>
      </c>
      <c r="K676" s="47">
        <f>'Filter-old'!E266</f>
        <v>17945.063487950247</v>
      </c>
      <c r="L676" s="24">
        <f>'Filter-new'!E266</f>
        <v>16809.402332361515</v>
      </c>
      <c r="O676" s="444"/>
      <c r="Q676" s="47">
        <f>'Filter-old'!H266</f>
        <v>17491.578129048979</v>
      </c>
      <c r="R676" s="24">
        <f>'Filter-new'!H266</f>
        <v>15579.44606413994</v>
      </c>
      <c r="W676" s="47">
        <f>'Filter-old'!J266</f>
        <v>16066.338429644986</v>
      </c>
      <c r="X676" s="24">
        <f>'Filter-new'!J266</f>
        <v>16809.402332361515</v>
      </c>
      <c r="AA676" s="47">
        <f>'Filter-old'!F266</f>
        <v>17945.063487950247</v>
      </c>
      <c r="AB676" s="24">
        <f>'Filter-new'!F266</f>
        <v>16809.402332361515</v>
      </c>
      <c r="AE676" s="47">
        <f>'Filter-old'!P266</f>
        <v>18528.116092251879</v>
      </c>
      <c r="AF676" s="24">
        <f>'Filter-new'!P266</f>
        <v>18358.236151603494</v>
      </c>
      <c r="AI676" s="47">
        <f>'Filter-old'!L266</f>
        <v>25913.449080072558</v>
      </c>
      <c r="AJ676" s="24">
        <f>'Filter-new'!L266</f>
        <v>20089.28571428571</v>
      </c>
      <c r="AO676" s="47">
        <f>'Filter-old'!G266</f>
        <v>13474.991544598462</v>
      </c>
      <c r="AP676" s="24">
        <f>'Filter-new'!G266</f>
        <v>13210.641399416909</v>
      </c>
      <c r="AS676" s="47"/>
      <c r="AT676" s="24"/>
      <c r="AW676" s="47">
        <f>'Filter-old'!I266</f>
        <v>18333.765224151335</v>
      </c>
      <c r="AX676" s="24">
        <f>'Filter-new'!I266</f>
        <v>16408.527696793</v>
      </c>
      <c r="BC676" s="47">
        <f>'Filter-old'!K266</f>
        <v>17945.063487950247</v>
      </c>
      <c r="BD676" s="24">
        <f>'Filter-new'!K266</f>
        <v>18859.329446064137</v>
      </c>
      <c r="BG676" s="47">
        <f>'Filter-old'!M266</f>
        <v>18139.414356050791</v>
      </c>
      <c r="BH676" s="219"/>
      <c r="BI676" s="219"/>
      <c r="BJ676" s="24">
        <f>'Filter-new'!M266</f>
        <v>17674.927113702623</v>
      </c>
      <c r="BQ676" s="47">
        <f>'Filter-old'!O266</f>
        <v>20212.490282456594</v>
      </c>
      <c r="BR676" s="24">
        <f>'Filter-new'!O266</f>
        <v>17674.927113702623</v>
      </c>
      <c r="BU676" s="47">
        <f>'Filter-old'!Q266</f>
        <v>18398.548846851514</v>
      </c>
      <c r="BV676" s="24">
        <f>'Filter-new'!Q266</f>
        <v>14943.148688046644</v>
      </c>
      <c r="CA676" s="47">
        <f>'Filter-old'!R266</f>
        <v>18139.414356050791</v>
      </c>
      <c r="CB676" s="24">
        <f>'Filter-new'!R266</f>
        <v>18950.437317784257</v>
      </c>
    </row>
    <row r="677" spans="1:80" hidden="1" x14ac:dyDescent="0.2">
      <c r="A677">
        <v>0</v>
      </c>
      <c r="B677" s="29">
        <v>37469</v>
      </c>
      <c r="C677" s="29">
        <f>'Filter-new'!C267</f>
        <v>37469</v>
      </c>
      <c r="K677" s="47">
        <f>'Filter-old'!E267</f>
        <v>17829.557157569514</v>
      </c>
      <c r="L677" s="24">
        <f>'Filter-new'!E267</f>
        <v>16567.887931034486</v>
      </c>
      <c r="O677" s="444"/>
      <c r="Q677" s="47">
        <f>'Filter-old'!H267</f>
        <v>17378.99073120494</v>
      </c>
      <c r="R677" s="24">
        <f>'Filter-new'!H267</f>
        <v>15355.603448275862</v>
      </c>
      <c r="W677" s="47">
        <f>'Filter-old'!J267</f>
        <v>15962.924819773429</v>
      </c>
      <c r="X677" s="24">
        <f>'Filter-new'!J267</f>
        <v>16567.887931034486</v>
      </c>
      <c r="AA677" s="47">
        <f>'Filter-old'!F267</f>
        <v>17829.557157569514</v>
      </c>
      <c r="AB677" s="24">
        <f>'Filter-new'!F267</f>
        <v>16567.887931034486</v>
      </c>
      <c r="AE677" s="47">
        <f>'Filter-old'!P267</f>
        <v>18408.856848609681</v>
      </c>
      <c r="AF677" s="24">
        <f>'Filter-new'!P267</f>
        <v>18094.468390804599</v>
      </c>
      <c r="AI677" s="47">
        <f>'Filter-old'!L267</f>
        <v>25746.652935118433</v>
      </c>
      <c r="AJ677" s="24">
        <f>'Filter-new'!L267</f>
        <v>19800.646551724138</v>
      </c>
      <c r="AO677" s="47">
        <f>'Filter-old'!G267</f>
        <v>13388.259526261585</v>
      </c>
      <c r="AP677" s="24">
        <f>'Filter-new'!G267</f>
        <v>13020.833333333334</v>
      </c>
      <c r="AS677" s="47"/>
      <c r="AT677" s="24"/>
      <c r="AW677" s="47">
        <f>'Filter-old'!I267</f>
        <v>18215.75695159629</v>
      </c>
      <c r="AX677" s="24">
        <f>'Filter-new'!I267</f>
        <v>16172.772988505749</v>
      </c>
      <c r="BC677" s="47">
        <f>'Filter-old'!K267</f>
        <v>17829.557157569514</v>
      </c>
      <c r="BD677" s="24">
        <f>'Filter-new'!K267</f>
        <v>18588.362068965518</v>
      </c>
      <c r="BG677" s="47">
        <f>'Filter-old'!M267</f>
        <v>18022.657054582905</v>
      </c>
      <c r="BH677" s="219"/>
      <c r="BI677" s="219"/>
      <c r="BJ677" s="24">
        <f>'Filter-new'!M267</f>
        <v>17420.977011494255</v>
      </c>
      <c r="BQ677" s="47">
        <f>'Filter-old'!O267</f>
        <v>20082.389289392377</v>
      </c>
      <c r="BR677" s="24">
        <f>'Filter-new'!O267</f>
        <v>17420.977011494255</v>
      </c>
      <c r="BU677" s="47">
        <f>'Filter-old'!Q267</f>
        <v>18280.123583934088</v>
      </c>
      <c r="BV677" s="24">
        <f>'Filter-new'!Q267</f>
        <v>14727.011494252874</v>
      </c>
      <c r="CA677" s="47">
        <f>'Filter-old'!R267</f>
        <v>18022.657054582905</v>
      </c>
      <c r="CB677" s="24">
        <f>'Filter-new'!R267</f>
        <v>18678.160919540234</v>
      </c>
    </row>
    <row r="678" spans="1:80" hidden="1" x14ac:dyDescent="0.2">
      <c r="A678">
        <v>0</v>
      </c>
      <c r="B678" s="29">
        <v>37500</v>
      </c>
      <c r="C678" s="29">
        <f>'Filter-new'!C268</f>
        <v>37500</v>
      </c>
      <c r="K678" s="47">
        <f>'Filter-old'!E268</f>
        <v>8585.3408508457196</v>
      </c>
      <c r="L678" s="24">
        <f>'Filter-new'!E268</f>
        <v>9050.0179920834817</v>
      </c>
      <c r="O678" s="444"/>
      <c r="Q678" s="47">
        <f>'Filter-old'!H268</f>
        <v>8649.4105586878522</v>
      </c>
      <c r="R678" s="24">
        <f>'Filter-new'!H268</f>
        <v>8375.3148614609563</v>
      </c>
      <c r="W678" s="47">
        <f>'Filter-old'!J268</f>
        <v>8244.980304195964</v>
      </c>
      <c r="X678" s="24">
        <f>'Filter-new'!J268</f>
        <v>9068.0100755667499</v>
      </c>
      <c r="AA678" s="47">
        <f>'Filter-old'!F268</f>
        <v>8585.3408508457196</v>
      </c>
      <c r="AB678" s="24">
        <f>'Filter-new'!F268</f>
        <v>9068.0100755667499</v>
      </c>
      <c r="AE678" s="47">
        <f>'Filter-old'!P268</f>
        <v>8841.620659840406</v>
      </c>
      <c r="AF678" s="24">
        <f>'Filter-new'!P268</f>
        <v>9050.0179920834817</v>
      </c>
      <c r="AI678" s="47">
        <f>'Filter-old'!L268</f>
        <v>14607.89338800615</v>
      </c>
      <c r="AJ678" s="24">
        <f>'Filter-new'!L268</f>
        <v>9823.6775818639817</v>
      </c>
      <c r="AO678" s="47">
        <f>'Filter-old'!G268</f>
        <v>9482.3177382617287</v>
      </c>
      <c r="AP678" s="24">
        <f>'Filter-new'!G268</f>
        <v>9715.7250809643756</v>
      </c>
      <c r="AS678" s="47"/>
      <c r="AT678" s="24"/>
      <c r="AW678" s="47">
        <f>'Filter-old'!I268</f>
        <v>8777.5499743721157</v>
      </c>
      <c r="AX678" s="24">
        <f>'Filter-new'!I268</f>
        <v>8801.7272400143938</v>
      </c>
      <c r="BC678" s="47">
        <f>'Filter-old'!K268</f>
        <v>11596.617119425935</v>
      </c>
      <c r="BD678" s="24">
        <f>'Filter-new'!K268</f>
        <v>11874.775098956459</v>
      </c>
      <c r="BG678" s="47">
        <f>'Filter-old'!M268</f>
        <v>9033.8288057406462</v>
      </c>
      <c r="BH678" s="219"/>
      <c r="BI678" s="219"/>
      <c r="BJ678" s="24">
        <f>'Filter-new'!M268</f>
        <v>9805.6854983807134</v>
      </c>
      <c r="BQ678" s="47">
        <f>'Filter-old'!O268</f>
        <v>9482.316760635571</v>
      </c>
      <c r="BR678" s="24">
        <f>'Filter-new'!O268</f>
        <v>9661.7488305145744</v>
      </c>
      <c r="BU678" s="47">
        <f>'Filter-old'!Q268</f>
        <v>8905.6893900563809</v>
      </c>
      <c r="BV678" s="24">
        <f>'Filter-new'!Q268</f>
        <v>8312.3425692695218</v>
      </c>
      <c r="CA678" s="47">
        <f>'Filter-old'!R268</f>
        <v>9033.8288057406462</v>
      </c>
      <c r="CB678" s="24">
        <f>'Filter-new'!R268</f>
        <v>9715.7250809643756</v>
      </c>
    </row>
    <row r="679" spans="1:80" hidden="1" x14ac:dyDescent="0.2">
      <c r="A679">
        <v>0</v>
      </c>
      <c r="B679" s="29">
        <v>37530</v>
      </c>
      <c r="C679" s="29">
        <f>'Filter-new'!C269</f>
        <v>37530</v>
      </c>
      <c r="K679" s="47">
        <f>'Filter-old'!E269</f>
        <v>8266.1036934171407</v>
      </c>
      <c r="L679" s="24">
        <f>'Filter-new'!E269</f>
        <v>8938.1480157311416</v>
      </c>
      <c r="O679" s="444"/>
      <c r="Q679" s="47">
        <f>'Filter-old'!H269</f>
        <v>7815.0496190907998</v>
      </c>
      <c r="R679" s="24">
        <f>'Filter-new'!H269</f>
        <v>8267.786914551305</v>
      </c>
      <c r="W679" s="47">
        <f>'Filter-old'!J269</f>
        <v>8584.1830895871535</v>
      </c>
      <c r="X679" s="24">
        <f>'Filter-new'!J269</f>
        <v>9027.5294958884515</v>
      </c>
      <c r="AA679" s="47">
        <f>'Filter-old'!F269</f>
        <v>8266.1036934171407</v>
      </c>
      <c r="AB679" s="24">
        <f>'Filter-new'!F269</f>
        <v>9027.5294958884515</v>
      </c>
      <c r="AE679" s="47">
        <f>'Filter-old'!P269</f>
        <v>8075.2547906369582</v>
      </c>
      <c r="AF679" s="24">
        <f>'Filter-new'!P269</f>
        <v>9206.2924562030748</v>
      </c>
      <c r="AI679" s="47">
        <f>'Filter-old'!L269</f>
        <v>14285.714285714286</v>
      </c>
      <c r="AJ679" s="24">
        <f>'Filter-new'!L269</f>
        <v>9635.3235609581679</v>
      </c>
      <c r="AO679" s="47">
        <f>'Filter-old'!G269</f>
        <v>8750.0007785096459</v>
      </c>
      <c r="AP679" s="24">
        <f>'Filter-new'!G269</f>
        <v>9485.1626742938861</v>
      </c>
      <c r="AS679" s="47"/>
      <c r="AT679" s="24"/>
      <c r="AW679" s="47">
        <f>'Filter-old'!I269</f>
        <v>8418.3673469387759</v>
      </c>
      <c r="AX679" s="24">
        <f>'Filter-new'!I269</f>
        <v>8602.0736503396492</v>
      </c>
      <c r="BC679" s="47">
        <f>'Filter-old'!K269</f>
        <v>11415.816326530612</v>
      </c>
      <c r="BD679" s="24">
        <f>'Filter-new'!K269</f>
        <v>11798.355380765106</v>
      </c>
      <c r="BG679" s="47">
        <f>'Filter-old'!M269</f>
        <v>8737.2448979591827</v>
      </c>
      <c r="BH679" s="219"/>
      <c r="BI679" s="219"/>
      <c r="BJ679" s="24">
        <f>'Filter-new'!M269</f>
        <v>9742.581337146943</v>
      </c>
      <c r="BQ679" s="47">
        <f>'Filter-old'!O269</f>
        <v>8864.7959183673483</v>
      </c>
      <c r="BR679" s="24">
        <f>'Filter-new'!O269</f>
        <v>9385.0554165176964</v>
      </c>
      <c r="BU679" s="47">
        <f>'Filter-old'!Q269</f>
        <v>8418.3673469387759</v>
      </c>
      <c r="BV679" s="24">
        <f>'Filter-new'!Q269</f>
        <v>8526.9932070075083</v>
      </c>
      <c r="CA679" s="47">
        <f>'Filter-old'!R269</f>
        <v>8737.2448979591827</v>
      </c>
      <c r="CB679" s="24">
        <f>'Filter-new'!R269</f>
        <v>9563.8183768323197</v>
      </c>
    </row>
    <row r="680" spans="1:80" hidden="1" x14ac:dyDescent="0.2">
      <c r="A680">
        <v>0</v>
      </c>
      <c r="B680" s="29">
        <v>37561</v>
      </c>
      <c r="C680" s="29">
        <f>'Filter-new'!C270</f>
        <v>37561</v>
      </c>
      <c r="K680" s="47">
        <f>'Filter-old'!E270</f>
        <v>8069.2961649245981</v>
      </c>
      <c r="L680" s="24">
        <f>'Filter-new'!E270</f>
        <v>8411.2149532710282</v>
      </c>
      <c r="O680" s="444"/>
      <c r="Q680" s="47">
        <f>'Filter-old'!H270</f>
        <v>8169.0652841607762</v>
      </c>
      <c r="R680" s="24">
        <f>'Filter-new'!H270</f>
        <v>7785.380507343124</v>
      </c>
      <c r="W680" s="47">
        <f>'Filter-old'!J270</f>
        <v>8551.8656089502365</v>
      </c>
      <c r="X680" s="24">
        <f>'Filter-new'!J270</f>
        <v>8494.6595460614153</v>
      </c>
      <c r="AA680" s="47">
        <f>'Filter-old'!F270</f>
        <v>8069.2961649245981</v>
      </c>
      <c r="AB680" s="24">
        <f>'Filter-new'!F270</f>
        <v>8494.6595460614153</v>
      </c>
      <c r="AE680" s="47">
        <f>'Filter-old'!P270</f>
        <v>7883.5643628147882</v>
      </c>
      <c r="AF680" s="24">
        <f>'Filter-new'!P270</f>
        <v>8661.5487316421895</v>
      </c>
      <c r="AI680" s="47">
        <f>'Filter-old'!L270</f>
        <v>13902.681231380337</v>
      </c>
      <c r="AJ680" s="24">
        <f>'Filter-new'!L270</f>
        <v>9062.0827770360484</v>
      </c>
      <c r="AO680" s="47">
        <f>'Filter-old'!G270</f>
        <v>8440.9126577216302</v>
      </c>
      <c r="AP680" s="24">
        <f>'Filter-new'!G270</f>
        <v>8521.3618157543387</v>
      </c>
      <c r="AS680" s="47"/>
      <c r="AT680" s="24"/>
      <c r="AW680" s="47">
        <f>'Filter-old'!I270</f>
        <v>8192.6514399205553</v>
      </c>
      <c r="AX680" s="24">
        <f>'Filter-new'!I270</f>
        <v>8097.4632843791724</v>
      </c>
      <c r="BC680" s="47">
        <f>'Filter-old'!K270</f>
        <v>11109.731876861964</v>
      </c>
      <c r="BD680" s="24">
        <f>'Filter-new'!K270</f>
        <v>11014.686248331107</v>
      </c>
      <c r="BG680" s="47">
        <f>'Filter-old'!M270</f>
        <v>8502.9791459781518</v>
      </c>
      <c r="BH680" s="219"/>
      <c r="BI680" s="219"/>
      <c r="BJ680" s="24">
        <f>'Filter-new'!M270</f>
        <v>9095.4606141522017</v>
      </c>
      <c r="BQ680" s="47">
        <f>'Filter-old'!O270</f>
        <v>8627.1102284011922</v>
      </c>
      <c r="BR680" s="24">
        <f>'Filter-new'!O270</f>
        <v>8761.6822429906533</v>
      </c>
      <c r="BU680" s="47">
        <f>'Filter-old'!Q270</f>
        <v>8192.6514399205553</v>
      </c>
      <c r="BV680" s="24">
        <f>'Filter-new'!Q270</f>
        <v>7960.6141522029375</v>
      </c>
      <c r="CA680" s="47">
        <f>'Filter-old'!R270</f>
        <v>8502.9791459781518</v>
      </c>
      <c r="CB680" s="24">
        <f>'Filter-new'!R270</f>
        <v>8928.5714285714294</v>
      </c>
    </row>
    <row r="681" spans="1:80" hidden="1" x14ac:dyDescent="0.2">
      <c r="A681">
        <v>0</v>
      </c>
      <c r="B681" s="29">
        <v>37591</v>
      </c>
      <c r="C681" s="29">
        <f>'Filter-new'!C271</f>
        <v>37591</v>
      </c>
      <c r="K681" s="47">
        <f>'Filter-old'!E271</f>
        <v>7837.2892852012919</v>
      </c>
      <c r="L681" s="24">
        <f>'Filter-new'!E271</f>
        <v>7984.9104055328507</v>
      </c>
      <c r="O681" s="444"/>
      <c r="Q681" s="47">
        <f>'Filter-old'!H271</f>
        <v>8030.0468664902901</v>
      </c>
      <c r="R681" s="24">
        <f>'Filter-new'!H271</f>
        <v>7395.4731216598548</v>
      </c>
      <c r="W681" s="47">
        <f>'Filter-old'!J271</f>
        <v>8462.0915926419766</v>
      </c>
      <c r="X681" s="24">
        <f>'Filter-new'!J271</f>
        <v>8063.5020433825848</v>
      </c>
      <c r="AA681" s="47">
        <f>'Filter-old'!F271</f>
        <v>7837.2892852012919</v>
      </c>
      <c r="AB681" s="24">
        <f>'Filter-new'!F271</f>
        <v>8063.5020433825848</v>
      </c>
      <c r="AE681" s="47">
        <f>'Filter-old'!P271</f>
        <v>7657.450896043043</v>
      </c>
      <c r="AF681" s="24">
        <f>'Filter-new'!P271</f>
        <v>8220.6853190820493</v>
      </c>
      <c r="AI681" s="47">
        <f>'Filter-old'!L271</f>
        <v>13461.538461538461</v>
      </c>
      <c r="AJ681" s="24">
        <f>'Filter-new'!L271</f>
        <v>8597.9251807607689</v>
      </c>
      <c r="AO681" s="47">
        <f>'Filter-old'!G271</f>
        <v>8173.0760060823877</v>
      </c>
      <c r="AP681" s="24">
        <f>'Filter-new'!G271</f>
        <v>8151.524677774285</v>
      </c>
      <c r="AS681" s="47"/>
      <c r="AT681" s="24"/>
      <c r="AW681" s="47">
        <f>'Filter-old'!I271</f>
        <v>7932.6923076923076</v>
      </c>
      <c r="AX681" s="24">
        <f>'Filter-new'!I271</f>
        <v>7689.4058472178567</v>
      </c>
      <c r="BC681" s="47">
        <f>'Filter-old'!K271</f>
        <v>10757.211538461539</v>
      </c>
      <c r="BD681" s="24">
        <f>'Filter-new'!K271</f>
        <v>10374.096196164728</v>
      </c>
      <c r="BG681" s="47">
        <f>'Filter-old'!M271</f>
        <v>8233.1730769230762</v>
      </c>
      <c r="BH681" s="219"/>
      <c r="BI681" s="219"/>
      <c r="BJ681" s="24">
        <f>'Filter-new'!M271</f>
        <v>8566.4885256208745</v>
      </c>
      <c r="BQ681" s="47">
        <f>'Filter-old'!O271</f>
        <v>8353.3653846153848</v>
      </c>
      <c r="BR681" s="24">
        <f>'Filter-new'!O271</f>
        <v>8252.1219742219437</v>
      </c>
      <c r="BU681" s="47">
        <f>'Filter-old'!Q271</f>
        <v>7932.6923076923076</v>
      </c>
      <c r="BV681" s="24">
        <f>'Filter-new'!Q271</f>
        <v>7497.6422508645082</v>
      </c>
      <c r="CA681" s="47">
        <f>'Filter-old'!R271</f>
        <v>8233.1730769230762</v>
      </c>
      <c r="CB681" s="24">
        <f>'Filter-new'!R271</f>
        <v>8409.3052499214082</v>
      </c>
    </row>
    <row r="682" spans="1:80" hidden="1" x14ac:dyDescent="0.2">
      <c r="A682">
        <v>0</v>
      </c>
      <c r="B682" s="29">
        <v>37622</v>
      </c>
      <c r="C682" s="29">
        <f>'Filter-new'!C272</f>
        <v>37622</v>
      </c>
      <c r="K682" s="47">
        <f>'Filter-old'!E272</f>
        <v>8468.9787657504767</v>
      </c>
      <c r="L682" s="24">
        <f>'Filter-new'!E272</f>
        <v>8698.8393402565671</v>
      </c>
      <c r="O682" s="444"/>
      <c r="Q682" s="47">
        <f>'Filter-old'!H272</f>
        <v>8094.8796921227813</v>
      </c>
      <c r="R682" s="24">
        <f>'Filter-new'!H272</f>
        <v>7950.5192425167997</v>
      </c>
      <c r="W682" s="47">
        <f>'Filter-old'!J272</f>
        <v>11048.246304664386</v>
      </c>
      <c r="X682" s="24">
        <f>'Filter-new'!J272</f>
        <v>8851.5577275503965</v>
      </c>
      <c r="AA682" s="47">
        <f>'Filter-old'!F272</f>
        <v>8468.9787657504767</v>
      </c>
      <c r="AB682" s="24">
        <f>'Filter-new'!F272</f>
        <v>8851.5577275503965</v>
      </c>
      <c r="AE682" s="47">
        <f>'Filter-old'!P272</f>
        <v>8204.2283278245195</v>
      </c>
      <c r="AF682" s="24">
        <f>'Filter-new'!P272</f>
        <v>8903.4819792303006</v>
      </c>
      <c r="AI682" s="47">
        <f>'Filter-old'!L272</f>
        <v>15384.615384615385</v>
      </c>
      <c r="AJ682" s="24">
        <f>'Filter-new'!L272</f>
        <v>9685.4001221747112</v>
      </c>
      <c r="AO682" s="47">
        <f>'Filter-old'!G272</f>
        <v>9460.3549573548444</v>
      </c>
      <c r="AP682" s="24">
        <f>'Filter-new'!G272</f>
        <v>8665.2412950519247</v>
      </c>
      <c r="AS682" s="47"/>
      <c r="AT682" s="24"/>
      <c r="AW682" s="47">
        <f>'Filter-old'!I272</f>
        <v>8226.0348528799932</v>
      </c>
      <c r="AX682" s="24">
        <f>'Filter-new'!I272</f>
        <v>8546.1209529627358</v>
      </c>
      <c r="BC682" s="47">
        <f>'Filter-old'!K272</f>
        <v>12662.721893491125</v>
      </c>
      <c r="BD682" s="24">
        <f>'Filter-new'!K272</f>
        <v>11530.238240684179</v>
      </c>
      <c r="BG682" s="47">
        <f>'Filter-old'!M272</f>
        <v>9230.7692307692323</v>
      </c>
      <c r="BH682" s="219"/>
      <c r="BI682" s="219"/>
      <c r="BJ682" s="24">
        <f>'Filter-new'!M272</f>
        <v>9392.1808185705559</v>
      </c>
      <c r="BQ682" s="47">
        <f>'Filter-old'!O272</f>
        <v>8995.2656221107627</v>
      </c>
      <c r="BR682" s="24">
        <f>'Filter-new'!O272</f>
        <v>8659.132559560172</v>
      </c>
      <c r="BU682" s="47">
        <f>'Filter-old'!Q272</f>
        <v>8284.0236686390544</v>
      </c>
      <c r="BV682" s="24">
        <f>'Filter-new'!Q272</f>
        <v>8109.6518020769699</v>
      </c>
      <c r="CA682" s="47">
        <f>'Filter-old'!R272</f>
        <v>9230.7692307692323</v>
      </c>
      <c r="CB682" s="24">
        <f>'Filter-new'!R272</f>
        <v>9315.8216249236411</v>
      </c>
    </row>
    <row r="683" spans="1:80" hidden="1" x14ac:dyDescent="0.2">
      <c r="A683">
        <v>0</v>
      </c>
      <c r="B683" s="29">
        <v>37653</v>
      </c>
      <c r="C683" s="29">
        <f>'Filter-new'!C273</f>
        <v>37653</v>
      </c>
      <c r="K683" s="47">
        <f>'Filter-old'!E273</f>
        <v>8559.9593665395132</v>
      </c>
      <c r="L683" s="24">
        <f>'Filter-new'!E273</f>
        <v>8688.0648177002167</v>
      </c>
      <c r="O683" s="444"/>
      <c r="Q683" s="47">
        <f>'Filter-old'!H273</f>
        <v>8601.6699055395547</v>
      </c>
      <c r="R683" s="24">
        <f>'Filter-new'!H273</f>
        <v>7924.5870987846683</v>
      </c>
      <c r="W683" s="47">
        <f>'Filter-old'!J273</f>
        <v>10749.109644089302</v>
      </c>
      <c r="X683" s="24">
        <f>'Filter-new'!J273</f>
        <v>8843.8765970707373</v>
      </c>
      <c r="AA683" s="47">
        <f>'Filter-old'!F273</f>
        <v>8559.9593665395132</v>
      </c>
      <c r="AB683" s="24">
        <f>'Filter-new'!F273</f>
        <v>8843.8765970707373</v>
      </c>
      <c r="AE683" s="47">
        <f>'Filter-old'!P273</f>
        <v>8287.8010696448255</v>
      </c>
      <c r="AF683" s="24">
        <f>'Filter-new'!P273</f>
        <v>9442.193829853537</v>
      </c>
      <c r="AI683" s="47">
        <f>'Filter-old'!L273</f>
        <v>15815.08515815085</v>
      </c>
      <c r="AJ683" s="24">
        <f>'Filter-new'!L273</f>
        <v>9694.6089124337796</v>
      </c>
      <c r="AO683" s="47">
        <f>'Filter-old'!G273</f>
        <v>9445.2541007902782</v>
      </c>
      <c r="AP683" s="24">
        <f>'Filter-new'!G273</f>
        <v>8482.3932689311296</v>
      </c>
      <c r="AS683" s="47"/>
      <c r="AT683" s="24"/>
      <c r="AW683" s="47">
        <f>'Filter-old'!I273</f>
        <v>8454.9887627000626</v>
      </c>
      <c r="AX683" s="24">
        <f>'Filter-new'!I273</f>
        <v>8532.253038329698</v>
      </c>
      <c r="BC683" s="47">
        <f>'Filter-old'!K273</f>
        <v>13017.031630170315</v>
      </c>
      <c r="BD683" s="24">
        <f>'Filter-new'!K273</f>
        <v>11763.789342474292</v>
      </c>
      <c r="BG683" s="47">
        <f>'Filter-old'!M273</f>
        <v>9489.0510948905103</v>
      </c>
      <c r="BH683" s="219"/>
      <c r="BI683" s="219"/>
      <c r="BJ683" s="24">
        <f>'Filter-new'!M273</f>
        <v>9582.4244312870051</v>
      </c>
      <c r="BQ683" s="47">
        <f>'Filter-old'!O273</f>
        <v>9245.7430206076078</v>
      </c>
      <c r="BR683" s="24">
        <f>'Filter-new'!O273</f>
        <v>8834.5278903085073</v>
      </c>
      <c r="BU683" s="47">
        <f>'Filter-old'!Q273</f>
        <v>8515.8150851581504</v>
      </c>
      <c r="BV683" s="24">
        <f>'Filter-new'!Q273</f>
        <v>8273.9171081333734</v>
      </c>
      <c r="CA683" s="47">
        <f>'Filter-old'!R273</f>
        <v>9489.0510948905103</v>
      </c>
      <c r="CB683" s="24">
        <f>'Filter-new'!R273</f>
        <v>9504.5185416017448</v>
      </c>
    </row>
    <row r="684" spans="1:80" hidden="1" x14ac:dyDescent="0.2">
      <c r="A684">
        <v>0</v>
      </c>
      <c r="B684" s="29">
        <v>37681</v>
      </c>
      <c r="C684" s="29">
        <f>'Filter-new'!C274</f>
        <v>37681</v>
      </c>
      <c r="K684" s="47">
        <f>'Filter-old'!E274</f>
        <v>8302.6696780783041</v>
      </c>
      <c r="L684" s="24">
        <f>'Filter-new'!E274</f>
        <v>8848.9900609169617</v>
      </c>
      <c r="O684" s="444"/>
      <c r="Q684" s="47">
        <f>'Filter-old'!H274</f>
        <v>8169.7489985427974</v>
      </c>
      <c r="R684" s="24">
        <f>'Filter-new'!H274</f>
        <v>8448.2205835203586</v>
      </c>
      <c r="W684" s="47">
        <f>'Filter-old'!J274</f>
        <v>9918.4545587253706</v>
      </c>
      <c r="X684" s="24">
        <f>'Filter-new'!J274</f>
        <v>9089.4517473549222</v>
      </c>
      <c r="AA684" s="47">
        <f>'Filter-old'!F274</f>
        <v>8302.6696780783041</v>
      </c>
      <c r="AB684" s="24">
        <f>'Filter-new'!F274</f>
        <v>9089.4517473549222</v>
      </c>
      <c r="AE684" s="47">
        <f>'Filter-old'!P274</f>
        <v>8177.3206238070252</v>
      </c>
      <c r="AF684" s="24">
        <f>'Filter-new'!P274</f>
        <v>9480.6027572940038</v>
      </c>
      <c r="AI684" s="47">
        <f>'Filter-old'!L274</f>
        <v>13124.684502776376</v>
      </c>
      <c r="AJ684" s="24">
        <f>'Filter-new'!L274</f>
        <v>9794.8060275729385</v>
      </c>
      <c r="AO684" s="47">
        <f>'Filter-old'!G274</f>
        <v>8543.66308267161</v>
      </c>
      <c r="AP684" s="24">
        <f>'Filter-new'!G274</f>
        <v>8209.6825905739024</v>
      </c>
      <c r="AS684" s="47"/>
      <c r="AT684" s="24"/>
      <c r="AW684" s="47">
        <f>'Filter-old'!I274</f>
        <v>8455.3255931347812</v>
      </c>
      <c r="AX684" s="24">
        <f>'Filter-new'!I274</f>
        <v>8688.6822699583208</v>
      </c>
      <c r="BC684" s="47">
        <f>'Filter-old'!K274</f>
        <v>10600.706713780917</v>
      </c>
      <c r="BD684" s="24">
        <f>'Filter-new'!K274</f>
        <v>10740.621994228919</v>
      </c>
      <c r="BG684" s="47">
        <f>'Filter-old'!M274</f>
        <v>8833.9222614840983</v>
      </c>
      <c r="BH684" s="219"/>
      <c r="BI684" s="219"/>
      <c r="BJ684" s="24">
        <f>'Filter-new'!M274</f>
        <v>9137.5440846425136</v>
      </c>
      <c r="BQ684" s="47">
        <f>'Filter-old'!O274</f>
        <v>9274.9886895477739</v>
      </c>
      <c r="BR684" s="24">
        <f>'Filter-new'!O274</f>
        <v>8688.6822699583208</v>
      </c>
      <c r="BU684" s="47">
        <f>'Filter-old'!Q274</f>
        <v>7799.0917531244077</v>
      </c>
      <c r="BV684" s="24">
        <f>'Filter-new'!Q274</f>
        <v>8143.9563962808579</v>
      </c>
      <c r="CA684" s="47">
        <f>'Filter-old'!R274</f>
        <v>8833.9222614840983</v>
      </c>
      <c r="CB684" s="24">
        <f>'Filter-new'!R274</f>
        <v>9297.8518756011545</v>
      </c>
    </row>
    <row r="685" spans="1:80" hidden="1" x14ac:dyDescent="0.2">
      <c r="A685">
        <v>0</v>
      </c>
      <c r="B685" s="29">
        <v>37712</v>
      </c>
      <c r="C685" s="29">
        <f>'Filter-new'!C275</f>
        <v>37712</v>
      </c>
      <c r="K685" s="47">
        <f>'Filter-old'!E275</f>
        <v>8944.6427101312674</v>
      </c>
      <c r="L685" s="24">
        <f>'Filter-new'!E275</f>
        <v>9347.6798924008071</v>
      </c>
      <c r="O685" s="444"/>
      <c r="Q685" s="47">
        <f>'Filter-old'!H275</f>
        <v>8815.82311681799</v>
      </c>
      <c r="R685" s="24">
        <f>'Filter-new'!H275</f>
        <v>8927.370544720914</v>
      </c>
      <c r="W685" s="47">
        <f>'Filter-old'!J275</f>
        <v>9985.6526142842049</v>
      </c>
      <c r="X685" s="24">
        <f>'Filter-new'!J275</f>
        <v>9599.8655010087423</v>
      </c>
      <c r="AA685" s="47">
        <f>'Filter-old'!F275</f>
        <v>8944.6427101312674</v>
      </c>
      <c r="AB685" s="24">
        <f>'Filter-new'!F275</f>
        <v>9599.8655010087423</v>
      </c>
      <c r="AE685" s="47">
        <f>'Filter-old'!P275</f>
        <v>8810.4175876926729</v>
      </c>
      <c r="AF685" s="24">
        <f>'Filter-new'!P275</f>
        <v>10026.899798251514</v>
      </c>
      <c r="AI685" s="47">
        <f>'Filter-old'!L275</f>
        <v>14054.054054054053</v>
      </c>
      <c r="AJ685" s="24">
        <f>'Filter-new'!L275</f>
        <v>10339.609952925352</v>
      </c>
      <c r="AO685" s="47">
        <f>'Filter-old'!G275</f>
        <v>8770.2680020718963</v>
      </c>
      <c r="AP685" s="24">
        <f>'Filter-new'!G275</f>
        <v>8873.5709482178881</v>
      </c>
      <c r="AS685" s="47"/>
      <c r="AT685" s="24"/>
      <c r="AW685" s="47">
        <f>'Filter-old'!I275</f>
        <v>9054.0540540540551</v>
      </c>
      <c r="AX685" s="24">
        <f>'Filter-new'!I275</f>
        <v>9179.5561533288492</v>
      </c>
      <c r="BC685" s="47">
        <f>'Filter-old'!K275</f>
        <v>11351.351351351352</v>
      </c>
      <c r="BD685" s="24">
        <f>'Filter-new'!K275</f>
        <v>11264.290517821115</v>
      </c>
      <c r="BG685" s="47">
        <f>'Filter-old'!M275</f>
        <v>9189.1891891891901</v>
      </c>
      <c r="BH685" s="219"/>
      <c r="BI685" s="219"/>
      <c r="BJ685" s="24">
        <f>'Filter-new'!M275</f>
        <v>9583.0531271015461</v>
      </c>
      <c r="BQ685" s="47">
        <f>'Filter-old'!O275</f>
        <v>9931.7571279164913</v>
      </c>
      <c r="BR685" s="24">
        <f>'Filter-new'!O275</f>
        <v>9112.3066577000664</v>
      </c>
      <c r="BU685" s="47">
        <f>'Filter-old'!Q275</f>
        <v>8351.351763751054</v>
      </c>
      <c r="BV685" s="24">
        <f>'Filter-new'!Q275</f>
        <v>8541.0221923335575</v>
      </c>
      <c r="CA685" s="47">
        <f>'Filter-old'!R275</f>
        <v>9189.1891891891901</v>
      </c>
      <c r="CB685" s="24">
        <f>'Filter-new'!R275</f>
        <v>9751.1768661735041</v>
      </c>
    </row>
    <row r="686" spans="1:80" hidden="1" x14ac:dyDescent="0.2">
      <c r="A686">
        <v>0</v>
      </c>
      <c r="B686" s="29">
        <v>37742</v>
      </c>
      <c r="C686" s="29">
        <f>'Filter-new'!C276</f>
        <v>37742</v>
      </c>
      <c r="K686" s="47">
        <f>'Filter-old'!E276</f>
        <v>10502.32264407605</v>
      </c>
      <c r="L686" s="24">
        <f>'Filter-new'!E276</f>
        <v>9507.3974445191652</v>
      </c>
      <c r="O686" s="444"/>
      <c r="Q686" s="47">
        <f>'Filter-old'!H276</f>
        <v>9892.5655127217778</v>
      </c>
      <c r="R686" s="24">
        <f>'Filter-new'!H276</f>
        <v>8582.7168796234018</v>
      </c>
      <c r="W686" s="47">
        <f>'Filter-old'!J276</f>
        <v>10812.172204821414</v>
      </c>
      <c r="X686" s="24">
        <f>'Filter-new'!J276</f>
        <v>9843.6449226630793</v>
      </c>
      <c r="AA686" s="47">
        <f>'Filter-old'!F276</f>
        <v>10502.32264407605</v>
      </c>
      <c r="AB686" s="24">
        <f>'Filter-new'!F276</f>
        <v>9843.6449226630793</v>
      </c>
      <c r="AE686" s="47">
        <f>'Filter-old'!P276</f>
        <v>10976.57635283018</v>
      </c>
      <c r="AF686" s="24">
        <f>'Filter-new'!P276</f>
        <v>9675.5211835911232</v>
      </c>
      <c r="AI686" s="47">
        <f>'Filter-old'!L276</f>
        <v>14363.143631436315</v>
      </c>
      <c r="AJ686" s="24">
        <f>'Filter-new'!L276</f>
        <v>11104.572965702757</v>
      </c>
      <c r="AO686" s="47">
        <f>'Filter-old'!G276</f>
        <v>10135.503836117463</v>
      </c>
      <c r="AP686" s="24">
        <f>'Filter-new'!G276</f>
        <v>9633.4902488231328</v>
      </c>
      <c r="AS686" s="47"/>
      <c r="AT686" s="24"/>
      <c r="AW686" s="47">
        <f>'Filter-old'!I276</f>
        <v>9756.0975609756097</v>
      </c>
      <c r="AX686" s="24">
        <f>'Filter-new'!I276</f>
        <v>9171.1499663752511</v>
      </c>
      <c r="BC686" s="47">
        <f>'Filter-old'!K276</f>
        <v>11382.113821138211</v>
      </c>
      <c r="BD686" s="24">
        <f>'Filter-new'!K276</f>
        <v>11432.414256893071</v>
      </c>
      <c r="BG686" s="47">
        <f>'Filter-old'!M276</f>
        <v>10433.604336043361</v>
      </c>
      <c r="BH686" s="219"/>
      <c r="BI686" s="219"/>
      <c r="BJ686" s="24">
        <f>'Filter-new'!M276</f>
        <v>10087.424344317418</v>
      </c>
      <c r="BQ686" s="47">
        <f>'Filter-old'!O276</f>
        <v>10907.859078590785</v>
      </c>
      <c r="BR686" s="24">
        <f>'Filter-new'!O276</f>
        <v>9835.2387357094813</v>
      </c>
      <c r="BU686" s="47">
        <f>'Filter-old'!Q276</f>
        <v>9823.8482384823856</v>
      </c>
      <c r="BV686" s="24">
        <f>'Filter-new'!Q276</f>
        <v>9028.5810356422317</v>
      </c>
      <c r="CA686" s="47">
        <f>'Filter-old'!R276</f>
        <v>10433.604336043361</v>
      </c>
      <c r="CB686" s="24">
        <f>'Filter-new'!R276</f>
        <v>10171.486213853395</v>
      </c>
    </row>
    <row r="687" spans="1:80" hidden="1" x14ac:dyDescent="0.2">
      <c r="A687">
        <v>0</v>
      </c>
      <c r="B687" s="29">
        <v>37773</v>
      </c>
      <c r="C687" s="29">
        <f>'Filter-new'!C277</f>
        <v>37773</v>
      </c>
      <c r="K687" s="47">
        <f>'Filter-old'!E277</f>
        <v>12065.109171113125</v>
      </c>
      <c r="L687" s="24">
        <f>'Filter-new'!E277</f>
        <v>12082.223701731025</v>
      </c>
      <c r="O687" s="444"/>
      <c r="Q687" s="47">
        <f>'Filter-old'!H277</f>
        <v>11327.843755563526</v>
      </c>
      <c r="R687" s="24">
        <f>'Filter-new'!H277</f>
        <v>11366.511318242345</v>
      </c>
      <c r="W687" s="47">
        <f>'Filter-old'!J277</f>
        <v>10115.899093668839</v>
      </c>
      <c r="X687" s="24">
        <f>'Filter-new'!J277</f>
        <v>12581.55792276964</v>
      </c>
      <c r="AA687" s="47">
        <f>'Filter-old'!F277</f>
        <v>12065.109171113125</v>
      </c>
      <c r="AB687" s="24">
        <f>'Filter-new'!F277</f>
        <v>12581.55792276964</v>
      </c>
      <c r="AE687" s="47">
        <f>'Filter-old'!P277</f>
        <v>12802.374586662721</v>
      </c>
      <c r="AF687" s="24">
        <f>'Filter-new'!P277</f>
        <v>11749.334221038616</v>
      </c>
      <c r="AI687" s="47">
        <f>'Filter-old'!L277</f>
        <v>19034.852546916893</v>
      </c>
      <c r="AJ687" s="24">
        <f>'Filter-new'!L277</f>
        <v>13373.834886817576</v>
      </c>
      <c r="AO687" s="47">
        <f>'Filter-old'!G277</f>
        <v>10321.714794987327</v>
      </c>
      <c r="AP687" s="24">
        <f>'Filter-new'!G277</f>
        <v>10719.041278295606</v>
      </c>
      <c r="AS687" s="47"/>
      <c r="AT687" s="24"/>
      <c r="AW687" s="47">
        <f>'Filter-old'!I277</f>
        <v>12399.463806970509</v>
      </c>
      <c r="AX687" s="24">
        <f>'Filter-new'!I277</f>
        <v>11666.111850865514</v>
      </c>
      <c r="BC687" s="47">
        <f>'Filter-old'!K277</f>
        <v>13136.729222520107</v>
      </c>
      <c r="BD687" s="24">
        <f>'Filter-new'!K277</f>
        <v>12566.577896138482</v>
      </c>
      <c r="BG687" s="47">
        <f>'Filter-old'!M277</f>
        <v>13002.680965147454</v>
      </c>
      <c r="BH687" s="219"/>
      <c r="BI687" s="219"/>
      <c r="BJ687" s="24">
        <f>'Filter-new'!M277</f>
        <v>12982.689747003995</v>
      </c>
      <c r="BQ687" s="47">
        <f>'Filter-old'!O277</f>
        <v>13404.825737265415</v>
      </c>
      <c r="BR687" s="24">
        <f>'Filter-new'!O277</f>
        <v>12183.754993342211</v>
      </c>
      <c r="BU687" s="47">
        <f>'Filter-old'!Q277</f>
        <v>12667.560321715819</v>
      </c>
      <c r="BV687" s="24">
        <f>'Filter-new'!Q277</f>
        <v>11917.776298268976</v>
      </c>
      <c r="CA687" s="47">
        <f>'Filter-old'!R277</f>
        <v>13002.680965147454</v>
      </c>
      <c r="CB687" s="24">
        <f>'Filter-new'!R277</f>
        <v>13398.801597869508</v>
      </c>
    </row>
    <row r="688" spans="1:80" hidden="1" x14ac:dyDescent="0.2">
      <c r="A688">
        <v>0</v>
      </c>
      <c r="B688" s="29">
        <v>37803</v>
      </c>
      <c r="C688" s="29">
        <f>'Filter-new'!C278</f>
        <v>37803</v>
      </c>
      <c r="K688" s="47">
        <f>'Filter-old'!E278</f>
        <v>15521.042696550941</v>
      </c>
      <c r="L688" s="24">
        <f>'Filter-new'!E278</f>
        <v>15417.214191852825</v>
      </c>
      <c r="O688" s="444"/>
      <c r="Q688" s="47">
        <f>'Filter-old'!H278</f>
        <v>15190.791705797968</v>
      </c>
      <c r="R688" s="24">
        <f>'Filter-new'!H278</f>
        <v>14563.074901445467</v>
      </c>
      <c r="W688" s="47">
        <f>'Filter-old'!J278</f>
        <v>12780.713342140025</v>
      </c>
      <c r="X688" s="24">
        <f>'Filter-new'!J278</f>
        <v>16238.501971090671</v>
      </c>
      <c r="AA688" s="47">
        <f>'Filter-old'!F278</f>
        <v>15521.042696550941</v>
      </c>
      <c r="AB688" s="24">
        <f>'Filter-new'!F278</f>
        <v>16238.501971090671</v>
      </c>
      <c r="AE688" s="47">
        <f>'Filter-old'!P278</f>
        <v>16379.69527250867</v>
      </c>
      <c r="AF688" s="24">
        <f>'Filter-new'!P278</f>
        <v>15088.699080157687</v>
      </c>
      <c r="AI688" s="47">
        <f>'Filter-old'!L278</f>
        <v>25627.476882430645</v>
      </c>
      <c r="AJ688" s="24">
        <f>'Filter-new'!L278</f>
        <v>16731.274638633375</v>
      </c>
      <c r="AO688" s="47">
        <f>'Filter-old'!G278</f>
        <v>12615.585831071458</v>
      </c>
      <c r="AP688" s="24">
        <f>'Filter-new'!G278</f>
        <v>13485.545335085411</v>
      </c>
      <c r="AS688" s="47"/>
      <c r="AT688" s="24"/>
      <c r="AW688" s="47">
        <f>'Filter-old'!I278</f>
        <v>16248.348745046236</v>
      </c>
      <c r="AX688" s="24">
        <f>'Filter-new'!I278</f>
        <v>15170.827858081471</v>
      </c>
      <c r="BC688" s="47">
        <f>'Filter-old'!K278</f>
        <v>16314.398943196828</v>
      </c>
      <c r="BD688" s="24">
        <f>'Filter-new'!K278</f>
        <v>15358.081471747701</v>
      </c>
      <c r="BG688" s="47">
        <f>'Filter-old'!M278</f>
        <v>16776.75033025099</v>
      </c>
      <c r="BH688" s="219"/>
      <c r="BI688" s="219"/>
      <c r="BJ688" s="24">
        <f>'Filter-new'!M278</f>
        <v>16590.013140604467</v>
      </c>
      <c r="BQ688" s="47">
        <f>'Filter-old'!O278</f>
        <v>18229.854689564068</v>
      </c>
      <c r="BR688" s="24">
        <f>'Filter-new'!O278</f>
        <v>14783.180026281208</v>
      </c>
      <c r="BU688" s="47">
        <f>'Filter-old'!Q278</f>
        <v>17107.001321003961</v>
      </c>
      <c r="BV688" s="24">
        <f>'Filter-new'!Q278</f>
        <v>13009.526938239158</v>
      </c>
      <c r="CA688" s="47">
        <f>'Filter-old'!R278</f>
        <v>16776.75033025099</v>
      </c>
      <c r="CB688" s="24">
        <f>'Filter-new'!R278</f>
        <v>16425.755584756898</v>
      </c>
    </row>
    <row r="689" spans="1:80" hidden="1" x14ac:dyDescent="0.2">
      <c r="A689">
        <v>0</v>
      </c>
      <c r="B689" s="29">
        <v>37834</v>
      </c>
      <c r="C689" s="29">
        <f>'Filter-new'!C279</f>
        <v>37834</v>
      </c>
      <c r="K689" s="47">
        <f>'Filter-old'!E279</f>
        <v>15398.989936158667</v>
      </c>
      <c r="L689" s="24">
        <f>'Filter-new'!E279</f>
        <v>15271.191945436831</v>
      </c>
      <c r="O689" s="444"/>
      <c r="Q689" s="47">
        <f>'Filter-old'!H279</f>
        <v>15071.335938779899</v>
      </c>
      <c r="R689" s="24">
        <f>'Filter-new'!H279</f>
        <v>14426.761935693406</v>
      </c>
      <c r="W689" s="47">
        <f>'Filter-old'!J279</f>
        <v>12680.209698558321</v>
      </c>
      <c r="X689" s="24">
        <f>'Filter-new'!J279</f>
        <v>16083.143877882429</v>
      </c>
      <c r="AA689" s="47">
        <f>'Filter-old'!F279</f>
        <v>15398.989936158667</v>
      </c>
      <c r="AB689" s="24">
        <f>'Filter-new'!F279</f>
        <v>16083.143877882429</v>
      </c>
      <c r="AE689" s="47">
        <f>'Filter-old'!P279</f>
        <v>16250.890329343463</v>
      </c>
      <c r="AF689" s="24">
        <f>'Filter-new'!P279</f>
        <v>14946.411172458591</v>
      </c>
      <c r="AI689" s="47">
        <f>'Filter-old'!L279</f>
        <v>25554.390563564877</v>
      </c>
      <c r="AJ689" s="24">
        <f>'Filter-new'!L279</f>
        <v>16570.315037349788</v>
      </c>
      <c r="AO689" s="47">
        <f>'Filter-old'!G279</f>
        <v>12516.382699868938</v>
      </c>
      <c r="AP689" s="24">
        <f>'Filter-new'!G279</f>
        <v>13202.338421565441</v>
      </c>
      <c r="AS689" s="47"/>
      <c r="AT689" s="24"/>
      <c r="AW689" s="47">
        <f>'Filter-old'!I279</f>
        <v>16120.576671035387</v>
      </c>
      <c r="AX689" s="24">
        <f>'Filter-new'!I279</f>
        <v>15027.60636570315</v>
      </c>
      <c r="BC689" s="47">
        <f>'Filter-old'!K279</f>
        <v>16186.107470511139</v>
      </c>
      <c r="BD689" s="24">
        <f>'Filter-new'!K279</f>
        <v>15183.501136732704</v>
      </c>
      <c r="BG689" s="47">
        <f>'Filter-old'!M279</f>
        <v>16644.823066841414</v>
      </c>
      <c r="BH689" s="219"/>
      <c r="BI689" s="219"/>
      <c r="BJ689" s="24">
        <f>'Filter-new'!M279</f>
        <v>16401.429035401103</v>
      </c>
      <c r="BQ689" s="47">
        <f>'Filter-old'!O279</f>
        <v>18086.500655307995</v>
      </c>
      <c r="BR689" s="24">
        <f>'Filter-new'!O279</f>
        <v>14615.134784020785</v>
      </c>
      <c r="BU689" s="47">
        <f>'Filter-old'!Q279</f>
        <v>16972.477064220184</v>
      </c>
      <c r="BV689" s="24">
        <f>'Filter-new'!Q279</f>
        <v>12861.643390711268</v>
      </c>
      <c r="CA689" s="47">
        <f>'Filter-old'!R279</f>
        <v>16644.823066841414</v>
      </c>
      <c r="CB689" s="24">
        <f>'Filter-new'!R279</f>
        <v>16239.038648911983</v>
      </c>
    </row>
    <row r="690" spans="1:80" hidden="1" x14ac:dyDescent="0.2">
      <c r="A690">
        <v>0</v>
      </c>
      <c r="B690" s="29">
        <v>37865</v>
      </c>
      <c r="C690" s="29">
        <f>'Filter-new'!C280</f>
        <v>37865</v>
      </c>
      <c r="K690" s="47">
        <f>'Filter-old'!E280</f>
        <v>8558.1761288649104</v>
      </c>
      <c r="L690" s="24">
        <f>'Filter-new'!E280</f>
        <v>8574.2124066255274</v>
      </c>
      <c r="O690" s="444"/>
      <c r="Q690" s="47">
        <f>'Filter-old'!H280</f>
        <v>8035.5745648976417</v>
      </c>
      <c r="R690" s="24">
        <f>'Filter-new'!H280</f>
        <v>8200.7145177005514</v>
      </c>
      <c r="W690" s="47">
        <f>'Filter-old'!J280</f>
        <v>8654.7985131727492</v>
      </c>
      <c r="X690" s="24">
        <f>'Filter-new'!J280</f>
        <v>9061.3835660928853</v>
      </c>
      <c r="AA690" s="47">
        <f>'Filter-old'!F280</f>
        <v>8558.1761288649104</v>
      </c>
      <c r="AB690" s="24">
        <f>'Filter-new'!F280</f>
        <v>9061.3835660928853</v>
      </c>
      <c r="AE690" s="47">
        <f>'Filter-old'!P280</f>
        <v>9211.4303265908748</v>
      </c>
      <c r="AF690" s="24">
        <f>'Filter-new'!P280</f>
        <v>8574.2124066255274</v>
      </c>
      <c r="AI690" s="47">
        <f>'Filter-old'!L280</f>
        <v>14238.306767703161</v>
      </c>
      <c r="AJ690" s="24">
        <f>'Filter-new'!L280</f>
        <v>8873.0107177655082</v>
      </c>
      <c r="AO690" s="47">
        <f>'Filter-old'!G280</f>
        <v>8949.5698496726582</v>
      </c>
      <c r="AP690" s="24">
        <f>'Filter-new'!G280</f>
        <v>9548.5547255602451</v>
      </c>
      <c r="AS690" s="47"/>
      <c r="AT690" s="24"/>
      <c r="AW690" s="47">
        <f>'Filter-old'!I280</f>
        <v>8492.2916122288989</v>
      </c>
      <c r="AX690" s="24">
        <f>'Filter-new'!I280</f>
        <v>8411.8220201364074</v>
      </c>
      <c r="BC690" s="47">
        <f>'Filter-old'!K280</f>
        <v>10386.725894956884</v>
      </c>
      <c r="BD690" s="24">
        <f>'Filter-new'!K280</f>
        <v>10717.765508281909</v>
      </c>
      <c r="BG690" s="47">
        <f>'Filter-old'!M280</f>
        <v>9014.8941729814469</v>
      </c>
      <c r="BH690" s="219"/>
      <c r="BI690" s="219"/>
      <c r="BJ690" s="24">
        <f>'Filter-new'!M280</f>
        <v>9256.2520298798299</v>
      </c>
      <c r="BQ690" s="47">
        <f>'Filter-old'!O280</f>
        <v>8884.243532793309</v>
      </c>
      <c r="BR690" s="24">
        <f>'Filter-new'!O280</f>
        <v>8915.2322182526786</v>
      </c>
      <c r="BU690" s="47">
        <f>'Filter-old'!Q280</f>
        <v>7904.3637313822828</v>
      </c>
      <c r="BV690" s="24">
        <f>'Filter-new'!Q280</f>
        <v>8168.5612211757061</v>
      </c>
      <c r="CA690" s="47">
        <f>'Filter-old'!R280</f>
        <v>9014.8941729814469</v>
      </c>
      <c r="CB690" s="24">
        <f>'Filter-new'!R280</f>
        <v>9337.4472231243908</v>
      </c>
    </row>
    <row r="691" spans="1:80" hidden="1" x14ac:dyDescent="0.2">
      <c r="A691">
        <v>0</v>
      </c>
      <c r="B691" s="29">
        <v>37895</v>
      </c>
      <c r="C691" s="29">
        <f>'Filter-new'!C281</f>
        <v>37895</v>
      </c>
      <c r="K691" s="47">
        <f>'Filter-old'!E281</f>
        <v>8221.3148513397609</v>
      </c>
      <c r="L691" s="24">
        <f>'Filter-new'!E281</f>
        <v>8760.8906098741536</v>
      </c>
      <c r="O691" s="444"/>
      <c r="Q691" s="47">
        <f>'Filter-old'!H281</f>
        <v>7491.9296859146707</v>
      </c>
      <c r="R691" s="24">
        <f>'Filter-new'!H281</f>
        <v>8422.0716360116148</v>
      </c>
      <c r="W691" s="47">
        <f>'Filter-old'!J281</f>
        <v>10105.194488129058</v>
      </c>
      <c r="X691" s="24">
        <f>'Filter-new'!J281</f>
        <v>8760.8906098741536</v>
      </c>
      <c r="AA691" s="47">
        <f>'Filter-old'!F281</f>
        <v>8221.3148513397609</v>
      </c>
      <c r="AB691" s="24">
        <f>'Filter-new'!F281</f>
        <v>8760.8906098741536</v>
      </c>
      <c r="AE691" s="47">
        <f>'Filter-old'!P281</f>
        <v>8221.8011633142251</v>
      </c>
      <c r="AF691" s="24">
        <f>'Filter-new'!P281</f>
        <v>8499.5159728944818</v>
      </c>
      <c r="AI691" s="47">
        <f>'Filter-old'!L281</f>
        <v>13893.506493506493</v>
      </c>
      <c r="AJ691" s="24">
        <f>'Filter-new'!L281</f>
        <v>9109.3901258470469</v>
      </c>
      <c r="AO691" s="47">
        <f>'Filter-old'!G281</f>
        <v>8194.8059874695609</v>
      </c>
      <c r="AP691" s="24">
        <f>'Filter-new'!G281</f>
        <v>9057.7605679251355</v>
      </c>
      <c r="AS691" s="47"/>
      <c r="AT691" s="24"/>
      <c r="AW691" s="47">
        <f>'Filter-old'!I281</f>
        <v>8246.7532467532474</v>
      </c>
      <c r="AX691" s="24">
        <f>'Filter-new'!I281</f>
        <v>8518.8770571151981</v>
      </c>
      <c r="BC691" s="47">
        <f>'Filter-old'!K281</f>
        <v>10519.480519480519</v>
      </c>
      <c r="BD691" s="24">
        <f>'Filter-new'!K281</f>
        <v>11051.952242658923</v>
      </c>
      <c r="BG691" s="47">
        <f>'Filter-old'!M281</f>
        <v>8571.4285714285706</v>
      </c>
      <c r="BH691" s="219"/>
      <c r="BI691" s="219"/>
      <c r="BJ691" s="24">
        <f>'Filter-new'!M281</f>
        <v>9196.5150048402702</v>
      </c>
      <c r="BQ691" s="47">
        <f>'Filter-old'!O281</f>
        <v>8376.6233766233763</v>
      </c>
      <c r="BR691" s="24">
        <f>'Filter-new'!O281</f>
        <v>8809.2933204259443</v>
      </c>
      <c r="BU691" s="47">
        <f>'Filter-old'!Q281</f>
        <v>7727.2727272727279</v>
      </c>
      <c r="BV691" s="24">
        <f>'Filter-new'!Q281</f>
        <v>8470.7970313004189</v>
      </c>
      <c r="CA691" s="47">
        <f>'Filter-old'!R281</f>
        <v>8571.4285714285706</v>
      </c>
      <c r="CB691" s="24">
        <f>'Filter-new'!R281</f>
        <v>9277.186189093256</v>
      </c>
    </row>
    <row r="692" spans="1:80" hidden="1" x14ac:dyDescent="0.2">
      <c r="A692">
        <v>0</v>
      </c>
      <c r="B692" s="29">
        <v>37926</v>
      </c>
      <c r="C692" s="29">
        <f>'Filter-new'!C282</f>
        <v>37926</v>
      </c>
      <c r="K692" s="47">
        <f>'Filter-old'!E282</f>
        <v>7967.8947683260167</v>
      </c>
      <c r="L692" s="24">
        <f>'Filter-new'!E282</f>
        <v>8426.097711811999</v>
      </c>
      <c r="O692" s="444"/>
      <c r="Q692" s="47">
        <f>'Filter-old'!H282</f>
        <v>8116.4188935436596</v>
      </c>
      <c r="R692" s="24">
        <f>'Filter-new'!H282</f>
        <v>8101.4223871366721</v>
      </c>
      <c r="W692" s="47">
        <f>'Filter-old'!J282</f>
        <v>9962.8395836805012</v>
      </c>
      <c r="X692" s="24">
        <f>'Filter-new'!J282</f>
        <v>8426.097711811999</v>
      </c>
      <c r="AA692" s="47">
        <f>'Filter-old'!F282</f>
        <v>7967.8947683260167</v>
      </c>
      <c r="AB692" s="24">
        <f>'Filter-new'!F282</f>
        <v>8426.097711811999</v>
      </c>
      <c r="AE692" s="47">
        <f>'Filter-old'!P282</f>
        <v>7968.3646054908049</v>
      </c>
      <c r="AF692" s="24">
        <f>'Filter-new'!P282</f>
        <v>9226.9635126777976</v>
      </c>
      <c r="AI692" s="47">
        <f>'Filter-old'!L282</f>
        <v>13422.835633626099</v>
      </c>
      <c r="AJ692" s="24">
        <f>'Filter-new'!L282</f>
        <v>8756.957328385899</v>
      </c>
      <c r="AO692" s="47">
        <f>'Filter-old'!G282</f>
        <v>7841.9061945552658</v>
      </c>
      <c r="AP692" s="24">
        <f>'Filter-new'!G282</f>
        <v>8370.4390847247996</v>
      </c>
      <c r="AS692" s="47"/>
      <c r="AT692" s="24"/>
      <c r="AW692" s="47">
        <f>'Filter-old'!I282</f>
        <v>7841.9071518193223</v>
      </c>
      <c r="AX692" s="24">
        <f>'Filter-new'!I282</f>
        <v>8194.1867656153372</v>
      </c>
      <c r="BC692" s="47">
        <f>'Filter-old'!K282</f>
        <v>10163.111668757843</v>
      </c>
      <c r="BD692" s="24">
        <f>'Filter-new'!K282</f>
        <v>10590.599876314162</v>
      </c>
      <c r="BG692" s="47">
        <f>'Filter-old'!M282</f>
        <v>8281.0539523212046</v>
      </c>
      <c r="BH692" s="219"/>
      <c r="BI692" s="219"/>
      <c r="BJ692" s="24">
        <f>'Filter-new'!M282</f>
        <v>8812.6159554730984</v>
      </c>
      <c r="BQ692" s="47">
        <f>'Filter-old'!O282</f>
        <v>8092.8481806775408</v>
      </c>
      <c r="BR692" s="24">
        <f>'Filter-new'!O282</f>
        <v>8441.5584415584417</v>
      </c>
      <c r="BU692" s="47">
        <f>'Filter-old'!Q282</f>
        <v>7465.4956085319955</v>
      </c>
      <c r="BV692" s="24">
        <f>'Filter-new'!Q282</f>
        <v>8117.1923314780461</v>
      </c>
      <c r="CA692" s="47">
        <f>'Filter-old'!R282</f>
        <v>8281.0539523212046</v>
      </c>
      <c r="CB692" s="24">
        <f>'Filter-new'!R282</f>
        <v>8889.9196042053172</v>
      </c>
    </row>
    <row r="693" spans="1:80" hidden="1" x14ac:dyDescent="0.2">
      <c r="A693">
        <v>0</v>
      </c>
      <c r="B693" s="29">
        <v>37956</v>
      </c>
      <c r="C693" s="29">
        <f>'Filter-new'!C283</f>
        <v>37956</v>
      </c>
      <c r="K693" s="47">
        <f>'Filter-old'!E283</f>
        <v>7721.7113032485495</v>
      </c>
      <c r="L693" s="24">
        <f>'Filter-new'!E283</f>
        <v>8118.1359453843861</v>
      </c>
      <c r="O693" s="444"/>
      <c r="Q693" s="47">
        <f>'Filter-old'!H283</f>
        <v>7962.164676550663</v>
      </c>
      <c r="R693" s="24">
        <f>'Filter-new'!H283</f>
        <v>7806.4707628376364</v>
      </c>
      <c r="W693" s="47">
        <f>'Filter-old'!J283</f>
        <v>9807.830810546875</v>
      </c>
      <c r="X693" s="24">
        <f>'Filter-new'!J283</f>
        <v>8118.1359453843861</v>
      </c>
      <c r="AA693" s="47">
        <f>'Filter-old'!F283</f>
        <v>7721.7113032485495</v>
      </c>
      <c r="AB693" s="24">
        <f>'Filter-new'!F283</f>
        <v>8118.1359453843861</v>
      </c>
      <c r="AE693" s="47">
        <f>'Filter-old'!P283</f>
        <v>7722.165194424716</v>
      </c>
      <c r="AF693" s="24">
        <f>'Filter-new'!P283</f>
        <v>9005.6396556841792</v>
      </c>
      <c r="AI693" s="47">
        <f>'Filter-old'!L283</f>
        <v>12967.272727272728</v>
      </c>
      <c r="AJ693" s="24">
        <f>'Filter-new'!L283</f>
        <v>8435.737607598694</v>
      </c>
      <c r="AO693" s="47">
        <f>'Filter-old'!G283</f>
        <v>7818.180893406724</v>
      </c>
      <c r="AP693" s="24">
        <f>'Filter-new'!G283</f>
        <v>8302.1668150786572</v>
      </c>
      <c r="AS693" s="47"/>
      <c r="AT693" s="24"/>
      <c r="AW693" s="47">
        <f>'Filter-old'!I283</f>
        <v>7636.3636363636369</v>
      </c>
      <c r="AX693" s="24">
        <f>'Filter-new'!I283</f>
        <v>7895.5179578509942</v>
      </c>
      <c r="BC693" s="47">
        <f>'Filter-old'!K283</f>
        <v>9818.181818181818</v>
      </c>
      <c r="BD693" s="24">
        <f>'Filter-new'!K283</f>
        <v>10166.221430691599</v>
      </c>
      <c r="BG693" s="47">
        <f>'Filter-old'!M283</f>
        <v>8000</v>
      </c>
      <c r="BH693" s="219"/>
      <c r="BI693" s="219"/>
      <c r="BJ693" s="24">
        <f>'Filter-new'!M283</f>
        <v>8459.483526268923</v>
      </c>
      <c r="BQ693" s="47">
        <f>'Filter-old'!O283</f>
        <v>7818.181818181818</v>
      </c>
      <c r="BR693" s="24">
        <f>'Filter-new'!O283</f>
        <v>8103.2947462154943</v>
      </c>
      <c r="BU693" s="47">
        <f>'Filter-old'!Q283</f>
        <v>7212.121212121212</v>
      </c>
      <c r="BV693" s="24">
        <f>'Filter-new'!Q283</f>
        <v>7791.9263876521218</v>
      </c>
      <c r="CA693" s="47">
        <f>'Filter-old'!R283</f>
        <v>8000</v>
      </c>
      <c r="CB693" s="24">
        <f>'Filter-new'!R283</f>
        <v>8533.6895221133855</v>
      </c>
    </row>
    <row r="694" spans="1:80" hidden="1" x14ac:dyDescent="0.2">
      <c r="A694">
        <v>0</v>
      </c>
      <c r="B694" s="29">
        <v>37987</v>
      </c>
      <c r="C694" s="29">
        <f>'Filter-new'!C284</f>
        <v>37987</v>
      </c>
      <c r="K694" s="47">
        <f>'Filter-old'!E284</f>
        <v>9177.9993491478672</v>
      </c>
      <c r="L694" s="24">
        <f>'Filter-new'!E284</f>
        <v>8419.3642461359013</v>
      </c>
      <c r="O694" s="444"/>
      <c r="Q694" s="47">
        <f>'Filter-old'!H284</f>
        <v>9285.7505342880886</v>
      </c>
      <c r="R694" s="24">
        <f>'Filter-new'!H284</f>
        <v>7967.3374161563142</v>
      </c>
      <c r="W694" s="47">
        <f>'Filter-old'!J284</f>
        <v>11579.678630805991</v>
      </c>
      <c r="X694" s="24">
        <f>'Filter-new'!J284</f>
        <v>8565.179352580928</v>
      </c>
      <c r="AA694" s="47">
        <f>'Filter-old'!F284</f>
        <v>9177.9993491478672</v>
      </c>
      <c r="AB694" s="24">
        <f>'Filter-new'!F284</f>
        <v>8565.179352580928</v>
      </c>
      <c r="AE694" s="47">
        <f>'Filter-old'!P284</f>
        <v>9058.4664629449417</v>
      </c>
      <c r="AF694" s="24">
        <f>'Filter-new'!P284</f>
        <v>9279.6733741615626</v>
      </c>
      <c r="AI694" s="47">
        <f>'Filter-old'!L284</f>
        <v>15595.780388396066</v>
      </c>
      <c r="AJ694" s="24">
        <f>'Filter-new'!L284</f>
        <v>9241.7614464858561</v>
      </c>
      <c r="AO694" s="47">
        <f>'Filter-old'!G284</f>
        <v>9223.2077906555296</v>
      </c>
      <c r="AP694" s="24">
        <f>'Filter-new'!G284</f>
        <v>8197.7252843394563</v>
      </c>
      <c r="AS694" s="47"/>
      <c r="AT694" s="24"/>
      <c r="AW694" s="47">
        <f>'Filter-old'!I284</f>
        <v>8452.408835631255</v>
      </c>
      <c r="AX694" s="24">
        <f>'Filter-new'!I284</f>
        <v>8273.5491396908728</v>
      </c>
      <c r="BC694" s="47">
        <f>'Filter-old'!K284</f>
        <v>12251.2586909614</v>
      </c>
      <c r="BD694" s="24">
        <f>'Filter-new'!K284</f>
        <v>11665.208515602217</v>
      </c>
      <c r="BG694" s="47">
        <f>'Filter-old'!M284</f>
        <v>9170.4627187724764</v>
      </c>
      <c r="BH694" s="219"/>
      <c r="BI694" s="219"/>
      <c r="BJ694" s="24">
        <f>'Filter-new'!M284</f>
        <v>9186.3517060367449</v>
      </c>
      <c r="BQ694" s="47">
        <f>'Filter-old'!O284</f>
        <v>8392.4711708026771</v>
      </c>
      <c r="BR694" s="24">
        <f>'Filter-new'!O284</f>
        <v>8778.0694079906698</v>
      </c>
      <c r="BU694" s="47">
        <f>'Filter-old'!Q284</f>
        <v>8810.8367298010053</v>
      </c>
      <c r="BV694" s="24">
        <f>'Filter-new'!Q284</f>
        <v>8402.4496937882777</v>
      </c>
      <c r="CA694" s="47">
        <f>'Filter-old'!R284</f>
        <v>9170.4627187724764</v>
      </c>
      <c r="CB694" s="24">
        <f>'Filter-new'!R284</f>
        <v>9040.5365995917182</v>
      </c>
    </row>
    <row r="695" spans="1:80" hidden="1" x14ac:dyDescent="0.2">
      <c r="A695">
        <v>0</v>
      </c>
      <c r="B695" s="29">
        <v>38018</v>
      </c>
      <c r="C695" s="29">
        <f>'Filter-new'!C285</f>
        <v>38018</v>
      </c>
      <c r="K695" s="47">
        <f>'Filter-old'!E285</f>
        <v>9235.4880326862567</v>
      </c>
      <c r="L695" s="24">
        <f>'Filter-new'!E285</f>
        <v>8528.7081339712931</v>
      </c>
      <c r="O695" s="444"/>
      <c r="Q695" s="47">
        <f>'Filter-old'!H285</f>
        <v>9716.9657268848878</v>
      </c>
      <c r="R695" s="24">
        <f>'Filter-new'!H285</f>
        <v>8065.1913875598084</v>
      </c>
      <c r="W695" s="47">
        <f>'Filter-old'!J285</f>
        <v>11423.350498172167</v>
      </c>
      <c r="X695" s="24">
        <f>'Filter-new'!J285</f>
        <v>8678.2296650717708</v>
      </c>
      <c r="AA695" s="47">
        <f>'Filter-old'!F285</f>
        <v>9235.4880326862567</v>
      </c>
      <c r="AB695" s="24">
        <f>'Filter-new'!F285</f>
        <v>8678.2296650717708</v>
      </c>
      <c r="AE695" s="47">
        <f>'Filter-old'!P285</f>
        <v>9112.4750377806558</v>
      </c>
      <c r="AF695" s="24">
        <f>'Filter-new'!P285</f>
        <v>9859.4497607655503</v>
      </c>
      <c r="AI695" s="47">
        <f>'Filter-old'!L285</f>
        <v>16049.83962496916</v>
      </c>
      <c r="AJ695" s="24">
        <f>'Filter-new'!L285</f>
        <v>9372.0095693779895</v>
      </c>
      <c r="AO695" s="47">
        <f>'Filter-old'!G285</f>
        <v>9207.9926854794085</v>
      </c>
      <c r="AP695" s="24">
        <f>'Filter-new'!G285</f>
        <v>8181.818181818182</v>
      </c>
      <c r="AS695" s="47"/>
      <c r="AT695" s="24"/>
      <c r="AW695" s="47">
        <f>'Filter-old'!I285</f>
        <v>8635.5795249684852</v>
      </c>
      <c r="AX695" s="24">
        <f>'Filter-new'!I285</f>
        <v>8379.1866028708137</v>
      </c>
      <c r="BC695" s="47">
        <f>'Filter-old'!K285</f>
        <v>12607.944732297065</v>
      </c>
      <c r="BD695" s="24">
        <f>'Filter-new'!K285</f>
        <v>11961.722488038278</v>
      </c>
      <c r="BG695" s="47">
        <f>'Filter-old'!M285</f>
        <v>9437.4537379718731</v>
      </c>
      <c r="BH695" s="219"/>
      <c r="BI695" s="219"/>
      <c r="BJ695" s="24">
        <f>'Filter-new'!M285</f>
        <v>9419.8564593301453</v>
      </c>
      <c r="BQ695" s="47">
        <f>'Filter-old'!O285</f>
        <v>8635.5795249684852</v>
      </c>
      <c r="BR695" s="24">
        <f>'Filter-new'!O285</f>
        <v>9001.1961722488031</v>
      </c>
      <c r="BU695" s="47">
        <f>'Filter-old'!Q285</f>
        <v>8820.6266962743648</v>
      </c>
      <c r="BV695" s="24">
        <f>'Filter-new'!Q285</f>
        <v>8967.4043062200944</v>
      </c>
      <c r="CA695" s="47">
        <f>'Filter-old'!R285</f>
        <v>9437.4537379718731</v>
      </c>
      <c r="CB695" s="24">
        <f>'Filter-new'!R285</f>
        <v>9270.3349282296658</v>
      </c>
    </row>
    <row r="696" spans="1:80" hidden="1" x14ac:dyDescent="0.2">
      <c r="A696">
        <v>0</v>
      </c>
      <c r="B696" s="29">
        <v>38047</v>
      </c>
      <c r="C696" s="29">
        <f>'Filter-new'!C286</f>
        <v>38047</v>
      </c>
      <c r="K696" s="47">
        <f>'Filter-old'!E286</f>
        <v>8264.0758327924086</v>
      </c>
      <c r="L696" s="24">
        <f>'Filter-new'!E286</f>
        <v>8783.4474175482264</v>
      </c>
      <c r="O696" s="444"/>
      <c r="Q696" s="47">
        <f>'Filter-old'!H286</f>
        <v>8252.1798659344095</v>
      </c>
      <c r="R696" s="24">
        <f>'Filter-new'!H286</f>
        <v>8301.1823273179834</v>
      </c>
      <c r="W696" s="47">
        <f>'Filter-old'!J286</f>
        <v>10216.050245323959</v>
      </c>
      <c r="X696" s="24">
        <f>'Filter-new'!J286</f>
        <v>9016.801493466086</v>
      </c>
      <c r="AA696" s="47">
        <f>'Filter-old'!F286</f>
        <v>8264.0758327924086</v>
      </c>
      <c r="AB696" s="24">
        <f>'Filter-new'!F286</f>
        <v>9016.801493466086</v>
      </c>
      <c r="AE696" s="47">
        <f>'Filter-old'!P286</f>
        <v>8073.6082427355705</v>
      </c>
      <c r="AF696" s="24">
        <f>'Filter-new'!P286</f>
        <v>9623.5220908525189</v>
      </c>
      <c r="AI696" s="47">
        <f>'Filter-old'!L286</f>
        <v>13278.061224489795</v>
      </c>
      <c r="AJ696" s="24">
        <f>'Filter-new'!L286</f>
        <v>9576.8512756689488</v>
      </c>
      <c r="AO696" s="47">
        <f>'Filter-old'!G286</f>
        <v>8507.6513095777864</v>
      </c>
      <c r="AP696" s="24">
        <f>'Filter-new'!G286</f>
        <v>8026.1356565028009</v>
      </c>
      <c r="AS696" s="47"/>
      <c r="AT696" s="24"/>
      <c r="AW696" s="47">
        <f>'Filter-old'!I286</f>
        <v>7780.6122448979595</v>
      </c>
      <c r="AX696" s="24">
        <f>'Filter-new'!I286</f>
        <v>8627.8780336029886</v>
      </c>
      <c r="BC696" s="47">
        <f>'Filter-old'!K286</f>
        <v>10255.102040816328</v>
      </c>
      <c r="BD696" s="24">
        <f>'Filter-new'!K286</f>
        <v>10423.148724331051</v>
      </c>
      <c r="BG696" s="47">
        <f>'Filter-old'!M286</f>
        <v>8737.2448979591827</v>
      </c>
      <c r="BH696" s="219"/>
      <c r="BI696" s="219"/>
      <c r="BJ696" s="24">
        <f>'Filter-new'!M286</f>
        <v>9178.5936527691356</v>
      </c>
      <c r="BQ696" s="47">
        <f>'Filter-old'!O286</f>
        <v>8418.3673469387759</v>
      </c>
      <c r="BR696" s="24">
        <f>'Filter-new'!O286</f>
        <v>8665.2146857498446</v>
      </c>
      <c r="BU696" s="47">
        <f>'Filter-old'!Q286</f>
        <v>7563.775899458904</v>
      </c>
      <c r="BV696" s="24">
        <f>'Filter-new'!Q286</f>
        <v>8054.4492843808339</v>
      </c>
      <c r="CA696" s="47">
        <f>'Filter-old'!R286</f>
        <v>8737.2448979591827</v>
      </c>
      <c r="CB696" s="24">
        <f>'Filter-new'!R286</f>
        <v>9100.8089607965157</v>
      </c>
    </row>
    <row r="697" spans="1:80" hidden="1" x14ac:dyDescent="0.2">
      <c r="A697">
        <v>0</v>
      </c>
      <c r="B697" s="29">
        <v>38078</v>
      </c>
      <c r="C697" s="29">
        <f>'Filter-new'!C287</f>
        <v>38078</v>
      </c>
      <c r="K697" s="47">
        <f>'Filter-old'!E287</f>
        <v>8793.8896994606948</v>
      </c>
      <c r="L697" s="24">
        <f>'Filter-new'!E287</f>
        <v>9465.1700231099385</v>
      </c>
      <c r="O697" s="444"/>
      <c r="Q697" s="47">
        <f>'Filter-old'!H287</f>
        <v>8660.9223760275472</v>
      </c>
      <c r="R697" s="24">
        <f>'Filter-new'!H287</f>
        <v>8953.4499834929029</v>
      </c>
      <c r="W697" s="47">
        <f>'Filter-old'!J287</f>
        <v>10159.816512142319</v>
      </c>
      <c r="X697" s="24">
        <f>'Filter-new'!J287</f>
        <v>9712.7764938923738</v>
      </c>
      <c r="AA697" s="47">
        <f>'Filter-old'!F287</f>
        <v>8793.8896994606948</v>
      </c>
      <c r="AB697" s="24">
        <f>'Filter-new'!F287</f>
        <v>9712.7764938923738</v>
      </c>
      <c r="AE697" s="47">
        <f>'Filter-old'!P287</f>
        <v>8593.9879717437452</v>
      </c>
      <c r="AF697" s="24">
        <f>'Filter-new'!P287</f>
        <v>10207.989435457246</v>
      </c>
      <c r="AI697" s="47">
        <f>'Filter-old'!L287</f>
        <v>13935.74297188755</v>
      </c>
      <c r="AJ697" s="24">
        <f>'Filter-new'!L287</f>
        <v>10307.032023770222</v>
      </c>
      <c r="AO697" s="47">
        <f>'Filter-old'!G287</f>
        <v>8554.2146205263762</v>
      </c>
      <c r="AP697" s="24">
        <f>'Filter-new'!G287</f>
        <v>8775.1733245295472</v>
      </c>
      <c r="AS697" s="47"/>
      <c r="AT697" s="24"/>
      <c r="AW697" s="47">
        <f>'Filter-old'!I287</f>
        <v>7965.1941097724239</v>
      </c>
      <c r="AX697" s="24">
        <f>'Filter-new'!I287</f>
        <v>9300.0990425883138</v>
      </c>
      <c r="BC697" s="47">
        <f>'Filter-old'!K287</f>
        <v>10763.052208835343</v>
      </c>
      <c r="BD697" s="24">
        <f>'Filter-new'!K287</f>
        <v>11059.755694948828</v>
      </c>
      <c r="BG697" s="47">
        <f>'Filter-old'!M287</f>
        <v>8902.2757697456491</v>
      </c>
      <c r="BH697" s="219"/>
      <c r="BI697" s="219"/>
      <c r="BJ697" s="24">
        <f>'Filter-new'!M287</f>
        <v>9739.1878507758338</v>
      </c>
      <c r="BQ697" s="47">
        <f>'Filter-old'!O287</f>
        <v>8835.3413654618471</v>
      </c>
      <c r="BR697" s="24">
        <f>'Filter-new'!O287</f>
        <v>9194.4536150544736</v>
      </c>
      <c r="BU697" s="47">
        <f>'Filter-old'!Q287</f>
        <v>8058.9028885725202</v>
      </c>
      <c r="BV697" s="24">
        <f>'Filter-new'!Q287</f>
        <v>8546.3849455265772</v>
      </c>
      <c r="CA697" s="47">
        <f>'Filter-old'!R287</f>
        <v>8902.2757697456491</v>
      </c>
      <c r="CB697" s="24">
        <f>'Filter-new'!R287</f>
        <v>9656.6523605150214</v>
      </c>
    </row>
    <row r="698" spans="1:80" hidden="1" x14ac:dyDescent="0.2">
      <c r="A698">
        <v>0</v>
      </c>
      <c r="B698" s="29">
        <v>38108</v>
      </c>
      <c r="C698" s="29">
        <f>'Filter-new'!C288</f>
        <v>38108</v>
      </c>
      <c r="K698" s="47">
        <f>'Filter-old'!E288</f>
        <v>10470.75719641359</v>
      </c>
      <c r="L698" s="24">
        <f>'Filter-new'!E288</f>
        <v>9738.7566137566137</v>
      </c>
      <c r="O698" s="444"/>
      <c r="Q698" s="47">
        <f>'Filter-old'!H288</f>
        <v>8873.4405312762156</v>
      </c>
      <c r="R698" s="24">
        <f>'Filter-new'!H288</f>
        <v>9242.7248677248663</v>
      </c>
      <c r="W698" s="47">
        <f>'Filter-old'!J288</f>
        <v>10726.689076263632</v>
      </c>
      <c r="X698" s="24">
        <f>'Filter-new'!J288</f>
        <v>10069.444444444445</v>
      </c>
      <c r="AA698" s="47">
        <f>'Filter-old'!F288</f>
        <v>10470.75719641359</v>
      </c>
      <c r="AB698" s="24">
        <f>'Filter-new'!F288</f>
        <v>10069.444444444445</v>
      </c>
      <c r="AE698" s="47">
        <f>'Filter-old'!P288</f>
        <v>10943.910739565854</v>
      </c>
      <c r="AF698" s="24">
        <f>'Filter-new'!P288</f>
        <v>8763.2275132275117</v>
      </c>
      <c r="AI698" s="47">
        <f>'Filter-old'!L288</f>
        <v>14241.610738255033</v>
      </c>
      <c r="AJ698" s="24">
        <f>'Filter-new'!L288</f>
        <v>11173.9417989418</v>
      </c>
      <c r="AO698" s="47">
        <f>'Filter-old'!G288</f>
        <v>9637.5863504089775</v>
      </c>
      <c r="AP698" s="24">
        <f>'Filter-new'!G288</f>
        <v>9437.8306878306885</v>
      </c>
      <c r="AS698" s="47"/>
      <c r="AT698" s="24"/>
      <c r="AW698" s="47">
        <f>'Filter-old'!I288</f>
        <v>8724.8322147651015</v>
      </c>
      <c r="AX698" s="24">
        <f>'Filter-new'!I288</f>
        <v>9573.4126984126979</v>
      </c>
      <c r="BC698" s="47">
        <f>'Filter-old'!K288</f>
        <v>10791.946308724833</v>
      </c>
      <c r="BD698" s="24">
        <f>'Filter-new'!K288</f>
        <v>10912.698412698413</v>
      </c>
      <c r="BG698" s="47">
        <f>'Filter-old'!M288</f>
        <v>10268.456375838927</v>
      </c>
      <c r="BH698" s="219"/>
      <c r="BI698" s="219"/>
      <c r="BJ698" s="24">
        <f>'Filter-new'!M288</f>
        <v>10085.978835978836</v>
      </c>
      <c r="BQ698" s="47">
        <f>'Filter-old'!O288</f>
        <v>10335.570469798657</v>
      </c>
      <c r="BR698" s="24">
        <f>'Filter-new'!O288</f>
        <v>9771.8253968253975</v>
      </c>
      <c r="BU698" s="47">
        <f>'Filter-old'!Q288</f>
        <v>9664.4295302013434</v>
      </c>
      <c r="BV698" s="24">
        <f>'Filter-new'!Q288</f>
        <v>9354.1666666666661</v>
      </c>
      <c r="CA698" s="47">
        <f>'Filter-old'!R288</f>
        <v>10268.456375838927</v>
      </c>
      <c r="CB698" s="24">
        <f>'Filter-new'!R288</f>
        <v>10168.650793650795</v>
      </c>
    </row>
    <row r="699" spans="1:80" hidden="1" x14ac:dyDescent="0.2">
      <c r="A699">
        <v>0</v>
      </c>
      <c r="B699" s="29">
        <v>38139</v>
      </c>
      <c r="C699" s="29">
        <f>'Filter-new'!C289</f>
        <v>38139</v>
      </c>
      <c r="K699" s="47">
        <f>'Filter-old'!E289</f>
        <v>11234.474131415036</v>
      </c>
      <c r="L699" s="24">
        <f>'Filter-new'!E289</f>
        <v>11346.845374305329</v>
      </c>
      <c r="O699" s="444"/>
      <c r="Q699" s="47">
        <f>'Filter-old'!H289</f>
        <v>9306.7953225875972</v>
      </c>
      <c r="R699" s="24">
        <f>'Filter-new'!H289</f>
        <v>10807.453416149068</v>
      </c>
      <c r="W699" s="47">
        <f>'Filter-old'!J289</f>
        <v>9062.0319312698375</v>
      </c>
      <c r="X699" s="24">
        <f>'Filter-new'!J289</f>
        <v>11837.201699901929</v>
      </c>
      <c r="AA699" s="47">
        <f>'Filter-old'!F289</f>
        <v>11234.474131415036</v>
      </c>
      <c r="AB699" s="24">
        <f>'Filter-new'!F289</f>
        <v>11837.201699901929</v>
      </c>
      <c r="AE699" s="47">
        <f>'Filter-old'!P289</f>
        <v>12324.609327937529</v>
      </c>
      <c r="AF699" s="24">
        <f>'Filter-new'!P289</f>
        <v>9630.5982347172285</v>
      </c>
      <c r="AI699" s="47">
        <f>'Filter-old'!L289</f>
        <v>18891.252326508904</v>
      </c>
      <c r="AJ699" s="24">
        <f>'Filter-new'!L289</f>
        <v>12484.472049689441</v>
      </c>
      <c r="AO699" s="47">
        <f>'Filter-old'!G289</f>
        <v>9571.9213467967911</v>
      </c>
      <c r="AP699" s="24">
        <f>'Filter-new'!G289</f>
        <v>10653.808434128799</v>
      </c>
      <c r="AS699" s="47"/>
      <c r="AT699" s="24"/>
      <c r="AW699" s="47">
        <f>'Filter-old'!I289</f>
        <v>11632.544536027652</v>
      </c>
      <c r="AX699" s="24">
        <f>'Filter-new'!I289</f>
        <v>11183.393265773129</v>
      </c>
      <c r="BC699" s="47">
        <f>'Filter-old'!K289</f>
        <v>12523.265089072054</v>
      </c>
      <c r="BD699" s="24">
        <f>'Filter-new'!K289</f>
        <v>12422.360248447203</v>
      </c>
      <c r="BG699" s="47">
        <f>'Filter-old'!M289</f>
        <v>13094.921563413985</v>
      </c>
      <c r="BH699" s="219"/>
      <c r="BI699" s="219"/>
      <c r="BJ699" s="24">
        <f>'Filter-new'!M289</f>
        <v>13076.168682576004</v>
      </c>
      <c r="BQ699" s="47">
        <f>'Filter-old'!O289</f>
        <v>12496.676415846849</v>
      </c>
      <c r="BR699" s="24">
        <f>'Filter-new'!O289</f>
        <v>12059.496567505719</v>
      </c>
      <c r="BU699" s="47">
        <f>'Filter-old'!Q289</f>
        <v>11632.544536027652</v>
      </c>
      <c r="BV699" s="24">
        <f>'Filter-new'!Q289</f>
        <v>12249.754821837201</v>
      </c>
      <c r="CA699" s="47">
        <f>'Filter-old'!R289</f>
        <v>13094.921563413985</v>
      </c>
      <c r="CB699" s="24">
        <f>'Filter-new'!R289</f>
        <v>13321.346845374304</v>
      </c>
    </row>
    <row r="700" spans="1:80" hidden="1" x14ac:dyDescent="0.2">
      <c r="A700">
        <v>0</v>
      </c>
      <c r="B700" s="29">
        <v>38169</v>
      </c>
      <c r="C700" s="29">
        <f>'Filter-new'!C290</f>
        <v>38169</v>
      </c>
      <c r="K700" s="47">
        <f>'Filter-old'!E290</f>
        <v>14133.109345523704</v>
      </c>
      <c r="L700" s="24">
        <f>'Filter-new'!E290</f>
        <v>14801.548886737655</v>
      </c>
      <c r="O700" s="444"/>
      <c r="Q700" s="47">
        <f>'Filter-old'!H290</f>
        <v>12335.209083056512</v>
      </c>
      <c r="R700" s="24">
        <f>'Filter-new'!H290</f>
        <v>14140.045175863181</v>
      </c>
      <c r="W700" s="47">
        <f>'Filter-old'!J290</f>
        <v>10859.580052493438</v>
      </c>
      <c r="X700" s="24">
        <f>'Filter-new'!J290</f>
        <v>15608.260729267504</v>
      </c>
      <c r="AA700" s="47">
        <f>'Filter-old'!F290</f>
        <v>14133.109345523704</v>
      </c>
      <c r="AB700" s="24">
        <f>'Filter-new'!F290</f>
        <v>15608.260729267504</v>
      </c>
      <c r="AE700" s="47">
        <f>'Filter-old'!P290</f>
        <v>14539.933892998482</v>
      </c>
      <c r="AF700" s="24">
        <f>'Filter-new'!P290</f>
        <v>12591.158438205874</v>
      </c>
      <c r="AI700" s="47">
        <f>'Filter-old'!L290</f>
        <v>25472.440944881888</v>
      </c>
      <c r="AJ700" s="24">
        <f>'Filter-new'!L290</f>
        <v>14720.877702484671</v>
      </c>
      <c r="AO700" s="47">
        <f>'Filter-old'!G290</f>
        <v>12139.105609082801</v>
      </c>
      <c r="AP700" s="24">
        <f>'Filter-new'!G290</f>
        <v>13597.934817683123</v>
      </c>
      <c r="AS700" s="47"/>
      <c r="AT700" s="24"/>
      <c r="AW700" s="47">
        <f>'Filter-old'!I290</f>
        <v>15452.755905511811</v>
      </c>
      <c r="AX700" s="24">
        <f>'Filter-new'!I290</f>
        <v>14640.206518231686</v>
      </c>
      <c r="BC700" s="47">
        <f>'Filter-old'!K290</f>
        <v>15446.194225721785</v>
      </c>
      <c r="BD700" s="24">
        <f>'Filter-new'!K290</f>
        <v>15004.840271055178</v>
      </c>
      <c r="BG700" s="47">
        <f>'Filter-old'!M290</f>
        <v>16207.349081364828</v>
      </c>
      <c r="BH700" s="219"/>
      <c r="BI700" s="219"/>
      <c r="BJ700" s="24">
        <f>'Filter-new'!M290</f>
        <v>16618.263956114872</v>
      </c>
      <c r="BQ700" s="47">
        <f>'Filter-old'!O290</f>
        <v>17321.523030598957</v>
      </c>
      <c r="BR700" s="24">
        <f>'Filter-new'!O290</f>
        <v>14811.229428848013</v>
      </c>
      <c r="BU700" s="47">
        <f>'Filter-old'!Q290</f>
        <v>15944.881889763779</v>
      </c>
      <c r="BV700" s="24">
        <f>'Filter-new'!Q290</f>
        <v>14428.848015488868</v>
      </c>
      <c r="CA700" s="47">
        <f>'Filter-old'!R290</f>
        <v>16207.349081364828</v>
      </c>
      <c r="CB700" s="24">
        <f>'Filter-new'!R290</f>
        <v>16214.908034849952</v>
      </c>
    </row>
    <row r="701" spans="1:80" hidden="1" x14ac:dyDescent="0.2">
      <c r="A701">
        <v>0</v>
      </c>
      <c r="B701" s="29">
        <v>38200</v>
      </c>
      <c r="C701" s="29">
        <f>'Filter-new'!C291</f>
        <v>38200</v>
      </c>
      <c r="K701" s="47">
        <f>'Filter-old'!E291</f>
        <v>13968.131415420316</v>
      </c>
      <c r="L701" s="24">
        <f>'Filter-new'!E291</f>
        <v>14233.832430710418</v>
      </c>
      <c r="O701" s="444"/>
      <c r="Q701" s="47">
        <f>'Filter-old'!H291</f>
        <v>12191.218315550015</v>
      </c>
      <c r="R701" s="24">
        <f>'Filter-new'!H291</f>
        <v>13580.758203249443</v>
      </c>
      <c r="W701" s="47">
        <f>'Filter-old'!J291</f>
        <v>10732.814526588845</v>
      </c>
      <c r="X701" s="24">
        <f>'Filter-new'!J291</f>
        <v>15030.264415418926</v>
      </c>
      <c r="AA701" s="47">
        <f>'Filter-old'!F291</f>
        <v>13968.131415420316</v>
      </c>
      <c r="AB701" s="24">
        <f>'Filter-new'!F291</f>
        <v>15030.264415418926</v>
      </c>
      <c r="AE701" s="47">
        <f>'Filter-old'!P291</f>
        <v>14370.2070382164</v>
      </c>
      <c r="AF701" s="24">
        <f>'Filter-new'!P291</f>
        <v>12051.608792609111</v>
      </c>
      <c r="AI701" s="47">
        <f>'Filter-old'!L291</f>
        <v>25302.204928664076</v>
      </c>
      <c r="AJ701" s="24">
        <f>'Filter-new'!L291</f>
        <v>14313.47562918127</v>
      </c>
      <c r="AO701" s="47">
        <f>'Filter-old'!G291</f>
        <v>11997.405966277562</v>
      </c>
      <c r="AP701" s="24">
        <f>'Filter-new'!G291</f>
        <v>13297.228416693215</v>
      </c>
      <c r="AS701" s="47"/>
      <c r="AT701" s="24"/>
      <c r="AW701" s="47">
        <f>'Filter-old'!I291</f>
        <v>15239.948119325552</v>
      </c>
      <c r="AX701" s="24">
        <f>'Filter-new'!I291</f>
        <v>14074.546033768718</v>
      </c>
      <c r="BC701" s="47">
        <f>'Filter-old'!K291</f>
        <v>15265.888456549936</v>
      </c>
      <c r="BD701" s="24">
        <f>'Filter-new'!K291</f>
        <v>14813.634915578212</v>
      </c>
      <c r="BG701" s="47">
        <f>'Filter-old'!M291</f>
        <v>16018.158236057068</v>
      </c>
      <c r="BH701" s="219"/>
      <c r="BI701" s="219"/>
      <c r="BJ701" s="24">
        <f>'Filter-new'!M291</f>
        <v>16406.498884995224</v>
      </c>
      <c r="BQ701" s="47">
        <f>'Filter-old'!O291</f>
        <v>17120.622568093386</v>
      </c>
      <c r="BR701" s="24">
        <f>'Filter-new'!O291</f>
        <v>14463.204842306468</v>
      </c>
      <c r="BU701" s="47">
        <f>'Filter-old'!Q291</f>
        <v>15758.75486381323</v>
      </c>
      <c r="BV701" s="24">
        <f>'Filter-new'!Q291</f>
        <v>14244.982478496338</v>
      </c>
      <c r="CA701" s="47">
        <f>'Filter-old'!R291</f>
        <v>16018.158236057068</v>
      </c>
      <c r="CB701" s="24">
        <f>'Filter-new'!R291</f>
        <v>16008.282892640971</v>
      </c>
    </row>
    <row r="702" spans="1:80" hidden="1" x14ac:dyDescent="0.2">
      <c r="A702">
        <v>0</v>
      </c>
      <c r="B702" s="29">
        <v>38231</v>
      </c>
      <c r="C702" s="29">
        <f>'Filter-new'!C292</f>
        <v>38231</v>
      </c>
      <c r="K702" s="47">
        <f>'Filter-old'!E292</f>
        <v>8648.922849602799</v>
      </c>
      <c r="L702" s="24">
        <f>'Filter-new'!E292</f>
        <v>8888.5329916720038</v>
      </c>
      <c r="O702" s="444"/>
      <c r="Q702" s="47">
        <f>'Filter-old'!H292</f>
        <v>7147.1113049879032</v>
      </c>
      <c r="R702" s="24">
        <f>'Filter-new'!H292</f>
        <v>8488.1486226777706</v>
      </c>
      <c r="W702" s="47">
        <f>'Filter-old'!J292</f>
        <v>8664.4002873930895</v>
      </c>
      <c r="X702" s="24">
        <f>'Filter-new'!J292</f>
        <v>9368.9942344650863</v>
      </c>
      <c r="AA702" s="47">
        <f>'Filter-old'!F292</f>
        <v>8648.922849602799</v>
      </c>
      <c r="AB702" s="24">
        <f>'Filter-new'!F292</f>
        <v>9368.9942344650863</v>
      </c>
      <c r="AE702" s="47">
        <f>'Filter-old'!P292</f>
        <v>9260.6537086490771</v>
      </c>
      <c r="AF702" s="24">
        <f>'Filter-new'!P292</f>
        <v>7719.4106342088407</v>
      </c>
      <c r="AI702" s="47">
        <f>'Filter-old'!L292</f>
        <v>14122.216468151217</v>
      </c>
      <c r="AJ702" s="24">
        <f>'Filter-new'!L292</f>
        <v>9141.5759128763602</v>
      </c>
      <c r="AO702" s="47">
        <f>'Filter-old'!G292</f>
        <v>8738.9963269542386</v>
      </c>
      <c r="AP702" s="24">
        <f>'Filter-new'!G292</f>
        <v>9445.8680333119792</v>
      </c>
      <c r="AS702" s="47"/>
      <c r="AT702" s="24"/>
      <c r="AW702" s="47">
        <f>'Filter-old'!I292</f>
        <v>8803.7286380113928</v>
      </c>
      <c r="AX702" s="24">
        <f>'Filter-new'!I292</f>
        <v>8728.3792440743109</v>
      </c>
      <c r="BC702" s="47">
        <f>'Filter-old'!K292</f>
        <v>9800.6214396685664</v>
      </c>
      <c r="BD702" s="24">
        <f>'Filter-new'!K292</f>
        <v>10169.762972453556</v>
      </c>
      <c r="BG702" s="47">
        <f>'Filter-old'!M292</f>
        <v>8738.9953392024854</v>
      </c>
      <c r="BH702" s="219"/>
      <c r="BI702" s="219"/>
      <c r="BJ702" s="24">
        <f>'Filter-new'!M292</f>
        <v>9288.9173606662389</v>
      </c>
      <c r="BQ702" s="47">
        <f>'Filter-old'!O292</f>
        <v>8738.9953392024854</v>
      </c>
      <c r="BR702" s="24">
        <f>'Filter-new'!O292</f>
        <v>8930.1729660474066</v>
      </c>
      <c r="BU702" s="47">
        <f>'Filter-old'!Q292</f>
        <v>7871.5695302638287</v>
      </c>
      <c r="BV702" s="24">
        <f>'Filter-new'!Q292</f>
        <v>7866.7520819987185</v>
      </c>
      <c r="CA702" s="47">
        <f>'Filter-old'!R292</f>
        <v>8738.9953392024854</v>
      </c>
      <c r="CB702" s="24">
        <f>'Filter-new'!R292</f>
        <v>9288.9173606662389</v>
      </c>
    </row>
    <row r="703" spans="1:80" hidden="1" x14ac:dyDescent="0.2">
      <c r="A703">
        <v>0</v>
      </c>
      <c r="B703" s="29">
        <v>38261</v>
      </c>
      <c r="C703" s="29">
        <f>'Filter-new'!C293</f>
        <v>38261</v>
      </c>
      <c r="K703" s="47">
        <f>'Filter-old'!E293</f>
        <v>8329.5789659789407</v>
      </c>
      <c r="L703" s="24">
        <f>'Filter-new'!E293</f>
        <v>8871.9415316174145</v>
      </c>
      <c r="O703" s="444"/>
      <c r="Q703" s="47">
        <f>'Filter-old'!H293</f>
        <v>8121.8327225633629</v>
      </c>
      <c r="R703" s="24">
        <f>'Filter-new'!H293</f>
        <v>8474.7378455672078</v>
      </c>
      <c r="W703" s="47">
        <f>'Filter-old'!J293</f>
        <v>10065.552385423362</v>
      </c>
      <c r="X703" s="24">
        <f>'Filter-new'!J293</f>
        <v>8871.9415316174145</v>
      </c>
      <c r="AA703" s="47">
        <f>'Filter-old'!F293</f>
        <v>8329.5789659789407</v>
      </c>
      <c r="AB703" s="24">
        <f>'Filter-new'!F293</f>
        <v>8871.9415316174145</v>
      </c>
      <c r="AE703" s="47">
        <f>'Filter-old'!P293</f>
        <v>8265.7929251310452</v>
      </c>
      <c r="AF703" s="24">
        <f>'Filter-new'!P293</f>
        <v>9408.9609151572931</v>
      </c>
      <c r="AI703" s="47">
        <f>'Filter-old'!L293</f>
        <v>13763.496143958868</v>
      </c>
      <c r="AJ703" s="24">
        <f>'Filter-new'!L293</f>
        <v>9084.8427073403254</v>
      </c>
      <c r="AO703" s="47">
        <f>'Filter-old'!G293</f>
        <v>7917.7385737166605</v>
      </c>
      <c r="AP703" s="24">
        <f>'Filter-new'!G293</f>
        <v>8805.2113123609797</v>
      </c>
      <c r="AS703" s="47"/>
      <c r="AT703" s="24"/>
      <c r="AW703" s="47">
        <f>'Filter-old'!I293</f>
        <v>8322.6221079691513</v>
      </c>
      <c r="AX703" s="24">
        <f>'Filter-new'!I293</f>
        <v>8713.0600571973318</v>
      </c>
      <c r="BC703" s="47">
        <f>'Filter-old'!K293</f>
        <v>10051.413881748073</v>
      </c>
      <c r="BD703" s="24">
        <f>'Filter-new'!K293</f>
        <v>10088.973625675248</v>
      </c>
      <c r="BG703" s="47">
        <f>'Filter-old'!M293</f>
        <v>8419.0231362467857</v>
      </c>
      <c r="BH703" s="219"/>
      <c r="BI703" s="219"/>
      <c r="BJ703" s="24">
        <f>'Filter-new'!M293</f>
        <v>9215.1255163647929</v>
      </c>
      <c r="BQ703" s="47">
        <f>'Filter-old'!O293</f>
        <v>8227.5061521554653</v>
      </c>
      <c r="BR703" s="24">
        <f>'Filter-new'!O293</f>
        <v>8960.9151572926603</v>
      </c>
      <c r="BU703" s="47">
        <f>'Filter-old'!Q293</f>
        <v>7583.5475578406167</v>
      </c>
      <c r="BV703" s="24">
        <f>'Filter-new'!Q293</f>
        <v>8296.1550683190344</v>
      </c>
      <c r="CA703" s="47">
        <f>'Filter-old'!R293</f>
        <v>8419.0231362467857</v>
      </c>
      <c r="CB703" s="24">
        <f>'Filter-new'!R293</f>
        <v>9215.1255163647929</v>
      </c>
    </row>
    <row r="704" spans="1:80" hidden="1" x14ac:dyDescent="0.2">
      <c r="A704">
        <v>0</v>
      </c>
      <c r="B704" s="29">
        <v>38292</v>
      </c>
      <c r="C704" s="29">
        <f>'Filter-new'!C294</f>
        <v>38292</v>
      </c>
      <c r="K704" s="47">
        <f>'Filter-old'!E294</f>
        <v>8075.0461246656332</v>
      </c>
      <c r="L704" s="24">
        <f>'Filter-new'!E294</f>
        <v>8566.2321915732045</v>
      </c>
      <c r="O704" s="444"/>
      <c r="Q704" s="47">
        <f>'Filter-old'!H294</f>
        <v>8718.9886436699326</v>
      </c>
      <c r="R704" s="24">
        <f>'Filter-new'!H294</f>
        <v>8187.3294937859973</v>
      </c>
      <c r="W704" s="47">
        <f>'Filter-old'!J294</f>
        <v>9925.9417989979611</v>
      </c>
      <c r="X704" s="24">
        <f>'Filter-new'!J294</f>
        <v>8566.2321915732045</v>
      </c>
      <c r="AA704" s="47">
        <f>'Filter-old'!F294</f>
        <v>8075.0461246656332</v>
      </c>
      <c r="AB704" s="24">
        <f>'Filter-new'!F294</f>
        <v>8566.2321915732045</v>
      </c>
      <c r="AE704" s="47">
        <f>'Filter-old'!P294</f>
        <v>8013.3994913989709</v>
      </c>
      <c r="AF704" s="24">
        <f>'Filter-new'!P294</f>
        <v>10109.123976962717</v>
      </c>
      <c r="AI704" s="47">
        <f>'Filter-old'!L294</f>
        <v>13301.863354037267</v>
      </c>
      <c r="AJ704" s="24">
        <f>'Filter-new'!L294</f>
        <v>8769.3240375871464</v>
      </c>
      <c r="AO704" s="47">
        <f>'Filter-old'!G294</f>
        <v>7577.6388038019213</v>
      </c>
      <c r="AP704" s="24">
        <f>'Filter-new'!G294</f>
        <v>8096.392846317066</v>
      </c>
      <c r="AS704" s="47"/>
      <c r="AT704" s="24"/>
      <c r="AW704" s="47">
        <f>'Filter-old'!I294</f>
        <v>8012.4223602484471</v>
      </c>
      <c r="AX704" s="24">
        <f>'Filter-new'!I294</f>
        <v>8414.6711124583217</v>
      </c>
      <c r="BC704" s="47">
        <f>'Filter-old'!K294</f>
        <v>9714.2857142857138</v>
      </c>
      <c r="BD704" s="24">
        <f>'Filter-new'!K294</f>
        <v>9624.1285237950906</v>
      </c>
      <c r="BG704" s="47">
        <f>'Filter-old'!M294</f>
        <v>8136.6459627329186</v>
      </c>
      <c r="BH704" s="219"/>
      <c r="BI704" s="219"/>
      <c r="BJ704" s="24">
        <f>'Filter-new'!M294</f>
        <v>8790.5425886632329</v>
      </c>
      <c r="BQ704" s="47">
        <f>'Filter-old'!O294</f>
        <v>7950.3105590062105</v>
      </c>
      <c r="BR704" s="24">
        <f>'Filter-new'!O294</f>
        <v>8548.0448620794177</v>
      </c>
      <c r="BU704" s="47">
        <f>'Filter-old'!Q294</f>
        <v>7329.1925465838503</v>
      </c>
      <c r="BV704" s="24">
        <f>'Filter-new'!Q294</f>
        <v>7913.9133070627468</v>
      </c>
      <c r="CA704" s="47">
        <f>'Filter-old'!R294</f>
        <v>8136.6459627329186</v>
      </c>
      <c r="CB704" s="24">
        <f>'Filter-new'!R294</f>
        <v>8790.5425886632329</v>
      </c>
    </row>
    <row r="705" spans="1:80" hidden="1" x14ac:dyDescent="0.2">
      <c r="A705">
        <v>0</v>
      </c>
      <c r="B705" s="29">
        <v>38322</v>
      </c>
      <c r="C705" s="29">
        <f>'Filter-new'!C295</f>
        <v>38322</v>
      </c>
      <c r="K705" s="47">
        <f>'Filter-old'!E295</f>
        <v>7837.0334437260253</v>
      </c>
      <c r="L705" s="24">
        <f>'Filter-new'!E295</f>
        <v>8123.1841952353288</v>
      </c>
      <c r="O705" s="444"/>
      <c r="Q705" s="47">
        <f>'Filter-old'!H295</f>
        <v>8556.2330025892988</v>
      </c>
      <c r="R705" s="24">
        <f>'Filter-new'!H295</f>
        <v>7760.0232423009875</v>
      </c>
      <c r="W705" s="47">
        <f>'Filter-old'!J295</f>
        <v>9785.409157092754</v>
      </c>
      <c r="X705" s="24">
        <f>'Filter-new'!J295</f>
        <v>8123.1841952353288</v>
      </c>
      <c r="AA705" s="47">
        <f>'Filter-old'!F295</f>
        <v>7837.0334437260253</v>
      </c>
      <c r="AB705" s="24">
        <f>'Filter-new'!F295</f>
        <v>8123.1841952353288</v>
      </c>
      <c r="AE705" s="47">
        <f>'Filter-old'!P295</f>
        <v>7777.387362260084</v>
      </c>
      <c r="AF705" s="24">
        <f>'Filter-new'!P295</f>
        <v>9718.1871005229514</v>
      </c>
      <c r="AI705" s="47">
        <f>'Filter-old'!L295</f>
        <v>12870.192307692307</v>
      </c>
      <c r="AJ705" s="24">
        <f>'Filter-new'!L295</f>
        <v>8317.8384660081338</v>
      </c>
      <c r="AO705" s="47">
        <f>'Filter-old'!G295</f>
        <v>7572.1144676208496</v>
      </c>
      <c r="AP705" s="24">
        <f>'Filter-new'!G295</f>
        <v>8021.4991284137122</v>
      </c>
      <c r="AS705" s="47"/>
      <c r="AT705" s="24"/>
      <c r="AW705" s="47">
        <f>'Filter-old'!I295</f>
        <v>7722.3557692307695</v>
      </c>
      <c r="AX705" s="24">
        <f>'Filter-new'!I295</f>
        <v>7977.9198140615927</v>
      </c>
      <c r="BC705" s="47">
        <f>'Filter-old'!K295</f>
        <v>9399.038461538461</v>
      </c>
      <c r="BD705" s="24">
        <f>'Filter-new'!K295</f>
        <v>9224.2882045322476</v>
      </c>
      <c r="BG705" s="47">
        <f>'Filter-old'!M295</f>
        <v>7872.5961538461534</v>
      </c>
      <c r="BH705" s="219"/>
      <c r="BI705" s="219"/>
      <c r="BJ705" s="24">
        <f>'Filter-new'!M295</f>
        <v>8425.3341080766986</v>
      </c>
      <c r="BQ705" s="47">
        <f>'Filter-old'!O295</f>
        <v>7693.5093586261446</v>
      </c>
      <c r="BR705" s="24">
        <f>'Filter-new'!O295</f>
        <v>8192.9110981987214</v>
      </c>
      <c r="BU705" s="47">
        <f>'Filter-old'!Q295</f>
        <v>7091.3461538461534</v>
      </c>
      <c r="BV705" s="24">
        <f>'Filter-new'!Q295</f>
        <v>7657.7571179546776</v>
      </c>
      <c r="CA705" s="47">
        <f>'Filter-old'!R295</f>
        <v>7872.5961538461534</v>
      </c>
      <c r="CB705" s="24">
        <f>'Filter-new'!R295</f>
        <v>8425.3341080766986</v>
      </c>
    </row>
    <row r="706" spans="1:80" hidden="1" x14ac:dyDescent="0.2">
      <c r="A706">
        <v>0</v>
      </c>
      <c r="B706" s="29">
        <v>38353</v>
      </c>
      <c r="C706" s="29">
        <f>'Filter-new'!C296</f>
        <v>38353</v>
      </c>
      <c r="K706" s="47">
        <f>'Filter-old'!E296</f>
        <v>9136.2616722913008</v>
      </c>
      <c r="L706" s="24">
        <f>'Filter-new'!E296</f>
        <v>8621.5827338129493</v>
      </c>
      <c r="O706" s="444"/>
      <c r="Q706" s="47">
        <f>'Filter-old'!H296</f>
        <v>9338.4588142146204</v>
      </c>
      <c r="R706" s="24">
        <f>'Filter-new'!H296</f>
        <v>8175.5395683453235</v>
      </c>
      <c r="W706" s="47">
        <f>'Filter-old'!J296</f>
        <v>11616.005610352722</v>
      </c>
      <c r="X706" s="24">
        <f>'Filter-new'!J296</f>
        <v>8765.4676258992804</v>
      </c>
      <c r="AA706" s="47">
        <f>'Filter-old'!F296</f>
        <v>9136.2616722913008</v>
      </c>
      <c r="AB706" s="24">
        <f>'Filter-new'!F296</f>
        <v>8765.4676258992804</v>
      </c>
      <c r="AE706" s="47">
        <f>'Filter-old'!P296</f>
        <v>9017.5823891795662</v>
      </c>
      <c r="AF706" s="24">
        <f>'Filter-new'!P296</f>
        <v>9513.669064748201</v>
      </c>
      <c r="AI706" s="47">
        <f>'Filter-old'!L296</f>
        <v>15484.408474172813</v>
      </c>
      <c r="AJ706" s="24">
        <f>'Filter-new'!L296</f>
        <v>9499.2805755395675</v>
      </c>
      <c r="AO706" s="47">
        <f>'Filter-old'!G296</f>
        <v>9038.3241358781761</v>
      </c>
      <c r="AP706" s="24">
        <f>'Filter-new'!G296</f>
        <v>8253.2374100719426</v>
      </c>
      <c r="AS706" s="47"/>
      <c r="AT706" s="24"/>
      <c r="AW706" s="47">
        <f>'Filter-old'!I296</f>
        <v>9225.1838260933018</v>
      </c>
      <c r="AX706" s="24">
        <f>'Filter-new'!I296</f>
        <v>8477.6978417266182</v>
      </c>
      <c r="BC706" s="47">
        <f>'Filter-old'!K296</f>
        <v>12044.751249702451</v>
      </c>
      <c r="BD706" s="24">
        <f>'Filter-new'!K296</f>
        <v>11510.791366906475</v>
      </c>
      <c r="BG706" s="47">
        <f>'Filter-old'!M296</f>
        <v>9045.4653653891928</v>
      </c>
      <c r="BH706" s="219"/>
      <c r="BI706" s="219"/>
      <c r="BJ706" s="24">
        <f>'Filter-new'!M296</f>
        <v>9208.633093525179</v>
      </c>
      <c r="BQ706" s="47">
        <f>'Filter-old'!O296</f>
        <v>9664.5363397014844</v>
      </c>
      <c r="BR706" s="24">
        <f>'Filter-new'!O296</f>
        <v>8880.5755395683445</v>
      </c>
      <c r="BU706" s="47">
        <f>'Filter-old'!Q296</f>
        <v>8367.0558262030227</v>
      </c>
      <c r="BV706" s="24">
        <f>'Filter-new'!Q296</f>
        <v>8148.7769784172651</v>
      </c>
      <c r="CA706" s="47">
        <f>'Filter-old'!R296</f>
        <v>9045.4653653891928</v>
      </c>
      <c r="CB706" s="24">
        <f>'Filter-new'!R296</f>
        <v>8992.8057553956824</v>
      </c>
    </row>
    <row r="707" spans="1:80" hidden="1" x14ac:dyDescent="0.2">
      <c r="A707">
        <v>0</v>
      </c>
      <c r="B707" s="29">
        <v>38384</v>
      </c>
      <c r="C707" s="29">
        <f>'Filter-new'!C297</f>
        <v>38384</v>
      </c>
      <c r="K707" s="47">
        <f>'Filter-old'!E297</f>
        <v>9314.5806996025949</v>
      </c>
      <c r="L707" s="24">
        <f>'Filter-new'!E297</f>
        <v>8499.5612752266734</v>
      </c>
      <c r="O707" s="444"/>
      <c r="Q707" s="47">
        <f>'Filter-old'!H297</f>
        <v>9768.0289226217119</v>
      </c>
      <c r="R707" s="24">
        <f>'Filter-new'!H297</f>
        <v>8046.2123427902889</v>
      </c>
      <c r="W707" s="47">
        <f>'Filter-old'!J297</f>
        <v>11461.875965978887</v>
      </c>
      <c r="X707" s="24">
        <f>'Filter-new'!J297</f>
        <v>8645.8028663351852</v>
      </c>
      <c r="AA707" s="47">
        <f>'Filter-old'!F297</f>
        <v>9314.5806996025949</v>
      </c>
      <c r="AB707" s="24">
        <f>'Filter-new'!F297</f>
        <v>8645.8028663351852</v>
      </c>
      <c r="AE707" s="47">
        <f>'Filter-old'!P297</f>
        <v>9192.4715474222394</v>
      </c>
      <c r="AF707" s="24">
        <f>'Filter-new'!P297</f>
        <v>9698.742322316466</v>
      </c>
      <c r="AI707" s="47">
        <f>'Filter-old'!L297</f>
        <v>15931.912809208914</v>
      </c>
      <c r="AJ707" s="24">
        <f>'Filter-new'!L297</f>
        <v>9409.183971921615</v>
      </c>
      <c r="AO707" s="47">
        <f>'Filter-old'!G297</f>
        <v>9017.8776277854631</v>
      </c>
      <c r="AP707" s="24">
        <f>'Filter-new'!G297</f>
        <v>8169.0552793214392</v>
      </c>
      <c r="AS707" s="47"/>
      <c r="AT707" s="24"/>
      <c r="AW707" s="47">
        <f>'Filter-old'!I297</f>
        <v>9475.3520441440687</v>
      </c>
      <c r="AX707" s="24">
        <f>'Filter-new'!I297</f>
        <v>8353.3196841181616</v>
      </c>
      <c r="BC707" s="47">
        <f>'Filter-old'!K297</f>
        <v>12392.84839578741</v>
      </c>
      <c r="BD707" s="24">
        <f>'Filter-new'!K297</f>
        <v>11699.327288680899</v>
      </c>
      <c r="BG707" s="47">
        <f>'Filter-old'!M297</f>
        <v>9306.8821944648535</v>
      </c>
      <c r="BH707" s="219"/>
      <c r="BI707" s="219"/>
      <c r="BJ707" s="24">
        <f>'Filter-new'!M297</f>
        <v>9359.4618309447214</v>
      </c>
      <c r="BQ707" s="47">
        <f>'Filter-old'!O297</f>
        <v>10003.851022376986</v>
      </c>
      <c r="BR707" s="24">
        <f>'Filter-new'!O297</f>
        <v>9011.4068441064646</v>
      </c>
      <c r="BU707" s="47">
        <f>'Filter-old'!Q297</f>
        <v>9659.0405085085076</v>
      </c>
      <c r="BV707" s="24">
        <f>'Filter-new'!Q297</f>
        <v>8281.661304474992</v>
      </c>
      <c r="CA707" s="47">
        <f>'Filter-old'!R297</f>
        <v>9306.8821944648535</v>
      </c>
      <c r="CB707" s="24">
        <f>'Filter-new'!R297</f>
        <v>9140.0994442819538</v>
      </c>
    </row>
    <row r="708" spans="1:80" hidden="1" x14ac:dyDescent="0.2">
      <c r="A708">
        <v>0</v>
      </c>
      <c r="B708" s="29">
        <v>38412</v>
      </c>
      <c r="C708" s="29">
        <f>'Filter-new'!C298</f>
        <v>38412</v>
      </c>
      <c r="K708" s="47">
        <f>'Filter-old'!E298</f>
        <v>8353.2094340623389</v>
      </c>
      <c r="L708" s="24">
        <f>'Filter-new'!E298</f>
        <v>8181.818181818182</v>
      </c>
      <c r="O708" s="444"/>
      <c r="Q708" s="47">
        <f>'Filter-old'!H298</f>
        <v>8316.0873606235164</v>
      </c>
      <c r="R708" s="24">
        <f>'Filter-new'!H298</f>
        <v>7710.550319245971</v>
      </c>
      <c r="W708" s="47">
        <f>'Filter-old'!J298</f>
        <v>10201.751129536689</v>
      </c>
      <c r="X708" s="24">
        <f>'Filter-new'!J298</f>
        <v>8409.8510185466694</v>
      </c>
      <c r="AA708" s="47">
        <f>'Filter-old'!F298</f>
        <v>8353.2094340623389</v>
      </c>
      <c r="AB708" s="24">
        <f>'Filter-new'!F298</f>
        <v>8409.8510185466694</v>
      </c>
      <c r="AE708" s="47">
        <f>'Filter-old'!P298</f>
        <v>8164.1884332970722</v>
      </c>
      <c r="AF708" s="24">
        <f>'Filter-new'!P298</f>
        <v>8896.3210702341148</v>
      </c>
      <c r="AI708" s="47">
        <f>'Filter-old'!L298</f>
        <v>13177.215189873417</v>
      </c>
      <c r="AJ708" s="24">
        <f>'Filter-new'!L298</f>
        <v>9042.2620857403454</v>
      </c>
      <c r="AO708" s="47">
        <f>'Filter-old'!G298</f>
        <v>8443.0362363404856</v>
      </c>
      <c r="AP708" s="24">
        <f>'Filter-new'!G298</f>
        <v>8016.4183642444514</v>
      </c>
      <c r="AS708" s="47"/>
      <c r="AT708" s="24"/>
      <c r="AW708" s="47">
        <f>'Filter-old'!I298</f>
        <v>8189.4934931887847</v>
      </c>
      <c r="AX708" s="24">
        <f>'Filter-new'!I298</f>
        <v>8029.7962906658549</v>
      </c>
      <c r="BC708" s="47">
        <f>'Filter-old'!K298</f>
        <v>10050.632911392406</v>
      </c>
      <c r="BD708" s="24">
        <f>'Filter-new'!K298</f>
        <v>10185.466707205836</v>
      </c>
      <c r="BG708" s="47">
        <f>'Filter-old'!M298</f>
        <v>8607.5949367088597</v>
      </c>
      <c r="BH708" s="219"/>
      <c r="BI708" s="219"/>
      <c r="BJ708" s="24">
        <f>'Filter-new'!M298</f>
        <v>9121.3134691395571</v>
      </c>
      <c r="BQ708" s="47">
        <f>'Filter-old'!O298</f>
        <v>9265.1911868324769</v>
      </c>
      <c r="BR708" s="24">
        <f>'Filter-new'!O298</f>
        <v>8683.4904226208564</v>
      </c>
      <c r="BU708" s="47">
        <f>'Filter-old'!Q298</f>
        <v>7809.7466577457471</v>
      </c>
      <c r="BV708" s="24">
        <f>'Filter-new'!Q298</f>
        <v>8532.9887503800546</v>
      </c>
      <c r="CA708" s="47">
        <f>'Filter-old'!R298</f>
        <v>8607.5949367088597</v>
      </c>
      <c r="CB708" s="24">
        <f>'Filter-new'!R298</f>
        <v>8969.2915779872292</v>
      </c>
    </row>
    <row r="709" spans="1:80" hidden="1" x14ac:dyDescent="0.2">
      <c r="A709">
        <v>0</v>
      </c>
      <c r="B709" s="29">
        <v>38443</v>
      </c>
      <c r="C709" s="29">
        <f>'Filter-new'!C299</f>
        <v>38443</v>
      </c>
      <c r="K709" s="47">
        <f>'Filter-old'!E299</f>
        <v>8883.1814150028422</v>
      </c>
      <c r="L709" s="24">
        <f>'Filter-new'!E299</f>
        <v>9059.2783505154639</v>
      </c>
      <c r="O709" s="444"/>
      <c r="Q709" s="47">
        <f>'Filter-old'!H299</f>
        <v>8724.7131671880179</v>
      </c>
      <c r="R709" s="24">
        <f>'Filter-new'!H299</f>
        <v>8559.92268041237</v>
      </c>
      <c r="W709" s="47">
        <f>'Filter-old'!J299</f>
        <v>10145.262861315156</v>
      </c>
      <c r="X709" s="24">
        <f>'Filter-new'!J299</f>
        <v>9300.9020618556697</v>
      </c>
      <c r="AA709" s="47">
        <f>'Filter-old'!F299</f>
        <v>8883.1814150028422</v>
      </c>
      <c r="AB709" s="24">
        <f>'Filter-new'!F299</f>
        <v>9300.9020618556697</v>
      </c>
      <c r="AE709" s="47">
        <f>'Filter-old'!P299</f>
        <v>8684.8725297378205</v>
      </c>
      <c r="AF709" s="24">
        <f>'Filter-new'!P299</f>
        <v>9671.3917525773195</v>
      </c>
      <c r="AI709" s="47">
        <f>'Filter-old'!L299</f>
        <v>13824.701195219122</v>
      </c>
      <c r="AJ709" s="24">
        <f>'Filter-new'!L299</f>
        <v>9971.0051546391751</v>
      </c>
      <c r="AO709" s="47">
        <f>'Filter-old'!G299</f>
        <v>8486.0535478528582</v>
      </c>
      <c r="AP709" s="24">
        <f>'Filter-new'!G299</f>
        <v>8746.7783505154621</v>
      </c>
      <c r="AS709" s="47"/>
      <c r="AT709" s="24"/>
      <c r="AW709" s="47">
        <f>'Filter-old'!I299</f>
        <v>8618.4710620408987</v>
      </c>
      <c r="AX709" s="24">
        <f>'Filter-new'!I299</f>
        <v>8898.1958762886607</v>
      </c>
      <c r="BC709" s="47">
        <f>'Filter-old'!K299</f>
        <v>10544.488711819391</v>
      </c>
      <c r="BD709" s="24">
        <f>'Filter-new'!K299</f>
        <v>10792.525773195877</v>
      </c>
      <c r="BG709" s="47">
        <f>'Filter-old'!M299</f>
        <v>8897.7423638778218</v>
      </c>
      <c r="BH709" s="219"/>
      <c r="BI709" s="219"/>
      <c r="BJ709" s="24">
        <f>'Filter-new'!M299</f>
        <v>9664.9484536082473</v>
      </c>
      <c r="BQ709" s="47">
        <f>'Filter-old'!O299</f>
        <v>9786.8529543933637</v>
      </c>
      <c r="BR709" s="24">
        <f>'Filter-new'!O299</f>
        <v>9201.0309278350505</v>
      </c>
      <c r="BU709" s="47">
        <f>'Filter-old'!Q299</f>
        <v>8512.2299700935837</v>
      </c>
      <c r="BV709" s="24">
        <f>'Filter-new'!Q299</f>
        <v>9041.8814432989693</v>
      </c>
      <c r="CA709" s="47">
        <f>'Filter-old'!R299</f>
        <v>8897.7423638778218</v>
      </c>
      <c r="CB709" s="24">
        <f>'Filter-new'!R299</f>
        <v>9503.8659793814422</v>
      </c>
    </row>
    <row r="710" spans="1:80" hidden="1" x14ac:dyDescent="0.2">
      <c r="A710">
        <v>0</v>
      </c>
      <c r="B710" s="29">
        <v>38473</v>
      </c>
      <c r="C710" s="29">
        <f>'Filter-new'!C300</f>
        <v>38473</v>
      </c>
      <c r="K710" s="47">
        <f>'Filter-old'!E300</f>
        <v>10546.889628932258</v>
      </c>
      <c r="L710" s="24">
        <f>'Filter-new'!E300</f>
        <v>9603.0977734753142</v>
      </c>
      <c r="O710" s="444"/>
      <c r="Q710" s="47">
        <f>'Filter-old'!H300</f>
        <v>8935.7033233033035</v>
      </c>
      <c r="R710" s="24">
        <f>'Filter-new'!H300</f>
        <v>9119.070667957405</v>
      </c>
      <c r="W710" s="47">
        <f>'Filter-old'!J300</f>
        <v>10776.808737438623</v>
      </c>
      <c r="X710" s="24">
        <f>'Filter-new'!J300</f>
        <v>9925.7825104872536</v>
      </c>
      <c r="AA710" s="47">
        <f>'Filter-old'!F300</f>
        <v>10546.889628932258</v>
      </c>
      <c r="AB710" s="24">
        <f>'Filter-new'!F300</f>
        <v>9925.7825104872536</v>
      </c>
      <c r="AE710" s="47">
        <f>'Filter-old'!P300</f>
        <v>11006.275690030481</v>
      </c>
      <c r="AF710" s="24">
        <f>'Filter-new'!P300</f>
        <v>8538.2381413359144</v>
      </c>
      <c r="AI710" s="47">
        <f>'Filter-old'!L300</f>
        <v>14127.829560585886</v>
      </c>
      <c r="AJ710" s="24">
        <f>'Filter-new'!L300</f>
        <v>11097.128105840593</v>
      </c>
      <c r="AO710" s="47">
        <f>'Filter-old'!G300</f>
        <v>9427.4325313644313</v>
      </c>
      <c r="AP710" s="24">
        <f>'Filter-new'!G300</f>
        <v>9393.3526944175537</v>
      </c>
      <c r="AS710" s="47"/>
      <c r="AT710" s="24"/>
      <c r="AW710" s="47">
        <f>'Filter-old'!I300</f>
        <v>9015.5965954898675</v>
      </c>
      <c r="AX710" s="24">
        <f>'Filter-new'!I300</f>
        <v>9441.7554049693463</v>
      </c>
      <c r="BC710" s="47">
        <f>'Filter-old'!K300</f>
        <v>10572.569906790946</v>
      </c>
      <c r="BD710" s="24">
        <f>'Filter-new'!K300</f>
        <v>10648.596321393998</v>
      </c>
      <c r="BG710" s="47">
        <f>'Filter-old'!M300</f>
        <v>10119.840213049267</v>
      </c>
      <c r="BH710" s="219"/>
      <c r="BI710" s="219"/>
      <c r="BJ710" s="24">
        <f>'Filter-new'!M300</f>
        <v>10003.226847370119</v>
      </c>
      <c r="BQ710" s="47">
        <f>'Filter-old'!O300</f>
        <v>11146.090694178596</v>
      </c>
      <c r="BR710" s="24">
        <f>'Filter-new'!O300</f>
        <v>9764.4401419812839</v>
      </c>
      <c r="BU710" s="47">
        <f>'Filter-old'!Q300</f>
        <v>8909.0725712071398</v>
      </c>
      <c r="BV710" s="24">
        <f>'Filter-new'!Q300</f>
        <v>9493.7076476282655</v>
      </c>
      <c r="CA710" s="47">
        <f>'Filter-old'!R300</f>
        <v>10119.840213049267</v>
      </c>
      <c r="CB710" s="24">
        <f>'Filter-new'!R300</f>
        <v>10003.226847370119</v>
      </c>
    </row>
    <row r="711" spans="1:80" hidden="1" x14ac:dyDescent="0.2">
      <c r="A711">
        <v>0</v>
      </c>
      <c r="B711" s="29">
        <v>38504</v>
      </c>
      <c r="C711" s="29">
        <f>'Filter-new'!C301</f>
        <v>38504</v>
      </c>
      <c r="K711" s="47">
        <f>'Filter-old'!E301</f>
        <v>10380.600688011593</v>
      </c>
      <c r="L711" s="24">
        <f>'Filter-new'!E301</f>
        <v>11285.896617740907</v>
      </c>
      <c r="O711" s="444"/>
      <c r="Q711" s="47">
        <f>'Filter-old'!H301</f>
        <v>8705.5809043133613</v>
      </c>
      <c r="R711" s="24">
        <f>'Filter-new'!H301</f>
        <v>10759.412890874282</v>
      </c>
      <c r="W711" s="47">
        <f>'Filter-old'!J301</f>
        <v>8493.0894469812338</v>
      </c>
      <c r="X711" s="24">
        <f>'Filter-new'!J301</f>
        <v>11764.518187619655</v>
      </c>
      <c r="AA711" s="47">
        <f>'Filter-old'!F301</f>
        <v>10380.600688011593</v>
      </c>
      <c r="AB711" s="24">
        <f>'Filter-new'!F301</f>
        <v>11764.518187619655</v>
      </c>
      <c r="AE711" s="47">
        <f>'Filter-old'!P301</f>
        <v>11762.162080008573</v>
      </c>
      <c r="AF711" s="24">
        <f>'Filter-new'!P301</f>
        <v>9818.1238034460766</v>
      </c>
      <c r="AI711" s="47">
        <f>'Filter-old'!L301</f>
        <v>18741.756792403055</v>
      </c>
      <c r="AJ711" s="24">
        <f>'Filter-new'!L301</f>
        <v>12249.521378430123</v>
      </c>
      <c r="AO711" s="47">
        <f>'Filter-old'!G301</f>
        <v>9364.282823873049</v>
      </c>
      <c r="AP711" s="24">
        <f>'Filter-new'!G301</f>
        <v>10580.727504786215</v>
      </c>
      <c r="AS711" s="47"/>
      <c r="AT711" s="24"/>
      <c r="AW711" s="47">
        <f>'Filter-old'!I301</f>
        <v>10380.600285511224</v>
      </c>
      <c r="AX711" s="24">
        <f>'Filter-new'!I301</f>
        <v>11126.356094447989</v>
      </c>
      <c r="BC711" s="47">
        <f>'Filter-old'!K301</f>
        <v>12292.271168557107</v>
      </c>
      <c r="BD711" s="24">
        <f>'Filter-new'!K301</f>
        <v>12125.079770261647</v>
      </c>
      <c r="BG711" s="47">
        <f>'Filter-old'!M301</f>
        <v>12925.349512002109</v>
      </c>
      <c r="BH711" s="219"/>
      <c r="BI711" s="219"/>
      <c r="BJ711" s="24">
        <f>'Filter-new'!M301</f>
        <v>13082.322910019146</v>
      </c>
      <c r="BQ711" s="47">
        <f>'Filter-old'!O301</f>
        <v>11963.296546624097</v>
      </c>
      <c r="BR711" s="24">
        <f>'Filter-new'!O301</f>
        <v>11888.959795788131</v>
      </c>
      <c r="BU711" s="47">
        <f>'Filter-old'!Q301</f>
        <v>10406.979153571987</v>
      </c>
      <c r="BV711" s="24">
        <f>'Filter-new'!Q301</f>
        <v>11772.495213784303</v>
      </c>
      <c r="CA711" s="47">
        <f>'Filter-old'!R301</f>
        <v>12925.349512002109</v>
      </c>
      <c r="CB711" s="24">
        <f>'Filter-new'!R301</f>
        <v>13082.322910019146</v>
      </c>
    </row>
    <row r="712" spans="1:80" hidden="1" x14ac:dyDescent="0.2">
      <c r="A712">
        <v>0</v>
      </c>
      <c r="B712" s="29">
        <v>38534</v>
      </c>
      <c r="C712" s="29">
        <f>'Filter-new'!C302</f>
        <v>38534</v>
      </c>
      <c r="K712" s="47">
        <f>'Filter-old'!E302</f>
        <v>13397.694428761801</v>
      </c>
      <c r="L712" s="24">
        <f>'Filter-new'!E302</f>
        <v>14298.991808443605</v>
      </c>
      <c r="O712" s="444"/>
      <c r="Q712" s="47">
        <f>'Filter-old'!H302</f>
        <v>11457.590262095135</v>
      </c>
      <c r="R712" s="24">
        <f>'Filter-new'!H302</f>
        <v>13653.119092627599</v>
      </c>
      <c r="W712" s="47">
        <f>'Filter-old'!J302</f>
        <v>10337.239583333334</v>
      </c>
      <c r="X712" s="24">
        <f>'Filter-new'!J302</f>
        <v>15086.641461877756</v>
      </c>
      <c r="AA712" s="47">
        <f>'Filter-old'!F302</f>
        <v>13397.694428761801</v>
      </c>
      <c r="AB712" s="24">
        <f>'Filter-new'!F302</f>
        <v>15086.641461877756</v>
      </c>
      <c r="AE712" s="47">
        <f>'Filter-old'!P302</f>
        <v>14289.622306823732</v>
      </c>
      <c r="AF712" s="24">
        <f>'Filter-new'!P302</f>
        <v>11873.030875866416</v>
      </c>
      <c r="AI712" s="47">
        <f>'Filter-old'!L302</f>
        <v>25273.4375</v>
      </c>
      <c r="AJ712" s="24">
        <f>'Filter-new'!L302</f>
        <v>13905.166981726527</v>
      </c>
      <c r="AO712" s="47">
        <f>'Filter-old'!G302</f>
        <v>12044.268846511841</v>
      </c>
      <c r="AP712" s="24">
        <f>'Filter-new'!G302</f>
        <v>13456.206679269062</v>
      </c>
      <c r="AS712" s="47"/>
      <c r="AT712" s="24"/>
      <c r="AW712" s="47">
        <f>'Filter-old'!I302</f>
        <v>14615.142345428467</v>
      </c>
      <c r="AX712" s="24">
        <f>'Filter-new'!I302</f>
        <v>14141.461877756774</v>
      </c>
      <c r="BC712" s="47">
        <f>'Filter-old'!K302</f>
        <v>15195.312500000002</v>
      </c>
      <c r="BD712" s="24">
        <f>'Filter-new'!K302</f>
        <v>14650.283553875237</v>
      </c>
      <c r="BG712" s="47">
        <f>'Filter-old'!M302</f>
        <v>16406.25</v>
      </c>
      <c r="BH712" s="219"/>
      <c r="BI712" s="219"/>
      <c r="BJ712" s="24">
        <f>'Filter-new'!M302</f>
        <v>16383.112791430371</v>
      </c>
      <c r="BQ712" s="47">
        <f>'Filter-old'!O302</f>
        <v>16001.861095428467</v>
      </c>
      <c r="BR712" s="24">
        <f>'Filter-new'!O302</f>
        <v>14350.976685570258</v>
      </c>
      <c r="BU712" s="47">
        <f>'Filter-old'!Q302</f>
        <v>15259.673198064169</v>
      </c>
      <c r="BV712" s="24">
        <f>'Filter-new'!Q302</f>
        <v>14666.666666666666</v>
      </c>
      <c r="CA712" s="47">
        <f>'Filter-old'!R302</f>
        <v>16406.25</v>
      </c>
      <c r="CB712" s="24">
        <f>'Filter-new'!R302</f>
        <v>15831.758034026467</v>
      </c>
    </row>
    <row r="713" spans="1:80" hidden="1" x14ac:dyDescent="0.2">
      <c r="A713">
        <v>0</v>
      </c>
      <c r="B713" s="29">
        <v>38565</v>
      </c>
      <c r="C713" s="29">
        <f>'Filter-new'!C303</f>
        <v>38565</v>
      </c>
      <c r="K713" s="47">
        <f>'Filter-old'!E303</f>
        <v>13242.508779007803</v>
      </c>
      <c r="L713" s="24">
        <f>'Filter-new'!E303</f>
        <v>13918.792781580585</v>
      </c>
      <c r="O713" s="444"/>
      <c r="Q713" s="47">
        <f>'Filter-old'!H303</f>
        <v>11324.876861375886</v>
      </c>
      <c r="R713" s="24">
        <f>'Filter-new'!H303</f>
        <v>13280.958307405104</v>
      </c>
      <c r="W713" s="47">
        <f>'Filter-old'!J303</f>
        <v>10217.503217503217</v>
      </c>
      <c r="X713" s="24">
        <f>'Filter-new'!J303</f>
        <v>14696.639701306784</v>
      </c>
      <c r="AA713" s="47">
        <f>'Filter-old'!F303</f>
        <v>13242.508779007803</v>
      </c>
      <c r="AB713" s="24">
        <f>'Filter-new'!F303</f>
        <v>14696.639701306784</v>
      </c>
      <c r="AE713" s="47">
        <f>'Filter-old'!P303</f>
        <v>13480.604802626289</v>
      </c>
      <c r="AF713" s="24">
        <f>'Filter-new'!P303</f>
        <v>11523.024268823894</v>
      </c>
      <c r="AI713" s="47">
        <f>'Filter-old'!L303</f>
        <v>25106.821106821109</v>
      </c>
      <c r="AJ713" s="24">
        <f>'Filter-new'!L303</f>
        <v>13841.008089607965</v>
      </c>
      <c r="AO713" s="47">
        <f>'Filter-old'!G303</f>
        <v>11904.761904761905</v>
      </c>
      <c r="AP713" s="24">
        <f>'Filter-new'!G303</f>
        <v>13164.281269446175</v>
      </c>
      <c r="AS713" s="47"/>
      <c r="AT713" s="24"/>
      <c r="AW713" s="47">
        <f>'Filter-old'!I303</f>
        <v>14413.679950178974</v>
      </c>
      <c r="AX713" s="24">
        <f>'Filter-new'!I303</f>
        <v>13763.223397635345</v>
      </c>
      <c r="BC713" s="47">
        <f>'Filter-old'!K303</f>
        <v>15019.30501930502</v>
      </c>
      <c r="BD713" s="24">
        <f>'Filter-new'!K303</f>
        <v>14467.952706907281</v>
      </c>
      <c r="BG713" s="47">
        <f>'Filter-old'!M303</f>
        <v>16216.216216216217</v>
      </c>
      <c r="BH713" s="219"/>
      <c r="BI713" s="219"/>
      <c r="BJ713" s="24">
        <f>'Filter-new'!M303</f>
        <v>16179.215930304917</v>
      </c>
      <c r="BQ713" s="47">
        <f>'Filter-old'!O303</f>
        <v>15816.511353010379</v>
      </c>
      <c r="BR713" s="24">
        <f>'Filter-new'!O303</f>
        <v>13861.232109520844</v>
      </c>
      <c r="BU713" s="47">
        <f>'Filter-old'!Q303</f>
        <v>15147.270291008084</v>
      </c>
      <c r="BV713" s="24">
        <f>'Filter-new'!Q303</f>
        <v>14561.916614810205</v>
      </c>
      <c r="CA713" s="47">
        <f>'Filter-old'!R303</f>
        <v>16216.216216216217</v>
      </c>
      <c r="CB713" s="24">
        <f>'Filter-new'!R303</f>
        <v>15634.723086496579</v>
      </c>
    </row>
    <row r="714" spans="1:80" hidden="1" x14ac:dyDescent="0.2">
      <c r="A714">
        <v>0</v>
      </c>
      <c r="B714" s="29">
        <v>38596</v>
      </c>
      <c r="C714" s="29">
        <f>'Filter-new'!C304</f>
        <v>38596</v>
      </c>
      <c r="K714" s="47">
        <f>'Filter-old'!E304</f>
        <v>8736.4183055411122</v>
      </c>
      <c r="L714" s="24">
        <f>'Filter-new'!E304</f>
        <v>8808.2577416327804</v>
      </c>
      <c r="O714" s="444"/>
      <c r="Q714" s="47">
        <f>'Filter-old'!H304</f>
        <v>7220.4891726267415</v>
      </c>
      <c r="R714" s="24">
        <f>'Filter-new'!H304</f>
        <v>8417.266187050358</v>
      </c>
      <c r="W714" s="47">
        <f>'Filter-old'!J304</f>
        <v>8728.652083738978</v>
      </c>
      <c r="X714" s="24">
        <f>'Filter-new'!J304</f>
        <v>9277.4476071316858</v>
      </c>
      <c r="AA714" s="47">
        <f>'Filter-old'!F304</f>
        <v>8736.4183055411122</v>
      </c>
      <c r="AB714" s="24">
        <f>'Filter-new'!F304</f>
        <v>9277.4476071316858</v>
      </c>
      <c r="AE714" s="47">
        <f>'Filter-old'!P304</f>
        <v>8691.4554529297875</v>
      </c>
      <c r="AF714" s="24">
        <f>'Filter-new'!P304</f>
        <v>7557.0847669690338</v>
      </c>
      <c r="AI714" s="47">
        <f>'Filter-old'!L304</f>
        <v>14013.360739979444</v>
      </c>
      <c r="AJ714" s="24">
        <f>'Filter-new'!L304</f>
        <v>9446.3559587112923</v>
      </c>
      <c r="AO714" s="47">
        <f>'Filter-old'!G304</f>
        <v>8543.1664477639424</v>
      </c>
      <c r="AP714" s="24">
        <f>'Filter-new'!G304</f>
        <v>9402.5649045980608</v>
      </c>
      <c r="AS714" s="47"/>
      <c r="AT714" s="24"/>
      <c r="AW714" s="47">
        <f>'Filter-old'!I304</f>
        <v>8607.9506320306464</v>
      </c>
      <c r="AX714" s="24">
        <f>'Filter-new'!I304</f>
        <v>8651.8611197998125</v>
      </c>
      <c r="BC714" s="47">
        <f>'Filter-old'!K304</f>
        <v>9596.6084275436788</v>
      </c>
      <c r="BD714" s="24">
        <f>'Filter-new'!K304</f>
        <v>9931.1854863934932</v>
      </c>
      <c r="BG714" s="47">
        <f>'Filter-old'!M304</f>
        <v>8607.3997944501534</v>
      </c>
      <c r="BH714" s="219"/>
      <c r="BI714" s="219"/>
      <c r="BJ714" s="24">
        <f>'Filter-new'!M304</f>
        <v>9305.5989990616199</v>
      </c>
      <c r="BQ714" s="47">
        <f>'Filter-old'!O304</f>
        <v>9507.2302274321719</v>
      </c>
      <c r="BR714" s="24">
        <f>'Filter-new'!O304</f>
        <v>8639.3493900531739</v>
      </c>
      <c r="BU714" s="47">
        <f>'Filter-old'!Q304</f>
        <v>8312.4723365838581</v>
      </c>
      <c r="BV714" s="24">
        <f>'Filter-new'!Q304</f>
        <v>7926.8063809821706</v>
      </c>
      <c r="CA714" s="47">
        <f>'Filter-old'!R304</f>
        <v>8607.3997944501534</v>
      </c>
      <c r="CB714" s="24">
        <f>'Filter-new'!R304</f>
        <v>9071.0040663121672</v>
      </c>
    </row>
    <row r="715" spans="1:80" hidden="1" x14ac:dyDescent="0.2">
      <c r="A715">
        <v>0</v>
      </c>
      <c r="B715" s="29">
        <v>38626</v>
      </c>
      <c r="C715" s="29">
        <f>'Filter-new'!C305</f>
        <v>38626</v>
      </c>
      <c r="K715" s="47">
        <f>'Filter-old'!E305</f>
        <v>8418.8934126678796</v>
      </c>
      <c r="L715" s="24">
        <f>'Filter-new'!E305</f>
        <v>8643.6995654872771</v>
      </c>
      <c r="O715" s="444"/>
      <c r="Q715" s="47">
        <f>'Filter-old'!H305</f>
        <v>8187.2268598906858</v>
      </c>
      <c r="R715" s="24">
        <f>'Filter-new'!H305</f>
        <v>8255.7417752948495</v>
      </c>
      <c r="W715" s="47">
        <f>'Filter-old'!J305</f>
        <v>10052.295606963487</v>
      </c>
      <c r="X715" s="24">
        <f>'Filter-new'!J305</f>
        <v>8643.6995654872771</v>
      </c>
      <c r="AA715" s="47">
        <f>'Filter-old'!F305</f>
        <v>8418.8934126678796</v>
      </c>
      <c r="AB715" s="24">
        <f>'Filter-new'!F305</f>
        <v>8643.6995654872771</v>
      </c>
      <c r="AE715" s="47">
        <f>'Filter-old'!P305</f>
        <v>8355.5955302958591</v>
      </c>
      <c r="AF715" s="24">
        <f>'Filter-new'!P305</f>
        <v>9059.5903165735563</v>
      </c>
      <c r="AI715" s="47">
        <f>'Filter-old'!L305</f>
        <v>13658.163265306122</v>
      </c>
      <c r="AJ715" s="24">
        <f>'Filter-new'!L305</f>
        <v>8941.6511483550585</v>
      </c>
      <c r="AO715" s="47">
        <f>'Filter-old'!G305</f>
        <v>7729.5926152443399</v>
      </c>
      <c r="AP715" s="24">
        <f>'Filter-new'!G305</f>
        <v>8777.1570453134718</v>
      </c>
      <c r="AS715" s="47"/>
      <c r="AT715" s="24"/>
      <c r="AW715" s="47">
        <f>'Filter-old'!I305</f>
        <v>8259.9318757349138</v>
      </c>
      <c r="AX715" s="24">
        <f>'Filter-new'!I305</f>
        <v>8488.5164494103046</v>
      </c>
      <c r="BC715" s="47">
        <f>'Filter-old'!K305</f>
        <v>9846.9387755102052</v>
      </c>
      <c r="BD715" s="24">
        <f>'Filter-new'!K305</f>
        <v>9854.1278708876489</v>
      </c>
      <c r="BG715" s="47">
        <f>'Filter-old'!M305</f>
        <v>8354.5918367346931</v>
      </c>
      <c r="BH715" s="219"/>
      <c r="BI715" s="219"/>
      <c r="BJ715" s="24">
        <f>'Filter-new'!M305</f>
        <v>9233.3954065797643</v>
      </c>
      <c r="BQ715" s="47">
        <f>'Filter-old'!O305</f>
        <v>8890.0346172099216</v>
      </c>
      <c r="BR715" s="24">
        <f>'Filter-new'!O305</f>
        <v>9050.2793296089385</v>
      </c>
      <c r="BU715" s="47">
        <f>'Filter-old'!Q305</f>
        <v>7679.5753167600051</v>
      </c>
      <c r="BV715" s="24">
        <f>'Filter-new'!Q305</f>
        <v>8315.3320918684058</v>
      </c>
      <c r="CA715" s="47">
        <f>'Filter-old'!R305</f>
        <v>8354.5918367346931</v>
      </c>
      <c r="CB715" s="24">
        <f>'Filter-new'!R305</f>
        <v>9000.6207324643074</v>
      </c>
    </row>
    <row r="716" spans="1:80" hidden="1" x14ac:dyDescent="0.2">
      <c r="A716">
        <v>0</v>
      </c>
      <c r="B716" s="29">
        <v>38657</v>
      </c>
      <c r="C716" s="29">
        <f>'Filter-new'!C306</f>
        <v>38657</v>
      </c>
      <c r="K716" s="47">
        <f>'Filter-old'!E306</f>
        <v>8163.2701977260622</v>
      </c>
      <c r="L716" s="24">
        <f>'Filter-new'!E306</f>
        <v>8583.2839359810314</v>
      </c>
      <c r="O716" s="444"/>
      <c r="Q716" s="47">
        <f>'Filter-old'!H306</f>
        <v>8777.787741250675</v>
      </c>
      <c r="R716" s="24">
        <f>'Filter-new'!H306</f>
        <v>8212.8037937166555</v>
      </c>
      <c r="W716" s="47">
        <f>'Filter-old'!J306</f>
        <v>9914.1592456145008</v>
      </c>
      <c r="X716" s="24">
        <f>'Filter-new'!J306</f>
        <v>8583.2839359810314</v>
      </c>
      <c r="AA716" s="47">
        <f>'Filter-old'!F306</f>
        <v>8163.2701977260622</v>
      </c>
      <c r="AB716" s="24">
        <f>'Filter-new'!F306</f>
        <v>8583.2839359810314</v>
      </c>
      <c r="AE716" s="47">
        <f>'Filter-old'!P306</f>
        <v>8102.0796431272174</v>
      </c>
      <c r="AF716" s="24">
        <f>'Filter-new'!P306</f>
        <v>9988.1446354475393</v>
      </c>
      <c r="AI716" s="47">
        <f>'Filter-old'!L306</f>
        <v>13203.452527743528</v>
      </c>
      <c r="AJ716" s="24">
        <f>'Filter-new'!L306</f>
        <v>8864.8488441019563</v>
      </c>
      <c r="AO716" s="47">
        <f>'Filter-old'!G306</f>
        <v>7398.2727953890835</v>
      </c>
      <c r="AP716" s="24">
        <f>'Filter-new'!G306</f>
        <v>8085.3586247777112</v>
      </c>
      <c r="AS716" s="47"/>
      <c r="AT716" s="24"/>
      <c r="AW716" s="47">
        <f>'Filter-old'!I306</f>
        <v>7978.7747045627511</v>
      </c>
      <c r="AX716" s="24">
        <f>'Filter-new'!I306</f>
        <v>8435.0918790752821</v>
      </c>
      <c r="BC716" s="47">
        <f>'Filter-old'!K306</f>
        <v>9519.1122071516656</v>
      </c>
      <c r="BD716" s="24">
        <f>'Filter-new'!K306</f>
        <v>9410.1956135151158</v>
      </c>
      <c r="BG716" s="47">
        <f>'Filter-old'!M306</f>
        <v>8076.4488286066598</v>
      </c>
      <c r="BH716" s="219"/>
      <c r="BI716" s="219"/>
      <c r="BJ716" s="24">
        <f>'Filter-new'!M306</f>
        <v>8817.4273858921151</v>
      </c>
      <c r="BQ716" s="47">
        <f>'Filter-old'!O306</f>
        <v>8594.0655239119351</v>
      </c>
      <c r="BR716" s="24">
        <f>'Filter-new'!O306</f>
        <v>8642.5607587433315</v>
      </c>
      <c r="BU716" s="47">
        <f>'Filter-old'!Q306</f>
        <v>7448.5656512503856</v>
      </c>
      <c r="BV716" s="24">
        <f>'Filter-new'!Q306</f>
        <v>7970.3615886188491</v>
      </c>
      <c r="CA716" s="47">
        <f>'Filter-old'!R306</f>
        <v>8076.4488286066598</v>
      </c>
      <c r="CB716" s="24">
        <f>'Filter-new'!R306</f>
        <v>8595.1393005334903</v>
      </c>
    </row>
    <row r="717" spans="1:80" hidden="1" x14ac:dyDescent="0.2">
      <c r="A717">
        <v>0</v>
      </c>
      <c r="B717" s="29">
        <v>38687</v>
      </c>
      <c r="C717" s="29">
        <f>'Filter-new'!C307</f>
        <v>38687</v>
      </c>
      <c r="K717" s="47">
        <f>'Filter-old'!E307</f>
        <v>7924.1191231265557</v>
      </c>
      <c r="L717" s="24">
        <f>'Filter-new'!E307</f>
        <v>8382.1438726187098</v>
      </c>
      <c r="O717" s="444"/>
      <c r="Q717" s="47">
        <f>'Filter-old'!H307</f>
        <v>8614.302933358349</v>
      </c>
      <c r="R717" s="24">
        <f>'Filter-new'!H307</f>
        <v>8026.7273244242251</v>
      </c>
      <c r="W717" s="47">
        <f>'Filter-old'!J307</f>
        <v>9775.012432817628</v>
      </c>
      <c r="X717" s="24">
        <f>'Filter-new'!J307</f>
        <v>8382.1438726187098</v>
      </c>
      <c r="AA717" s="47">
        <f>'Filter-old'!F307</f>
        <v>7924.1191231265557</v>
      </c>
      <c r="AB717" s="24">
        <f>'Filter-new'!F307</f>
        <v>8382.1438726187098</v>
      </c>
      <c r="AE717" s="47">
        <f>'Filter-old'!P307</f>
        <v>7864.9001019097732</v>
      </c>
      <c r="AF717" s="24">
        <f>'Filter-new'!P307</f>
        <v>9843.6167187944266</v>
      </c>
      <c r="AI717" s="47">
        <f>'Filter-old'!L307</f>
        <v>12778.042959427205</v>
      </c>
      <c r="AJ717" s="24">
        <f>'Filter-new'!L307</f>
        <v>8652.260449246518</v>
      </c>
      <c r="AO717" s="47">
        <f>'Filter-old'!G307</f>
        <v>7398.567108664136</v>
      </c>
      <c r="AP717" s="24">
        <f>'Filter-new'!G307</f>
        <v>8012.5106624964455</v>
      </c>
      <c r="AS717" s="47"/>
      <c r="AT717" s="24"/>
      <c r="AW717" s="47">
        <f>'Filter-old'!I307</f>
        <v>7715.7350599339006</v>
      </c>
      <c r="AX717" s="24">
        <f>'Filter-new'!I307</f>
        <v>8239.9772533409159</v>
      </c>
      <c r="BC717" s="47">
        <f>'Filter-old'!K307</f>
        <v>9212.410501193317</v>
      </c>
      <c r="BD717" s="24">
        <f>'Filter-new'!K307</f>
        <v>9027.5803241398917</v>
      </c>
      <c r="BG717" s="47">
        <f>'Filter-old'!M307</f>
        <v>7816.2291169451064</v>
      </c>
      <c r="BH717" s="219"/>
      <c r="BI717" s="219"/>
      <c r="BJ717" s="24">
        <f>'Filter-new'!M307</f>
        <v>8458.913847028718</v>
      </c>
      <c r="BQ717" s="47">
        <f>'Filter-old'!O307</f>
        <v>8317.1684246928126</v>
      </c>
      <c r="BR717" s="24">
        <f>'Filter-new'!O307</f>
        <v>8291.157236280922</v>
      </c>
      <c r="BU717" s="47">
        <f>'Filter-old'!Q307</f>
        <v>7232.4420501053473</v>
      </c>
      <c r="BV717" s="24">
        <f>'Filter-new'!Q307</f>
        <v>7674.7227750924094</v>
      </c>
      <c r="CA717" s="47">
        <f>'Filter-old'!R307</f>
        <v>7816.2291169451064</v>
      </c>
      <c r="CB717" s="24">
        <f>'Filter-new'!R307</f>
        <v>8245.6639181120281</v>
      </c>
    </row>
    <row r="718" spans="1:80" hidden="1" x14ac:dyDescent="0.2">
      <c r="A718">
        <v>0</v>
      </c>
      <c r="B718" s="29">
        <v>38718</v>
      </c>
      <c r="C718" s="29">
        <f>'Filter-new'!C308</f>
        <v>38718</v>
      </c>
      <c r="K718" s="47">
        <f>'Filter-old'!E308</f>
        <v>9321.2533094307364</v>
      </c>
      <c r="L718" s="24">
        <f>'Filter-new'!E308</f>
        <v>8678.8732394366198</v>
      </c>
      <c r="O718" s="444"/>
      <c r="Q718" s="47">
        <f>'Filter-old'!H308</f>
        <v>9486.1743641866597</v>
      </c>
      <c r="R718" s="24">
        <f>'Filter-new'!H308</f>
        <v>8242.2535211267605</v>
      </c>
      <c r="W718" s="47">
        <f>'Filter-old'!J308</f>
        <v>11624.343213650505</v>
      </c>
      <c r="X718" s="24">
        <f>'Filter-new'!J308</f>
        <v>8819.7183098591559</v>
      </c>
      <c r="AA718" s="47">
        <f>'Filter-old'!F308</f>
        <v>9321.2533094307364</v>
      </c>
      <c r="AB718" s="24">
        <f>'Filter-new'!F308</f>
        <v>8819.7183098591559</v>
      </c>
      <c r="AE718" s="47">
        <f>'Filter-old'!P308</f>
        <v>9203.6933781993284</v>
      </c>
      <c r="AF718" s="24">
        <f>'Filter-new'!P308</f>
        <v>9509.8591549295779</v>
      </c>
      <c r="AI718" s="47">
        <f>'Filter-old'!L308</f>
        <v>15456.260315963213</v>
      </c>
      <c r="AJ718" s="24">
        <f>'Filter-new'!L308</f>
        <v>9577.4647887323936</v>
      </c>
      <c r="AO718" s="47">
        <f>'Filter-old'!G308</f>
        <v>8953.0770324980458</v>
      </c>
      <c r="AP718" s="24">
        <f>'Filter-new'!G308</f>
        <v>8512.6760563380285</v>
      </c>
      <c r="AS718" s="47"/>
      <c r="AT718" s="24"/>
      <c r="AW718" s="47">
        <f>'Filter-old'!I308</f>
        <v>9085.7966557282125</v>
      </c>
      <c r="AX718" s="24">
        <f>'Filter-new'!I308</f>
        <v>8538.0281690140855</v>
      </c>
      <c r="BC718" s="47">
        <f>'Filter-old'!K308</f>
        <v>11813.251591605753</v>
      </c>
      <c r="BD718" s="24">
        <f>'Filter-new'!K308</f>
        <v>11985.915492957745</v>
      </c>
      <c r="BG718" s="47">
        <f>'Filter-old'!M308</f>
        <v>8960.150907804762</v>
      </c>
      <c r="BH718" s="219"/>
      <c r="BI718" s="219"/>
      <c r="BJ718" s="24">
        <f>'Filter-new'!M308</f>
        <v>9154.929577464789</v>
      </c>
      <c r="BQ718" s="47">
        <f>'Filter-old'!O308</f>
        <v>9844.5454286927452</v>
      </c>
      <c r="BR718" s="24">
        <f>'Filter-new'!O308</f>
        <v>8907.0422535211273</v>
      </c>
      <c r="BU718" s="47">
        <f>'Filter-old'!Q308</f>
        <v>9286.2207241368669</v>
      </c>
      <c r="BV718" s="24">
        <f>'Filter-new'!Q308</f>
        <v>8138.5915492957747</v>
      </c>
      <c r="CA718" s="47">
        <f>'Filter-old'!R308</f>
        <v>8960.150907804762</v>
      </c>
      <c r="CB718" s="24">
        <f>'Filter-new'!R308</f>
        <v>8943.6619718309867</v>
      </c>
    </row>
    <row r="719" spans="1:80" hidden="1" x14ac:dyDescent="0.2">
      <c r="A719">
        <v>0</v>
      </c>
      <c r="B719" s="29">
        <v>38749</v>
      </c>
      <c r="C719" s="29">
        <f>'Filter-new'!C309</f>
        <v>38749</v>
      </c>
      <c r="K719" s="47">
        <f>'Filter-old'!E309</f>
        <v>9503.1367927425163</v>
      </c>
      <c r="L719" s="24">
        <f>'Filter-new'!E309</f>
        <v>8445.9072696050371</v>
      </c>
      <c r="O719" s="444"/>
      <c r="Q719" s="47">
        <f>'Filter-old'!H309</f>
        <v>9915.8045333651353</v>
      </c>
      <c r="R719" s="24">
        <f>'Filter-new'!H309</f>
        <v>8002.2896393817964</v>
      </c>
      <c r="W719" s="47">
        <f>'Filter-old'!J309</f>
        <v>11471.947506449622</v>
      </c>
      <c r="X719" s="24">
        <f>'Filter-new'!J309</f>
        <v>8589.0097309673729</v>
      </c>
      <c r="AA719" s="47">
        <f>'Filter-old'!F309</f>
        <v>9503.1367927425163</v>
      </c>
      <c r="AB719" s="24">
        <f>'Filter-new'!F309</f>
        <v>8589.0097309673729</v>
      </c>
      <c r="AE719" s="47">
        <f>'Filter-old'!P309</f>
        <v>9382.2123036926987</v>
      </c>
      <c r="AF719" s="24">
        <f>'Filter-new'!P309</f>
        <v>9576.4167143674858</v>
      </c>
      <c r="AI719" s="47">
        <f>'Filter-old'!L309</f>
        <v>15898.617511520737</v>
      </c>
      <c r="AJ719" s="24">
        <f>'Filter-new'!L309</f>
        <v>9444.7624499141384</v>
      </c>
      <c r="AO719" s="47">
        <f>'Filter-old'!G309</f>
        <v>8930.3891230288718</v>
      </c>
      <c r="AP719" s="24">
        <f>'Filter-new'!G309</f>
        <v>8434.4590726960487</v>
      </c>
      <c r="AS719" s="47"/>
      <c r="AT719" s="24"/>
      <c r="AW719" s="47">
        <f>'Filter-old'!I309</f>
        <v>9200.3059248423469</v>
      </c>
      <c r="AX719" s="24">
        <f>'Filter-new'!I309</f>
        <v>8302.8048082427013</v>
      </c>
      <c r="BC719" s="47">
        <f>'Filter-old'!K309</f>
        <v>12151.346107203493</v>
      </c>
      <c r="BD719" s="24">
        <f>'Filter-new'!K309</f>
        <v>12178.019461934744</v>
      </c>
      <c r="BG719" s="47">
        <f>'Filter-old'!M309</f>
        <v>9216.5898617511521</v>
      </c>
      <c r="BH719" s="219"/>
      <c r="BI719" s="219"/>
      <c r="BJ719" s="24">
        <f>'Filter-new'!M309</f>
        <v>9301.6599885518026</v>
      </c>
      <c r="BQ719" s="47">
        <f>'Filter-old'!O309</f>
        <v>10185.720039865446</v>
      </c>
      <c r="BR719" s="24">
        <f>'Filter-new'!O309</f>
        <v>8763.5947338294209</v>
      </c>
      <c r="BU719" s="47">
        <f>'Filter-old'!Q309</f>
        <v>9467.1015770667218</v>
      </c>
      <c r="BV719" s="24">
        <f>'Filter-new'!Q309</f>
        <v>8198.3400114481974</v>
      </c>
      <c r="CA719" s="47">
        <f>'Filter-old'!R309</f>
        <v>9216.5898617511521</v>
      </c>
      <c r="CB719" s="24">
        <f>'Filter-new'!R309</f>
        <v>9087.0062965082998</v>
      </c>
    </row>
    <row r="720" spans="1:80" hidden="1" x14ac:dyDescent="0.2">
      <c r="A720">
        <v>0</v>
      </c>
      <c r="B720" s="29">
        <v>38777</v>
      </c>
      <c r="C720" s="29">
        <f>'Filter-new'!C310</f>
        <v>38777</v>
      </c>
      <c r="K720" s="47">
        <f>'Filter-old'!E310</f>
        <v>8557.6885374802605</v>
      </c>
      <c r="L720" s="24">
        <f>'Filter-new'!E310</f>
        <v>8457.1938168846609</v>
      </c>
      <c r="O720" s="444"/>
      <c r="Q720" s="47">
        <f>'Filter-old'!H310</f>
        <v>8483.344630191199</v>
      </c>
      <c r="R720" s="24">
        <f>'Filter-new'!H310</f>
        <v>7996.4328180737211</v>
      </c>
      <c r="W720" s="47">
        <f>'Filter-old'!J310</f>
        <v>10162.134576859629</v>
      </c>
      <c r="X720" s="24">
        <f>'Filter-new'!J310</f>
        <v>8680.1426872770517</v>
      </c>
      <c r="AA720" s="47">
        <f>'Filter-old'!F310</f>
        <v>8557.6885374802605</v>
      </c>
      <c r="AB720" s="24">
        <f>'Filter-new'!F310</f>
        <v>8680.1426872770517</v>
      </c>
      <c r="AE720" s="47">
        <f>'Filter-old'!P310</f>
        <v>8370.5624840910859</v>
      </c>
      <c r="AF720" s="24">
        <f>'Filter-new'!P310</f>
        <v>9111.177170035673</v>
      </c>
      <c r="AI720" s="47">
        <f>'Filter-old'!L310</f>
        <v>13170.426065162905</v>
      </c>
      <c r="AJ720" s="24">
        <f>'Filter-new'!L310</f>
        <v>9411.4149821640913</v>
      </c>
      <c r="AO720" s="47">
        <f>'Filter-old'!G310</f>
        <v>8358.3942690588774</v>
      </c>
      <c r="AP720" s="24">
        <f>'Filter-new'!G310</f>
        <v>8295.4815695600482</v>
      </c>
      <c r="AS720" s="47"/>
      <c r="AT720" s="24"/>
      <c r="AW720" s="47">
        <f>'Filter-old'!I310</f>
        <v>8495.8757672991051</v>
      </c>
      <c r="AX720" s="24">
        <f>'Filter-new'!I310</f>
        <v>8308.5612366230671</v>
      </c>
      <c r="BC720" s="47">
        <f>'Filter-old'!K310</f>
        <v>9824.5614035087729</v>
      </c>
      <c r="BD720" s="24">
        <f>'Filter-new'!K310</f>
        <v>10270.5112960761</v>
      </c>
      <c r="BG720" s="47">
        <f>'Filter-old'!M310</f>
        <v>8270.6766917293226</v>
      </c>
      <c r="BH720" s="219"/>
      <c r="BI720" s="219"/>
      <c r="BJ720" s="24">
        <f>'Filter-new'!M310</f>
        <v>9066.5873959571945</v>
      </c>
      <c r="BQ720" s="47">
        <f>'Filter-old'!O310</f>
        <v>9460.5276160371632</v>
      </c>
      <c r="BR720" s="24">
        <f>'Filter-new'!O310</f>
        <v>8433.4126040428073</v>
      </c>
      <c r="BU720" s="47">
        <f>'Filter-old'!Q310</f>
        <v>8458.2813999109094</v>
      </c>
      <c r="BV720" s="24">
        <f>'Filter-new'!Q310</f>
        <v>8440.8442330558864</v>
      </c>
      <c r="CA720" s="47">
        <f>'Filter-old'!R310</f>
        <v>8270.6766917293226</v>
      </c>
      <c r="CB720" s="24">
        <f>'Filter-new'!R310</f>
        <v>8843.6385255648038</v>
      </c>
    </row>
    <row r="721" spans="1:80" hidden="1" x14ac:dyDescent="0.2">
      <c r="A721">
        <v>0</v>
      </c>
      <c r="B721" s="29">
        <v>38808</v>
      </c>
      <c r="C721" s="29">
        <f>'Filter-new'!C311</f>
        <v>38808</v>
      </c>
      <c r="K721" s="47">
        <f>'Filter-old'!E311</f>
        <v>9092.0310190501168</v>
      </c>
      <c r="L721" s="24">
        <f>'Filter-new'!E311</f>
        <v>8933.6269267065109</v>
      </c>
      <c r="O721" s="444"/>
      <c r="Q721" s="47">
        <f>'Filter-old'!H311</f>
        <v>8895.8068526840707</v>
      </c>
      <c r="R721" s="24">
        <f>'Filter-new'!H311</f>
        <v>8446.0522176785162</v>
      </c>
      <c r="W721" s="47">
        <f>'Filter-old'!J311</f>
        <v>10104.313974468216</v>
      </c>
      <c r="X721" s="24">
        <f>'Filter-new'!J311</f>
        <v>9169.5501730103806</v>
      </c>
      <c r="AA721" s="47">
        <f>'Filter-old'!F311</f>
        <v>9092.0310190501168</v>
      </c>
      <c r="AB721" s="24">
        <f>'Filter-new'!F311</f>
        <v>9169.5501730103806</v>
      </c>
      <c r="AE721" s="47">
        <f>'Filter-old'!P311</f>
        <v>8895.8068526840707</v>
      </c>
      <c r="AF721" s="24">
        <f>'Filter-new'!P311</f>
        <v>9484.1145014155409</v>
      </c>
      <c r="AI721" s="47">
        <f>'Filter-old'!L311</f>
        <v>13810.7752956636</v>
      </c>
      <c r="AJ721" s="24">
        <f>'Filter-new'!L311</f>
        <v>9943.3784208870711</v>
      </c>
      <c r="AO721" s="47">
        <f>'Filter-old'!G311</f>
        <v>8396.8440493208982</v>
      </c>
      <c r="AP721" s="24">
        <f>'Filter-new'!G311</f>
        <v>9024.8505819440088</v>
      </c>
      <c r="AS721" s="47"/>
      <c r="AT721" s="24"/>
      <c r="AW721" s="47">
        <f>'Filter-old'!I311</f>
        <v>8830.1038303450441</v>
      </c>
      <c r="AX721" s="24">
        <f>'Filter-new'!I311</f>
        <v>8776.3447625039316</v>
      </c>
      <c r="BC721" s="47">
        <f>'Filter-old'!K311</f>
        <v>10302.233902759526</v>
      </c>
      <c r="BD721" s="24">
        <f>'Filter-new'!K311</f>
        <v>10946.838628499527</v>
      </c>
      <c r="BG721" s="47">
        <f>'Filter-old'!M311</f>
        <v>8541.3929040735875</v>
      </c>
      <c r="BH721" s="219"/>
      <c r="BI721" s="219"/>
      <c r="BJ721" s="24">
        <f>'Filter-new'!M311</f>
        <v>9594.2120163573454</v>
      </c>
      <c r="BQ721" s="47">
        <f>'Filter-old'!O311</f>
        <v>9986.2027262262854</v>
      </c>
      <c r="BR721" s="24">
        <f>'Filter-new'!O311</f>
        <v>8924.1899968543567</v>
      </c>
      <c r="BU721" s="47">
        <f>'Filter-old'!Q311</f>
        <v>8987.7906829392869</v>
      </c>
      <c r="BV721" s="24">
        <f>'Filter-new'!Q311</f>
        <v>8932.3686693928921</v>
      </c>
      <c r="CA721" s="47">
        <f>'Filter-old'!R311</f>
        <v>8541.3929040735875</v>
      </c>
      <c r="CB721" s="24">
        <f>'Filter-new'!R311</f>
        <v>9358.2887700534775</v>
      </c>
    </row>
    <row r="722" spans="1:80" hidden="1" x14ac:dyDescent="0.2">
      <c r="A722">
        <v>0</v>
      </c>
      <c r="B722" s="29">
        <v>38838</v>
      </c>
      <c r="C722" s="29">
        <f>'Filter-new'!C312</f>
        <v>38838</v>
      </c>
      <c r="K722" s="47">
        <f>'Filter-old'!E312</f>
        <v>10738.753769865778</v>
      </c>
      <c r="L722" s="24">
        <f>'Filter-new'!E312</f>
        <v>9220.2268431001885</v>
      </c>
      <c r="O722" s="444"/>
      <c r="Q722" s="47">
        <f>'Filter-old'!H312</f>
        <v>9105.023973387064</v>
      </c>
      <c r="R722" s="24">
        <f>'Filter-new'!H312</f>
        <v>8747.6370510396973</v>
      </c>
      <c r="W722" s="47">
        <f>'Filter-old'!J312</f>
        <v>10920.79494310462</v>
      </c>
      <c r="X722" s="24">
        <f>'Filter-new'!J312</f>
        <v>9535.2867044738505</v>
      </c>
      <c r="AA722" s="47">
        <f>'Filter-old'!F312</f>
        <v>10738.753769865778</v>
      </c>
      <c r="AB722" s="24">
        <f>'Filter-new'!F312</f>
        <v>9535.2867044738505</v>
      </c>
      <c r="AE722" s="47">
        <f>'Filter-old'!P312</f>
        <v>11173.535775447239</v>
      </c>
      <c r="AF722" s="24">
        <f>'Filter-new'!P312</f>
        <v>8133.2703213610603</v>
      </c>
      <c r="AI722" s="47">
        <f>'Filter-old'!L312</f>
        <v>14110.671936758892</v>
      </c>
      <c r="AJ722" s="24">
        <f>'Filter-new'!L312</f>
        <v>10798.676748582231</v>
      </c>
      <c r="AO722" s="47">
        <f>'Filter-old'!G312</f>
        <v>9328.065653563488</v>
      </c>
      <c r="AP722" s="24">
        <f>'Filter-new'!G312</f>
        <v>9656.5847511027096</v>
      </c>
      <c r="AS722" s="47"/>
      <c r="AT722" s="24"/>
      <c r="AW722" s="47">
        <f>'Filter-old'!I312</f>
        <v>9223.6012495239411</v>
      </c>
      <c r="AX722" s="24">
        <f>'Filter-new'!I312</f>
        <v>9062.6969124133575</v>
      </c>
      <c r="BC722" s="47">
        <f>'Filter-old'!K312</f>
        <v>10329.380764163374</v>
      </c>
      <c r="BD722" s="24">
        <f>'Filter-new'!K312</f>
        <v>10964.083175803402</v>
      </c>
      <c r="BG722" s="47">
        <f>'Filter-old'!M312</f>
        <v>9683.794466403162</v>
      </c>
      <c r="BH722" s="219"/>
      <c r="BI722" s="219"/>
      <c r="BJ722" s="24">
        <f>'Filter-new'!M312</f>
        <v>9845.6206679269071</v>
      </c>
      <c r="BQ722" s="47">
        <f>'Filter-old'!O312</f>
        <v>11331.63914535985</v>
      </c>
      <c r="BR722" s="24">
        <f>'Filter-new'!O312</f>
        <v>9631.3799621928174</v>
      </c>
      <c r="BU722" s="47">
        <f>'Filter-old'!Q312</f>
        <v>9249.9513085808831</v>
      </c>
      <c r="BV722" s="24">
        <f>'Filter-new'!Q312</f>
        <v>9530.8758664146208</v>
      </c>
      <c r="CA722" s="47">
        <f>'Filter-old'!R312</f>
        <v>9683.794466403162</v>
      </c>
      <c r="CB722" s="24">
        <f>'Filter-new'!R312</f>
        <v>9924.3856332703217</v>
      </c>
    </row>
    <row r="723" spans="1:80" hidden="1" x14ac:dyDescent="0.2">
      <c r="A723">
        <v>0</v>
      </c>
      <c r="B723" s="29">
        <v>38869</v>
      </c>
      <c r="C723" s="29">
        <f>'Filter-new'!C313</f>
        <v>38869</v>
      </c>
      <c r="K723" s="47">
        <f>'Filter-old'!E313</f>
        <v>9985.0841055212604</v>
      </c>
      <c r="L723" s="24">
        <f>'Filter-new'!E313</f>
        <v>11040.822686195077</v>
      </c>
      <c r="O723" s="444"/>
      <c r="Q723" s="47">
        <f>'Filter-old'!H313</f>
        <v>8484.170505938906</v>
      </c>
      <c r="R723" s="24">
        <f>'Filter-new'!H313</f>
        <v>10526.64381427236</v>
      </c>
      <c r="W723" s="47">
        <f>'Filter-old'!J313</f>
        <v>8217.7765840526918</v>
      </c>
      <c r="X723" s="24">
        <f>'Filter-new'!J313</f>
        <v>11508.258024306637</v>
      </c>
      <c r="AA723" s="47">
        <f>'Filter-old'!F313</f>
        <v>9985.0841055212604</v>
      </c>
      <c r="AB723" s="24">
        <f>'Filter-new'!F313</f>
        <v>11508.258024306637</v>
      </c>
      <c r="AE723" s="47">
        <f>'Filter-old'!P313</f>
        <v>11512.100152015933</v>
      </c>
      <c r="AF723" s="24">
        <f>'Filter-new'!P313</f>
        <v>9794.3284512309128</v>
      </c>
      <c r="AI723" s="47">
        <f>'Filter-old'!L313</f>
        <v>18676.585747846511</v>
      </c>
      <c r="AJ723" s="24">
        <f>'Filter-new'!L313</f>
        <v>12066.0641944531</v>
      </c>
      <c r="AO723" s="47">
        <f>'Filter-old'!G313</f>
        <v>9266.5090538508812</v>
      </c>
      <c r="AP723" s="24">
        <f>'Filter-new'!G313</f>
        <v>10813.337488314117</v>
      </c>
      <c r="AS723" s="47"/>
      <c r="AT723" s="24"/>
      <c r="AW723" s="47">
        <f>'Filter-old'!I313</f>
        <v>9985.0841055212604</v>
      </c>
      <c r="AX723" s="24">
        <f>'Filter-new'!I313</f>
        <v>10885.010906824557</v>
      </c>
      <c r="BC723" s="47">
        <f>'Filter-old'!K313</f>
        <v>12033.411641868963</v>
      </c>
      <c r="BD723" s="24">
        <f>'Filter-new'!K313</f>
        <v>12324.711748208163</v>
      </c>
      <c r="BG723" s="47">
        <f>'Filter-old'!M313</f>
        <v>12529.365700861392</v>
      </c>
      <c r="BH723" s="219"/>
      <c r="BI723" s="219"/>
      <c r="BJ723" s="24">
        <f>'Filter-new'!M313</f>
        <v>12932.377687753195</v>
      </c>
      <c r="BQ723" s="47">
        <f>'Filter-old'!O313</f>
        <v>11551.254818128935</v>
      </c>
      <c r="BR723" s="24">
        <f>'Filter-new'!O313</f>
        <v>11679.65098161421</v>
      </c>
      <c r="BU723" s="47">
        <f>'Filter-old'!Q313</f>
        <v>10272.215004534859</v>
      </c>
      <c r="BV723" s="24">
        <f>'Filter-new'!Q313</f>
        <v>11727.952633219071</v>
      </c>
      <c r="CA723" s="47">
        <f>'Filter-old'!R313</f>
        <v>12529.365700861392</v>
      </c>
      <c r="CB723" s="24">
        <f>'Filter-new'!R313</f>
        <v>13010.283577438453</v>
      </c>
    </row>
    <row r="724" spans="1:80" hidden="1" x14ac:dyDescent="0.2">
      <c r="A724">
        <v>0</v>
      </c>
      <c r="B724" s="29">
        <v>38899</v>
      </c>
      <c r="C724" s="29">
        <f>'Filter-new'!C314</f>
        <v>38899</v>
      </c>
      <c r="K724" s="47">
        <f>'Filter-old'!E314</f>
        <v>13104.934692382813</v>
      </c>
      <c r="L724" s="24">
        <f>'Filter-new'!E314</f>
        <v>14941.520467836257</v>
      </c>
      <c r="O724" s="444"/>
      <c r="Q724" s="47">
        <f>'Filter-old'!H314</f>
        <v>10695.140877949823</v>
      </c>
      <c r="R724" s="24">
        <f>'Filter-new'!H314</f>
        <v>14310.557094490612</v>
      </c>
      <c r="W724" s="47">
        <f>'Filter-old'!J314</f>
        <v>10122.42268041237</v>
      </c>
      <c r="X724" s="24">
        <f>'Filter-new'!J314</f>
        <v>15710.987996306556</v>
      </c>
      <c r="AA724" s="47">
        <f>'Filter-old'!F314</f>
        <v>13104.934692382813</v>
      </c>
      <c r="AB724" s="24">
        <f>'Filter-new'!F314</f>
        <v>15710.987996306556</v>
      </c>
      <c r="AE724" s="47">
        <f>'Filter-old'!P314</f>
        <v>13955.450942835858</v>
      </c>
      <c r="AF724" s="24">
        <f>'Filter-new'!P314</f>
        <v>11986.76515851031</v>
      </c>
      <c r="AI724" s="47">
        <f>'Filter-old'!L314</f>
        <v>25141.752577319585</v>
      </c>
      <c r="AJ724" s="24">
        <f>'Filter-new'!L314</f>
        <v>14479.839950754078</v>
      </c>
      <c r="AO724" s="47">
        <f>'Filter-old'!G314</f>
        <v>11662.369167681822</v>
      </c>
      <c r="AP724" s="24">
        <f>'Filter-new'!G314</f>
        <v>13619.575253924284</v>
      </c>
      <c r="AS724" s="47"/>
      <c r="AT724" s="24"/>
      <c r="AW724" s="47">
        <f>'Filter-old'!I314</f>
        <v>14309.831992867068</v>
      </c>
      <c r="AX724" s="24">
        <f>'Filter-new'!I314</f>
        <v>14787.626962142198</v>
      </c>
      <c r="BC724" s="47">
        <f>'Filter-old'!K314</f>
        <v>14909.793814432991</v>
      </c>
      <c r="BD724" s="24">
        <f>'Filter-new'!K314</f>
        <v>14404.432132963988</v>
      </c>
      <c r="BG724" s="47">
        <f>'Filter-old'!M314</f>
        <v>15721.649484536083</v>
      </c>
      <c r="BH724" s="219"/>
      <c r="BI724" s="219"/>
      <c r="BJ724" s="24">
        <f>'Filter-new'!M314</f>
        <v>16158.81809787627</v>
      </c>
      <c r="BQ724" s="47">
        <f>'Filter-old'!O314</f>
        <v>15682.254280011681</v>
      </c>
      <c r="BR724" s="24">
        <f>'Filter-new'!O314</f>
        <v>14558.325638658047</v>
      </c>
      <c r="BU724" s="47">
        <f>'Filter-old'!Q314</f>
        <v>15205.45015630034</v>
      </c>
      <c r="BV724" s="24">
        <f>'Filter-new'!Q314</f>
        <v>15026.777469990768</v>
      </c>
      <c r="CA724" s="47">
        <f>'Filter-old'!R314</f>
        <v>15721.649484536083</v>
      </c>
      <c r="CB724" s="24">
        <f>'Filter-new'!R314</f>
        <v>15543.24407510003</v>
      </c>
    </row>
    <row r="725" spans="1:80" hidden="1" x14ac:dyDescent="0.2">
      <c r="A725">
        <v>0</v>
      </c>
      <c r="B725" s="29">
        <v>38930</v>
      </c>
      <c r="C725" s="29">
        <f>'Filter-new'!C315</f>
        <v>38930</v>
      </c>
      <c r="K725" s="47">
        <f>'Filter-old'!E315</f>
        <v>12954.687033489252</v>
      </c>
      <c r="L725" s="24">
        <f>'Filter-new'!E315</f>
        <v>14708.117968987533</v>
      </c>
      <c r="O725" s="444"/>
      <c r="Q725" s="47">
        <f>'Filter-old'!H315</f>
        <v>10572.521428393709</v>
      </c>
      <c r="R725" s="24">
        <f>'Filter-new'!H315</f>
        <v>14084.828215262998</v>
      </c>
      <c r="W725" s="47">
        <f>'Filter-old'!J315</f>
        <v>10006.369426751591</v>
      </c>
      <c r="X725" s="24">
        <f>'Filter-new'!J315</f>
        <v>15468.227424749162</v>
      </c>
      <c r="AA725" s="47">
        <f>'Filter-old'!F315</f>
        <v>12954.687033489252</v>
      </c>
      <c r="AB725" s="24">
        <f>'Filter-new'!F315</f>
        <v>15468.227424749162</v>
      </c>
      <c r="AE725" s="47">
        <f>'Filter-old'!P315</f>
        <v>13795.452142217357</v>
      </c>
      <c r="AF725" s="24">
        <f>'Filter-new'!P315</f>
        <v>11789.297658862875</v>
      </c>
      <c r="AI725" s="47">
        <f>'Filter-old'!L315</f>
        <v>24978.343949044589</v>
      </c>
      <c r="AJ725" s="24">
        <f>'Filter-new'!L315</f>
        <v>14556.096077835207</v>
      </c>
      <c r="AO725" s="47">
        <f>'Filter-old'!G315</f>
        <v>11528.662420382165</v>
      </c>
      <c r="AP725" s="24">
        <f>'Filter-new'!G315</f>
        <v>13332.319854058984</v>
      </c>
      <c r="AS725" s="47"/>
      <c r="AT725" s="24"/>
      <c r="AW725" s="47">
        <f>'Filter-old'!I315</f>
        <v>14113.923091038017</v>
      </c>
      <c r="AX725" s="24">
        <f>'Filter-new'!I315</f>
        <v>14556.096077835207</v>
      </c>
      <c r="BC725" s="47">
        <f>'Filter-old'!K315</f>
        <v>14738.853503184713</v>
      </c>
      <c r="BD725" s="24">
        <f>'Filter-new'!K315</f>
        <v>14229.249011857706</v>
      </c>
      <c r="BG725" s="47">
        <f>'Filter-old'!M315</f>
        <v>15541.401273885351</v>
      </c>
      <c r="BH725" s="219"/>
      <c r="BI725" s="219"/>
      <c r="BJ725" s="24">
        <f>'Filter-new'!M315</f>
        <v>15962.298570994222</v>
      </c>
      <c r="BQ725" s="47">
        <f>'Filter-old'!O315</f>
        <v>15502.457734126196</v>
      </c>
      <c r="BR725" s="24">
        <f>'Filter-new'!O315</f>
        <v>14077.22712070538</v>
      </c>
      <c r="BU725" s="47">
        <f>'Filter-old'!Q315</f>
        <v>15031.12015450836</v>
      </c>
      <c r="BV725" s="24">
        <f>'Filter-new'!Q315</f>
        <v>14920.036485253877</v>
      </c>
      <c r="CA725" s="47">
        <f>'Filter-old'!R315</f>
        <v>15541.401273885351</v>
      </c>
      <c r="CB725" s="24">
        <f>'Filter-new'!R315</f>
        <v>15354.21100638492</v>
      </c>
    </row>
    <row r="726" spans="1:80" hidden="1" x14ac:dyDescent="0.2">
      <c r="A726">
        <v>0</v>
      </c>
      <c r="B726" s="29">
        <v>38961</v>
      </c>
      <c r="C726" s="29">
        <f>'Filter-new'!C316</f>
        <v>38961</v>
      </c>
      <c r="K726" s="47">
        <f>'Filter-old'!E316</f>
        <v>8940.0152708967471</v>
      </c>
      <c r="L726" s="24">
        <f>'Filter-new'!E316</f>
        <v>8490.2200488997569</v>
      </c>
      <c r="O726" s="444"/>
      <c r="Q726" s="47">
        <f>'Filter-old'!H316</f>
        <v>7401.359069141221</v>
      </c>
      <c r="R726" s="24">
        <f>'Filter-new'!H316</f>
        <v>8108.1907090464556</v>
      </c>
      <c r="W726" s="47">
        <f>'Filter-old'!J316</f>
        <v>8888.4572507406174</v>
      </c>
      <c r="X726" s="24">
        <f>'Filter-new'!J316</f>
        <v>8948.6552567237159</v>
      </c>
      <c r="AA726" s="47">
        <f>'Filter-old'!F316</f>
        <v>8940.0152708967471</v>
      </c>
      <c r="AB726" s="24">
        <f>'Filter-new'!F316</f>
        <v>8948.6552567237159</v>
      </c>
      <c r="AE726" s="47">
        <f>'Filter-old'!P316</f>
        <v>9512.2441149194492</v>
      </c>
      <c r="AF726" s="24">
        <f>'Filter-new'!P316</f>
        <v>7221.8826405867967</v>
      </c>
      <c r="AI726" s="47">
        <f>'Filter-old'!L316</f>
        <v>13997.965412004067</v>
      </c>
      <c r="AJ726" s="24">
        <f>'Filter-new'!L316</f>
        <v>9220.6601466992688</v>
      </c>
      <c r="AO726" s="47">
        <f>'Filter-old'!G316</f>
        <v>8456.2573282546437</v>
      </c>
      <c r="AP726" s="24">
        <f>'Filter-new'!G316</f>
        <v>9657.7017114914433</v>
      </c>
      <c r="AS726" s="47"/>
      <c r="AT726" s="24"/>
      <c r="AW726" s="47">
        <f>'Filter-old'!I316</f>
        <v>8812.8548793850932</v>
      </c>
      <c r="AX726" s="24">
        <f>'Filter-new'!I316</f>
        <v>8337.408312958436</v>
      </c>
      <c r="BC726" s="47">
        <f>'Filter-old'!K316</f>
        <v>9371.820956256357</v>
      </c>
      <c r="BD726" s="24">
        <f>'Filter-new'!K316</f>
        <v>10330.07334963325</v>
      </c>
      <c r="BG726" s="47">
        <f>'Filter-old'!M316</f>
        <v>8456.2563580874867</v>
      </c>
      <c r="BH726" s="219"/>
      <c r="BI726" s="219"/>
      <c r="BJ726" s="24">
        <f>'Filter-new'!M316</f>
        <v>9245.1100244498793</v>
      </c>
      <c r="BQ726" s="47">
        <f>'Filter-old'!O316</f>
        <v>9702.9857693708072</v>
      </c>
      <c r="BR726" s="24">
        <f>'Filter-new'!O316</f>
        <v>8316.0146699266515</v>
      </c>
      <c r="BU726" s="47">
        <f>'Filter-old'!Q316</f>
        <v>8711.1250915216897</v>
      </c>
      <c r="BV726" s="24">
        <f>'Filter-new'!Q316</f>
        <v>7778.7286063569691</v>
      </c>
      <c r="CA726" s="47">
        <f>'Filter-old'!R316</f>
        <v>8456.2563580874867</v>
      </c>
      <c r="CB726" s="24">
        <f>'Filter-new'!R316</f>
        <v>9015.8924205378989</v>
      </c>
    </row>
    <row r="727" spans="1:80" hidden="1" x14ac:dyDescent="0.2">
      <c r="A727">
        <v>0</v>
      </c>
      <c r="B727" s="29">
        <v>38991</v>
      </c>
      <c r="C727" s="29">
        <f>'Filter-new'!C317</f>
        <v>38991</v>
      </c>
      <c r="K727" s="47">
        <f>'Filter-old'!E317</f>
        <v>8624.2581256712328</v>
      </c>
      <c r="L727" s="24">
        <f>'Filter-new'!E317</f>
        <v>8459.2053381862297</v>
      </c>
      <c r="O727" s="444"/>
      <c r="Q727" s="47">
        <f>'Filter-old'!H317</f>
        <v>8357.0528512049204</v>
      </c>
      <c r="R727" s="24">
        <f>'Filter-new'!H317</f>
        <v>8080.0727934485894</v>
      </c>
      <c r="W727" s="47">
        <f>'Filter-old'!J317</f>
        <v>10013.888580630524</v>
      </c>
      <c r="X727" s="24">
        <f>'Filter-new'!J317</f>
        <v>8459.2053381862297</v>
      </c>
      <c r="AA727" s="47">
        <f>'Filter-old'!F317</f>
        <v>8624.2581256712328</v>
      </c>
      <c r="AB727" s="24">
        <f>'Filter-new'!F317</f>
        <v>8459.2053381862297</v>
      </c>
      <c r="AE727" s="47">
        <f>'Filter-old'!P317</f>
        <v>8561.5996158484249</v>
      </c>
      <c r="AF727" s="24">
        <f>'Filter-new'!P317</f>
        <v>8820.1395207764635</v>
      </c>
      <c r="AI727" s="47">
        <f>'Filter-old'!L317</f>
        <v>13646.464646464647</v>
      </c>
      <c r="AJ727" s="24">
        <f>'Filter-new'!L317</f>
        <v>8865.6354261449796</v>
      </c>
      <c r="AO727" s="47">
        <f>'Filter-old'!G317</f>
        <v>7651.5159221610638</v>
      </c>
      <c r="AP727" s="24">
        <f>'Filter-new'!G317</f>
        <v>9044.5859872611454</v>
      </c>
      <c r="AS727" s="47"/>
      <c r="AT727" s="24"/>
      <c r="AW727" s="47">
        <f>'Filter-old'!I317</f>
        <v>8466.902646151455</v>
      </c>
      <c r="AX727" s="24">
        <f>'Filter-new'!I317</f>
        <v>8307.5523202911736</v>
      </c>
      <c r="BC727" s="47">
        <f>'Filter-old'!K317</f>
        <v>9621.2121212121219</v>
      </c>
      <c r="BD727" s="24">
        <f>'Filter-new'!K317</f>
        <v>10175.917500758263</v>
      </c>
      <c r="BG727" s="47">
        <f>'Filter-old'!M317</f>
        <v>8207.0707070707085</v>
      </c>
      <c r="BH727" s="219"/>
      <c r="BI727" s="219"/>
      <c r="BJ727" s="24">
        <f>'Filter-new'!M317</f>
        <v>9175.0075826508928</v>
      </c>
      <c r="BQ727" s="47">
        <f>'Filter-old'!O317</f>
        <v>9090.6403281471958</v>
      </c>
      <c r="BR727" s="24">
        <f>'Filter-new'!O317</f>
        <v>8786.7758568395511</v>
      </c>
      <c r="BU727" s="47">
        <f>'Filter-old'!Q317</f>
        <v>8081.8012507274889</v>
      </c>
      <c r="BV727" s="24">
        <f>'Filter-new'!Q317</f>
        <v>8226.2663026994232</v>
      </c>
      <c r="CA727" s="47">
        <f>'Filter-old'!R317</f>
        <v>8207.0707070707085</v>
      </c>
      <c r="CB727" s="24">
        <f>'Filter-new'!R317</f>
        <v>8947.5280558083105</v>
      </c>
    </row>
    <row r="728" spans="1:80" hidden="1" x14ac:dyDescent="0.2">
      <c r="A728">
        <v>0</v>
      </c>
      <c r="B728" s="29">
        <v>39022</v>
      </c>
      <c r="C728" s="29">
        <f>'Filter-new'!C318</f>
        <v>39022</v>
      </c>
      <c r="K728" s="47">
        <f>'Filter-old'!E318</f>
        <v>8364.3615755260507</v>
      </c>
      <c r="L728" s="24">
        <f>'Filter-new'!E318</f>
        <v>8042.9109886923752</v>
      </c>
      <c r="O728" s="444"/>
      <c r="Q728" s="47">
        <f>'Filter-old'!H318</f>
        <v>8936.2464690528668</v>
      </c>
      <c r="R728" s="24">
        <f>'Filter-new'!H318</f>
        <v>7680.4870977094806</v>
      </c>
      <c r="W728" s="47">
        <f>'Filter-old'!J318</f>
        <v>9878.3677023117962</v>
      </c>
      <c r="X728" s="24">
        <f>'Filter-new'!J318</f>
        <v>8042.9109886923752</v>
      </c>
      <c r="AA728" s="47">
        <f>'Filter-old'!F318</f>
        <v>8364.3615755260507</v>
      </c>
      <c r="AB728" s="24">
        <f>'Filter-new'!F318</f>
        <v>8042.9109886923752</v>
      </c>
      <c r="AE728" s="47">
        <f>'Filter-old'!P318</f>
        <v>8303.768730862239</v>
      </c>
      <c r="AF728" s="24">
        <f>'Filter-new'!P318</f>
        <v>9373.7315163815583</v>
      </c>
      <c r="AI728" s="47">
        <f>'Filter-old'!L318</f>
        <v>13196.581196581197</v>
      </c>
      <c r="AJ728" s="24">
        <f>'Filter-new'!L318</f>
        <v>8428.5300086981733</v>
      </c>
      <c r="AO728" s="47">
        <f>'Filter-old'!G318</f>
        <v>7326.0063944573221</v>
      </c>
      <c r="AP728" s="24">
        <f>'Filter-new'!G318</f>
        <v>8356.0452305015951</v>
      </c>
      <c r="AS728" s="47"/>
      <c r="AT728" s="24"/>
      <c r="AW728" s="47">
        <f>'Filter-old'!I318</f>
        <v>8181.6686087621147</v>
      </c>
      <c r="AX728" s="24">
        <f>'Filter-new'!I318</f>
        <v>7897.941432299217</v>
      </c>
      <c r="BC728" s="47">
        <f>'Filter-old'!K318</f>
        <v>9304.0293040293054</v>
      </c>
      <c r="BD728" s="24">
        <f>'Filter-new'!K318</f>
        <v>9727.4572339808637</v>
      </c>
      <c r="BG728" s="47">
        <f>'Filter-old'!M318</f>
        <v>7936.5079365079364</v>
      </c>
      <c r="BH728" s="219"/>
      <c r="BI728" s="219"/>
      <c r="BJ728" s="24">
        <f>'Filter-new'!M318</f>
        <v>8770.6581617860247</v>
      </c>
      <c r="BQ728" s="47">
        <f>'Filter-old'!O318</f>
        <v>8790.9488887577263</v>
      </c>
      <c r="BR728" s="24">
        <f>'Filter-new'!O318</f>
        <v>8399.5360974195428</v>
      </c>
      <c r="BU728" s="47">
        <f>'Filter-old'!Q318</f>
        <v>7839.7878942617717</v>
      </c>
      <c r="BV728" s="24">
        <f>'Filter-new'!Q318</f>
        <v>7892.7225282690642</v>
      </c>
      <c r="CA728" s="47">
        <f>'Filter-old'!R318</f>
        <v>7936.5079365079364</v>
      </c>
      <c r="CB728" s="24">
        <f>'Filter-new'!R318</f>
        <v>8553.2038271962901</v>
      </c>
    </row>
    <row r="729" spans="1:80" hidden="1" x14ac:dyDescent="0.2">
      <c r="A729">
        <v>0</v>
      </c>
      <c r="B729" s="29">
        <v>39052</v>
      </c>
      <c r="C729" s="29">
        <f>'Filter-new'!C319</f>
        <v>39052</v>
      </c>
      <c r="K729" s="47">
        <f>'Filter-old'!E319</f>
        <v>8121.0541668794958</v>
      </c>
      <c r="L729" s="24">
        <f>'Filter-new'!E319</f>
        <v>7533.4075723830729</v>
      </c>
      <c r="O729" s="444"/>
      <c r="Q729" s="47">
        <f>'Filter-old'!H319</f>
        <v>8769.2504233502332</v>
      </c>
      <c r="R729" s="24">
        <f>'Filter-new'!H319</f>
        <v>7185.4120267260569</v>
      </c>
      <c r="W729" s="47">
        <f>'Filter-old'!J319</f>
        <v>9741.6789819162786</v>
      </c>
      <c r="X729" s="24">
        <f>'Filter-new'!J319</f>
        <v>7533.4075723830729</v>
      </c>
      <c r="AA729" s="47">
        <f>'Filter-old'!F319</f>
        <v>8121.0541668794958</v>
      </c>
      <c r="AB729" s="24">
        <f>'Filter-new'!F319</f>
        <v>7533.4075723830729</v>
      </c>
      <c r="AE729" s="47">
        <f>'Filter-old'!P319</f>
        <v>8062.3951364070799</v>
      </c>
      <c r="AF729" s="24">
        <f>'Filter-new'!P319</f>
        <v>8922.6057906458791</v>
      </c>
      <c r="AI729" s="47">
        <f>'Filter-old'!L319</f>
        <v>12775.413711583922</v>
      </c>
      <c r="AJ729" s="24">
        <f>'Filter-new'!L319</f>
        <v>7903.6748329621378</v>
      </c>
      <c r="AO729" s="47">
        <f>'Filter-old'!G319</f>
        <v>7328.604299125941</v>
      </c>
      <c r="AP729" s="24">
        <f>'Filter-new'!G319</f>
        <v>8273.9420935412018</v>
      </c>
      <c r="AS729" s="47"/>
      <c r="AT729" s="24"/>
      <c r="AW729" s="47">
        <f>'Filter-old'!I319</f>
        <v>7914.6409992912413</v>
      </c>
      <c r="AX729" s="24">
        <f>'Filter-new'!I319</f>
        <v>7394.2093541202667</v>
      </c>
      <c r="BC729" s="47">
        <f>'Filter-old'!K319</f>
        <v>9007.0921985815603</v>
      </c>
      <c r="BD729" s="24">
        <f>'Filter-new'!K319</f>
        <v>9340.2004454342969</v>
      </c>
      <c r="BG729" s="47">
        <f>'Filter-old'!M319</f>
        <v>7683.2151300236392</v>
      </c>
      <c r="BH729" s="219"/>
      <c r="BI729" s="219"/>
      <c r="BJ729" s="24">
        <f>'Filter-new'!M319</f>
        <v>8421.4922048997778</v>
      </c>
      <c r="BQ729" s="47">
        <f>'Filter-old'!O319</f>
        <v>8510.3866901803503</v>
      </c>
      <c r="BR729" s="24">
        <f>'Filter-new'!O319</f>
        <v>8065.1447661469929</v>
      </c>
      <c r="BU729" s="47">
        <f>'Filter-old'!Q319</f>
        <v>7613.2221988470556</v>
      </c>
      <c r="BV729" s="24">
        <f>'Filter-new'!Q319</f>
        <v>7648.1069042316258</v>
      </c>
      <c r="CA729" s="47">
        <f>'Filter-old'!R319</f>
        <v>7683.2151300236392</v>
      </c>
      <c r="CB729" s="24">
        <f>'Filter-new'!R319</f>
        <v>8212.694877505568</v>
      </c>
    </row>
    <row r="730" spans="1:80" hidden="1" x14ac:dyDescent="0.2">
      <c r="A730">
        <v>0</v>
      </c>
      <c r="B730" s="29">
        <v>39083</v>
      </c>
      <c r="C730" s="29">
        <f>'Filter-new'!C320</f>
        <v>39083</v>
      </c>
      <c r="K730" s="47">
        <f>'Filter-old'!E320</f>
        <v>9270.9007889293298</v>
      </c>
      <c r="L730" s="24">
        <f>'Filter-new'!E320</f>
        <v>8358.6206896551721</v>
      </c>
      <c r="O730" s="444"/>
      <c r="Q730" s="47">
        <f>'Filter-old'!H320</f>
        <v>9666.9460448649788</v>
      </c>
      <c r="R730" s="24">
        <f>'Filter-new'!H320</f>
        <v>7931.0344827586214</v>
      </c>
      <c r="W730" s="47">
        <f>'Filter-old'!J320</f>
        <v>11605.415886528033</v>
      </c>
      <c r="X730" s="24">
        <f>'Filter-new'!J320</f>
        <v>8496.5517241379312</v>
      </c>
      <c r="AA730" s="47">
        <f>'Filter-old'!F320</f>
        <v>9270.9007889293298</v>
      </c>
      <c r="AB730" s="24">
        <f>'Filter-new'!F320</f>
        <v>8496.5517241379312</v>
      </c>
      <c r="AE730" s="47">
        <f>'Filter-old'!P320</f>
        <v>9154.7107007558516</v>
      </c>
      <c r="AF730" s="24">
        <f>'Filter-new'!P320</f>
        <v>9517.241379310346</v>
      </c>
      <c r="AI730" s="47">
        <f>'Filter-old'!L320</f>
        <v>15509.205313446748</v>
      </c>
      <c r="AJ730" s="24">
        <f>'Filter-new'!L320</f>
        <v>9351.7241379310344</v>
      </c>
      <c r="AO730" s="47">
        <f>'Filter-old'!G320</f>
        <v>9081.7990433055729</v>
      </c>
      <c r="AP730" s="24">
        <f>'Filter-new'!G320</f>
        <v>8584.8275862068967</v>
      </c>
      <c r="AS730" s="47"/>
      <c r="AT730" s="24"/>
      <c r="AW730" s="47">
        <f>'Filter-old'!I320</f>
        <v>9067.3184844892476</v>
      </c>
      <c r="AX730" s="24">
        <f>'Filter-new'!I320</f>
        <v>8220.6896551724149</v>
      </c>
      <c r="BC730" s="47">
        <f>'Filter-old'!K320</f>
        <v>11675.600093218363</v>
      </c>
      <c r="BD730" s="24">
        <f>'Filter-new'!K320</f>
        <v>11793.103448275861</v>
      </c>
      <c r="BG730" s="47">
        <f>'Filter-old'!M320</f>
        <v>8739.2216266604519</v>
      </c>
      <c r="BH730" s="219"/>
      <c r="BI730" s="219"/>
      <c r="BJ730" s="24">
        <f>'Filter-new'!M320</f>
        <v>9103.4482758620688</v>
      </c>
      <c r="BQ730" s="47">
        <f>'Filter-old'!O320</f>
        <v>9788.0953537837177</v>
      </c>
      <c r="BR730" s="24">
        <f>'Filter-new'!O320</f>
        <v>8722.7586206896558</v>
      </c>
      <c r="BU730" s="47">
        <f>'Filter-old'!Q320</f>
        <v>9178.0149361604417</v>
      </c>
      <c r="BV730" s="24">
        <f>'Filter-new'!Q320</f>
        <v>7970.2068965517237</v>
      </c>
      <c r="CA730" s="47">
        <f>'Filter-old'!R320</f>
        <v>8739.2216266604519</v>
      </c>
      <c r="CB730" s="24">
        <f>'Filter-new'!R320</f>
        <v>8896.5517241379312</v>
      </c>
    </row>
    <row r="731" spans="1:80" hidden="1" x14ac:dyDescent="0.2">
      <c r="A731">
        <v>0</v>
      </c>
      <c r="B731" s="29">
        <v>39114</v>
      </c>
      <c r="C731" s="29">
        <f>'Filter-new'!C321</f>
        <v>39114</v>
      </c>
      <c r="K731" s="47">
        <f>'Filter-old'!E321</f>
        <v>9449.1811637856208</v>
      </c>
      <c r="L731" s="24">
        <f>'Filter-new'!E321</f>
        <v>8355.2815914822095</v>
      </c>
      <c r="O731" s="444"/>
      <c r="Q731" s="47">
        <f>'Filter-old'!H321</f>
        <v>10096.540160811037</v>
      </c>
      <c r="R731" s="24">
        <f>'Filter-new'!H321</f>
        <v>7920.9862706640515</v>
      </c>
      <c r="W731" s="47">
        <f>'Filter-old'!J321</f>
        <v>11454.310943947232</v>
      </c>
      <c r="X731" s="24">
        <f>'Filter-new'!J321</f>
        <v>8495.3768562622572</v>
      </c>
      <c r="AA731" s="47">
        <f>'Filter-old'!F321</f>
        <v>9449.1811637856208</v>
      </c>
      <c r="AB731" s="24">
        <f>'Filter-new'!F321</f>
        <v>8495.3768562622572</v>
      </c>
      <c r="AE731" s="47">
        <f>'Filter-old'!P321</f>
        <v>9329.7055662892399</v>
      </c>
      <c r="AF731" s="24">
        <f>'Filter-new'!P321</f>
        <v>9812.2723451947331</v>
      </c>
      <c r="AI731" s="47">
        <f>'Filter-old'!L321</f>
        <v>15947.759405703329</v>
      </c>
      <c r="AJ731" s="24">
        <f>'Filter-new'!L321</f>
        <v>9448.0246567665999</v>
      </c>
      <c r="AO731" s="47">
        <f>'Filter-old'!G321</f>
        <v>9063.0228502870941</v>
      </c>
      <c r="AP731" s="24">
        <f>'Filter-new'!G321</f>
        <v>8509.3863827402638</v>
      </c>
      <c r="AS731" s="47"/>
      <c r="AT731" s="24"/>
      <c r="AW731" s="47">
        <f>'Filter-old'!I321</f>
        <v>9209.8876894620189</v>
      </c>
      <c r="AX731" s="24">
        <f>'Filter-new'!I321</f>
        <v>8215.1863267021581</v>
      </c>
      <c r="BC731" s="47">
        <f>'Filter-old'!K321</f>
        <v>12005.751258087708</v>
      </c>
      <c r="BD731" s="24">
        <f>'Filter-new'!K321</f>
        <v>11978.145138694312</v>
      </c>
      <c r="BG731" s="47">
        <f>'Filter-old'!M321</f>
        <v>8986.3407620416965</v>
      </c>
      <c r="BH731" s="219"/>
      <c r="BI731" s="219"/>
      <c r="BJ731" s="24">
        <f>'Filter-new'!M321</f>
        <v>9246.2874754833283</v>
      </c>
      <c r="BQ731" s="47">
        <f>'Filter-old'!O321</f>
        <v>10123.585843365739</v>
      </c>
      <c r="BR731" s="24">
        <f>'Filter-new'!O321</f>
        <v>8579.4340151302895</v>
      </c>
      <c r="BU731" s="47">
        <f>'Filter-old'!Q321</f>
        <v>9353.668775999542</v>
      </c>
      <c r="BV731" s="24">
        <f>'Filter-new'!Q321</f>
        <v>8026.0577192490882</v>
      </c>
      <c r="CA731" s="47">
        <f>'Filter-old'!R321</f>
        <v>8986.3407620416965</v>
      </c>
      <c r="CB731" s="24">
        <f>'Filter-new'!R321</f>
        <v>9036.1445783132531</v>
      </c>
    </row>
    <row r="732" spans="1:80" hidden="1" x14ac:dyDescent="0.2">
      <c r="A732">
        <v>0</v>
      </c>
      <c r="B732" s="29">
        <v>39142</v>
      </c>
      <c r="C732" s="29">
        <f>'Filter-new'!C322</f>
        <v>39142</v>
      </c>
      <c r="K732" s="47">
        <f>'Filter-old'!E322</f>
        <v>8513.6577387490688</v>
      </c>
      <c r="L732" s="24">
        <f>'Filter-new'!E322</f>
        <v>8386.1587670834542</v>
      </c>
      <c r="O732" s="444"/>
      <c r="Q732" s="47">
        <f>'Filter-old'!H322</f>
        <v>8687.7586817977462</v>
      </c>
      <c r="R732" s="24">
        <f>'Filter-new'!H322</f>
        <v>7935.4463506833381</v>
      </c>
      <c r="W732" s="47">
        <f>'Filter-old'!J322</f>
        <v>10098.246772690574</v>
      </c>
      <c r="X732" s="24">
        <f>'Filter-new'!J322</f>
        <v>8604.2454201802848</v>
      </c>
      <c r="AA732" s="47">
        <f>'Filter-old'!F322</f>
        <v>8513.6577387490688</v>
      </c>
      <c r="AB732" s="24">
        <f>'Filter-new'!F322</f>
        <v>8604.2454201802848</v>
      </c>
      <c r="AE732" s="47">
        <f>'Filter-old'!P322</f>
        <v>8328.8476018622368</v>
      </c>
      <c r="AF732" s="24">
        <f>'Filter-new'!P322</f>
        <v>9389.3573713288733</v>
      </c>
      <c r="AI732" s="47">
        <f>'Filter-old'!L322</f>
        <v>13254.950495049505</v>
      </c>
      <c r="AJ732" s="24">
        <f>'Filter-new'!L322</f>
        <v>9438.7903460308225</v>
      </c>
      <c r="AO732" s="47">
        <f>'Filter-old'!G322</f>
        <v>8502.4735479071587</v>
      </c>
      <c r="AP732" s="24">
        <f>'Filter-new'!G322</f>
        <v>8376.2721721430644</v>
      </c>
      <c r="AS732" s="47"/>
      <c r="AT732" s="24"/>
      <c r="AW732" s="47">
        <f>'Filter-old'!I322</f>
        <v>8545.4317602780793</v>
      </c>
      <c r="AX732" s="24">
        <f>'Filter-new'!I322</f>
        <v>8240.7676650189005</v>
      </c>
      <c r="BC732" s="47">
        <f>'Filter-old'!K322</f>
        <v>9702.9702970297021</v>
      </c>
      <c r="BD732" s="24">
        <f>'Filter-new'!K322</f>
        <v>10104.681593486479</v>
      </c>
      <c r="BG732" s="47">
        <f>'Filter-old'!M322</f>
        <v>8230.198019801981</v>
      </c>
      <c r="BH732" s="219"/>
      <c r="BI732" s="219"/>
      <c r="BJ732" s="24">
        <f>'Filter-new'!M322</f>
        <v>9014.2483280023262</v>
      </c>
      <c r="BQ732" s="47">
        <f>'Filter-old'!O322</f>
        <v>9405.3230663337326</v>
      </c>
      <c r="BR732" s="24">
        <f>'Filter-new'!O322</f>
        <v>8249.4911311427732</v>
      </c>
      <c r="BU732" s="47">
        <f>'Filter-old'!Q322</f>
        <v>8353.5996994169618</v>
      </c>
      <c r="BV732" s="24">
        <f>'Filter-new'!Q322</f>
        <v>8256.7606862460016</v>
      </c>
      <c r="CA732" s="47">
        <f>'Filter-old'!R322</f>
        <v>8230.198019801981</v>
      </c>
      <c r="CB732" s="24">
        <f>'Filter-new'!R322</f>
        <v>8578.075021808665</v>
      </c>
    </row>
    <row r="733" spans="1:80" hidden="1" x14ac:dyDescent="0.2">
      <c r="A733">
        <v>0</v>
      </c>
      <c r="B733" s="29">
        <v>39173</v>
      </c>
      <c r="C733" s="29">
        <f>'Filter-new'!C323</f>
        <v>39173</v>
      </c>
      <c r="K733" s="47">
        <f>'Filter-old'!E323</f>
        <v>9038.9566867667163</v>
      </c>
      <c r="L733" s="24">
        <f>'Filter-new'!E323</f>
        <v>8801.475107559927</v>
      </c>
      <c r="O733" s="444"/>
      <c r="Q733" s="47">
        <f>'Filter-old'!H323</f>
        <v>9104.6809531680647</v>
      </c>
      <c r="R733" s="24">
        <f>'Filter-new'!H323</f>
        <v>8325.1382913337438</v>
      </c>
      <c r="W733" s="47">
        <f>'Filter-old'!J323</f>
        <v>10038.110161569795</v>
      </c>
      <c r="X733" s="24">
        <f>'Filter-new'!J323</f>
        <v>9031.9606637984034</v>
      </c>
      <c r="AA733" s="47">
        <f>'Filter-old'!F323</f>
        <v>9038.9566867667163</v>
      </c>
      <c r="AB733" s="24">
        <f>'Filter-new'!F323</f>
        <v>9031.9606637984034</v>
      </c>
      <c r="AE733" s="47">
        <f>'Filter-old'!P323</f>
        <v>8845.2775809242248</v>
      </c>
      <c r="AF733" s="24">
        <f>'Filter-new'!P323</f>
        <v>9723.417332513829</v>
      </c>
      <c r="AI733" s="47">
        <f>'Filter-old'!L323</f>
        <v>13891.050583657587</v>
      </c>
      <c r="AJ733" s="24">
        <f>'Filter-new'!L323</f>
        <v>9913.9520590043012</v>
      </c>
      <c r="AO733" s="47">
        <f>'Filter-old'!G323</f>
        <v>8547.3389384347647</v>
      </c>
      <c r="AP733" s="24">
        <f>'Filter-new'!G323</f>
        <v>9093.4234787953283</v>
      </c>
      <c r="AS733" s="47"/>
      <c r="AT733" s="24"/>
      <c r="AW733" s="47">
        <f>'Filter-old'!I323</f>
        <v>8974.9792670461466</v>
      </c>
      <c r="AX733" s="24">
        <f>'Filter-new'!I323</f>
        <v>8647.8180700676094</v>
      </c>
      <c r="BC733" s="47">
        <f>'Filter-old'!K323</f>
        <v>10168.612191958497</v>
      </c>
      <c r="BD733" s="24">
        <f>'Filter-new'!K323</f>
        <v>10755.9926244622</v>
      </c>
      <c r="BG733" s="47">
        <f>'Filter-old'!M323</f>
        <v>8625.1621271076529</v>
      </c>
      <c r="BH733" s="219"/>
      <c r="BI733" s="219"/>
      <c r="BJ733" s="24">
        <f>'Filter-new'!M323</f>
        <v>9526.7363245236629</v>
      </c>
      <c r="BQ733" s="47">
        <f>'Filter-old'!O323</f>
        <v>9921.5308361325588</v>
      </c>
      <c r="BR733" s="24">
        <f>'Filter-new'!O323</f>
        <v>8718.5003073140761</v>
      </c>
      <c r="BU733" s="47">
        <f>'Filter-old'!Q323</f>
        <v>8871.2175223304748</v>
      </c>
      <c r="BV733" s="24">
        <f>'Filter-new'!Q323</f>
        <v>8726.4904732636751</v>
      </c>
      <c r="CA733" s="47">
        <f>'Filter-old'!R323</f>
        <v>8625.1621271076529</v>
      </c>
      <c r="CB733" s="24">
        <f>'Filter-new'!R323</f>
        <v>9065.7652120467119</v>
      </c>
    </row>
    <row r="734" spans="1:80" hidden="1" x14ac:dyDescent="0.2">
      <c r="A734">
        <v>0</v>
      </c>
      <c r="B734" s="29">
        <v>39203</v>
      </c>
      <c r="C734" s="29">
        <f>'Filter-new'!C324</f>
        <v>39203</v>
      </c>
      <c r="K734" s="47">
        <f>'Filter-old'!E324</f>
        <v>10664.127583001462</v>
      </c>
      <c r="L734" s="24">
        <f>'Filter-new'!E324</f>
        <v>9362.8808864265939</v>
      </c>
      <c r="O734" s="444"/>
      <c r="Q734" s="47">
        <f>'Filter-old'!H324</f>
        <v>9311.7206707422374</v>
      </c>
      <c r="R734" s="24">
        <f>'Filter-new'!H324</f>
        <v>8901.200369344413</v>
      </c>
      <c r="W734" s="47">
        <f>'Filter-old'!J324</f>
        <v>10834.048584936807</v>
      </c>
      <c r="X734" s="24">
        <f>'Filter-new'!J324</f>
        <v>9670.6678978147138</v>
      </c>
      <c r="AA734" s="47">
        <f>'Filter-old'!F324</f>
        <v>10664.127583001462</v>
      </c>
      <c r="AB734" s="24">
        <f>'Filter-new'!F324</f>
        <v>9670.6678978147138</v>
      </c>
      <c r="AE734" s="47">
        <f>'Filter-old'!P324</f>
        <v>11073.749676172383</v>
      </c>
      <c r="AF734" s="24">
        <f>'Filter-new'!P324</f>
        <v>8685.7494613727304</v>
      </c>
      <c r="AI734" s="47">
        <f>'Filter-old'!L324</f>
        <v>14187.256176853054</v>
      </c>
      <c r="AJ734" s="24">
        <f>'Filter-new'!L324</f>
        <v>11031.086488150202</v>
      </c>
      <c r="AO734" s="47">
        <f>'Filter-old'!G324</f>
        <v>9466.8424331010228</v>
      </c>
      <c r="AP734" s="24">
        <f>'Filter-new'!G324</f>
        <v>9710.6802092951675</v>
      </c>
      <c r="AS734" s="47"/>
      <c r="AT734" s="24"/>
      <c r="AW734" s="47">
        <f>'Filter-old'!I324</f>
        <v>9363.7364738474262</v>
      </c>
      <c r="AX734" s="24">
        <f>'Filter-new'!I324</f>
        <v>9208.9873807325348</v>
      </c>
      <c r="BC734" s="47">
        <f>'Filter-old'!K324</f>
        <v>10195.058517555268</v>
      </c>
      <c r="BD734" s="24">
        <f>'Filter-new'!K324</f>
        <v>10772.54539858418</v>
      </c>
      <c r="BG734" s="47">
        <f>'Filter-old'!M324</f>
        <v>9557.8673602080617</v>
      </c>
      <c r="BH734" s="219"/>
      <c r="BI734" s="219"/>
      <c r="BJ734" s="24">
        <f>'Filter-new'!M324</f>
        <v>9695.2908587257607</v>
      </c>
      <c r="BQ734" s="47">
        <f>'Filter-old'!O324</f>
        <v>11249.303135667262</v>
      </c>
      <c r="BR734" s="24">
        <f>'Filter-new'!O324</f>
        <v>9562.9424438288697</v>
      </c>
      <c r="BU734" s="47">
        <f>'Filter-old'!Q324</f>
        <v>9129.6658559335374</v>
      </c>
      <c r="BV734" s="24">
        <f>'Filter-new'!Q324</f>
        <v>9464.7583871960596</v>
      </c>
      <c r="CA734" s="47">
        <f>'Filter-old'!R324</f>
        <v>9557.8673602080617</v>
      </c>
      <c r="CB734" s="24">
        <f>'Filter-new'!R324</f>
        <v>9772.2376115727911</v>
      </c>
    </row>
    <row r="735" spans="1:80" hidden="1" x14ac:dyDescent="0.2">
      <c r="A735">
        <v>0</v>
      </c>
      <c r="B735" s="29">
        <v>39234</v>
      </c>
      <c r="C735" s="29">
        <f>'Filter-new'!C325</f>
        <v>39234</v>
      </c>
      <c r="K735" s="47">
        <f>'Filter-old'!E325</f>
        <v>9920.8598836000911</v>
      </c>
      <c r="L735" s="24">
        <f>'Filter-new'!E325</f>
        <v>10861.753958587091</v>
      </c>
      <c r="O735" s="444"/>
      <c r="Q735" s="47">
        <f>'Filter-old'!H325</f>
        <v>8568.1157454913555</v>
      </c>
      <c r="R735" s="24">
        <f>'Filter-new'!H325</f>
        <v>10359.317904993912</v>
      </c>
      <c r="W735" s="47">
        <f>'Filter-old'!J325</f>
        <v>8153.7753397335382</v>
      </c>
      <c r="X735" s="24">
        <f>'Filter-new'!J325</f>
        <v>11318.514007308162</v>
      </c>
      <c r="AA735" s="47">
        <f>'Filter-old'!F325</f>
        <v>9920.8598836000911</v>
      </c>
      <c r="AB735" s="24">
        <f>'Filter-new'!F325</f>
        <v>11318.514007308162</v>
      </c>
      <c r="AE735" s="47">
        <f>'Filter-old'!P325</f>
        <v>11383.11168392489</v>
      </c>
      <c r="AF735" s="24">
        <f>'Filter-new'!P325</f>
        <v>9872.1071863581001</v>
      </c>
      <c r="AI735" s="47">
        <f>'Filter-old'!L325</f>
        <v>18693.635660912132</v>
      </c>
      <c r="AJ735" s="24">
        <f>'Filter-new'!L325</f>
        <v>12028.01461632156</v>
      </c>
      <c r="AO735" s="47">
        <f>'Filter-old'!G325</f>
        <v>9404.7915963160867</v>
      </c>
      <c r="AP735" s="24">
        <f>'Filter-new'!G325</f>
        <v>10840.438489646773</v>
      </c>
      <c r="AS735" s="47"/>
      <c r="AT735" s="24"/>
      <c r="AW735" s="47">
        <f>'Filter-old'!I325</f>
        <v>9985.2762711290779</v>
      </c>
      <c r="AX735" s="24">
        <f>'Filter-new'!I325</f>
        <v>10709.500609013399</v>
      </c>
      <c r="BC735" s="47">
        <f>'Filter-old'!K325</f>
        <v>11878.381860345271</v>
      </c>
      <c r="BD735" s="24">
        <f>'Filter-new'!K325</f>
        <v>12104.141291108404</v>
      </c>
      <c r="BG735" s="47">
        <f>'Filter-old'!M325</f>
        <v>12239.1136305076</v>
      </c>
      <c r="BH735" s="219"/>
      <c r="BI735" s="219"/>
      <c r="BJ735" s="24">
        <f>'Filter-new'!M325</f>
        <v>12789.281364190012</v>
      </c>
      <c r="BQ735" s="47">
        <f>'Filter-old'!O325</f>
        <v>11466.853184295787</v>
      </c>
      <c r="BR735" s="24">
        <f>'Filter-new'!O325</f>
        <v>11556.029232643119</v>
      </c>
      <c r="BU735" s="47">
        <f>'Filter-old'!Q325</f>
        <v>10204.291595561206</v>
      </c>
      <c r="BV735" s="24">
        <f>'Filter-new'!Q325</f>
        <v>11603.227771010963</v>
      </c>
      <c r="CA735" s="47">
        <f>'Filter-old'!R325</f>
        <v>12239.1136305076</v>
      </c>
      <c r="CB735" s="24">
        <f>'Filter-new'!R325</f>
        <v>12789.281364190012</v>
      </c>
    </row>
    <row r="736" spans="1:80" hidden="1" x14ac:dyDescent="0.2">
      <c r="A736">
        <v>0</v>
      </c>
      <c r="B736" s="29">
        <v>39264</v>
      </c>
      <c r="C736" s="29">
        <f>'Filter-new'!C326</f>
        <v>39264</v>
      </c>
      <c r="K736" s="47">
        <f>'Filter-old'!E326</f>
        <v>13001.818474922471</v>
      </c>
      <c r="L736" s="24">
        <f>'Filter-new'!E326</f>
        <v>14309.56678700361</v>
      </c>
      <c r="O736" s="444"/>
      <c r="Q736" s="47">
        <f>'Filter-old'!H326</f>
        <v>10241.004225558603</v>
      </c>
      <c r="R736" s="24">
        <f>'Filter-new'!H326</f>
        <v>13692.839951865224</v>
      </c>
      <c r="W736" s="47">
        <f>'Filter-old'!J326</f>
        <v>10038.167938931299</v>
      </c>
      <c r="X736" s="24">
        <f>'Filter-new'!J326</f>
        <v>15061.67268351384</v>
      </c>
      <c r="AA736" s="47">
        <f>'Filter-old'!F326</f>
        <v>13001.818474922471</v>
      </c>
      <c r="AB736" s="24">
        <f>'Filter-new'!F326</f>
        <v>15061.67268351384</v>
      </c>
      <c r="AE736" s="47">
        <f>'Filter-old'!P326</f>
        <v>13803.345580744075</v>
      </c>
      <c r="AF736" s="24">
        <f>'Filter-new'!P326</f>
        <v>11045.42719614922</v>
      </c>
      <c r="AI736" s="47">
        <f>'Filter-old'!L326</f>
        <v>25076.335877862595</v>
      </c>
      <c r="AJ736" s="24">
        <f>'Filter-new'!L326</f>
        <v>14083.935018050541</v>
      </c>
      <c r="AO736" s="47">
        <f>'Filter-old'!G326</f>
        <v>11513.992969619712</v>
      </c>
      <c r="AP736" s="24">
        <f>'Filter-new'!G326</f>
        <v>13583.032490974729</v>
      </c>
      <c r="AS736" s="47"/>
      <c r="AT736" s="24"/>
      <c r="AW736" s="47">
        <f>'Filter-old'!I326</f>
        <v>14207.28960110031</v>
      </c>
      <c r="AX736" s="24">
        <f>'Filter-new'!I326</f>
        <v>14159.145607701565</v>
      </c>
      <c r="BC736" s="47">
        <f>'Filter-old'!K326</f>
        <v>14720.101781170482</v>
      </c>
      <c r="BD736" s="24">
        <f>'Filter-new'!K326</f>
        <v>14139.5908543923</v>
      </c>
      <c r="BG736" s="47">
        <f>'Filter-old'!M326</f>
        <v>15521.628498727734</v>
      </c>
      <c r="BH736" s="219"/>
      <c r="BI736" s="219"/>
      <c r="BJ736" s="24">
        <f>'Filter-new'!M326</f>
        <v>15944.645006016848</v>
      </c>
      <c r="BQ736" s="47">
        <f>'Filter-old'!O326</f>
        <v>15546.347737008984</v>
      </c>
      <c r="BR736" s="24">
        <f>'Filter-new'!O326</f>
        <v>14455.475330926594</v>
      </c>
      <c r="BU736" s="47">
        <f>'Filter-old'!Q326</f>
        <v>14852.96351309041</v>
      </c>
      <c r="BV736" s="24">
        <f>'Filter-new'!Q326</f>
        <v>14913.357400722023</v>
      </c>
      <c r="CA736" s="47">
        <f>'Filter-old'!R326</f>
        <v>15521.628498727734</v>
      </c>
      <c r="CB736" s="24">
        <f>'Filter-new'!R326</f>
        <v>15267.749699157643</v>
      </c>
    </row>
    <row r="737" spans="1:80" hidden="1" x14ac:dyDescent="0.2">
      <c r="A737">
        <v>0</v>
      </c>
      <c r="B737" s="29">
        <v>39295</v>
      </c>
      <c r="C737" s="29">
        <f>'Filter-new'!C327</f>
        <v>39295</v>
      </c>
      <c r="K737" s="47">
        <f>'Filter-old'!E327</f>
        <v>12854.628077093161</v>
      </c>
      <c r="L737" s="24">
        <f>'Filter-new'!E327</f>
        <v>14317.776456599287</v>
      </c>
      <c r="O737" s="444"/>
      <c r="Q737" s="47">
        <f>'Filter-old'!H327</f>
        <v>10125.068328665486</v>
      </c>
      <c r="R737" s="24">
        <f>'Filter-new'!H327</f>
        <v>13708.382877526756</v>
      </c>
      <c r="W737" s="47">
        <f>'Filter-old'!J327</f>
        <v>9924.528301886794</v>
      </c>
      <c r="X737" s="24">
        <f>'Filter-new'!J327</f>
        <v>15060.939357907253</v>
      </c>
      <c r="AA737" s="47">
        <f>'Filter-old'!F327</f>
        <v>12854.628077093161</v>
      </c>
      <c r="AB737" s="24">
        <f>'Filter-new'!F327</f>
        <v>15060.939357907253</v>
      </c>
      <c r="AE737" s="47">
        <f>'Filter-old'!P327</f>
        <v>13647.081291150746</v>
      </c>
      <c r="AF737" s="24">
        <f>'Filter-new'!P327</f>
        <v>11092.449464922711</v>
      </c>
      <c r="AI737" s="47">
        <f>'Filter-old'!L327</f>
        <v>24915.723270440252</v>
      </c>
      <c r="AJ737" s="24">
        <f>'Filter-new'!L327</f>
        <v>14392.092746730084</v>
      </c>
      <c r="AO737" s="47">
        <f>'Filter-old'!G327</f>
        <v>11383.647798742139</v>
      </c>
      <c r="AP737" s="24">
        <f>'Filter-new'!G327</f>
        <v>13302.615933412606</v>
      </c>
      <c r="AS737" s="47"/>
      <c r="AT737" s="24"/>
      <c r="AW737" s="47">
        <f>'Filter-old'!I327</f>
        <v>14030.729089892886</v>
      </c>
      <c r="AX737" s="24">
        <f>'Filter-new'!I327</f>
        <v>14169.143876337694</v>
      </c>
      <c r="BC737" s="47">
        <f>'Filter-old'!K327</f>
        <v>14553.459119496854</v>
      </c>
      <c r="BD737" s="24">
        <f>'Filter-new'!K327</f>
        <v>13971.462544589775</v>
      </c>
      <c r="BG737" s="47">
        <f>'Filter-old'!M327</f>
        <v>15345.911949685535</v>
      </c>
      <c r="BH737" s="219"/>
      <c r="BI737" s="219"/>
      <c r="BJ737" s="24">
        <f>'Filter-new'!M327</f>
        <v>15755.053507728895</v>
      </c>
      <c r="BQ737" s="47">
        <f>'Filter-old'!O327</f>
        <v>15370.351347533411</v>
      </c>
      <c r="BR737" s="24">
        <f>'Filter-new'!O327</f>
        <v>13986.325802615933</v>
      </c>
      <c r="BU737" s="47">
        <f>'Filter-old'!Q327</f>
        <v>14684.816756338441</v>
      </c>
      <c r="BV737" s="24">
        <f>'Filter-new'!Q327</f>
        <v>14810.344827586208</v>
      </c>
      <c r="CA737" s="47">
        <f>'Filter-old'!R327</f>
        <v>15345.911949685535</v>
      </c>
      <c r="CB737" s="24">
        <f>'Filter-new'!R327</f>
        <v>15086.206896551725</v>
      </c>
    </row>
    <row r="738" spans="1:80" hidden="1" x14ac:dyDescent="0.2">
      <c r="A738">
        <v>0</v>
      </c>
      <c r="B738" s="29">
        <v>39326</v>
      </c>
      <c r="C738" s="29">
        <f>'Filter-new'!C328</f>
        <v>39326</v>
      </c>
      <c r="K738" s="47">
        <f>'Filter-old'!E328</f>
        <v>8890.5424523269739</v>
      </c>
      <c r="L738" s="24">
        <f>'Filter-new'!E328</f>
        <v>8416.4923812369307</v>
      </c>
      <c r="O738" s="444"/>
      <c r="Q738" s="47">
        <f>'Filter-old'!H328</f>
        <v>7622.3364791218692</v>
      </c>
      <c r="R738" s="24">
        <f>'Filter-new'!H328</f>
        <v>8043.0236032267712</v>
      </c>
      <c r="W738" s="47">
        <f>'Filter-old'!J328</f>
        <v>8830.2144424691378</v>
      </c>
      <c r="X738" s="24">
        <f>'Filter-new'!J328</f>
        <v>8864.6549148491195</v>
      </c>
      <c r="AA738" s="47">
        <f>'Filter-old'!F328</f>
        <v>8890.5424523269739</v>
      </c>
      <c r="AB738" s="24">
        <f>'Filter-new'!F328</f>
        <v>8864.6549148491195</v>
      </c>
      <c r="AE738" s="47">
        <f>'Filter-old'!P328</f>
        <v>9436.7511544258723</v>
      </c>
      <c r="AF738" s="24">
        <f>'Filter-new'!P328</f>
        <v>7550.0448162533612</v>
      </c>
      <c r="AI738" s="47">
        <f>'Filter-old'!L328</f>
        <v>14073.329984932194</v>
      </c>
      <c r="AJ738" s="24">
        <f>'Filter-new'!L328</f>
        <v>9244.0991933074401</v>
      </c>
      <c r="AO738" s="47">
        <f>'Filter-old'!G328</f>
        <v>8601.2063823950939</v>
      </c>
      <c r="AP738" s="24">
        <f>'Filter-new'!G328</f>
        <v>9710.1882282641182</v>
      </c>
      <c r="AS738" s="47"/>
      <c r="AT738" s="24"/>
      <c r="AW738" s="47">
        <f>'Filter-old'!I328</f>
        <v>8796.370011487239</v>
      </c>
      <c r="AX738" s="24">
        <f>'Filter-new'!I328</f>
        <v>8267.1048700328647</v>
      </c>
      <c r="BC738" s="47">
        <f>'Filter-old'!K328</f>
        <v>9254.1436464088401</v>
      </c>
      <c r="BD738" s="24">
        <f>'Filter-new'!K328</f>
        <v>10158.350761876307</v>
      </c>
      <c r="BG738" s="47">
        <f>'Filter-old'!M328</f>
        <v>8350.0753390256159</v>
      </c>
      <c r="BH738" s="219"/>
      <c r="BI738" s="219"/>
      <c r="BJ738" s="24">
        <f>'Filter-new'!M328</f>
        <v>9187.3319390498964</v>
      </c>
      <c r="BQ738" s="47">
        <f>'Filter-old'!O328</f>
        <v>9643.9327084796623</v>
      </c>
      <c r="BR738" s="24">
        <f>'Filter-new'!O328</f>
        <v>8063.9378547953393</v>
      </c>
      <c r="BU738" s="47">
        <f>'Filter-old'!Q328</f>
        <v>8601.7438121203613</v>
      </c>
      <c r="BV738" s="24">
        <f>'Filter-new'!Q328</f>
        <v>7538.6913654018517</v>
      </c>
      <c r="CA738" s="47">
        <f>'Filter-old'!R328</f>
        <v>8350.0753390256159</v>
      </c>
      <c r="CB738" s="24">
        <f>'Filter-new'!R328</f>
        <v>8963.2506722438011</v>
      </c>
    </row>
    <row r="739" spans="1:80" hidden="1" x14ac:dyDescent="0.2">
      <c r="A739">
        <v>0</v>
      </c>
      <c r="B739" s="29">
        <v>39356</v>
      </c>
      <c r="C739" s="29">
        <f>'Filter-new'!C329</f>
        <v>39356</v>
      </c>
      <c r="K739" s="47">
        <f>'Filter-old'!E329</f>
        <v>8579.0678747277016</v>
      </c>
      <c r="L739" s="24">
        <f>'Filter-new'!E329</f>
        <v>8757.4139976275219</v>
      </c>
      <c r="O739" s="444"/>
      <c r="Q739" s="47">
        <f>'Filter-old'!H329</f>
        <v>8564.570895454237</v>
      </c>
      <c r="R739" s="24">
        <f>'Filter-new'!H329</f>
        <v>8386.7141162514818</v>
      </c>
      <c r="W739" s="47">
        <f>'Filter-old'!J329</f>
        <v>9951.3712666575757</v>
      </c>
      <c r="X739" s="24">
        <f>'Filter-new'!J329</f>
        <v>8757.4139976275219</v>
      </c>
      <c r="AA739" s="47">
        <f>'Filter-old'!F329</f>
        <v>8579.0678747277016</v>
      </c>
      <c r="AB739" s="24">
        <f>'Filter-new'!F329</f>
        <v>8757.4139976275219</v>
      </c>
      <c r="AE739" s="47">
        <f>'Filter-old'!P329</f>
        <v>8517.1906430822364</v>
      </c>
      <c r="AF739" s="24">
        <f>'Filter-new'!P329</f>
        <v>9481.0201660735474</v>
      </c>
      <c r="AI739" s="47">
        <f>'Filter-old'!L329</f>
        <v>13725.685785536161</v>
      </c>
      <c r="AJ739" s="24">
        <f>'Filter-new'!L329</f>
        <v>9273.4282325029653</v>
      </c>
      <c r="AO739" s="47">
        <f>'Filter-old'!G329</f>
        <v>7805.4870453261374</v>
      </c>
      <c r="AP739" s="24">
        <f>'Filter-new'!G329</f>
        <v>9110.3202846975073</v>
      </c>
      <c r="AS739" s="47"/>
      <c r="AT739" s="24"/>
      <c r="AW739" s="47">
        <f>'Filter-old'!I329</f>
        <v>8439.2604685186452</v>
      </c>
      <c r="AX739" s="24">
        <f>'Filter-new'!I329</f>
        <v>8609.1340450771058</v>
      </c>
      <c r="BC739" s="47">
        <f>'Filter-old'!K329</f>
        <v>9501.246882793017</v>
      </c>
      <c r="BD739" s="24">
        <f>'Filter-new'!K329</f>
        <v>10008.896797153024</v>
      </c>
      <c r="BG739" s="47">
        <f>'Filter-old'!M329</f>
        <v>8104.7381546134666</v>
      </c>
      <c r="BH739" s="219"/>
      <c r="BI739" s="219"/>
      <c r="BJ739" s="24">
        <f>'Filter-new'!M329</f>
        <v>9119.2170818505347</v>
      </c>
      <c r="BQ739" s="47">
        <f>'Filter-old'!O329</f>
        <v>9039.6348377712948</v>
      </c>
      <c r="BR739" s="24">
        <f>'Filter-new'!O329</f>
        <v>8591.3404507710547</v>
      </c>
      <c r="BU739" s="47">
        <f>'Filter-old'!Q329</f>
        <v>7981.0306615662994</v>
      </c>
      <c r="BV739" s="24">
        <f>'Filter-new'!Q329</f>
        <v>8043.2977461447217</v>
      </c>
      <c r="CA739" s="47">
        <f>'Filter-old'!R329</f>
        <v>8104.7381546134666</v>
      </c>
      <c r="CB739" s="24">
        <f>'Filter-new'!R329</f>
        <v>8896.7971530249106</v>
      </c>
    </row>
    <row r="740" spans="1:80" hidden="1" x14ac:dyDescent="0.2">
      <c r="A740">
        <v>0</v>
      </c>
      <c r="B740" s="29">
        <v>39387</v>
      </c>
      <c r="C740" s="29">
        <f>'Filter-new'!C330</f>
        <v>39387</v>
      </c>
      <c r="K740" s="47">
        <f>'Filter-old'!E330</f>
        <v>8323.7782030830331</v>
      </c>
      <c r="L740" s="24">
        <f>'Filter-new'!E330</f>
        <v>8294.55164585698</v>
      </c>
      <c r="O740" s="444"/>
      <c r="Q740" s="47">
        <f>'Filter-old'!H330</f>
        <v>9130.0191292572963</v>
      </c>
      <c r="R740" s="24">
        <f>'Filter-new'!H330</f>
        <v>7939.8410896708283</v>
      </c>
      <c r="W740" s="47">
        <f>'Filter-old'!J330</f>
        <v>9819.5212885324017</v>
      </c>
      <c r="X740" s="24">
        <f>'Filter-new'!J330</f>
        <v>8294.55164585698</v>
      </c>
      <c r="AA740" s="47">
        <f>'Filter-old'!F330</f>
        <v>8323.7782030830331</v>
      </c>
      <c r="AB740" s="24">
        <f>'Filter-new'!F330</f>
        <v>8294.55164585698</v>
      </c>
      <c r="AE740" s="47">
        <f>'Filter-old'!P330</f>
        <v>8263.9162733126323</v>
      </c>
      <c r="AF740" s="24">
        <f>'Filter-new'!P330</f>
        <v>9951.7593643586824</v>
      </c>
      <c r="AI740" s="47">
        <f>'Filter-old'!L330</f>
        <v>13278.648974668275</v>
      </c>
      <c r="AJ740" s="24">
        <f>'Filter-new'!L330</f>
        <v>8788.3087400681034</v>
      </c>
      <c r="AO740" s="47">
        <f>'Filter-old'!G330</f>
        <v>7478.8893088788273</v>
      </c>
      <c r="AP740" s="24">
        <f>'Filter-new'!G330</f>
        <v>8433.5981838819516</v>
      </c>
      <c r="AS740" s="47"/>
      <c r="AT740" s="24"/>
      <c r="AW740" s="47">
        <f>'Filter-old'!I330</f>
        <v>8173.445826991765</v>
      </c>
      <c r="AX740" s="24">
        <f>'Filter-new'!I330</f>
        <v>8152.6674233825197</v>
      </c>
      <c r="BC740" s="47">
        <f>'Filter-old'!K330</f>
        <v>9191.7973462002428</v>
      </c>
      <c r="BD740" s="24">
        <f>'Filter-new'!K330</f>
        <v>9577.1850170261059</v>
      </c>
      <c r="BG740" s="47">
        <f>'Filter-old'!M330</f>
        <v>7840.772014475272</v>
      </c>
      <c r="BH740" s="219"/>
      <c r="BI740" s="219"/>
      <c r="BJ740" s="24">
        <f>'Filter-new'!M330</f>
        <v>8725.8796821793421</v>
      </c>
      <c r="BQ740" s="47">
        <f>'Filter-old'!O330</f>
        <v>8745.2197103649924</v>
      </c>
      <c r="BR740" s="24">
        <f>'Filter-new'!O330</f>
        <v>8220.7718501702602</v>
      </c>
      <c r="BU740" s="47">
        <f>'Filter-old'!Q330</f>
        <v>7745.2186796144642</v>
      </c>
      <c r="BV740" s="24">
        <f>'Filter-new'!Q330</f>
        <v>7724.7446083995465</v>
      </c>
      <c r="CA740" s="47">
        <f>'Filter-old'!R330</f>
        <v>7840.772014475272</v>
      </c>
      <c r="CB740" s="24">
        <f>'Filter-new'!R330</f>
        <v>8513.0533484676507</v>
      </c>
    </row>
    <row r="741" spans="1:80" hidden="1" x14ac:dyDescent="0.2">
      <c r="A741">
        <v>0</v>
      </c>
      <c r="B741" s="29">
        <v>39417</v>
      </c>
      <c r="C741" s="29">
        <f>'Filter-new'!C331</f>
        <v>39417</v>
      </c>
      <c r="K741" s="47">
        <f>'Filter-old'!E331</f>
        <v>8084.5932537150147</v>
      </c>
      <c r="L741" s="24">
        <f>'Filter-new'!E331</f>
        <v>7932.9151895282257</v>
      </c>
      <c r="O741" s="444"/>
      <c r="Q741" s="47">
        <f>'Filter-old'!H331</f>
        <v>8958.8619838251125</v>
      </c>
      <c r="R741" s="24">
        <f>'Filter-new'!H331</f>
        <v>7592.0370875374965</v>
      </c>
      <c r="W741" s="47">
        <f>'Filter-old'!J331</f>
        <v>9686.2855358658544</v>
      </c>
      <c r="X741" s="24">
        <f>'Filter-new'!J331</f>
        <v>7932.9151895282257</v>
      </c>
      <c r="AA741" s="47">
        <f>'Filter-old'!F331</f>
        <v>8084.5932537150147</v>
      </c>
      <c r="AB741" s="24">
        <f>'Filter-new'!F331</f>
        <v>7932.9151895282257</v>
      </c>
      <c r="AE741" s="47">
        <f>'Filter-old'!P331</f>
        <v>8026.619492290175</v>
      </c>
      <c r="AF741" s="24">
        <f>'Filter-new'!P331</f>
        <v>9634.5786746659396</v>
      </c>
      <c r="AI741" s="47">
        <f>'Filter-old'!L331</f>
        <v>12859.813084112149</v>
      </c>
      <c r="AJ741" s="24">
        <f>'Filter-new'!L331</f>
        <v>8407.4175074993182</v>
      </c>
      <c r="AO741" s="47">
        <f>'Filter-old'!G331</f>
        <v>7476.6346227342838</v>
      </c>
      <c r="AP741" s="24">
        <f>'Filter-new'!G331</f>
        <v>8350.1499863648769</v>
      </c>
      <c r="AS741" s="47"/>
      <c r="AT741" s="24"/>
      <c r="AW741" s="47">
        <f>'Filter-old'!I331</f>
        <v>7924.3998661219512</v>
      </c>
      <c r="AX741" s="24">
        <f>'Filter-new'!I331</f>
        <v>7796.563948731934</v>
      </c>
      <c r="BC741" s="47">
        <f>'Filter-old'!K331</f>
        <v>8901.8691588785041</v>
      </c>
      <c r="BD741" s="24">
        <f>'Filter-new'!K331</f>
        <v>9203.7087537496591</v>
      </c>
      <c r="BG741" s="47">
        <f>'Filter-old'!M331</f>
        <v>7593.4579439252329</v>
      </c>
      <c r="BH741" s="219"/>
      <c r="BI741" s="219"/>
      <c r="BJ741" s="24">
        <f>'Filter-new'!M331</f>
        <v>8385.6013089719127</v>
      </c>
      <c r="BQ741" s="47">
        <f>'Filter-old'!O331</f>
        <v>8469.3774998745066</v>
      </c>
      <c r="BR741" s="24">
        <f>'Filter-new'!O331</f>
        <v>7900.1908917371147</v>
      </c>
      <c r="BU741" s="47">
        <f>'Filter-old'!Q331</f>
        <v>7524.2826871782818</v>
      </c>
      <c r="BV741" s="24">
        <f>'Filter-new'!Q331</f>
        <v>7450.7772020725388</v>
      </c>
      <c r="CA741" s="47">
        <f>'Filter-old'!R331</f>
        <v>7593.4579439252329</v>
      </c>
      <c r="CB741" s="24">
        <f>'Filter-new'!R331</f>
        <v>8181.0744477774742</v>
      </c>
    </row>
    <row r="742" spans="1:80" hidden="1" x14ac:dyDescent="0.2">
      <c r="A742">
        <v>0</v>
      </c>
      <c r="B742" s="29">
        <v>39448</v>
      </c>
      <c r="C742" s="29">
        <f>'Filter-new'!C332</f>
        <v>39448</v>
      </c>
      <c r="K742" s="47">
        <f>'Filter-old'!E332</f>
        <v>9200.5137405873957</v>
      </c>
      <c r="L742" s="24">
        <f>'Filter-new'!E332</f>
        <v>8135.0438892640113</v>
      </c>
      <c r="O742" s="444"/>
      <c r="Q742" s="47">
        <f>'Filter-old'!H332</f>
        <v>9706.0136700794355</v>
      </c>
      <c r="R742" s="24">
        <f>'Filter-new'!H332</f>
        <v>7716.4078325455766</v>
      </c>
      <c r="W742" s="47">
        <f>'Filter-old'!J332</f>
        <v>11560.294086208181</v>
      </c>
      <c r="X742" s="24">
        <f>'Filter-new'!J332</f>
        <v>8270.0877785280209</v>
      </c>
      <c r="AA742" s="47">
        <f>'Filter-old'!F332</f>
        <v>9200.5137405873957</v>
      </c>
      <c r="AB742" s="24">
        <f>'Filter-new'!F332</f>
        <v>8270.0877785280209</v>
      </c>
      <c r="AE742" s="47">
        <f>'Filter-old'!P332</f>
        <v>9085.9259059856031</v>
      </c>
      <c r="AF742" s="24">
        <f>'Filter-new'!P332</f>
        <v>9471.9783929777186</v>
      </c>
      <c r="AI742" s="47">
        <f>'Filter-old'!L332</f>
        <v>15525.166628361296</v>
      </c>
      <c r="AJ742" s="24">
        <f>'Filter-new'!L332</f>
        <v>9099.2572586090464</v>
      </c>
      <c r="AO742" s="47">
        <f>'Filter-old'!G332</f>
        <v>9186.3938622900987</v>
      </c>
      <c r="AP742" s="24">
        <f>'Filter-new'!G332</f>
        <v>8648.2106684672526</v>
      </c>
      <c r="AS742" s="47"/>
      <c r="AT742" s="24"/>
      <c r="AW742" s="47">
        <f>'Filter-old'!I332</f>
        <v>8999.7388225565064</v>
      </c>
      <c r="AX742" s="24">
        <f>'Filter-new'!I332</f>
        <v>8000</v>
      </c>
      <c r="BC742" s="47">
        <f>'Filter-old'!K332</f>
        <v>11629.510457366123</v>
      </c>
      <c r="BD742" s="24">
        <f>'Filter-new'!K332</f>
        <v>11816.340310600945</v>
      </c>
      <c r="BG742" s="47">
        <f>'Filter-old'!M332</f>
        <v>8733.6244541484721</v>
      </c>
      <c r="BH742" s="219"/>
      <c r="BI742" s="219"/>
      <c r="BJ742" s="24">
        <f>'Filter-new'!M332</f>
        <v>9047.9405806887244</v>
      </c>
      <c r="BQ742" s="47">
        <f>'Filter-old'!O332</f>
        <v>9710.5762268641556</v>
      </c>
      <c r="BR742" s="24">
        <f>'Filter-new'!O332</f>
        <v>8634.706279540851</v>
      </c>
      <c r="BU742" s="47">
        <f>'Filter-old'!Q332</f>
        <v>9108.9087775372209</v>
      </c>
      <c r="BV742" s="24">
        <f>'Filter-new'!Q332</f>
        <v>8005.941931127616</v>
      </c>
      <c r="CA742" s="47">
        <f>'Filter-old'!R332</f>
        <v>8733.6244541484721</v>
      </c>
      <c r="CB742" s="24">
        <f>'Filter-new'!R332</f>
        <v>8845.3747467927078</v>
      </c>
    </row>
    <row r="743" spans="1:80" hidden="1" x14ac:dyDescent="0.2">
      <c r="A743">
        <v>0</v>
      </c>
      <c r="B743" s="29">
        <v>39479</v>
      </c>
      <c r="C743" s="29">
        <f>'Filter-new'!C333</f>
        <v>39479</v>
      </c>
      <c r="K743" s="47">
        <f>'Filter-old'!E333</f>
        <v>9374.3049838122824</v>
      </c>
      <c r="L743" s="24">
        <f>'Filter-new'!E333</f>
        <v>7815.7136980666392</v>
      </c>
      <c r="O743" s="444"/>
      <c r="Q743" s="47">
        <f>'Filter-old'!H333</f>
        <v>10130.607628411162</v>
      </c>
      <c r="R743" s="24">
        <f>'Filter-new'!H333</f>
        <v>7390.6485671191549</v>
      </c>
      <c r="W743" s="47">
        <f>'Filter-old'!J333</f>
        <v>11410.073132315565</v>
      </c>
      <c r="X743" s="24">
        <f>'Filter-new'!J333</f>
        <v>7952.8314822432467</v>
      </c>
      <c r="AA743" s="47">
        <f>'Filter-old'!F333</f>
        <v>9374.3049838122824</v>
      </c>
      <c r="AB743" s="24">
        <f>'Filter-new'!F333</f>
        <v>7952.8314822432467</v>
      </c>
      <c r="AE743" s="47">
        <f>'Filter-old'!P333</f>
        <v>9256.5228745865807</v>
      </c>
      <c r="AF743" s="24">
        <f>'Filter-new'!P333</f>
        <v>9447.4153297682715</v>
      </c>
      <c r="AI743" s="47">
        <f>'Filter-old'!L333</f>
        <v>15957.949444838172</v>
      </c>
      <c r="AJ743" s="24">
        <f>'Filter-new'!L333</f>
        <v>8863.2935691759212</v>
      </c>
      <c r="AO743" s="47">
        <f>'Filter-old'!G333</f>
        <v>9170.7995167134504</v>
      </c>
      <c r="AP743" s="24">
        <f>'Filter-new'!G333</f>
        <v>8575.3462224050454</v>
      </c>
      <c r="AS743" s="47"/>
      <c r="AT743" s="24"/>
      <c r="AW743" s="47">
        <f>'Filter-old'!I333</f>
        <v>9138.4033376151638</v>
      </c>
      <c r="AX743" s="24">
        <f>'Filter-new'!I333</f>
        <v>7678.5959138900316</v>
      </c>
      <c r="BC743" s="47">
        <f>'Filter-old'!K333</f>
        <v>11953.697141507204</v>
      </c>
      <c r="BD743" s="24">
        <f>'Filter-new'!K333</f>
        <v>11997.806115453175</v>
      </c>
      <c r="BG743" s="47">
        <f>'Filter-old'!M333</f>
        <v>8977.0848098275455</v>
      </c>
      <c r="BH743" s="219"/>
      <c r="BI743" s="219"/>
      <c r="BJ743" s="24">
        <f>'Filter-new'!M333</f>
        <v>9186.8915398327172</v>
      </c>
      <c r="BQ743" s="47">
        <f>'Filter-old'!O333</f>
        <v>10039.150419174397</v>
      </c>
      <c r="BR743" s="24">
        <f>'Filter-new'!O333</f>
        <v>8509.5296860002745</v>
      </c>
      <c r="BU743" s="47">
        <f>'Filter-old'!Q333</f>
        <v>9280.1464215086435</v>
      </c>
      <c r="BV743" s="24">
        <f>'Filter-new'!Q333</f>
        <v>8105.0322226792805</v>
      </c>
      <c r="CA743" s="47">
        <f>'Filter-old'!R333</f>
        <v>8977.0848098275455</v>
      </c>
      <c r="CB743" s="24">
        <f>'Filter-new'!R333</f>
        <v>8981.2148635678059</v>
      </c>
    </row>
    <row r="744" spans="1:80" hidden="1" x14ac:dyDescent="0.2">
      <c r="A744">
        <v>0</v>
      </c>
      <c r="B744" s="29">
        <v>39508</v>
      </c>
      <c r="C744" s="29">
        <f>'Filter-new'!C334</f>
        <v>39508</v>
      </c>
      <c r="K744" s="47">
        <f>'Filter-old'!E334</f>
        <v>8450.0432352551816</v>
      </c>
      <c r="L744" s="24">
        <f>'Filter-new'!E334</f>
        <v>8116.024456135362</v>
      </c>
      <c r="O744" s="444"/>
      <c r="Q744" s="47">
        <f>'Filter-old'!H334</f>
        <v>8743.5475791372901</v>
      </c>
      <c r="R744" s="24">
        <f>'Filter-new'!H334</f>
        <v>7675.2452722877852</v>
      </c>
      <c r="W744" s="47">
        <f>'Filter-old'!J334</f>
        <v>10011.443161382909</v>
      </c>
      <c r="X744" s="24">
        <f>'Filter-new'!J334</f>
        <v>8329.3047063841896</v>
      </c>
      <c r="AA744" s="47">
        <f>'Filter-old'!F334</f>
        <v>8450.0432352551816</v>
      </c>
      <c r="AB744" s="24">
        <f>'Filter-new'!F334</f>
        <v>8329.3047063841896</v>
      </c>
      <c r="AE744" s="47">
        <f>'Filter-old'!P334</f>
        <v>8267.9376369569363</v>
      </c>
      <c r="AF744" s="24">
        <f>'Filter-new'!P334</f>
        <v>9310.3938575287921</v>
      </c>
      <c r="AI744" s="47">
        <f>'Filter-old'!L334</f>
        <v>13304.878048780487</v>
      </c>
      <c r="AJ744" s="24">
        <f>'Filter-new'!L334</f>
        <v>9122.7072373098235</v>
      </c>
      <c r="AO744" s="47">
        <f>'Filter-old'!G334</f>
        <v>8621.9495447670561</v>
      </c>
      <c r="AP744" s="24">
        <f>'Filter-new'!G334</f>
        <v>8447.6041518555376</v>
      </c>
      <c r="AS744" s="47"/>
      <c r="AT744" s="24"/>
      <c r="AW744" s="47">
        <f>'Filter-old'!I334</f>
        <v>8481.3522711032783</v>
      </c>
      <c r="AX744" s="24">
        <f>'Filter-new'!I334</f>
        <v>7973.8376226361434</v>
      </c>
      <c r="BC744" s="47">
        <f>'Filter-old'!K334</f>
        <v>9682.9268292682955</v>
      </c>
      <c r="BD744" s="24">
        <f>'Filter-new'!K334</f>
        <v>10166.358595194084</v>
      </c>
      <c r="BG744" s="47">
        <f>'Filter-old'!M334</f>
        <v>8414.6341463414647</v>
      </c>
      <c r="BH744" s="219"/>
      <c r="BI744" s="219"/>
      <c r="BJ744" s="24">
        <f>'Filter-new'!M334</f>
        <v>8957.7705104507331</v>
      </c>
      <c r="BQ744" s="47">
        <f>'Filter-old'!O334</f>
        <v>9328.6598019483627</v>
      </c>
      <c r="BR744" s="24">
        <f>'Filter-new'!O334</f>
        <v>8184.2741362149864</v>
      </c>
      <c r="BU744" s="47">
        <f>'Filter-old'!Q334</f>
        <v>8292.3275086937902</v>
      </c>
      <c r="BV744" s="24">
        <f>'Filter-new'!Q334</f>
        <v>8333.570311389165</v>
      </c>
      <c r="CA744" s="47">
        <f>'Filter-old'!R334</f>
        <v>8414.6341463414647</v>
      </c>
      <c r="CB744" s="24">
        <f>'Filter-new'!R334</f>
        <v>8531.210009953078</v>
      </c>
    </row>
    <row r="745" spans="1:80" hidden="1" x14ac:dyDescent="0.2">
      <c r="A745">
        <v>0</v>
      </c>
      <c r="B745" s="29">
        <v>39539</v>
      </c>
      <c r="C745" s="29">
        <f>'Filter-new'!C335</f>
        <v>39539</v>
      </c>
      <c r="K745" s="47">
        <f>'Filter-old'!E335</f>
        <v>8964.2855753475578</v>
      </c>
      <c r="L745" s="24">
        <f>'Filter-new'!E335</f>
        <v>8752.8140477262477</v>
      </c>
      <c r="O745" s="444"/>
      <c r="Q745" s="47">
        <f>'Filter-old'!H335</f>
        <v>9156.7164941156807</v>
      </c>
      <c r="R745" s="24">
        <f>'Filter-new'!H335</f>
        <v>8287.5581569863425</v>
      </c>
      <c r="W745" s="47">
        <f>'Filter-old'!J335</f>
        <v>9948.1263532187895</v>
      </c>
      <c r="X745" s="24">
        <f>'Filter-new'!J335</f>
        <v>8977.9378658262049</v>
      </c>
      <c r="AA745" s="47">
        <f>'Filter-old'!F335</f>
        <v>8964.2855753475578</v>
      </c>
      <c r="AB745" s="24">
        <f>'Filter-new'!F335</f>
        <v>8977.9378658262049</v>
      </c>
      <c r="AE745" s="47">
        <f>'Filter-old'!P335</f>
        <v>8773.5747316635734</v>
      </c>
      <c r="AF745" s="24">
        <f>'Filter-new'!P335</f>
        <v>9878.4331382260243</v>
      </c>
      <c r="AI745" s="47">
        <f>'Filter-old'!L335</f>
        <v>13933.588761174968</v>
      </c>
      <c r="AJ745" s="24">
        <f>'Filter-new'!L335</f>
        <v>9815.3984691580372</v>
      </c>
      <c r="AO745" s="47">
        <f>'Filter-old'!G335</f>
        <v>8671.7730798636057</v>
      </c>
      <c r="AP745" s="24">
        <f>'Filter-new'!G335</f>
        <v>9152.033618490168</v>
      </c>
      <c r="AS745" s="47"/>
      <c r="AT745" s="24"/>
      <c r="AW745" s="47">
        <f>'Filter-old'!I335</f>
        <v>8901.2886524809437</v>
      </c>
      <c r="AX745" s="24">
        <f>'Filter-new'!I335</f>
        <v>8602.7315023262781</v>
      </c>
      <c r="BC745" s="47">
        <f>'Filter-old'!K335</f>
        <v>10140.485312899107</v>
      </c>
      <c r="BD745" s="24">
        <f>'Filter-new'!K335</f>
        <v>10805.943268797839</v>
      </c>
      <c r="BG745" s="47">
        <f>'Filter-old'!M335</f>
        <v>8684.5466155810973</v>
      </c>
      <c r="BH745" s="219"/>
      <c r="BI745" s="219"/>
      <c r="BJ745" s="24">
        <f>'Filter-new'!M335</f>
        <v>9455.2003601981087</v>
      </c>
      <c r="BQ745" s="47">
        <f>'Filter-old'!O335</f>
        <v>9833.3336841100918</v>
      </c>
      <c r="BR745" s="24">
        <f>'Filter-new'!O335</f>
        <v>8638.7513132222721</v>
      </c>
      <c r="BU745" s="47">
        <f>'Filter-old'!Q335</f>
        <v>8799.1171260750925</v>
      </c>
      <c r="BV745" s="24">
        <f>'Filter-new'!Q335</f>
        <v>8796.6381509830408</v>
      </c>
      <c r="CA745" s="47">
        <f>'Filter-old'!R335</f>
        <v>8684.5466155810973</v>
      </c>
      <c r="CB745" s="24">
        <f>'Filter-new'!R335</f>
        <v>9004.9527239981999</v>
      </c>
    </row>
    <row r="746" spans="1:80" hidden="1" x14ac:dyDescent="0.2">
      <c r="A746">
        <v>0</v>
      </c>
      <c r="B746" s="29">
        <v>39569</v>
      </c>
      <c r="C746" s="29">
        <f>'Filter-new'!C336</f>
        <v>39569</v>
      </c>
      <c r="K746" s="47">
        <f>'Filter-old'!E336</f>
        <v>10564.29463678377</v>
      </c>
      <c r="L746" s="24">
        <f>'Filter-new'!E336</f>
        <v>9565.6094994739215</v>
      </c>
      <c r="O746" s="444"/>
      <c r="Q746" s="47">
        <f>'Filter-old'!H336</f>
        <v>9360.7083172865314</v>
      </c>
      <c r="R746" s="24">
        <f>'Filter-new'!H336</f>
        <v>9114.6851044641535</v>
      </c>
      <c r="W746" s="47">
        <f>'Filter-old'!J336</f>
        <v>10722.001743682977</v>
      </c>
      <c r="X746" s="24">
        <f>'Filter-new'!J336</f>
        <v>9866.2257628137704</v>
      </c>
      <c r="AA746" s="47">
        <f>'Filter-old'!F336</f>
        <v>10564.29463678377</v>
      </c>
      <c r="AB746" s="24">
        <f>'Filter-new'!F336</f>
        <v>9866.2257628137704</v>
      </c>
      <c r="AE746" s="47">
        <f>'Filter-old'!P336</f>
        <v>10948.416579242858</v>
      </c>
      <c r="AF746" s="24">
        <f>'Filter-new'!P336</f>
        <v>9129.7159176311452</v>
      </c>
      <c r="AI746" s="47">
        <f>'Filter-old'!L336</f>
        <v>14225.352112676055</v>
      </c>
      <c r="AJ746" s="24">
        <f>'Filter-new'!L336</f>
        <v>11170.900345708702</v>
      </c>
      <c r="AO746" s="47">
        <f>'Filter-old'!G336</f>
        <v>9577.4671332326343</v>
      </c>
      <c r="AP746" s="24">
        <f>'Filter-new'!G336</f>
        <v>9754.9977453780266</v>
      </c>
      <c r="AS746" s="47"/>
      <c r="AT746" s="24"/>
      <c r="AW746" s="47">
        <f>'Filter-old'!I336</f>
        <v>9283.8839287947158</v>
      </c>
      <c r="AX746" s="24">
        <f>'Filter-new'!I336</f>
        <v>9415.3013678039988</v>
      </c>
      <c r="BC746" s="47">
        <f>'Filter-old'!K336</f>
        <v>10166.453265044815</v>
      </c>
      <c r="BD746" s="24">
        <f>'Filter-new'!K336</f>
        <v>10822.185480234481</v>
      </c>
      <c r="BG746" s="47">
        <f>'Filter-old'!M336</f>
        <v>9475.0320102432779</v>
      </c>
      <c r="BH746" s="219"/>
      <c r="BI746" s="219"/>
      <c r="BJ746" s="24">
        <f>'Filter-new'!M336</f>
        <v>9619.7204268750938</v>
      </c>
      <c r="BQ746" s="47">
        <f>'Filter-old'!O336</f>
        <v>11140.479015785053</v>
      </c>
      <c r="BR746" s="24">
        <f>'Filter-new'!O336</f>
        <v>9613.7081016082975</v>
      </c>
      <c r="BU746" s="47">
        <f>'Filter-old'!Q336</f>
        <v>9053.4097864441628</v>
      </c>
      <c r="BV746" s="24">
        <f>'Filter-new'!Q336</f>
        <v>9668.1196452728109</v>
      </c>
      <c r="CA746" s="47">
        <f>'Filter-old'!R336</f>
        <v>9475.0320102432779</v>
      </c>
      <c r="CB746" s="24">
        <f>'Filter-new'!R336</f>
        <v>9694.8744927100561</v>
      </c>
    </row>
    <row r="747" spans="1:80" hidden="1" x14ac:dyDescent="0.2">
      <c r="A747">
        <v>0</v>
      </c>
      <c r="B747" s="29">
        <v>39600</v>
      </c>
      <c r="C747" s="29">
        <f>'Filter-new'!C337</f>
        <v>39600</v>
      </c>
      <c r="K747" s="47">
        <f>'Filter-old'!E337</f>
        <v>9896.6904867424382</v>
      </c>
      <c r="L747" s="24">
        <f>'Filter-new'!E337</f>
        <v>10867.172393276813</v>
      </c>
      <c r="O747" s="444"/>
      <c r="Q747" s="47">
        <f>'Filter-old'!H337</f>
        <v>8501.1056098076497</v>
      </c>
      <c r="R747" s="24">
        <f>'Filter-new'!H337</f>
        <v>10376.320095195599</v>
      </c>
      <c r="W747" s="47">
        <f>'Filter-old'!J337</f>
        <v>8112.1040582354381</v>
      </c>
      <c r="X747" s="24">
        <f>'Filter-new'!J337</f>
        <v>11313.401755168825</v>
      </c>
      <c r="AA747" s="47">
        <f>'Filter-old'!F337</f>
        <v>9896.6904867424382</v>
      </c>
      <c r="AB747" s="24">
        <f>'Filter-new'!F337</f>
        <v>11313.401755168825</v>
      </c>
      <c r="AE747" s="47">
        <f>'Filter-old'!P337</f>
        <v>11270.072489818078</v>
      </c>
      <c r="AF747" s="24">
        <f>'Filter-new'!P337</f>
        <v>9900.3421091774508</v>
      </c>
      <c r="AI747" s="47">
        <f>'Filter-old'!L337</f>
        <v>18662.775945191574</v>
      </c>
      <c r="AJ747" s="24">
        <f>'Filter-new'!L337</f>
        <v>12071.991670385245</v>
      </c>
      <c r="AO747" s="47">
        <f>'Filter-old'!G337</f>
        <v>9515.3504656946789</v>
      </c>
      <c r="AP747" s="24">
        <f>'Filter-new'!G337</f>
        <v>10858.247806038971</v>
      </c>
      <c r="AS747" s="47"/>
      <c r="AT747" s="24"/>
      <c r="AW747" s="47">
        <f>'Filter-old'!I337</f>
        <v>9960.1261629667461</v>
      </c>
      <c r="AX747" s="24">
        <f>'Filter-new'!I337</f>
        <v>10718.429272646141</v>
      </c>
      <c r="BC747" s="47">
        <f>'Filter-old'!K337</f>
        <v>11824.410048211113</v>
      </c>
      <c r="BD747" s="24">
        <f>'Filter-new'!K337</f>
        <v>12122.564331399673</v>
      </c>
      <c r="BG747" s="47">
        <f>'Filter-old'!M337</f>
        <v>12052.778482618623</v>
      </c>
      <c r="BH747" s="219"/>
      <c r="BI747" s="219"/>
      <c r="BJ747" s="24">
        <f>'Filter-new'!M337</f>
        <v>12643.165253607021</v>
      </c>
      <c r="BQ747" s="47">
        <f>'Filter-old'!O337</f>
        <v>11419.146716125844</v>
      </c>
      <c r="BR747" s="24">
        <f>'Filter-new'!O337</f>
        <v>11447.270563736425</v>
      </c>
      <c r="BU747" s="47">
        <f>'Filter-old'!Q337</f>
        <v>10175.807074948756</v>
      </c>
      <c r="BV747" s="24">
        <f>'Filter-new'!Q337</f>
        <v>11642.124051762607</v>
      </c>
      <c r="CA747" s="47">
        <f>'Filter-old'!R337</f>
        <v>12052.778482618623</v>
      </c>
      <c r="CB747" s="24">
        <f>'Filter-new'!R337</f>
        <v>12568.793693291685</v>
      </c>
    </row>
    <row r="748" spans="1:80" hidden="1" x14ac:dyDescent="0.2">
      <c r="A748">
        <v>0</v>
      </c>
      <c r="B748" s="29">
        <v>39630</v>
      </c>
      <c r="C748" s="29">
        <f>'Filter-new'!C338</f>
        <v>39630</v>
      </c>
      <c r="K748" s="47">
        <f>'Filter-old'!E338</f>
        <v>12931.615690838424</v>
      </c>
      <c r="L748" s="24">
        <f>'Filter-new'!E338</f>
        <v>14837.571659561958</v>
      </c>
      <c r="O748" s="444"/>
      <c r="Q748" s="47">
        <f>'Filter-old'!H338</f>
        <v>9648.4076707882978</v>
      </c>
      <c r="R748" s="24">
        <f>'Filter-new'!H338</f>
        <v>14234.896369248861</v>
      </c>
      <c r="W748" s="47">
        <f>'Filter-old'!J338</f>
        <v>9974.9373433583951</v>
      </c>
      <c r="X748" s="24">
        <f>'Filter-new'!J338</f>
        <v>15572.541525797442</v>
      </c>
      <c r="AA748" s="47">
        <f>'Filter-old'!F338</f>
        <v>12931.615690838424</v>
      </c>
      <c r="AB748" s="24">
        <f>'Filter-new'!F338</f>
        <v>15572.541525797442</v>
      </c>
      <c r="AE748" s="47">
        <f>'Filter-old'!P338</f>
        <v>13664.699162456924</v>
      </c>
      <c r="AF748" s="24">
        <f>'Filter-new'!P338</f>
        <v>11059.826547111568</v>
      </c>
      <c r="AI748" s="47">
        <f>'Filter-old'!L338</f>
        <v>24949.87468671679</v>
      </c>
      <c r="AJ748" s="24">
        <f>'Filter-new'!L338</f>
        <v>14764.07467293841</v>
      </c>
      <c r="AO748" s="47">
        <f>'Filter-old'!G338</f>
        <v>11340.85021819686</v>
      </c>
      <c r="AP748" s="24">
        <f>'Filter-new'!G338</f>
        <v>13538.144936057621</v>
      </c>
      <c r="AS748" s="47"/>
      <c r="AT748" s="24"/>
      <c r="AW748" s="47">
        <f>'Filter-old'!I338</f>
        <v>14118.959431660205</v>
      </c>
      <c r="AX748" s="24">
        <f>'Filter-new'!I338</f>
        <v>14690.57768631486</v>
      </c>
      <c r="BC748" s="47">
        <f>'Filter-old'!K338</f>
        <v>14624.060150375939</v>
      </c>
      <c r="BD748" s="24">
        <f>'Filter-new'!K338</f>
        <v>14111.421431721299</v>
      </c>
      <c r="BG748" s="47">
        <f>'Filter-old'!M338</f>
        <v>15288.220551378447</v>
      </c>
      <c r="BH748" s="219"/>
      <c r="BI748" s="219"/>
      <c r="BJ748" s="24">
        <f>'Filter-new'!M338</f>
        <v>15728.355137439365</v>
      </c>
      <c r="BQ748" s="47">
        <f>'Filter-old'!O338</f>
        <v>15437.881354998824</v>
      </c>
      <c r="BR748" s="24">
        <f>'Filter-new'!O338</f>
        <v>14567.1027487873</v>
      </c>
      <c r="BU748" s="47">
        <f>'Filter-old'!Q338</f>
        <v>14754.923961515115</v>
      </c>
      <c r="BV748" s="24">
        <f>'Filter-new'!Q338</f>
        <v>15161.546376598561</v>
      </c>
      <c r="CA748" s="47">
        <f>'Filter-old'!R338</f>
        <v>15288.220551378447</v>
      </c>
      <c r="CB748" s="24">
        <f>'Filter-new'!R338</f>
        <v>15066.882257827428</v>
      </c>
    </row>
    <row r="749" spans="1:80" hidden="1" x14ac:dyDescent="0.2">
      <c r="A749">
        <v>0</v>
      </c>
      <c r="B749" s="29">
        <v>39661</v>
      </c>
      <c r="C749" s="29">
        <f>'Filter-new'!C339</f>
        <v>39661</v>
      </c>
      <c r="K749" s="47">
        <f>'Filter-old'!E339</f>
        <v>12787.396928487065</v>
      </c>
      <c r="L749" s="24">
        <f>'Filter-new'!E339</f>
        <v>14473.34011332268</v>
      </c>
      <c r="O749" s="444"/>
      <c r="Q749" s="47">
        <f>'Filter-old'!H339</f>
        <v>9540.8046112627781</v>
      </c>
      <c r="R749" s="24">
        <f>'Filter-new'!H339</f>
        <v>13877.66962080488</v>
      </c>
      <c r="W749" s="47">
        <f>'Filter-old'!J339</f>
        <v>9863.6926889714996</v>
      </c>
      <c r="X749" s="24">
        <f>'Filter-new'!J339</f>
        <v>15199.767543222431</v>
      </c>
      <c r="AA749" s="47">
        <f>'Filter-old'!F339</f>
        <v>12787.396928487065</v>
      </c>
      <c r="AB749" s="24">
        <f>'Filter-new'!F339</f>
        <v>15199.767543222431</v>
      </c>
      <c r="AE749" s="47">
        <f>'Filter-old'!P339</f>
        <v>13512.30474800573</v>
      </c>
      <c r="AF749" s="24">
        <f>'Filter-new'!P339</f>
        <v>10739.503123637949</v>
      </c>
      <c r="AI749" s="47">
        <f>'Filter-old'!L339</f>
        <v>24793.060718711276</v>
      </c>
      <c r="AJ749" s="24">
        <f>'Filter-new'!L339</f>
        <v>14691.268342292606</v>
      </c>
      <c r="AO749" s="47">
        <f>'Filter-old'!G339</f>
        <v>11214.374225526642</v>
      </c>
      <c r="AP749" s="24">
        <f>'Filter-new'!G339</f>
        <v>13264.56486996949</v>
      </c>
      <c r="AS749" s="47"/>
      <c r="AT749" s="24"/>
      <c r="AW749" s="47">
        <f>'Filter-old'!I339</f>
        <v>13946.009450390142</v>
      </c>
      <c r="AX749" s="24">
        <f>'Filter-new'!I339</f>
        <v>14328.054627342728</v>
      </c>
      <c r="BC749" s="47">
        <f>'Filter-old'!K339</f>
        <v>14460.96654275093</v>
      </c>
      <c r="BD749" s="24">
        <f>'Filter-new'!K339</f>
        <v>13947.406654075257</v>
      </c>
      <c r="BG749" s="47">
        <f>'Filter-old'!M339</f>
        <v>15117.719950433704</v>
      </c>
      <c r="BH749" s="219"/>
      <c r="BI749" s="219"/>
      <c r="BJ749" s="24">
        <f>'Filter-new'!M339</f>
        <v>15545.546999854714</v>
      </c>
      <c r="BQ749" s="47">
        <f>'Filter-old'!O339</f>
        <v>15265.711674459804</v>
      </c>
      <c r="BR749" s="24">
        <f>'Filter-new'!O339</f>
        <v>14107.220688653202</v>
      </c>
      <c r="BU749" s="47">
        <f>'Filter-old'!Q339</f>
        <v>14590.370906182234</v>
      </c>
      <c r="BV749" s="24">
        <f>'Filter-new'!Q339</f>
        <v>15057.968908906001</v>
      </c>
      <c r="CA749" s="47">
        <f>'Filter-old'!R339</f>
        <v>15117.719950433704</v>
      </c>
      <c r="CB749" s="24">
        <f>'Filter-new'!R339</f>
        <v>14891.762312944937</v>
      </c>
    </row>
    <row r="750" spans="1:80" hidden="1" x14ac:dyDescent="0.2">
      <c r="A750">
        <v>0</v>
      </c>
      <c r="B750" s="29">
        <v>39692</v>
      </c>
      <c r="C750" s="29">
        <f>'Filter-new'!C340</f>
        <v>39692</v>
      </c>
      <c r="K750" s="47">
        <f>'Filter-old'!E340</f>
        <v>8820.420595043548</v>
      </c>
      <c r="L750" s="24">
        <f>'Filter-new'!E340</f>
        <v>7849.3210687691626</v>
      </c>
      <c r="O750" s="444"/>
      <c r="Q750" s="47">
        <f>'Filter-old'!H340</f>
        <v>7694.7411825490562</v>
      </c>
      <c r="R750" s="24">
        <f>'Filter-new'!H340</f>
        <v>7484.3042779967873</v>
      </c>
      <c r="W750" s="47">
        <f>'Filter-old'!J340</f>
        <v>8751.7105170490122</v>
      </c>
      <c r="X750" s="24">
        <f>'Filter-new'!J340</f>
        <v>8287.3412176960137</v>
      </c>
      <c r="AA750" s="47">
        <f>'Filter-old'!F340</f>
        <v>8820.420595043548</v>
      </c>
      <c r="AB750" s="24">
        <f>'Filter-new'!F340</f>
        <v>8287.3412176960137</v>
      </c>
      <c r="AE750" s="47">
        <f>'Filter-old'!P340</f>
        <v>9339.965941114393</v>
      </c>
      <c r="AF750" s="24">
        <f>'Filter-new'!P340</f>
        <v>7221.4921886406773</v>
      </c>
      <c r="AI750" s="47">
        <f>'Filter-old'!L340</f>
        <v>14111.825828797626</v>
      </c>
      <c r="AJ750" s="24">
        <f>'Filter-new'!L340</f>
        <v>8643.5976054898529</v>
      </c>
      <c r="AO750" s="47">
        <f>'Filter-old'!G340</f>
        <v>8720.9311763229271</v>
      </c>
      <c r="AP750" s="24">
        <f>'Filter-new'!G340</f>
        <v>9753.2486494378736</v>
      </c>
      <c r="AS750" s="47"/>
      <c r="AT750" s="24"/>
      <c r="AW750" s="47">
        <f>'Filter-old'!I340</f>
        <v>8727.6460627763954</v>
      </c>
      <c r="AX750" s="24">
        <f>'Filter-new'!I340</f>
        <v>7703.3143524602128</v>
      </c>
      <c r="BC750" s="47">
        <f>'Filter-old'!K340</f>
        <v>9240.4750123701142</v>
      </c>
      <c r="BD750" s="24">
        <f>'Filter-new'!K340</f>
        <v>10220.470141626514</v>
      </c>
      <c r="BG750" s="47">
        <f>'Filter-old'!M340</f>
        <v>8226.1256803562592</v>
      </c>
      <c r="BH750" s="219"/>
      <c r="BI750" s="219"/>
      <c r="BJ750" s="24">
        <f>'Filter-new'!M340</f>
        <v>9125.4197693093884</v>
      </c>
      <c r="BQ750" s="47">
        <f>'Filter-old'!O340</f>
        <v>9562.6274233463664</v>
      </c>
      <c r="BR750" s="24">
        <f>'Filter-new'!O340</f>
        <v>7919.4042925974591</v>
      </c>
      <c r="BU750" s="47">
        <f>'Filter-old'!Q340</f>
        <v>8535.9089212922518</v>
      </c>
      <c r="BV750" s="24">
        <f>'Filter-new'!Q340</f>
        <v>7552.0513943641399</v>
      </c>
      <c r="CA750" s="47">
        <f>'Filter-old'!R340</f>
        <v>8226.1256803562592</v>
      </c>
      <c r="CB750" s="24">
        <f>'Filter-new'!R340</f>
        <v>8833.406336691487</v>
      </c>
    </row>
    <row r="751" spans="1:80" hidden="1" x14ac:dyDescent="0.2">
      <c r="A751">
        <v>0</v>
      </c>
      <c r="B751" s="29">
        <v>39722</v>
      </c>
      <c r="C751" s="29">
        <f>'Filter-new'!C341</f>
        <v>39722</v>
      </c>
      <c r="K751" s="47">
        <f>'Filter-old'!E341</f>
        <v>8514.0201910707801</v>
      </c>
      <c r="L751" s="24">
        <f>'Filter-new'!E341</f>
        <v>8372.2278591100148</v>
      </c>
      <c r="O751" s="444"/>
      <c r="Q751" s="47">
        <f>'Filter-old'!H341</f>
        <v>8622.5870493296025</v>
      </c>
      <c r="R751" s="24">
        <f>'Filter-new'!H341</f>
        <v>8009.8565009421654</v>
      </c>
      <c r="W751" s="47">
        <f>'Filter-old'!J341</f>
        <v>9866.0930661663078</v>
      </c>
      <c r="X751" s="24">
        <f>'Filter-new'!J341</f>
        <v>8372.2278591100148</v>
      </c>
      <c r="AA751" s="47">
        <f>'Filter-old'!F341</f>
        <v>8514.0201910707801</v>
      </c>
      <c r="AB751" s="24">
        <f>'Filter-new'!F341</f>
        <v>8372.2278591100148</v>
      </c>
      <c r="AE751" s="47">
        <f>'Filter-old'!P341</f>
        <v>8453.0551544864284</v>
      </c>
      <c r="AF751" s="24">
        <f>'Filter-new'!P341</f>
        <v>9296.9995651543704</v>
      </c>
      <c r="AI751" s="47">
        <f>'Filter-old'!L341</f>
        <v>13769.041769041769</v>
      </c>
      <c r="AJ751" s="24">
        <f>'Filter-new'!L341</f>
        <v>8853.4570227569202</v>
      </c>
      <c r="AO751" s="47">
        <f>'Filter-old'!G341</f>
        <v>7936.1186859355803</v>
      </c>
      <c r="AP751" s="24">
        <f>'Filter-new'!G341</f>
        <v>9166.545876213946</v>
      </c>
      <c r="AS751" s="47"/>
      <c r="AT751" s="24"/>
      <c r="AW751" s="47">
        <f>'Filter-old'!I341</f>
        <v>8376.2738277051012</v>
      </c>
      <c r="AX751" s="24">
        <f>'Filter-new'!I341</f>
        <v>8227.279315842874</v>
      </c>
      <c r="BC751" s="47">
        <f>'Filter-old'!K341</f>
        <v>9484.0294840294846</v>
      </c>
      <c r="BD751" s="24">
        <f>'Filter-new'!K341</f>
        <v>10073.923757066241</v>
      </c>
      <c r="BG751" s="47">
        <f>'Filter-old'!M341</f>
        <v>7985.2579852579847</v>
      </c>
      <c r="BH751" s="219"/>
      <c r="BI751" s="219"/>
      <c r="BJ751" s="24">
        <f>'Filter-new'!M341</f>
        <v>9059.2839541962603</v>
      </c>
      <c r="BQ751" s="47">
        <f>'Filter-old'!O341</f>
        <v>8967.7974691555009</v>
      </c>
      <c r="BR751" s="24">
        <f>'Filter-new'!O341</f>
        <v>8517.1764023771557</v>
      </c>
      <c r="BU751" s="47">
        <f>'Filter-old'!Q341</f>
        <v>7924.7992513220779</v>
      </c>
      <c r="BV751" s="24">
        <f>'Filter-new'!Q341</f>
        <v>8126.3951297289459</v>
      </c>
      <c r="CA751" s="47">
        <f>'Filter-old'!R341</f>
        <v>7985.2579852579847</v>
      </c>
      <c r="CB751" s="24">
        <f>'Filter-new'!R341</f>
        <v>8769.3868676619804</v>
      </c>
    </row>
    <row r="752" spans="1:80" hidden="1" x14ac:dyDescent="0.2">
      <c r="A752">
        <v>0</v>
      </c>
      <c r="B752" s="29">
        <v>39753</v>
      </c>
      <c r="C752" s="29">
        <f>'Filter-new'!C342</f>
        <v>39753</v>
      </c>
      <c r="K752" s="47">
        <f>'Filter-old'!E342</f>
        <v>8264.4615105301236</v>
      </c>
      <c r="L752" s="24">
        <f>'Filter-new'!E342</f>
        <v>8163.2653061224473</v>
      </c>
      <c r="O752" s="444"/>
      <c r="Q752" s="47">
        <f>'Filter-old'!H342</f>
        <v>9178.1044686733603</v>
      </c>
      <c r="R752" s="24">
        <f>'Filter-new'!H342</f>
        <v>7816.187699569623</v>
      </c>
      <c r="W752" s="47">
        <f>'Filter-old'!J342</f>
        <v>9738.8622451764077</v>
      </c>
      <c r="X752" s="24">
        <f>'Filter-new'!J342</f>
        <v>8163.2653061224473</v>
      </c>
      <c r="AA752" s="47">
        <f>'Filter-old'!F342</f>
        <v>8264.4615105301236</v>
      </c>
      <c r="AB752" s="24">
        <f>'Filter-new'!F342</f>
        <v>8163.2653061224473</v>
      </c>
      <c r="AE752" s="47">
        <f>'Filter-old'!P342</f>
        <v>8205.4537343355187</v>
      </c>
      <c r="AF752" s="24">
        <f>'Filter-new'!P342</f>
        <v>9993.0584478689434</v>
      </c>
      <c r="AI752" s="47">
        <f>'Filter-old'!L342</f>
        <v>13326.991676575504</v>
      </c>
      <c r="AJ752" s="24">
        <f>'Filter-new'!L342</f>
        <v>8624.1843676246008</v>
      </c>
      <c r="AO752" s="47">
        <f>'Filter-old'!G342</f>
        <v>7609.9872022123036</v>
      </c>
      <c r="AP752" s="24">
        <f>'Filter-new'!G342</f>
        <v>8502.0130501180047</v>
      </c>
      <c r="AS752" s="47"/>
      <c r="AT752" s="24"/>
      <c r="AW752" s="47">
        <f>'Filter-old'!I342</f>
        <v>8116.2741861785626</v>
      </c>
      <c r="AX752" s="24">
        <f>'Filter-new'!I342</f>
        <v>8024.4342635013181</v>
      </c>
      <c r="BC752" s="47">
        <f>'Filter-old'!K342</f>
        <v>9179.5481569560034</v>
      </c>
      <c r="BD752" s="24">
        <f>'Filter-new'!K342</f>
        <v>9648.7574621685399</v>
      </c>
      <c r="BG752" s="47">
        <f>'Filter-old'!M342</f>
        <v>7728.8941736028537</v>
      </c>
      <c r="BH752" s="219"/>
      <c r="BI752" s="219"/>
      <c r="BJ752" s="24">
        <f>'Filter-new'!M342</f>
        <v>8676.9401638206309</v>
      </c>
      <c r="BQ752" s="47">
        <f>'Filter-old'!O342</f>
        <v>8679.8895837010441</v>
      </c>
      <c r="BR752" s="24">
        <f>'Filter-new'!O342</f>
        <v>8157.7120644176039</v>
      </c>
      <c r="BU752" s="47">
        <f>'Filter-old'!Q342</f>
        <v>7694.1572953631276</v>
      </c>
      <c r="BV752" s="24">
        <f>'Filter-new'!Q342</f>
        <v>7811.1897820352633</v>
      </c>
      <c r="CA752" s="47">
        <f>'Filter-old'!R342</f>
        <v>7728.8941736028537</v>
      </c>
      <c r="CB752" s="24">
        <f>'Filter-new'!R342</f>
        <v>8399.2780785783689</v>
      </c>
    </row>
    <row r="753" spans="1:80" hidden="1" x14ac:dyDescent="0.2">
      <c r="A753">
        <v>0</v>
      </c>
      <c r="B753" s="29">
        <v>39783</v>
      </c>
      <c r="C753" s="29">
        <f>'Filter-new'!C343</f>
        <v>39783</v>
      </c>
      <c r="K753" s="47">
        <f>'Filter-old'!E343</f>
        <v>8030.4283700231044</v>
      </c>
      <c r="L753" s="24">
        <f>'Filter-new'!E343</f>
        <v>7942.3153959140072</v>
      </c>
      <c r="O753" s="444"/>
      <c r="Q753" s="47">
        <f>'Filter-old'!H343</f>
        <v>9007.8178089335215</v>
      </c>
      <c r="R753" s="24">
        <f>'Filter-new'!H343</f>
        <v>7608.4924556015485</v>
      </c>
      <c r="W753" s="47">
        <f>'Filter-old'!J343</f>
        <v>9609.9774408999674</v>
      </c>
      <c r="X753" s="24">
        <f>'Filter-new'!J343</f>
        <v>7942.3153959140072</v>
      </c>
      <c r="AA753" s="47">
        <f>'Filter-old'!F343</f>
        <v>8030.4283700231044</v>
      </c>
      <c r="AB753" s="24">
        <f>'Filter-new'!F343</f>
        <v>7942.3153959140072</v>
      </c>
      <c r="AE753" s="47">
        <f>'Filter-old'!P343</f>
        <v>7973.2560891709572</v>
      </c>
      <c r="AF753" s="24">
        <f>'Filter-new'!P343</f>
        <v>9809.0532781412749</v>
      </c>
      <c r="AI753" s="47">
        <f>'Filter-old'!L343</f>
        <v>12912.442396313365</v>
      </c>
      <c r="AJ753" s="24">
        <f>'Filter-new'!L343</f>
        <v>8385.6322606489521</v>
      </c>
      <c r="AO753" s="47">
        <f>'Filter-old'!G343</f>
        <v>7603.6857569821977</v>
      </c>
      <c r="AP753" s="24">
        <f>'Filter-new'!G343</f>
        <v>8417.6792629189476</v>
      </c>
      <c r="AS753" s="47"/>
      <c r="AT753" s="24"/>
      <c r="AW753" s="47">
        <f>'Filter-old'!I343</f>
        <v>7872.4496375580538</v>
      </c>
      <c r="AX753" s="24">
        <f>'Filter-new'!I343</f>
        <v>7808.7862197890236</v>
      </c>
      <c r="BC753" s="47">
        <f>'Filter-old'!K343</f>
        <v>8894.0092165898623</v>
      </c>
      <c r="BD753" s="24">
        <f>'Filter-new'!K343</f>
        <v>9280.2777406863406</v>
      </c>
      <c r="BG753" s="47">
        <f>'Filter-old'!M343</f>
        <v>7488.4792626728113</v>
      </c>
      <c r="BH753" s="219"/>
      <c r="BI753" s="219"/>
      <c r="BJ753" s="24">
        <f>'Filter-new'!M343</f>
        <v>8345.5735078114576</v>
      </c>
      <c r="BQ753" s="47">
        <f>'Filter-old'!O343</f>
        <v>8409.8930183094217</v>
      </c>
      <c r="BR753" s="24">
        <f>'Filter-new'!O343</f>
        <v>7846.1743891040187</v>
      </c>
      <c r="BU753" s="47">
        <f>'Filter-old'!Q343</f>
        <v>7477.8640325168317</v>
      </c>
      <c r="BV753" s="24">
        <f>'Filter-new'!Q343</f>
        <v>7539.5914007210577</v>
      </c>
      <c r="CA753" s="47">
        <f>'Filter-old'!R343</f>
        <v>7488.4792626728113</v>
      </c>
      <c r="CB753" s="24">
        <f>'Filter-new'!R343</f>
        <v>8078.5151555614902</v>
      </c>
    </row>
    <row r="754" spans="1:80" hidden="1" x14ac:dyDescent="0.2">
      <c r="A754">
        <v>0</v>
      </c>
      <c r="B754" s="29">
        <v>39814</v>
      </c>
      <c r="C754" s="29">
        <f>'Filter-new'!C344</f>
        <v>39814</v>
      </c>
      <c r="K754" s="47">
        <f>'Filter-old'!E344</f>
        <v>9065.0895120687837</v>
      </c>
      <c r="L754" s="24">
        <f>'Filter-new'!E344</f>
        <v>8341.0442828816922</v>
      </c>
      <c r="O754" s="444"/>
      <c r="Q754" s="47">
        <f>'Filter-old'!H344</f>
        <v>9676.3735232145882</v>
      </c>
      <c r="R754" s="24">
        <f>'Filter-new'!H344</f>
        <v>7931.2623925974885</v>
      </c>
      <c r="W754" s="47">
        <f>'Filter-old'!J344</f>
        <v>11503.360409667526</v>
      </c>
      <c r="X754" s="24">
        <f>'Filter-new'!J344</f>
        <v>8473.2319894249831</v>
      </c>
      <c r="AA754" s="47">
        <f>'Filter-old'!F344</f>
        <v>9065.0895120687837</v>
      </c>
      <c r="AB754" s="24">
        <f>'Filter-new'!F344</f>
        <v>8473.2319894249831</v>
      </c>
      <c r="AE754" s="47">
        <f>'Filter-old'!P344</f>
        <v>8952.1883190542012</v>
      </c>
      <c r="AF754" s="24">
        <f>'Filter-new'!P344</f>
        <v>9781.8902842035677</v>
      </c>
      <c r="AI754" s="47">
        <f>'Filter-old'!L344</f>
        <v>15432.51811594203</v>
      </c>
      <c r="AJ754" s="24">
        <f>'Filter-new'!L344</f>
        <v>9181.7580964970239</v>
      </c>
      <c r="AO754" s="47">
        <f>'Filter-old'!G344</f>
        <v>9164.4021048062077</v>
      </c>
      <c r="AP754" s="24">
        <f>'Filter-new'!G344</f>
        <v>8703.2385988103106</v>
      </c>
      <c r="AS754" s="47"/>
      <c r="AT754" s="24"/>
      <c r="AW754" s="47">
        <f>'Filter-old'!I344</f>
        <v>8867.2698407933312</v>
      </c>
      <c r="AX754" s="24">
        <f>'Filter-new'!I344</f>
        <v>8208.8565763383995</v>
      </c>
      <c r="BC754" s="47">
        <f>'Filter-old'!K344</f>
        <v>11571.557971014492</v>
      </c>
      <c r="BD754" s="24">
        <f>'Filter-new'!K344</f>
        <v>11698.612029081294</v>
      </c>
      <c r="BG754" s="47">
        <f>'Filter-old'!M344</f>
        <v>8605.072463768116</v>
      </c>
      <c r="BH754" s="219"/>
      <c r="BI754" s="219"/>
      <c r="BJ754" s="24">
        <f>'Filter-new'!M344</f>
        <v>9054.857898215465</v>
      </c>
      <c r="BQ754" s="47">
        <f>'Filter-old'!O344</f>
        <v>9567.6442851190968</v>
      </c>
      <c r="BR754" s="24">
        <f>'Filter-new'!O344</f>
        <v>8621.28222075347</v>
      </c>
      <c r="BU754" s="47">
        <f>'Filter-old'!Q344</f>
        <v>9088.0575387374192</v>
      </c>
      <c r="BV754" s="24">
        <f>'Filter-new'!Q344</f>
        <v>8151.2227362855256</v>
      </c>
      <c r="CA754" s="47">
        <f>'Filter-old'!R344</f>
        <v>8605.072463768116</v>
      </c>
      <c r="CB754" s="24">
        <f>'Filter-new'!R344</f>
        <v>8790.4824851288813</v>
      </c>
    </row>
    <row r="755" spans="1:80" hidden="1" x14ac:dyDescent="0.2">
      <c r="A755">
        <v>0</v>
      </c>
      <c r="B755" s="29">
        <v>39845</v>
      </c>
      <c r="C755" s="29">
        <f>'Filter-new'!C345</f>
        <v>39845</v>
      </c>
      <c r="K755" s="47">
        <f>'Filter-old'!E345</f>
        <v>9232.5344338011637</v>
      </c>
      <c r="L755" s="24">
        <f>'Filter-new'!E345</f>
        <v>8007.5137528512014</v>
      </c>
      <c r="O755" s="444"/>
      <c r="Q755" s="47">
        <f>'Filter-old'!H345</f>
        <v>10093.732454877721</v>
      </c>
      <c r="R755" s="24">
        <f>'Filter-new'!H345</f>
        <v>7591.57386287401</v>
      </c>
      <c r="W755" s="47">
        <f>'Filter-old'!J345</f>
        <v>11353.848201277757</v>
      </c>
      <c r="X755" s="24">
        <f>'Filter-new'!J345</f>
        <v>8141.6879109083593</v>
      </c>
      <c r="AA755" s="47">
        <f>'Filter-old'!F345</f>
        <v>9232.5344338011637</v>
      </c>
      <c r="AB755" s="24">
        <f>'Filter-new'!F345</f>
        <v>8141.6879109083593</v>
      </c>
      <c r="AE755" s="47">
        <f>'Filter-old'!P345</f>
        <v>9116.5335802989757</v>
      </c>
      <c r="AF755" s="24">
        <f>'Filter-new'!P345</f>
        <v>9738.3603917885412</v>
      </c>
      <c r="AI755" s="47">
        <f>'Filter-old'!L345</f>
        <v>15856.212191717079</v>
      </c>
      <c r="AJ755" s="24">
        <f>'Filter-new'!L345</f>
        <v>9091.6409499530382</v>
      </c>
      <c r="AO755" s="47">
        <f>'Filter-old'!G345</f>
        <v>9148.4398218352817</v>
      </c>
      <c r="AP755" s="24">
        <f>'Filter-new'!G345</f>
        <v>8632.7653293975582</v>
      </c>
      <c r="AS755" s="47"/>
      <c r="AT755" s="24"/>
      <c r="AW755" s="47">
        <f>'Filter-old'!I345</f>
        <v>9000.2004020765471</v>
      </c>
      <c r="AX755" s="24">
        <f>'Filter-new'!I345</f>
        <v>7873.3395947940417</v>
      </c>
      <c r="BC755" s="47">
        <f>'Filter-old'!K345</f>
        <v>11889.250814332248</v>
      </c>
      <c r="BD755" s="24">
        <f>'Filter-new'!K345</f>
        <v>11874.412988058501</v>
      </c>
      <c r="BG755" s="47">
        <f>'Filter-old'!M345</f>
        <v>8841.3215449046074</v>
      </c>
      <c r="BH755" s="219"/>
      <c r="BI755" s="219"/>
      <c r="BJ755" s="24">
        <f>'Filter-new'!M345</f>
        <v>9190.9298269153351</v>
      </c>
      <c r="BQ755" s="47">
        <f>'Filter-old'!O345</f>
        <v>9887.3252034353736</v>
      </c>
      <c r="BR755" s="24">
        <f>'Filter-new'!O345</f>
        <v>8329.5317321883813</v>
      </c>
      <c r="BU755" s="47">
        <f>'Filter-old'!Q345</f>
        <v>9256.1330391452066</v>
      </c>
      <c r="BV755" s="24">
        <f>'Filter-new'!Q345</f>
        <v>8054.4747081712057</v>
      </c>
      <c r="CA755" s="47">
        <f>'Filter-old'!R345</f>
        <v>8841.3215449046074</v>
      </c>
      <c r="CB755" s="24">
        <f>'Filter-new'!R345</f>
        <v>8922.5815108010211</v>
      </c>
    </row>
    <row r="756" spans="1:80" hidden="1" x14ac:dyDescent="0.2">
      <c r="A756">
        <v>0</v>
      </c>
      <c r="B756" s="29">
        <v>39873</v>
      </c>
      <c r="C756" s="29">
        <f>'Filter-new'!C346</f>
        <v>39873</v>
      </c>
      <c r="K756" s="47">
        <f>'Filter-old'!E346</f>
        <v>8318.1698114156643</v>
      </c>
      <c r="L756" s="24">
        <f>'Filter-new'!E346</f>
        <v>7888.2246628666762</v>
      </c>
      <c r="O756" s="444"/>
      <c r="Q756" s="47">
        <f>'Filter-old'!H346</f>
        <v>8727.1416745409097</v>
      </c>
      <c r="R756" s="24">
        <f>'Filter-new'!H346</f>
        <v>7457.2501042680387</v>
      </c>
      <c r="W756" s="47">
        <f>'Filter-old'!J346</f>
        <v>9915.2261612652874</v>
      </c>
      <c r="X756" s="24">
        <f>'Filter-new'!J346</f>
        <v>8096.7607396079529</v>
      </c>
      <c r="AA756" s="47">
        <f>'Filter-old'!F346</f>
        <v>8318.1698114156643</v>
      </c>
      <c r="AB756" s="24">
        <f>'Filter-new'!F346</f>
        <v>8096.7607396079529</v>
      </c>
      <c r="AE756" s="47">
        <f>'Filter-old'!P346</f>
        <v>8138.9061972445234</v>
      </c>
      <c r="AF756" s="24">
        <f>'Filter-new'!P346</f>
        <v>9195.0507437786746</v>
      </c>
      <c r="AI756" s="47">
        <f>'Filter-old'!L346</f>
        <v>13241.296518607443</v>
      </c>
      <c r="AJ756" s="24">
        <f>'Filter-new'!L346</f>
        <v>8936.4660086194926</v>
      </c>
      <c r="AO756" s="47">
        <f>'Filter-old'!G346</f>
        <v>8607.4413285822138</v>
      </c>
      <c r="AP756" s="24">
        <f>'Filter-new'!G346</f>
        <v>8509.9402196580031</v>
      </c>
      <c r="AS756" s="47"/>
      <c r="AT756" s="24"/>
      <c r="AW756" s="47">
        <f>'Filter-old'!I346</f>
        <v>8348.9902308579676</v>
      </c>
      <c r="AX756" s="24">
        <f>'Filter-new'!I346</f>
        <v>7749.2006117058254</v>
      </c>
      <c r="BC756" s="47">
        <f>'Filter-old'!K346</f>
        <v>9651.8607442977191</v>
      </c>
      <c r="BD756" s="24">
        <f>'Filter-new'!K346</f>
        <v>10079.243709161687</v>
      </c>
      <c r="BG756" s="47">
        <f>'Filter-old'!M346</f>
        <v>8043.2172869147662</v>
      </c>
      <c r="BH756" s="219"/>
      <c r="BI756" s="219"/>
      <c r="BJ756" s="24">
        <f>'Filter-new'!M346</f>
        <v>8897.5392742944532</v>
      </c>
      <c r="BQ756" s="47">
        <f>'Filter-old'!O346</f>
        <v>9183.0744749071491</v>
      </c>
      <c r="BR756" s="24">
        <f>'Filter-new'!O346</f>
        <v>8005.0048658417909</v>
      </c>
      <c r="BU756" s="47">
        <f>'Filter-old'!Q346</f>
        <v>8282.9634539362614</v>
      </c>
      <c r="BV756" s="24">
        <f>'Filter-new'!Q346</f>
        <v>8276.379813707772</v>
      </c>
      <c r="CA756" s="47">
        <f>'Filter-old'!R346</f>
        <v>8043.2172869147662</v>
      </c>
      <c r="CB756" s="24">
        <f>'Filter-new'!R346</f>
        <v>8549.9791463923266</v>
      </c>
    </row>
    <row r="757" spans="1:80" hidden="1" x14ac:dyDescent="0.2">
      <c r="A757">
        <v>0</v>
      </c>
      <c r="B757" s="29">
        <v>39904</v>
      </c>
      <c r="C757" s="29">
        <f>'Filter-new'!C347</f>
        <v>39904</v>
      </c>
      <c r="K757" s="47">
        <f>'Filter-old'!E347</f>
        <v>8817.8839265039442</v>
      </c>
      <c r="L757" s="24">
        <f>'Filter-new'!E347</f>
        <v>8145.9768430309241</v>
      </c>
      <c r="O757" s="444"/>
      <c r="Q757" s="47">
        <f>'Filter-old'!H347</f>
        <v>9132.8002699655499</v>
      </c>
      <c r="R757" s="24">
        <f>'Filter-new'!H347</f>
        <v>7691.6312472519412</v>
      </c>
      <c r="W757" s="47">
        <f>'Filter-old'!J347</f>
        <v>9848.4710233295391</v>
      </c>
      <c r="X757" s="24">
        <f>'Filter-new'!J347</f>
        <v>8365.8214861497872</v>
      </c>
      <c r="AA757" s="47">
        <f>'Filter-old'!F347</f>
        <v>8817.8839265039442</v>
      </c>
      <c r="AB757" s="24">
        <f>'Filter-new'!F347</f>
        <v>8365.8214861497872</v>
      </c>
      <c r="AE757" s="47">
        <f>'Filter-old'!P347</f>
        <v>8630.2877071514795</v>
      </c>
      <c r="AF757" s="24">
        <f>'Filter-new'!P347</f>
        <v>9391.7631540378134</v>
      </c>
      <c r="AI757" s="47">
        <f>'Filter-old'!L347</f>
        <v>13856.783919597989</v>
      </c>
      <c r="AJ757" s="24">
        <f>'Filter-new'!L347</f>
        <v>9251.0625824417402</v>
      </c>
      <c r="AO757" s="47">
        <f>'Filter-old'!G347</f>
        <v>8655.7767858457337</v>
      </c>
      <c r="AP757" s="24">
        <f>'Filter-new'!G347</f>
        <v>9201.2311300014662</v>
      </c>
      <c r="AS757" s="47"/>
      <c r="AT757" s="24"/>
      <c r="AW757" s="47">
        <f>'Filter-old'!I347</f>
        <v>8755.915847854998</v>
      </c>
      <c r="AX757" s="24">
        <f>'Filter-new'!I347</f>
        <v>7999.4137476183487</v>
      </c>
      <c r="BC757" s="47">
        <f>'Filter-old'!K347</f>
        <v>10100.502512562814</v>
      </c>
      <c r="BD757" s="24">
        <f>'Filter-new'!K347</f>
        <v>10699.105965117984</v>
      </c>
      <c r="BG757" s="47">
        <f>'Filter-old'!M347</f>
        <v>8291.4572864321617</v>
      </c>
      <c r="BH757" s="219"/>
      <c r="BI757" s="219"/>
      <c r="BJ757" s="24">
        <f>'Filter-new'!M347</f>
        <v>9380.038106404807</v>
      </c>
      <c r="BQ757" s="47">
        <f>'Filter-old'!O347</f>
        <v>9672.7390385153321</v>
      </c>
      <c r="BR757" s="24">
        <f>'Filter-new'!O347</f>
        <v>8439.103033856074</v>
      </c>
      <c r="BU757" s="47">
        <f>'Filter-old'!Q347</f>
        <v>8781.0410926090408</v>
      </c>
      <c r="BV757" s="24">
        <f>'Filter-new'!Q347</f>
        <v>8725.1941961014218</v>
      </c>
      <c r="CA757" s="47">
        <f>'Filter-old'!R347</f>
        <v>8291.4572864321617</v>
      </c>
      <c r="CB757" s="24">
        <f>'Filter-new'!R347</f>
        <v>9013.6303678733675</v>
      </c>
    </row>
    <row r="758" spans="1:80" hidden="1" x14ac:dyDescent="0.2">
      <c r="A758">
        <v>0</v>
      </c>
      <c r="B758" s="29">
        <v>39934</v>
      </c>
      <c r="C758" s="29">
        <f>'Filter-new'!C348</f>
        <v>39934</v>
      </c>
      <c r="K758" s="47">
        <f>'Filter-old'!E348</f>
        <v>10391.327596131139</v>
      </c>
      <c r="L758" s="24">
        <f>'Filter-new'!E348</f>
        <v>9340.9658006751797</v>
      </c>
      <c r="O758" s="444"/>
      <c r="Q758" s="47">
        <f>'Filter-old'!H348</f>
        <v>9333.3919342579102</v>
      </c>
      <c r="R758" s="24">
        <f>'Filter-new'!H348</f>
        <v>8900.6311463378843</v>
      </c>
      <c r="W758" s="47">
        <f>'Filter-old'!J348</f>
        <v>10546.452596746101</v>
      </c>
      <c r="X758" s="24">
        <f>'Filter-new'!J348</f>
        <v>9634.5222369000458</v>
      </c>
      <c r="AA758" s="47">
        <f>'Filter-old'!F348</f>
        <v>10391.327596131139</v>
      </c>
      <c r="AB758" s="24">
        <f>'Filter-new'!F348</f>
        <v>9634.5222369000458</v>
      </c>
      <c r="AE758" s="47">
        <f>'Filter-old'!P348</f>
        <v>10750.268508565216</v>
      </c>
      <c r="AF758" s="24">
        <f>'Filter-new'!P348</f>
        <v>9062.0871862615586</v>
      </c>
      <c r="AI758" s="47">
        <f>'Filter-old'!L348</f>
        <v>14143.576826196473</v>
      </c>
      <c r="AJ758" s="24">
        <f>'Filter-new'!L348</f>
        <v>10976.075150447674</v>
      </c>
      <c r="AO758" s="47">
        <f>'Filter-old'!G348</f>
        <v>9546.6018023358793</v>
      </c>
      <c r="AP758" s="24">
        <f>'Filter-new'!G348</f>
        <v>9790.1071480992232</v>
      </c>
      <c r="AS758" s="47"/>
      <c r="AT758" s="24"/>
      <c r="AW758" s="47">
        <f>'Filter-old'!I348</f>
        <v>9131.8807914215013</v>
      </c>
      <c r="AX758" s="24">
        <f>'Filter-new'!I348</f>
        <v>9194.1875825627485</v>
      </c>
      <c r="BC758" s="47">
        <f>'Filter-old'!K348</f>
        <v>10125.944584382871</v>
      </c>
      <c r="BD758" s="24">
        <f>'Filter-new'!K348</f>
        <v>10714.809922207545</v>
      </c>
      <c r="BG758" s="47">
        <f>'Filter-old'!M348</f>
        <v>9319.8992443324933</v>
      </c>
      <c r="BH758" s="219"/>
      <c r="BI758" s="219"/>
      <c r="BJ758" s="24">
        <f>'Filter-new'!M348</f>
        <v>9760.751504476737</v>
      </c>
      <c r="BQ758" s="47">
        <f>'Filter-old'!O348</f>
        <v>10958.078225854062</v>
      </c>
      <c r="BR758" s="24">
        <f>'Filter-new'!O348</f>
        <v>9537.6486129458408</v>
      </c>
      <c r="BU758" s="47">
        <f>'Filter-old'!Q348</f>
        <v>9031.1247395628343</v>
      </c>
      <c r="BV758" s="24">
        <f>'Filter-new'!Q348</f>
        <v>9722.8827242037278</v>
      </c>
      <c r="CA758" s="47">
        <f>'Filter-old'!R348</f>
        <v>9319.8992443324933</v>
      </c>
      <c r="CB758" s="24">
        <f>'Filter-new'!R348</f>
        <v>9613.9732863643039</v>
      </c>
    </row>
    <row r="759" spans="1:80" hidden="1" x14ac:dyDescent="0.2">
      <c r="A759">
        <v>0</v>
      </c>
      <c r="B759" s="29">
        <v>39965</v>
      </c>
      <c r="C759" s="29">
        <f>'Filter-new'!C349</f>
        <v>39965</v>
      </c>
      <c r="K759" s="47">
        <f>'Filter-old'!E349</f>
        <v>9860.9229176864592</v>
      </c>
      <c r="L759" s="24">
        <f>'Filter-new'!E349</f>
        <v>11041.696934476246</v>
      </c>
      <c r="O759" s="444"/>
      <c r="Q759" s="47">
        <f>'Filter-old'!H349</f>
        <v>8612.7951093988904</v>
      </c>
      <c r="R759" s="24">
        <f>'Filter-new'!H349</f>
        <v>10562.254830742409</v>
      </c>
      <c r="W759" s="47">
        <f>'Filter-old'!J349</f>
        <v>8061.6081112096508</v>
      </c>
      <c r="X759" s="24">
        <f>'Filter-new'!J349</f>
        <v>11477.553392416099</v>
      </c>
      <c r="AA759" s="47">
        <f>'Filter-old'!F349</f>
        <v>9860.9229176864592</v>
      </c>
      <c r="AB759" s="24">
        <f>'Filter-new'!F349</f>
        <v>11477.553392416099</v>
      </c>
      <c r="AE759" s="47">
        <f>'Filter-old'!P349</f>
        <v>11124.65232357762</v>
      </c>
      <c r="AF759" s="24">
        <f>'Filter-new'!P349</f>
        <v>10242.626761586518</v>
      </c>
      <c r="AI759" s="47">
        <f>'Filter-old'!L349</f>
        <v>18509.735396904642</v>
      </c>
      <c r="AJ759" s="24">
        <f>'Filter-new'!L349</f>
        <v>12392.851954089785</v>
      </c>
      <c r="AO759" s="47">
        <f>'Filter-old'!G349</f>
        <v>9485.7703907395753</v>
      </c>
      <c r="AP759" s="24">
        <f>'Filter-new'!G349</f>
        <v>10867.354351300304</v>
      </c>
      <c r="AS759" s="47"/>
      <c r="AT759" s="24"/>
      <c r="AW759" s="47">
        <f>'Filter-old'!I349</f>
        <v>9923.329308100836</v>
      </c>
      <c r="AX759" s="24">
        <f>'Filter-new'!I349</f>
        <v>10896.411448496296</v>
      </c>
      <c r="BC759" s="47">
        <f>'Filter-old'!K349</f>
        <v>11757.363954068896</v>
      </c>
      <c r="BD759" s="24">
        <f>'Filter-new'!K349</f>
        <v>11986.052593345925</v>
      </c>
      <c r="BG759" s="47">
        <f>'Filter-old'!M349</f>
        <v>12231.652521218171</v>
      </c>
      <c r="BH759" s="219"/>
      <c r="BI759" s="219"/>
      <c r="BJ759" s="24">
        <f>'Filter-new'!M349</f>
        <v>12494.551794275752</v>
      </c>
      <c r="BQ759" s="47">
        <f>'Filter-old'!O349</f>
        <v>11358.676287631541</v>
      </c>
      <c r="BR759" s="24">
        <f>'Filter-new'!O349</f>
        <v>11515.327618770887</v>
      </c>
      <c r="BU759" s="47">
        <f>'Filter-old'!Q349</f>
        <v>10260.323435440101</v>
      </c>
      <c r="BV759" s="24">
        <f>'Filter-new'!Q349</f>
        <v>11836.408542786576</v>
      </c>
      <c r="CA759" s="47">
        <f>'Filter-old'!R349</f>
        <v>12231.652521218171</v>
      </c>
      <c r="CB759" s="24">
        <f>'Filter-new'!R349</f>
        <v>12421.909051285777</v>
      </c>
    </row>
    <row r="760" spans="1:80" hidden="1" x14ac:dyDescent="0.2">
      <c r="A760">
        <v>0</v>
      </c>
      <c r="B760" s="29">
        <v>39995</v>
      </c>
      <c r="C760" s="29">
        <f>'Filter-new'!C350</f>
        <v>39995</v>
      </c>
      <c r="K760" s="47">
        <f>'Filter-old'!E350</f>
        <v>13094.240840060496</v>
      </c>
      <c r="L760" s="24">
        <f>'Filter-new'!E350</f>
        <v>14931.782277753842</v>
      </c>
      <c r="O760" s="444"/>
      <c r="Q760" s="47">
        <f>'Filter-old'!H350</f>
        <v>9986.9658708866373</v>
      </c>
      <c r="R760" s="24">
        <f>'Filter-new'!H350</f>
        <v>14342.955622576475</v>
      </c>
      <c r="W760" s="47">
        <f>'Filter-old'!J350</f>
        <v>10073.982737361284</v>
      </c>
      <c r="X760" s="24">
        <f>'Filter-new'!J350</f>
        <v>15649.863564555508</v>
      </c>
      <c r="AA760" s="47">
        <f>'Filter-old'!F350</f>
        <v>13094.240840060496</v>
      </c>
      <c r="AB760" s="24">
        <f>'Filter-new'!F350</f>
        <v>15649.863564555508</v>
      </c>
      <c r="AE760" s="47">
        <f>'Filter-old'!P350</f>
        <v>13667.606302019112</v>
      </c>
      <c r="AF760" s="24">
        <f>'Filter-new'!P350</f>
        <v>11384.46072095361</v>
      </c>
      <c r="AI760" s="47">
        <f>'Filter-old'!L350</f>
        <v>24697.903822441433</v>
      </c>
      <c r="AJ760" s="24">
        <f>'Filter-new'!L350</f>
        <v>15075.398535114175</v>
      </c>
      <c r="AO760" s="47">
        <f>'Filter-old'!G350</f>
        <v>11282.365566117256</v>
      </c>
      <c r="AP760" s="24">
        <f>'Filter-new'!G350</f>
        <v>13485.566566135287</v>
      </c>
      <c r="AS760" s="47"/>
      <c r="AT760" s="24"/>
      <c r="AW760" s="47">
        <f>'Filter-old'!I350</f>
        <v>14262.551943853075</v>
      </c>
      <c r="AX760" s="24">
        <f>'Filter-new'!I350</f>
        <v>14788.166020393508</v>
      </c>
      <c r="BC760" s="47">
        <f>'Filter-old'!K350</f>
        <v>14512.946979038226</v>
      </c>
      <c r="BD760" s="24">
        <f>'Filter-new'!K350</f>
        <v>13930.776963952319</v>
      </c>
      <c r="BG760" s="47">
        <f>'Filter-old'!M350</f>
        <v>15536.374845869299</v>
      </c>
      <c r="BH760" s="219"/>
      <c r="BI760" s="219"/>
      <c r="BJ760" s="24">
        <f>'Filter-new'!M350</f>
        <v>15510.555794915983</v>
      </c>
      <c r="BQ760" s="47">
        <f>'Filter-old'!O350</f>
        <v>15560.332085436576</v>
      </c>
      <c r="BR760" s="24">
        <f>'Filter-new'!O350</f>
        <v>14591.411747809851</v>
      </c>
      <c r="BU760" s="47">
        <f>'Filter-old'!Q350</f>
        <v>15011.626783340398</v>
      </c>
      <c r="BV760" s="24">
        <f>'Filter-new'!Q350</f>
        <v>15301.450524199339</v>
      </c>
      <c r="CA760" s="47">
        <f>'Filter-old'!R350</f>
        <v>15536.374845869299</v>
      </c>
      <c r="CB760" s="24">
        <f>'Filter-new'!R350</f>
        <v>14864.282636794485</v>
      </c>
    </row>
    <row r="761" spans="1:80" hidden="1" x14ac:dyDescent="0.2">
      <c r="A761">
        <v>0</v>
      </c>
      <c r="B761" s="29">
        <v>40026</v>
      </c>
      <c r="C761" s="29">
        <f>'Filter-new'!C351</f>
        <v>40026</v>
      </c>
      <c r="K761" s="47">
        <f>'Filter-old'!E351</f>
        <v>12950.52356254764</v>
      </c>
      <c r="L761" s="24">
        <f>'Filter-new'!E351</f>
        <v>14532.159591083344</v>
      </c>
      <c r="O761" s="444"/>
      <c r="Q761" s="47">
        <f>'Filter-old'!H351</f>
        <v>9877.352830840322</v>
      </c>
      <c r="R761" s="24">
        <f>'Filter-new'!H351</f>
        <v>13950.021297742438</v>
      </c>
      <c r="W761" s="47">
        <f>'Filter-old'!J351</f>
        <v>9963.414634146342</v>
      </c>
      <c r="X761" s="24">
        <f>'Filter-new'!J351</f>
        <v>15242.084339060058</v>
      </c>
      <c r="AA761" s="47">
        <f>'Filter-old'!F351</f>
        <v>12950.52356254764</v>
      </c>
      <c r="AB761" s="24">
        <f>'Filter-new'!F351</f>
        <v>15242.084339060058</v>
      </c>
      <c r="AE761" s="47">
        <f>'Filter-old'!P351</f>
        <v>13517.595988948171</v>
      </c>
      <c r="AF761" s="24">
        <f>'Filter-new'!P351</f>
        <v>11025.131336078375</v>
      </c>
      <c r="AI761" s="47">
        <f>'Filter-old'!L351</f>
        <v>24546.341463414639</v>
      </c>
      <c r="AJ761" s="24">
        <f>'Filter-new'!L351</f>
        <v>14958.114439869372</v>
      </c>
      <c r="AO761" s="47">
        <f>'Filter-old'!G351</f>
        <v>11158.536585365855</v>
      </c>
      <c r="AP761" s="24">
        <f>'Filter-new'!G351</f>
        <v>13218.798807326422</v>
      </c>
      <c r="AS761" s="47"/>
      <c r="AT761" s="24"/>
      <c r="AW761" s="47">
        <f>'Filter-old'!I351</f>
        <v>14090.767837152249</v>
      </c>
      <c r="AX761" s="24">
        <f>'Filter-new'!I351</f>
        <v>14390.174641488</v>
      </c>
      <c r="BC761" s="47">
        <f>'Filter-old'!K351</f>
        <v>14353.658536585368</v>
      </c>
      <c r="BD761" s="24">
        <f>'Filter-new'!K351</f>
        <v>13772.540110748259</v>
      </c>
      <c r="BG761" s="47">
        <f>'Filter-old'!M351</f>
        <v>15365.853658536587</v>
      </c>
      <c r="BH761" s="219"/>
      <c r="BI761" s="219"/>
      <c r="BJ761" s="24">
        <f>'Filter-new'!M351</f>
        <v>15334.374556297033</v>
      </c>
      <c r="BQ761" s="47">
        <f>'Filter-old'!O351</f>
        <v>15389.547952791541</v>
      </c>
      <c r="BR761" s="24">
        <f>'Filter-new'!O351</f>
        <v>14141.700979696152</v>
      </c>
      <c r="BU761" s="47">
        <f>'Filter-old'!Q351</f>
        <v>14846.865025962274</v>
      </c>
      <c r="BV761" s="24">
        <f>'Filter-new'!Q351</f>
        <v>15198.636944483884</v>
      </c>
      <c r="CA761" s="47">
        <f>'Filter-old'!R351</f>
        <v>15365.853658536587</v>
      </c>
      <c r="CB761" s="24">
        <f>'Filter-new'!R351</f>
        <v>14695.442283117989</v>
      </c>
    </row>
    <row r="762" spans="1:80" hidden="1" x14ac:dyDescent="0.2">
      <c r="A762">
        <v>0</v>
      </c>
      <c r="B762" s="29">
        <v>40057</v>
      </c>
      <c r="C762" s="29">
        <f>'Filter-new'!C352</f>
        <v>40057</v>
      </c>
      <c r="K762" s="47">
        <f>'Filter-old'!E352</f>
        <v>8680.8229961446341</v>
      </c>
      <c r="L762" s="24">
        <f>'Filter-new'!E352</f>
        <v>7924.0975888143812</v>
      </c>
      <c r="O762" s="444"/>
      <c r="Q762" s="47">
        <f>'Filter-old'!H352</f>
        <v>7694.7026685812716</v>
      </c>
      <c r="R762" s="24">
        <f>'Filter-new'!H352</f>
        <v>7567.4133257240683</v>
      </c>
      <c r="W762" s="47">
        <f>'Filter-old'!J352</f>
        <v>8613.2003676435615</v>
      </c>
      <c r="X762" s="24">
        <f>'Filter-new'!J352</f>
        <v>8352.1187045227562</v>
      </c>
      <c r="AA762" s="47">
        <f>'Filter-old'!F352</f>
        <v>8680.8229961446341</v>
      </c>
      <c r="AB762" s="24">
        <f>'Filter-new'!F352</f>
        <v>8352.1187045227562</v>
      </c>
      <c r="AE762" s="47">
        <f>'Filter-old'!P352</f>
        <v>9173.8849246998252</v>
      </c>
      <c r="AF762" s="24">
        <f>'Filter-new'!P352</f>
        <v>7453.2743615351692</v>
      </c>
      <c r="AI762" s="47">
        <f>'Filter-old'!L352</f>
        <v>14034.575115656196</v>
      </c>
      <c r="AJ762" s="24">
        <f>'Filter-new'!L352</f>
        <v>8737.3377086602941</v>
      </c>
      <c r="AO762" s="47">
        <f>'Filter-old'!G352</f>
        <v>8704.6515253706493</v>
      </c>
      <c r="AP762" s="24">
        <f>'Filter-new'!G352</f>
        <v>9787.4161791981733</v>
      </c>
      <c r="AS762" s="47"/>
      <c r="AT762" s="24"/>
      <c r="AW762" s="47">
        <f>'Filter-old'!I352</f>
        <v>8589.5167727641074</v>
      </c>
      <c r="AX762" s="24">
        <f>'Filter-new'!I352</f>
        <v>7781.4238835782562</v>
      </c>
      <c r="BC762" s="47">
        <f>'Filter-old'!K352</f>
        <v>9215.9727294862423</v>
      </c>
      <c r="BD762" s="24">
        <f>'Filter-new'!K352</f>
        <v>10129.833071764873</v>
      </c>
      <c r="BG762" s="47">
        <f>'Filter-old'!M352</f>
        <v>8156.8054541027504</v>
      </c>
      <c r="BH762" s="219"/>
      <c r="BI762" s="219"/>
      <c r="BJ762" s="24">
        <f>'Filter-new'!M352</f>
        <v>9059.7802824939354</v>
      </c>
      <c r="BQ762" s="47">
        <f>'Filter-old'!O352</f>
        <v>9411.2831860642837</v>
      </c>
      <c r="BR762" s="24">
        <f>'Filter-new'!O352</f>
        <v>7698.6731345413036</v>
      </c>
      <c r="BU762" s="47">
        <f>'Filter-old'!Q352</f>
        <v>8522.5575504902063</v>
      </c>
      <c r="BV762" s="24">
        <f>'Filter-new'!Q352</f>
        <v>7468.1124268797257</v>
      </c>
      <c r="CA762" s="47">
        <f>'Filter-old'!R352</f>
        <v>8156.8054541027504</v>
      </c>
      <c r="CB762" s="24">
        <f>'Filter-new'!R352</f>
        <v>8774.4328720216854</v>
      </c>
    </row>
    <row r="763" spans="1:80" hidden="1" x14ac:dyDescent="0.2">
      <c r="A763">
        <v>0</v>
      </c>
      <c r="B763" s="29">
        <v>40087</v>
      </c>
      <c r="C763" s="29">
        <f>'Filter-new'!C353</f>
        <v>40087</v>
      </c>
      <c r="K763" s="47">
        <f>'Filter-old'!E353</f>
        <v>8380.1843234965127</v>
      </c>
      <c r="L763" s="24">
        <f>'Filter-new'!E353</f>
        <v>8233.460830145912</v>
      </c>
      <c r="O763" s="444"/>
      <c r="Q763" s="47">
        <f>'Filter-old'!H353</f>
        <v>8607.963552786332</v>
      </c>
      <c r="R763" s="24">
        <f>'Filter-new'!H353</f>
        <v>7879.3030174245641</v>
      </c>
      <c r="W763" s="47">
        <f>'Filter-old'!J353</f>
        <v>9771.4628244974319</v>
      </c>
      <c r="X763" s="24">
        <f>'Filter-new'!J353</f>
        <v>8233.460830145912</v>
      </c>
      <c r="AA763" s="47">
        <f>'Filter-old'!F353</f>
        <v>8380.1843234965127</v>
      </c>
      <c r="AB763" s="24">
        <f>'Filter-new'!F353</f>
        <v>8233.460830145912</v>
      </c>
      <c r="AE763" s="47">
        <f>'Filter-old'!P353</f>
        <v>8320.1776248512142</v>
      </c>
      <c r="AF763" s="24">
        <f>'Filter-new'!P353</f>
        <v>9278.934693299334</v>
      </c>
      <c r="AI763" s="47">
        <f>'Filter-old'!L353</f>
        <v>13697.702539298671</v>
      </c>
      <c r="AJ763" s="24">
        <f>'Filter-new'!L353</f>
        <v>8771.7807054823643</v>
      </c>
      <c r="AO763" s="47">
        <f>'Filter-old'!G353</f>
        <v>7932.2861068338125</v>
      </c>
      <c r="AP763" s="24">
        <f>'Filter-new'!G353</f>
        <v>9213.7696557586078</v>
      </c>
      <c r="AS763" s="47"/>
      <c r="AT763" s="24"/>
      <c r="AW763" s="47">
        <f>'Filter-old'!I353</f>
        <v>8244.6032596758796</v>
      </c>
      <c r="AX763" s="24">
        <f>'Filter-new'!I353</f>
        <v>8091.7977050573718</v>
      </c>
      <c r="BC763" s="47">
        <f>'Filter-old'!K353</f>
        <v>9455.8645707376072</v>
      </c>
      <c r="BD763" s="24">
        <f>'Filter-new'!K353</f>
        <v>9987.2503187420316</v>
      </c>
      <c r="BG763" s="47">
        <f>'Filter-old'!M353</f>
        <v>7738.8149939540508</v>
      </c>
      <c r="BH763" s="219"/>
      <c r="BI763" s="219"/>
      <c r="BJ763" s="24">
        <f>'Filter-new'!M353</f>
        <v>8995.6084431222534</v>
      </c>
      <c r="BQ763" s="47">
        <f>'Filter-old'!O353</f>
        <v>8826.8284641990067</v>
      </c>
      <c r="BR763" s="24">
        <f>'Filter-new'!O353</f>
        <v>8326.9584927043488</v>
      </c>
      <c r="BU763" s="47">
        <f>'Filter-old'!Q353</f>
        <v>7921.1446077100027</v>
      </c>
      <c r="BV763" s="24">
        <f>'Filter-new'!Q353</f>
        <v>8072.5315200453324</v>
      </c>
      <c r="CA763" s="47">
        <f>'Filter-old'!R353</f>
        <v>7738.8149939540508</v>
      </c>
      <c r="CB763" s="24">
        <f>'Filter-new'!R353</f>
        <v>8712.2821929451766</v>
      </c>
    </row>
    <row r="764" spans="1:80" hidden="1" x14ac:dyDescent="0.2">
      <c r="A764">
        <v>0</v>
      </c>
      <c r="B764" s="29">
        <v>40118</v>
      </c>
      <c r="C764" s="29">
        <f>'Filter-new'!C354</f>
        <v>40118</v>
      </c>
      <c r="K764" s="47">
        <f>'Filter-old'!E354</f>
        <v>8138.655890346412</v>
      </c>
      <c r="L764" s="24">
        <f>'Filter-new'!E354</f>
        <v>7708.8143419801709</v>
      </c>
      <c r="O764" s="444"/>
      <c r="Q764" s="47">
        <f>'Filter-old'!H354</f>
        <v>9155.4869533422698</v>
      </c>
      <c r="R764" s="24">
        <f>'Filter-new'!H354</f>
        <v>7369.2788265652589</v>
      </c>
      <c r="W764" s="47">
        <f>'Filter-old'!J354</f>
        <v>9649.1605950741923</v>
      </c>
      <c r="X764" s="24">
        <f>'Filter-new'!J354</f>
        <v>7708.8143419801709</v>
      </c>
      <c r="AA764" s="47">
        <f>'Filter-old'!F354</f>
        <v>8138.655890346412</v>
      </c>
      <c r="AB764" s="24">
        <f>'Filter-new'!F354</f>
        <v>7708.8143419801709</v>
      </c>
      <c r="AE764" s="47">
        <f>'Filter-old'!P354</f>
        <v>8080.5463589884921</v>
      </c>
      <c r="AF764" s="24">
        <f>'Filter-new'!P354</f>
        <v>9634.6597854135543</v>
      </c>
      <c r="AI764" s="47">
        <f>'Filter-old'!L354</f>
        <v>13264.637002341922</v>
      </c>
      <c r="AJ764" s="24">
        <f>'Filter-new'!L354</f>
        <v>8224.9083254108373</v>
      </c>
      <c r="AO764" s="47">
        <f>'Filter-old'!G354</f>
        <v>7611.2403244268708</v>
      </c>
      <c r="AP764" s="24">
        <f>'Filter-new'!G354</f>
        <v>8561.7275567024317</v>
      </c>
      <c r="AS764" s="47"/>
      <c r="AT764" s="24"/>
      <c r="AW764" s="47">
        <f>'Filter-old'!I354</f>
        <v>7992.7243449369707</v>
      </c>
      <c r="AX764" s="24">
        <f>'Filter-new'!I354</f>
        <v>7573.0001358142054</v>
      </c>
      <c r="BC764" s="47">
        <f>'Filter-old'!K354</f>
        <v>9156.9086651053876</v>
      </c>
      <c r="BD764" s="24">
        <f>'Filter-new'!K354</f>
        <v>9574.9015347005297</v>
      </c>
      <c r="BG764" s="47">
        <f>'Filter-old'!M354</f>
        <v>7494.1451990632322</v>
      </c>
      <c r="BH764" s="219"/>
      <c r="BI764" s="219"/>
      <c r="BJ764" s="24">
        <f>'Filter-new'!M354</f>
        <v>8624.2020915387748</v>
      </c>
      <c r="BQ764" s="47">
        <f>'Filter-old'!O354</f>
        <v>8547.760116970232</v>
      </c>
      <c r="BR764" s="24">
        <f>'Filter-new'!O354</f>
        <v>7983.1590384354195</v>
      </c>
      <c r="BU764" s="47">
        <f>'Filter-old'!Q354</f>
        <v>7694.1291398131043</v>
      </c>
      <c r="BV764" s="24">
        <f>'Filter-new'!Q354</f>
        <v>7766.3995653945403</v>
      </c>
      <c r="CA764" s="47">
        <f>'Filter-old'!R354</f>
        <v>7494.1451990632322</v>
      </c>
      <c r="CB764" s="24">
        <f>'Filter-new'!R354</f>
        <v>8352.5736792068456</v>
      </c>
    </row>
    <row r="765" spans="1:80" hidden="1" x14ac:dyDescent="0.2">
      <c r="A765">
        <v>0</v>
      </c>
      <c r="B765" s="29">
        <v>40148</v>
      </c>
      <c r="C765" s="29">
        <f>'Filter-new'!C355</f>
        <v>40148</v>
      </c>
      <c r="K765" s="47">
        <f>'Filter-old'!E355</f>
        <v>7911.9316971396747</v>
      </c>
      <c r="L765" s="24">
        <f>'Filter-new'!E355</f>
        <v>7710.8118708327875</v>
      </c>
      <c r="O765" s="444"/>
      <c r="Q765" s="47">
        <f>'Filter-old'!H355</f>
        <v>8988.4061954078279</v>
      </c>
      <c r="R765" s="24">
        <f>'Filter-new'!H355</f>
        <v>7383.9717610145117</v>
      </c>
      <c r="W765" s="47">
        <f>'Filter-old'!J355</f>
        <v>9524.9266954610357</v>
      </c>
      <c r="X765" s="24">
        <f>'Filter-new'!J355</f>
        <v>7710.8118708327875</v>
      </c>
      <c r="AA765" s="47">
        <f>'Filter-old'!F355</f>
        <v>7911.9316971396747</v>
      </c>
      <c r="AB765" s="24">
        <f>'Filter-new'!F355</f>
        <v>7710.8118708327875</v>
      </c>
      <c r="AE765" s="47">
        <f>'Filter-old'!P355</f>
        <v>7855.603048127572</v>
      </c>
      <c r="AF765" s="24">
        <f>'Filter-new'!P355</f>
        <v>9669.2378088639034</v>
      </c>
      <c r="AI765" s="47">
        <f>'Filter-old'!L355</f>
        <v>12858.11577752554</v>
      </c>
      <c r="AJ765" s="24">
        <f>'Filter-new'!L355</f>
        <v>8207.6088377565702</v>
      </c>
      <c r="AO765" s="47">
        <f>'Filter-old'!G355</f>
        <v>7604.9934586385316</v>
      </c>
      <c r="AP765" s="24">
        <f>'Filter-new'!G355</f>
        <v>8476.9250882468295</v>
      </c>
      <c r="AS765" s="47"/>
      <c r="AT765" s="24"/>
      <c r="AW765" s="47">
        <f>'Filter-old'!I355</f>
        <v>7756.2840923954482</v>
      </c>
      <c r="AX765" s="24">
        <f>'Filter-new'!I355</f>
        <v>7580.0758269054777</v>
      </c>
      <c r="BC765" s="47">
        <f>'Filter-old'!K355</f>
        <v>8876.2769580022705</v>
      </c>
      <c r="BD765" s="24">
        <f>'Filter-new'!K355</f>
        <v>9216.891096875408</v>
      </c>
      <c r="BG765" s="47">
        <f>'Filter-old'!M355</f>
        <v>7264.4721906923951</v>
      </c>
      <c r="BH765" s="219"/>
      <c r="BI765" s="219"/>
      <c r="BJ765" s="24">
        <f>'Filter-new'!M355</f>
        <v>8301.7387893842333</v>
      </c>
      <c r="BQ765" s="47">
        <f>'Filter-old'!O355</f>
        <v>8285.7969805818138</v>
      </c>
      <c r="BR765" s="24">
        <f>'Filter-new'!O355</f>
        <v>7684.6646620473266</v>
      </c>
      <c r="BU765" s="47">
        <f>'Filter-old'!Q355</f>
        <v>7481.0283543979676</v>
      </c>
      <c r="BV765" s="24">
        <f>'Filter-new'!Q355</f>
        <v>7502.1571447248007</v>
      </c>
      <c r="CA765" s="47">
        <f>'Filter-old'!R355</f>
        <v>7264.4721906923951</v>
      </c>
      <c r="CB765" s="24">
        <f>'Filter-new'!R355</f>
        <v>8040.266701529612</v>
      </c>
    </row>
    <row r="766" spans="1:80" hidden="1" x14ac:dyDescent="0.2">
      <c r="A766">
        <v>0</v>
      </c>
      <c r="B766" s="29">
        <v>40179</v>
      </c>
      <c r="C766" s="29">
        <f>'Filter-new'!C356</f>
        <v>40179</v>
      </c>
      <c r="K766" s="47">
        <f>'Filter-old'!E356</f>
        <v>8979.3658683227277</v>
      </c>
      <c r="L766" s="24">
        <f>'Filter-new'!E356</f>
        <v>8124.2718446601948</v>
      </c>
      <c r="O766" s="444"/>
      <c r="Q766" s="47">
        <f>'Filter-old'!H356</f>
        <v>9636.8402760846238</v>
      </c>
      <c r="R766" s="24">
        <f>'Filter-new'!H356</f>
        <v>7722.9773462783178</v>
      </c>
      <c r="W766" s="47">
        <f>'Filter-old'!J356</f>
        <v>11435.318673448906</v>
      </c>
      <c r="X766" s="24">
        <f>'Filter-new'!J356</f>
        <v>8253.7216828478959</v>
      </c>
      <c r="AA766" s="47">
        <f>'Filter-old'!F356</f>
        <v>8979.3658683227277</v>
      </c>
      <c r="AB766" s="24">
        <f>'Filter-new'!F356</f>
        <v>8253.7216828478959</v>
      </c>
      <c r="AE766" s="47">
        <f>'Filter-old'!P356</f>
        <v>8868.2263970003005</v>
      </c>
      <c r="AF766" s="24">
        <f>'Filter-new'!P356</f>
        <v>9600</v>
      </c>
      <c r="AI766" s="47">
        <f>'Filter-old'!L356</f>
        <v>15347.748551047702</v>
      </c>
      <c r="AJ766" s="24">
        <f>'Filter-new'!L356</f>
        <v>9058.8996763754058</v>
      </c>
      <c r="AO766" s="47">
        <f>'Filter-old'!G356</f>
        <v>9132.857711730765</v>
      </c>
      <c r="AP766" s="24">
        <f>'Filter-new'!G356</f>
        <v>8755.9870550161813</v>
      </c>
      <c r="AS766" s="47"/>
      <c r="AT766" s="24"/>
      <c r="AW766" s="47">
        <f>'Filter-old'!I356</f>
        <v>8784.6329953061413</v>
      </c>
      <c r="AX766" s="24">
        <f>'Filter-new'!I356</f>
        <v>7994.8220064724919</v>
      </c>
      <c r="BC766" s="47">
        <f>'Filter-old'!K356</f>
        <v>11502.452073116361</v>
      </c>
      <c r="BD766" s="24">
        <f>'Filter-new'!K356</f>
        <v>11585.760517799354</v>
      </c>
      <c r="BG766" s="47">
        <f>'Filter-old'!M356</f>
        <v>8526.5269728042786</v>
      </c>
      <c r="BH766" s="219"/>
      <c r="BI766" s="219"/>
      <c r="BJ766" s="24">
        <f>'Filter-new'!M356</f>
        <v>9061.4886731391598</v>
      </c>
      <c r="BQ766" s="47">
        <f>'Filter-old'!O356</f>
        <v>9474.0787256098811</v>
      </c>
      <c r="BR766" s="24">
        <f>'Filter-new'!O356</f>
        <v>8434.9514563106804</v>
      </c>
      <c r="BU766" s="47">
        <f>'Filter-old'!Q356</f>
        <v>8890.5176306429894</v>
      </c>
      <c r="BV766" s="24">
        <f>'Filter-new'!Q356</f>
        <v>7987.5728155339812</v>
      </c>
      <c r="CA766" s="47">
        <f>'Filter-old'!R356</f>
        <v>8526.5269728042786</v>
      </c>
      <c r="CB766" s="24">
        <f>'Filter-new'!R356</f>
        <v>8608.4142394822011</v>
      </c>
    </row>
    <row r="767" spans="1:80" hidden="1" x14ac:dyDescent="0.2">
      <c r="A767">
        <v>0</v>
      </c>
      <c r="B767" s="29">
        <v>40210</v>
      </c>
      <c r="C767" s="29">
        <f>'Filter-new'!C357</f>
        <v>40210</v>
      </c>
      <c r="K767" s="47">
        <f>'Filter-old'!E357</f>
        <v>9141.8115834426262</v>
      </c>
      <c r="L767" s="24">
        <f>'Filter-new'!E357</f>
        <v>8099.303822409036</v>
      </c>
      <c r="O767" s="444"/>
      <c r="Q767" s="47">
        <f>'Filter-old'!H357</f>
        <v>10046.442786415853</v>
      </c>
      <c r="R767" s="24">
        <f>'Filter-new'!H357</f>
        <v>7692.1056088270061</v>
      </c>
      <c r="W767" s="47">
        <f>'Filter-old'!J357</f>
        <v>11286.364370213321</v>
      </c>
      <c r="X767" s="24">
        <f>'Filter-new'!J357</f>
        <v>8230.6580848548529</v>
      </c>
      <c r="AA767" s="47">
        <f>'Filter-old'!F357</f>
        <v>9141.8115834426262</v>
      </c>
      <c r="AB767" s="24">
        <f>'Filter-new'!F357</f>
        <v>8230.6580848548529</v>
      </c>
      <c r="AE767" s="47">
        <f>'Filter-old'!P357</f>
        <v>9027.6697179773346</v>
      </c>
      <c r="AF767" s="24">
        <f>'Filter-new'!P357</f>
        <v>9859.4509391829761</v>
      </c>
      <c r="AI767" s="47">
        <f>'Filter-old'!L357</f>
        <v>15762.362637362636</v>
      </c>
      <c r="AJ767" s="24">
        <f>'Filter-new'!L357</f>
        <v>9094.969131748323</v>
      </c>
      <c r="AO767" s="47">
        <f>'Filter-old'!G357</f>
        <v>9116.299073774735</v>
      </c>
      <c r="AP767" s="24">
        <f>'Filter-new'!G357</f>
        <v>8687.770918166294</v>
      </c>
      <c r="AS767" s="47"/>
      <c r="AT767" s="24"/>
      <c r="AW767" s="47">
        <f>'Filter-old'!I357</f>
        <v>8913.2008535084715</v>
      </c>
      <c r="AX767" s="24">
        <f>'Filter-new'!I357</f>
        <v>7967.9495599632201</v>
      </c>
      <c r="BC767" s="47">
        <f>'Filter-old'!K357</f>
        <v>11813.186813186812</v>
      </c>
      <c r="BD767" s="24">
        <f>'Filter-new'!K357</f>
        <v>11756.206488900563</v>
      </c>
      <c r="BG767" s="47">
        <f>'Filter-old'!M357</f>
        <v>8756.868131868132</v>
      </c>
      <c r="BH767" s="219"/>
      <c r="BI767" s="219"/>
      <c r="BJ767" s="24">
        <f>'Filter-new'!M357</f>
        <v>9194.7983712071455</v>
      </c>
      <c r="BQ767" s="47">
        <f>'Filter-old'!O357</f>
        <v>9786.1089112557765</v>
      </c>
      <c r="BR767" s="24">
        <f>'Filter-new'!O357</f>
        <v>8325.2331538158414</v>
      </c>
      <c r="BU767" s="47">
        <f>'Filter-old'!Q357</f>
        <v>9050.5631415398566</v>
      </c>
      <c r="BV767" s="24">
        <f>'Filter-new'!Q357</f>
        <v>8069.0923420464987</v>
      </c>
      <c r="CA767" s="47">
        <f>'Filter-old'!R357</f>
        <v>8756.868131868132</v>
      </c>
      <c r="CB767" s="24">
        <f>'Filter-new'!R357</f>
        <v>8735.0584526467883</v>
      </c>
    </row>
    <row r="768" spans="1:80" hidden="1" x14ac:dyDescent="0.2">
      <c r="A768">
        <v>0</v>
      </c>
      <c r="B768" s="29">
        <v>40238</v>
      </c>
      <c r="C768" s="29">
        <f>'Filter-new'!C358</f>
        <v>40238</v>
      </c>
      <c r="K768" s="47">
        <f>'Filter-old'!E358</f>
        <v>8239.7112785233148</v>
      </c>
      <c r="L768" s="24">
        <f>'Filter-new'!E358</f>
        <v>8013.0558955528368</v>
      </c>
      <c r="O768" s="444"/>
      <c r="Q768" s="47">
        <f>'Filter-old'!H358</f>
        <v>8700.9551533560534</v>
      </c>
      <c r="R768" s="24">
        <f>'Filter-new'!H358</f>
        <v>7591.4592683258534</v>
      </c>
      <c r="W768" s="47">
        <f>'Filter-old'!J358</f>
        <v>9810.3700027555878</v>
      </c>
      <c r="X768" s="24">
        <f>'Filter-new'!J358</f>
        <v>8217.0542635658912</v>
      </c>
      <c r="AA768" s="47">
        <f>'Filter-old'!F358</f>
        <v>8239.7112785233148</v>
      </c>
      <c r="AB768" s="24">
        <f>'Filter-new'!F358</f>
        <v>8217.0542635658912</v>
      </c>
      <c r="AE768" s="47">
        <f>'Filter-old'!P358</f>
        <v>8063.410699297151</v>
      </c>
      <c r="AF768" s="24">
        <f>'Filter-new'!P358</f>
        <v>9359.4451244390038</v>
      </c>
      <c r="AI768" s="47">
        <f>'Filter-old'!L358</f>
        <v>13187.721369539551</v>
      </c>
      <c r="AJ768" s="24">
        <f>'Filter-new'!L358</f>
        <v>8970.4882360941101</v>
      </c>
      <c r="AO768" s="47">
        <f>'Filter-old'!G358</f>
        <v>8583.2333255123776</v>
      </c>
      <c r="AP768" s="24">
        <f>'Filter-new'!G358</f>
        <v>8569.5634434924523</v>
      </c>
      <c r="AS768" s="47"/>
      <c r="AT768" s="24"/>
      <c r="AW768" s="47">
        <f>'Filter-old'!I358</f>
        <v>8270.0222695450866</v>
      </c>
      <c r="AX768" s="24">
        <f>'Filter-new'!I358</f>
        <v>7877.056983544132</v>
      </c>
      <c r="BC768" s="47">
        <f>'Filter-old'!K358</f>
        <v>9610.3896103896113</v>
      </c>
      <c r="BD768" s="24">
        <f>'Filter-new'!K358</f>
        <v>9995.9200326397404</v>
      </c>
      <c r="BG768" s="47">
        <f>'Filter-old'!M358</f>
        <v>8028.3353010625724</v>
      </c>
      <c r="BH768" s="219"/>
      <c r="BI768" s="219"/>
      <c r="BJ768" s="24">
        <f>'Filter-new'!M358</f>
        <v>8839.9292805657551</v>
      </c>
      <c r="BQ768" s="47">
        <f>'Filter-old'!O358</f>
        <v>9090.3199971637023</v>
      </c>
      <c r="BR768" s="24">
        <f>'Filter-new'!O358</f>
        <v>8007.6159390724888</v>
      </c>
      <c r="BU768" s="47">
        <f>'Filter-old'!Q358</f>
        <v>8087.023089880644</v>
      </c>
      <c r="BV768" s="24">
        <f>'Filter-new'!Q358</f>
        <v>8286.6857065143486</v>
      </c>
      <c r="CA768" s="47">
        <f>'Filter-old'!R358</f>
        <v>8028.3353010625724</v>
      </c>
      <c r="CB768" s="24">
        <f>'Filter-new'!R358</f>
        <v>8431.9325445396425</v>
      </c>
    </row>
    <row r="769" spans="1:84" hidden="1" x14ac:dyDescent="0.2">
      <c r="A769">
        <v>0</v>
      </c>
      <c r="B769" s="29">
        <v>40269</v>
      </c>
      <c r="C769" s="29">
        <f>'Filter-new'!C359</f>
        <v>40269</v>
      </c>
      <c r="K769" s="47">
        <f>'Filter-old'!E359</f>
        <v>8727.2044512310349</v>
      </c>
      <c r="L769" s="24">
        <f>'Filter-new'!E359</f>
        <v>8426.1778605184027</v>
      </c>
      <c r="O769" s="444"/>
      <c r="Q769" s="47">
        <f>'Filter-old'!H359</f>
        <v>9098.4061912254056</v>
      </c>
      <c r="R769" s="24">
        <f>'Filter-new'!H359</f>
        <v>7982.2425891450675</v>
      </c>
      <c r="W769" s="47">
        <f>'Filter-old'!J359</f>
        <v>9739.9789315682883</v>
      </c>
      <c r="X769" s="24">
        <f>'Filter-new'!J359</f>
        <v>8640.9852498925975</v>
      </c>
      <c r="AA769" s="47">
        <f>'Filter-old'!F359</f>
        <v>8727.2044512310349</v>
      </c>
      <c r="AB769" s="24">
        <f>'Filter-new'!F359</f>
        <v>8640.9852498925975</v>
      </c>
      <c r="AE769" s="47">
        <f>'Filter-old'!P359</f>
        <v>8542.8506356698508</v>
      </c>
      <c r="AF769" s="24">
        <f>'Filter-new'!P359</f>
        <v>9715.0221967635698</v>
      </c>
      <c r="AI769" s="47">
        <f>'Filter-old'!L359</f>
        <v>13790.123456790125</v>
      </c>
      <c r="AJ769" s="24">
        <f>'Filter-new'!L359</f>
        <v>9434.3405413146211</v>
      </c>
      <c r="AO769" s="47">
        <f>'Filter-old'!G359</f>
        <v>8629.6275574483989</v>
      </c>
      <c r="AP769" s="24">
        <f>'Filter-new'!G359</f>
        <v>9248.1741371903208</v>
      </c>
      <c r="AS769" s="47"/>
      <c r="AT769" s="24"/>
      <c r="AW769" s="47">
        <f>'Filter-old'!I359</f>
        <v>8666.3074257933058</v>
      </c>
      <c r="AX769" s="24">
        <f>'Filter-new'!I359</f>
        <v>8282.9729342689407</v>
      </c>
      <c r="BC769" s="47">
        <f>'Filter-old'!K359</f>
        <v>10049.382716049384</v>
      </c>
      <c r="BD769" s="24">
        <f>'Filter-new'!K359</f>
        <v>10597.164542460261</v>
      </c>
      <c r="BG769" s="47">
        <f>'Filter-old'!M359</f>
        <v>8148.1481481481487</v>
      </c>
      <c r="BH769" s="219"/>
      <c r="BI769" s="219"/>
      <c r="BJ769" s="24">
        <f>'Filter-new'!M359</f>
        <v>9308.3202062150958</v>
      </c>
      <c r="BQ769" s="47">
        <f>'Filter-old'!O359</f>
        <v>9567.2842897014852</v>
      </c>
      <c r="BR769" s="24">
        <f>'Filter-new'!O359</f>
        <v>8431.9060575683816</v>
      </c>
      <c r="BU769" s="47">
        <f>'Filter-old'!Q359</f>
        <v>8567.5416169343171</v>
      </c>
      <c r="BV769" s="24">
        <f>'Filter-new'!Q359</f>
        <v>8725.7625662322789</v>
      </c>
      <c r="CA769" s="47">
        <f>'Filter-old'!R359</f>
        <v>8148.1481481481487</v>
      </c>
      <c r="CB769" s="24">
        <f>'Filter-new'!R359</f>
        <v>8878.7054274667062</v>
      </c>
    </row>
    <row r="770" spans="1:84" hidden="1" x14ac:dyDescent="0.2">
      <c r="A770">
        <v>0</v>
      </c>
      <c r="B770" s="29">
        <v>40299</v>
      </c>
      <c r="C770" s="29">
        <f>'Filter-new'!C360</f>
        <v>40299</v>
      </c>
      <c r="K770" s="47">
        <f>'Filter-old'!E360</f>
        <v>10273.161028871442</v>
      </c>
      <c r="L770" s="24">
        <f>'Filter-new'!E360</f>
        <v>9347.4831492901194</v>
      </c>
      <c r="O770" s="444"/>
      <c r="Q770" s="47">
        <f>'Filter-old'!H360</f>
        <v>9295.4371235158178</v>
      </c>
      <c r="R770" s="24">
        <f>'Filter-new'!H360</f>
        <v>8917.2522587121766</v>
      </c>
      <c r="W770" s="47">
        <f>'Filter-old'!J360</f>
        <v>10416.316041851987</v>
      </c>
      <c r="X770" s="24">
        <f>'Filter-new'!J360</f>
        <v>9634.3037430087479</v>
      </c>
      <c r="AA770" s="47">
        <f>'Filter-old'!F360</f>
        <v>10273.161028871442</v>
      </c>
      <c r="AB770" s="24">
        <f>'Filter-new'!F360</f>
        <v>9634.3037430087479</v>
      </c>
      <c r="AE770" s="47">
        <f>'Filter-old'!P360</f>
        <v>10607.318122788231</v>
      </c>
      <c r="AF770" s="24">
        <f>'Filter-new'!P360</f>
        <v>9146.7087336870791</v>
      </c>
      <c r="AI770" s="47">
        <f>'Filter-old'!L360</f>
        <v>14071.782178217822</v>
      </c>
      <c r="AJ770" s="24">
        <f>'Filter-new'!L360</f>
        <v>10873.368707873224</v>
      </c>
      <c r="AO770" s="47">
        <f>'Filter-old'!G360</f>
        <v>9504.9527612062957</v>
      </c>
      <c r="AP770" s="24">
        <f>'Filter-new'!G360</f>
        <v>9823.605334863043</v>
      </c>
      <c r="AS770" s="47"/>
      <c r="AT770" s="24"/>
      <c r="AW770" s="47">
        <f>'Filter-old'!I360</f>
        <v>9035.5363222632077</v>
      </c>
      <c r="AX770" s="24">
        <f>'Filter-new'!I360</f>
        <v>9204.0728524308051</v>
      </c>
      <c r="BC770" s="47">
        <f>'Filter-old'!K360</f>
        <v>10074.257425742575</v>
      </c>
      <c r="BD770" s="24">
        <f>'Filter-new'!K360</f>
        <v>10612.361967589273</v>
      </c>
      <c r="BG770" s="47">
        <f>'Filter-old'!M360</f>
        <v>9158.4158415841594</v>
      </c>
      <c r="BH770" s="219"/>
      <c r="BI770" s="219"/>
      <c r="BJ770" s="24">
        <f>'Filter-new'!M360</f>
        <v>9680.1950380037288</v>
      </c>
      <c r="BQ770" s="47">
        <f>'Filter-old'!O360</f>
        <v>10830.091721940749</v>
      </c>
      <c r="BR770" s="24">
        <f>'Filter-new'!O360</f>
        <v>9648.6447726946808</v>
      </c>
      <c r="BU770" s="47">
        <f>'Filter-old'!Q360</f>
        <v>8812.7636673426859</v>
      </c>
      <c r="BV770" s="24">
        <f>'Filter-new'!Q360</f>
        <v>9843.9695970170651</v>
      </c>
      <c r="CA770" s="47">
        <f>'Filter-old'!R360</f>
        <v>9158.4158415841594</v>
      </c>
      <c r="CB770" s="24">
        <f>'Filter-new'!R360</f>
        <v>9465.0795927147574</v>
      </c>
    </row>
    <row r="771" spans="1:84" hidden="1" x14ac:dyDescent="0.2">
      <c r="A771">
        <v>0</v>
      </c>
      <c r="B771" s="29">
        <v>40330</v>
      </c>
      <c r="C771" s="29">
        <f>'Filter-new'!C361</f>
        <v>40330</v>
      </c>
      <c r="K771" s="47">
        <f>'Filter-old'!E361</f>
        <v>9875.5783140951789</v>
      </c>
      <c r="L771" s="24">
        <f>'Filter-new'!E361</f>
        <v>11003.833593639074</v>
      </c>
      <c r="O771" s="444"/>
      <c r="Q771" s="47">
        <f>'Filter-old'!H361</f>
        <v>8710.2201197870327</v>
      </c>
      <c r="R771" s="24">
        <f>'Filter-new'!H361</f>
        <v>10535.283259974443</v>
      </c>
      <c r="W771" s="47">
        <f>'Filter-old'!J361</f>
        <v>8042.7630258846548</v>
      </c>
      <c r="X771" s="24">
        <f>'Filter-new'!J361</f>
        <v>11429.788442425102</v>
      </c>
      <c r="AA771" s="47">
        <f>'Filter-old'!F361</f>
        <v>9875.5783140951789</v>
      </c>
      <c r="AB771" s="24">
        <f>'Filter-new'!F361</f>
        <v>11429.788442425102</v>
      </c>
      <c r="AE771" s="47">
        <f>'Filter-old'!P361</f>
        <v>11031.736686489416</v>
      </c>
      <c r="AF771" s="24">
        <f>'Filter-new'!P361</f>
        <v>10293.908845662359</v>
      </c>
      <c r="AI771" s="47">
        <f>'Filter-old'!L361</f>
        <v>18363.591756624141</v>
      </c>
      <c r="AJ771" s="24">
        <f>'Filter-new'!L361</f>
        <v>12230.583558142836</v>
      </c>
      <c r="AO771" s="47">
        <f>'Filter-old'!G361</f>
        <v>9629.537827601258</v>
      </c>
      <c r="AP771" s="24">
        <f>'Filter-new'!G361</f>
        <v>10876.047139003264</v>
      </c>
      <c r="AS771" s="47"/>
      <c r="AT771" s="24"/>
      <c r="AW771" s="47">
        <f>'Filter-old'!I361</f>
        <v>9936.9129559008707</v>
      </c>
      <c r="AX771" s="24">
        <f>'Filter-new'!I361</f>
        <v>10861.84864404373</v>
      </c>
      <c r="BC771" s="47">
        <f>'Filter-old'!K361</f>
        <v>11678.115799803727</v>
      </c>
      <c r="BD771" s="24">
        <f>'Filter-new'!K361</f>
        <v>11855.743291211133</v>
      </c>
      <c r="BG771" s="47">
        <f>'Filter-old'!M361</f>
        <v>12021.589793915602</v>
      </c>
      <c r="BH771" s="219"/>
      <c r="BI771" s="219"/>
      <c r="BJ771" s="24">
        <f>'Filter-new'!M361</f>
        <v>12352.69061479483</v>
      </c>
      <c r="BQ771" s="47">
        <f>'Filter-old'!O361</f>
        <v>11347.609717431784</v>
      </c>
      <c r="BR771" s="24">
        <f>'Filter-new'!O361</f>
        <v>11915.376970041176</v>
      </c>
      <c r="BU771" s="47">
        <f>'Filter-old'!Q361</f>
        <v>10145.450363683278</v>
      </c>
      <c r="BV771" s="24">
        <f>'Filter-new'!Q361</f>
        <v>12243.362203606419</v>
      </c>
      <c r="CA771" s="47">
        <f>'Filter-old'!R361</f>
        <v>12021.589793915602</v>
      </c>
      <c r="CB771" s="24">
        <f>'Filter-new'!R361</f>
        <v>12352.69061479483</v>
      </c>
    </row>
    <row r="772" spans="1:84" hidden="1" x14ac:dyDescent="0.2">
      <c r="A772">
        <v>0</v>
      </c>
      <c r="B772" s="29">
        <v>40360</v>
      </c>
      <c r="C772" s="29">
        <f>'Filter-new'!C362</f>
        <v>40360</v>
      </c>
      <c r="K772" s="47">
        <f>'Filter-old'!E362</f>
        <v>13296.277965198864</v>
      </c>
      <c r="L772" s="24">
        <f>'Filter-new'!E362</f>
        <v>15148.111750666854</v>
      </c>
      <c r="O772" s="444"/>
      <c r="Q772" s="47">
        <f>'Filter-old'!H362</f>
        <v>10302.338571259468</v>
      </c>
      <c r="R772" s="24">
        <f>'Filter-new'!H362</f>
        <v>14572.511582198511</v>
      </c>
      <c r="W772" s="47">
        <f>'Filter-old'!J362</f>
        <v>10200.000000000002</v>
      </c>
      <c r="X772" s="24">
        <f>'Filter-new'!J362</f>
        <v>15850.063175628247</v>
      </c>
      <c r="AA772" s="47">
        <f>'Filter-old'!F362</f>
        <v>13296.277965198864</v>
      </c>
      <c r="AB772" s="24">
        <f>'Filter-new'!F362</f>
        <v>15850.063175628247</v>
      </c>
      <c r="AE772" s="47">
        <f>'Filter-old'!P362</f>
        <v>13714.459413470644</v>
      </c>
      <c r="AF772" s="24">
        <f>'Filter-new'!P362</f>
        <v>11750.666853853714</v>
      </c>
      <c r="AI772" s="47">
        <f>'Filter-old'!L362</f>
        <v>24448.484848484844</v>
      </c>
      <c r="AJ772" s="24">
        <f>'Filter-new'!L362</f>
        <v>15218.306893162993</v>
      </c>
      <c r="AO772" s="47">
        <f>'Filter-old'!G362</f>
        <v>11575.755726207386</v>
      </c>
      <c r="AP772" s="24">
        <f>'Filter-new'!G362</f>
        <v>13435.350273761056</v>
      </c>
      <c r="AS772" s="47"/>
      <c r="AT772" s="24"/>
      <c r="AW772" s="47">
        <f>'Filter-old'!I362</f>
        <v>14444.76318359375</v>
      </c>
      <c r="AX772" s="24">
        <f>'Filter-new'!I362</f>
        <v>15007.721465674576</v>
      </c>
      <c r="BC772" s="47">
        <f>'Filter-old'!K362</f>
        <v>14387.878787878788</v>
      </c>
      <c r="BD772" s="24">
        <f>'Filter-new'!K362</f>
        <v>13758.247929243296</v>
      </c>
      <c r="BG772" s="47">
        <f>'Filter-old'!M362</f>
        <v>15272.727272727274</v>
      </c>
      <c r="BH772" s="219"/>
      <c r="BI772" s="219"/>
      <c r="BJ772" s="24">
        <f>'Filter-new'!M362</f>
        <v>15302.54106415836</v>
      </c>
      <c r="BQ772" s="47">
        <f>'Filter-old'!O362</f>
        <v>15720.520389441286</v>
      </c>
      <c r="BR772" s="24">
        <f>'Filter-new'!O362</f>
        <v>14895.409237680751</v>
      </c>
      <c r="BU772" s="47">
        <f>'Filter-old'!Q362</f>
        <v>15059.914328835226</v>
      </c>
      <c r="BV772" s="24">
        <f>'Filter-new'!Q362</f>
        <v>15603.537835181805</v>
      </c>
      <c r="CA772" s="47">
        <f>'Filter-old'!R362</f>
        <v>15272.727272727274</v>
      </c>
      <c r="CB772" s="24">
        <f>'Filter-new'!R362</f>
        <v>14600.589639196967</v>
      </c>
    </row>
    <row r="773" spans="1:84" hidden="1" x14ac:dyDescent="0.2">
      <c r="A773">
        <v>0</v>
      </c>
      <c r="B773" s="29">
        <v>40391</v>
      </c>
      <c r="C773" s="29">
        <f>'Filter-new'!C363</f>
        <v>40391</v>
      </c>
      <c r="K773" s="47">
        <f>'Filter-old'!E363</f>
        <v>13152.792951185926</v>
      </c>
      <c r="L773" s="24">
        <f>'Filter-new'!E363</f>
        <v>14982.646119672358</v>
      </c>
      <c r="O773" s="444"/>
      <c r="Q773" s="47">
        <f>'Filter-old'!H363</f>
        <v>10191.162255742282</v>
      </c>
      <c r="R773" s="24">
        <f>'Filter-new'!H363</f>
        <v>14413.438844925724</v>
      </c>
      <c r="W773" s="47">
        <f>'Filter-old'!J363</f>
        <v>10089.928057553958</v>
      </c>
      <c r="X773" s="24">
        <f>'Filter-new'!J363</f>
        <v>15676.801332778008</v>
      </c>
      <c r="AA773" s="47">
        <f>'Filter-old'!F363</f>
        <v>13152.792951185926</v>
      </c>
      <c r="AB773" s="24">
        <f>'Filter-new'!F363</f>
        <v>15676.801332778008</v>
      </c>
      <c r="AE773" s="47">
        <f>'Filter-old'!P363</f>
        <v>13566.461650015926</v>
      </c>
      <c r="AF773" s="24">
        <f>'Filter-new'!P363</f>
        <v>11622.93488824101</v>
      </c>
      <c r="AI773" s="47">
        <f>'Filter-old'!L363</f>
        <v>24302.158273381294</v>
      </c>
      <c r="AJ773" s="24">
        <f>'Filter-new'!L363</f>
        <v>15329.723726225184</v>
      </c>
      <c r="AO773" s="47">
        <f>'Filter-old'!G363</f>
        <v>11450.839328537171</v>
      </c>
      <c r="AP773" s="24">
        <f>'Filter-new'!G363</f>
        <v>13175.065944745245</v>
      </c>
      <c r="AS773" s="47"/>
      <c r="AT773" s="24"/>
      <c r="AW773" s="47">
        <f>'Filter-old'!I363</f>
        <v>14273.896434610124</v>
      </c>
      <c r="AX773" s="24">
        <f>'Filter-new'!I363</f>
        <v>14843.815077051229</v>
      </c>
      <c r="BC773" s="47">
        <f>'Filter-old'!K363</f>
        <v>14232.613908872903</v>
      </c>
      <c r="BD773" s="24">
        <f>'Filter-new'!K363</f>
        <v>13605.442176870747</v>
      </c>
      <c r="BG773" s="47">
        <f>'Filter-old'!M363</f>
        <v>15107.913669064748</v>
      </c>
      <c r="BH773" s="219"/>
      <c r="BI773" s="219"/>
      <c r="BJ773" s="24">
        <f>'Filter-new'!M363</f>
        <v>15132.583645703178</v>
      </c>
      <c r="BQ773" s="47">
        <f>'Filter-old'!O363</f>
        <v>15550.874485958107</v>
      </c>
      <c r="BR773" s="24">
        <f>'Filter-new'!O363</f>
        <v>14452.311536859641</v>
      </c>
      <c r="BU773" s="47">
        <f>'Filter-old'!Q363</f>
        <v>14897.397267732689</v>
      </c>
      <c r="BV773" s="24">
        <f>'Filter-new'!Q363</f>
        <v>15499.652922393449</v>
      </c>
      <c r="CA773" s="47">
        <f>'Filter-old'!R363</f>
        <v>15107.913669064748</v>
      </c>
      <c r="CB773" s="24">
        <f>'Filter-new'!R363</f>
        <v>14438.428432597528</v>
      </c>
    </row>
    <row r="774" spans="1:84" hidden="1" x14ac:dyDescent="0.2">
      <c r="A774">
        <v>0</v>
      </c>
      <c r="B774" s="29">
        <v>40422</v>
      </c>
      <c r="C774" s="29">
        <f>'Filter-new'!C364</f>
        <v>40422</v>
      </c>
      <c r="K774" s="47">
        <f>'Filter-old'!E364</f>
        <v>8595.1975209877928</v>
      </c>
      <c r="L774" s="24">
        <f>'Filter-new'!E364</f>
        <v>8015.0648626028733</v>
      </c>
      <c r="O774" s="444"/>
      <c r="Q774" s="47">
        <f>'Filter-old'!H364</f>
        <v>7685.4545989617618</v>
      </c>
      <c r="R774" s="24">
        <f>'Filter-new'!H364</f>
        <v>7666.3411912400625</v>
      </c>
      <c r="W774" s="47">
        <f>'Filter-old'!J364</f>
        <v>8519.7304069696202</v>
      </c>
      <c r="X774" s="24">
        <f>'Filter-new'!J364</f>
        <v>8433.5332682382486</v>
      </c>
      <c r="AA774" s="47">
        <f>'Filter-old'!F364</f>
        <v>8595.1975209877928</v>
      </c>
      <c r="AB774" s="24">
        <f>'Filter-new'!F364</f>
        <v>8433.5332682382486</v>
      </c>
      <c r="AE774" s="47">
        <f>'Filter-old'!P364</f>
        <v>9062.0408481691957</v>
      </c>
      <c r="AF774" s="24">
        <f>'Filter-new'!P364</f>
        <v>7624.4943506765239</v>
      </c>
      <c r="AI774" s="47">
        <f>'Filter-old'!L364</f>
        <v>13966.961934402681</v>
      </c>
      <c r="AJ774" s="24">
        <f>'Filter-new'!L364</f>
        <v>8762.7284140047432</v>
      </c>
      <c r="AO774" s="47">
        <f>'Filter-old'!G364</f>
        <v>8678.4782893697047</v>
      </c>
      <c r="AP774" s="24">
        <f>'Filter-new'!G364</f>
        <v>9820.0585855767895</v>
      </c>
      <c r="AS774" s="47"/>
      <c r="AT774" s="24"/>
      <c r="AW774" s="47">
        <f>'Filter-old'!I364</f>
        <v>8505.4214473886004</v>
      </c>
      <c r="AX774" s="24">
        <f>'Filter-new'!I364</f>
        <v>7875.5753940577497</v>
      </c>
      <c r="BC774" s="47">
        <f>'Filter-old'!K364</f>
        <v>9181.2305482403626</v>
      </c>
      <c r="BD774" s="24">
        <f>'Filter-new'!K364</f>
        <v>10043.241735248988</v>
      </c>
      <c r="BG774" s="47">
        <f>'Filter-old'!M364</f>
        <v>8020.1101268853245</v>
      </c>
      <c r="BH774" s="219"/>
      <c r="BI774" s="219"/>
      <c r="BJ774" s="24">
        <f>'Filter-new'!M364</f>
        <v>8927.3259868879904</v>
      </c>
      <c r="BQ774" s="47">
        <f>'Filter-old'!O364</f>
        <v>9313.416338320807</v>
      </c>
      <c r="BR774" s="24">
        <f>'Filter-new'!O364</f>
        <v>7616.124982563817</v>
      </c>
      <c r="BU774" s="47">
        <f>'Filter-old'!Q364</f>
        <v>8319.8812209392563</v>
      </c>
      <c r="BV774" s="24">
        <f>'Filter-new'!Q364</f>
        <v>7404.6589482494082</v>
      </c>
      <c r="CA774" s="47">
        <f>'Filter-old'!R364</f>
        <v>8020.1101268853245</v>
      </c>
      <c r="CB774" s="24">
        <f>'Filter-new'!R364</f>
        <v>8578.6023155251769</v>
      </c>
    </row>
    <row r="775" spans="1:84" hidden="1" x14ac:dyDescent="0.2">
      <c r="A775">
        <v>0</v>
      </c>
      <c r="B775" s="29">
        <v>40452</v>
      </c>
      <c r="C775" s="29">
        <f>'Filter-new'!C365</f>
        <v>40452</v>
      </c>
      <c r="K775" s="47">
        <f>'Filter-old'!E365</f>
        <v>8300.1336926654167</v>
      </c>
      <c r="L775" s="24">
        <f>'Filter-new'!E365</f>
        <v>8255.9911345061646</v>
      </c>
      <c r="O775" s="444"/>
      <c r="Q775" s="47">
        <f>'Filter-old'!H365</f>
        <v>8583.5741476269886</v>
      </c>
      <c r="R775" s="24">
        <f>'Filter-new'!H365</f>
        <v>7909.6827815486904</v>
      </c>
      <c r="W775" s="47">
        <f>'Filter-old'!J365</f>
        <v>9668.2517905581153</v>
      </c>
      <c r="X775" s="24">
        <f>'Filter-new'!J365</f>
        <v>8255.9911345061646</v>
      </c>
      <c r="AA775" s="47">
        <f>'Filter-old'!F365</f>
        <v>8300.1336926654167</v>
      </c>
      <c r="AB775" s="24">
        <f>'Filter-new'!F365</f>
        <v>8255.9911345061646</v>
      </c>
      <c r="AE775" s="47">
        <f>'Filter-old'!P365</f>
        <v>8241.1259164708117</v>
      </c>
      <c r="AF775" s="24">
        <f>'Filter-new'!P365</f>
        <v>9347.5550630281214</v>
      </c>
      <c r="AI775" s="47">
        <f>'Filter-old'!L365</f>
        <v>13636.14744351962</v>
      </c>
      <c r="AJ775" s="24">
        <f>'Filter-new'!L365</f>
        <v>8710.3476935863691</v>
      </c>
      <c r="AO775" s="47">
        <f>'Filter-old'!G365</f>
        <v>7883.472782819932</v>
      </c>
      <c r="AP775" s="24">
        <f>'Filter-new'!G365</f>
        <v>9258.9001246710068</v>
      </c>
      <c r="AS775" s="47"/>
      <c r="AT775" s="24"/>
      <c r="AW775" s="47">
        <f>'Filter-old'!I365</f>
        <v>8166.8096263400148</v>
      </c>
      <c r="AX775" s="24">
        <f>'Filter-new'!I365</f>
        <v>8117.467793323176</v>
      </c>
      <c r="BC775" s="47">
        <f>'Filter-old'!K365</f>
        <v>9417.3602853745542</v>
      </c>
      <c r="BD775" s="24">
        <f>'Filter-new'!K365</f>
        <v>9904.4188945837359</v>
      </c>
      <c r="BG775" s="47">
        <f>'Filter-old'!M365</f>
        <v>7609.9881093935792</v>
      </c>
      <c r="BH775" s="219"/>
      <c r="BI775" s="219"/>
      <c r="BJ775" s="24">
        <f>'Filter-new'!M365</f>
        <v>8865.4938357113169</v>
      </c>
      <c r="BQ775" s="47">
        <f>'Filter-old'!O365</f>
        <v>8739.3426158056809</v>
      </c>
      <c r="BR775" s="24">
        <f>'Filter-new'!O365</f>
        <v>8322.4823382739978</v>
      </c>
      <c r="BU775" s="47">
        <f>'Filter-old'!Q365</f>
        <v>7729.8294774984206</v>
      </c>
      <c r="BV775" s="24">
        <f>'Filter-new'!Q365</f>
        <v>8087.5467516276485</v>
      </c>
      <c r="CA775" s="47">
        <f>'Filter-old'!R365</f>
        <v>7609.9881093935792</v>
      </c>
      <c r="CB775" s="24">
        <f>'Filter-new'!R365</f>
        <v>8519.1854827538446</v>
      </c>
    </row>
    <row r="776" spans="1:84" hidden="1" x14ac:dyDescent="0.2">
      <c r="A776">
        <v>0</v>
      </c>
      <c r="B776" s="29">
        <v>40483</v>
      </c>
      <c r="C776" s="29">
        <f>'Filter-new'!C366</f>
        <v>40483</v>
      </c>
      <c r="K776" s="47">
        <f>'Filter-old'!E366</f>
        <v>8064.9909335896709</v>
      </c>
      <c r="L776" s="24">
        <f>'Filter-new'!E366</f>
        <v>7885.1521999202441</v>
      </c>
      <c r="O776" s="444"/>
      <c r="Q776" s="47">
        <f>'Filter-old'!H366</f>
        <v>9123.0251822054124</v>
      </c>
      <c r="R776" s="24">
        <f>'Filter-new'!H366</f>
        <v>7552.8379635783604</v>
      </c>
      <c r="W776" s="47">
        <f>'Filter-old'!J366</f>
        <v>9551.132659208939</v>
      </c>
      <c r="X776" s="24">
        <f>'Filter-new'!J366</f>
        <v>7885.1521999202441</v>
      </c>
      <c r="AA776" s="47">
        <f>'Filter-old'!F366</f>
        <v>8064.9909335896709</v>
      </c>
      <c r="AB776" s="24">
        <f>'Filter-new'!F366</f>
        <v>7885.1521999202441</v>
      </c>
      <c r="AE776" s="47">
        <f>'Filter-old'!P366</f>
        <v>8007.8186527375246</v>
      </c>
      <c r="AF776" s="24">
        <f>'Filter-new'!P366</f>
        <v>9836.5013957197934</v>
      </c>
      <c r="AI776" s="47">
        <f>'Filter-old'!L366</f>
        <v>13211.981566820277</v>
      </c>
      <c r="AJ776" s="24">
        <f>'Filter-new'!L366</f>
        <v>8321.1484780007995</v>
      </c>
      <c r="AO776" s="47">
        <f>'Filter-old'!G366</f>
        <v>7569.1235450006307</v>
      </c>
      <c r="AP776" s="24">
        <f>'Filter-new'!G366</f>
        <v>8618.9020337631282</v>
      </c>
      <c r="AS776" s="47"/>
      <c r="AT776" s="24"/>
      <c r="AW776" s="47">
        <f>'Filter-old'!I366</f>
        <v>7921.4131227836087</v>
      </c>
      <c r="AX776" s="24">
        <f>'Filter-new'!I366</f>
        <v>7752.2265053834908</v>
      </c>
      <c r="BC776" s="47">
        <f>'Filter-old'!K366</f>
        <v>9124.4239631336404</v>
      </c>
      <c r="BD776" s="24">
        <f>'Filter-new'!K366</f>
        <v>9504.1871593779088</v>
      </c>
      <c r="BG776" s="47">
        <f>'Filter-old'!M366</f>
        <v>7373.2718894009213</v>
      </c>
      <c r="BH776" s="219"/>
      <c r="BI776" s="219"/>
      <c r="BJ776" s="24">
        <f>'Filter-new'!M366</f>
        <v>8507.2444503522529</v>
      </c>
      <c r="BQ776" s="47">
        <f>'Filter-old'!O366</f>
        <v>8467.4967049453662</v>
      </c>
      <c r="BR776" s="24">
        <f>'Filter-new'!O366</f>
        <v>7986.1757277681772</v>
      </c>
      <c r="BU776" s="47">
        <f>'Filter-old'!Q366</f>
        <v>7512.4265960834</v>
      </c>
      <c r="BV776" s="24">
        <f>'Filter-new'!Q366</f>
        <v>7787.3188887411943</v>
      </c>
      <c r="CA776" s="47">
        <f>'Filter-old'!R366</f>
        <v>7373.2718894009213</v>
      </c>
      <c r="CB776" s="24">
        <f>'Filter-new'!R366</f>
        <v>8174.9302140103682</v>
      </c>
    </row>
    <row r="777" spans="1:84" hidden="1" x14ac:dyDescent="0.2">
      <c r="A777">
        <v>0</v>
      </c>
      <c r="B777" s="29">
        <v>40513</v>
      </c>
      <c r="C777" s="29">
        <f>'Filter-new'!C367</f>
        <v>40513</v>
      </c>
      <c r="K777" s="47">
        <f>'Filter-old'!E367</f>
        <v>7844.0355588603961</v>
      </c>
      <c r="L777" s="24">
        <f>'Filter-new'!E367</f>
        <v>7557.9459597899859</v>
      </c>
      <c r="O777" s="444"/>
      <c r="Q777" s="47">
        <f>'Filter-old'!H367</f>
        <v>8959.5372716807797</v>
      </c>
      <c r="R777" s="24">
        <f>'Filter-new'!H367</f>
        <v>7237.8025355359196</v>
      </c>
      <c r="W777" s="47">
        <f>'Filter-old'!J367</f>
        <v>9431.7993505041031</v>
      </c>
      <c r="X777" s="24">
        <f>'Filter-new'!J367</f>
        <v>7557.9459597899859</v>
      </c>
      <c r="AA777" s="47">
        <f>'Filter-old'!F367</f>
        <v>7844.0355588603961</v>
      </c>
      <c r="AB777" s="24">
        <f>'Filter-new'!F367</f>
        <v>7557.9459597899859</v>
      </c>
      <c r="AE777" s="47">
        <f>'Filter-old'!P367</f>
        <v>7788.5880283803253</v>
      </c>
      <c r="AF777" s="24">
        <f>'Filter-new'!P367</f>
        <v>9540.2740427711615</v>
      </c>
      <c r="AI777" s="47">
        <f>'Filter-old'!L367</f>
        <v>12813.407821229053</v>
      </c>
      <c r="AJ777" s="24">
        <f>'Filter-new'!L367</f>
        <v>7977.9741324113202</v>
      </c>
      <c r="AO777" s="47">
        <f>'Filter-old'!G367</f>
        <v>7564.2449576095505</v>
      </c>
      <c r="AP777" s="24">
        <f>'Filter-new'!G367</f>
        <v>8533.7431169163774</v>
      </c>
      <c r="AS777" s="47"/>
      <c r="AT777" s="24"/>
      <c r="AW777" s="47">
        <f>'Filter-old'!I367</f>
        <v>7690.8226652518342</v>
      </c>
      <c r="AX777" s="24">
        <f>'Filter-new'!I367</f>
        <v>7429.8885900883597</v>
      </c>
      <c r="BC777" s="47">
        <f>'Filter-old'!K367</f>
        <v>8849.1620111731845</v>
      </c>
      <c r="BD777" s="24">
        <f>'Filter-new'!K367</f>
        <v>9156.1019336662812</v>
      </c>
      <c r="BG777" s="47">
        <f>'Filter-old'!M367</f>
        <v>7150.8379888268164</v>
      </c>
      <c r="BH777" s="219"/>
      <c r="BI777" s="219"/>
      <c r="BJ777" s="24">
        <f>'Filter-new'!M367</f>
        <v>8195.671660904085</v>
      </c>
      <c r="BQ777" s="47">
        <f>'Filter-old'!O367</f>
        <v>8212.0526702710376</v>
      </c>
      <c r="BR777" s="24">
        <f>'Filter-new'!O367</f>
        <v>7693.6867716737097</v>
      </c>
      <c r="BU777" s="47">
        <f>'Filter-old'!Q367</f>
        <v>7308.140760027497</v>
      </c>
      <c r="BV777" s="24">
        <f>'Filter-new'!Q367</f>
        <v>7527.7244205404013</v>
      </c>
      <c r="CA777" s="47">
        <f>'Filter-old'!R367</f>
        <v>7150.8379888268164</v>
      </c>
      <c r="CB777" s="24">
        <f>'Filter-new'!R367</f>
        <v>7875.5282366500187</v>
      </c>
    </row>
    <row r="778" spans="1:84" x14ac:dyDescent="0.2">
      <c r="A778">
        <v>1</v>
      </c>
      <c r="B778" s="96"/>
      <c r="C778" s="96"/>
      <c r="R778" s="237" t="str">
        <f>R408</f>
        <v>CINERGY</v>
      </c>
      <c r="W778" s="47"/>
      <c r="AA778" s="47"/>
      <c r="AE778" s="47"/>
      <c r="AI778" s="47">
        <f t="shared" ref="AI778:AI786" si="88">BE778</f>
        <v>3</v>
      </c>
      <c r="AJ778" s="47">
        <f t="shared" ref="AJ778:AJ787" si="89">BF778</f>
        <v>3</v>
      </c>
      <c r="AK778" s="24">
        <f t="shared" ref="AK778:AK786" si="90">AI778</f>
        <v>3</v>
      </c>
      <c r="AL778" s="24">
        <f t="shared" ref="AK778:AL787" si="91">AJ778</f>
        <v>3</v>
      </c>
      <c r="AO778" s="47"/>
      <c r="AS778" s="47"/>
      <c r="AT778" s="238">
        <f>VLOOKUP(R778,$R$790:$AT$801,29,FALSE)</f>
        <v>3</v>
      </c>
      <c r="AV778" s="24">
        <f>AT778</f>
        <v>3</v>
      </c>
      <c r="AW778" s="47">
        <v>3</v>
      </c>
      <c r="AX778" s="24">
        <f t="shared" ref="AX778:AX787" si="92">AV778</f>
        <v>3</v>
      </c>
      <c r="AY778" s="24">
        <f t="shared" ref="AY778:AY787" si="93">AW778</f>
        <v>3</v>
      </c>
      <c r="AZ778" s="24">
        <f t="shared" ref="AZ778:AZ787" si="94">AX778</f>
        <v>3</v>
      </c>
      <c r="BC778" s="47">
        <f t="shared" ref="BC778:BC787" si="95">AY778</f>
        <v>3</v>
      </c>
      <c r="BD778" s="24">
        <f t="shared" ref="BD778:BD787" si="96">AZ778</f>
        <v>3</v>
      </c>
      <c r="BE778" s="24">
        <f t="shared" ref="BE778:BE786" si="97">BC778</f>
        <v>3</v>
      </c>
      <c r="BF778" s="24">
        <f t="shared" ref="BF778:BF786" si="98">BD778</f>
        <v>3</v>
      </c>
      <c r="BG778" s="47">
        <f t="shared" ref="BG778:BG786" si="99">AK778</f>
        <v>3</v>
      </c>
      <c r="BJ778" s="47">
        <f t="shared" ref="BJ778:BJ786" si="100">AL778</f>
        <v>3</v>
      </c>
      <c r="BK778" s="24">
        <f t="shared" ref="BK778:BK786" si="101">BG778</f>
        <v>3</v>
      </c>
      <c r="BL778" s="24">
        <f t="shared" ref="BL778:BL786" si="102">BJ778</f>
        <v>3</v>
      </c>
      <c r="BQ778" s="47">
        <f t="shared" ref="BQ778:BQ786" si="103">BK778</f>
        <v>3</v>
      </c>
      <c r="BR778" s="47">
        <f t="shared" ref="BR778:BR786" si="104">BL778</f>
        <v>3</v>
      </c>
      <c r="BS778" s="24">
        <f t="shared" ref="BS778:BS786" si="105">BQ778</f>
        <v>3</v>
      </c>
      <c r="BT778" s="24">
        <f t="shared" ref="BT778:BT786" si="106">BR778</f>
        <v>3</v>
      </c>
      <c r="BU778" s="47">
        <f t="shared" ref="BU778:BU786" si="107">BS778</f>
        <v>3</v>
      </c>
      <c r="BV778" s="47">
        <f t="shared" ref="BV778:BV786" si="108">BT778</f>
        <v>3</v>
      </c>
      <c r="BW778" s="24">
        <f t="shared" ref="BW778:BW786" si="109">BU778</f>
        <v>3</v>
      </c>
      <c r="BX778" s="24">
        <f t="shared" ref="BX778:BX786" si="110">BV778</f>
        <v>3</v>
      </c>
      <c r="BY778" s="24">
        <f t="shared" ref="BY778:BY787" si="111">BW778</f>
        <v>3</v>
      </c>
      <c r="BZ778" s="24">
        <f t="shared" ref="BZ778:BZ787" si="112">BX778</f>
        <v>3</v>
      </c>
      <c r="CA778" s="47">
        <f t="shared" ref="CA778:CA786" si="113">BW778</f>
        <v>3</v>
      </c>
      <c r="CB778" s="24">
        <f t="shared" ref="CB778:CB786" si="114">BX778</f>
        <v>3</v>
      </c>
      <c r="CC778">
        <f t="shared" ref="CC778:CC786" si="115">CA778</f>
        <v>3</v>
      </c>
      <c r="CD778" s="24">
        <f t="shared" ref="CD778:CD786" si="116">CB778</f>
        <v>3</v>
      </c>
      <c r="CE778" s="24"/>
      <c r="CF778" s="24"/>
    </row>
    <row r="779" spans="1:84" x14ac:dyDescent="0.2">
      <c r="A779">
        <v>1</v>
      </c>
      <c r="B779" s="96"/>
      <c r="C779" s="96"/>
      <c r="R779" s="237" t="str">
        <f>R410</f>
        <v>INTO COMED</v>
      </c>
      <c r="W779" s="47"/>
      <c r="AA779" s="47"/>
      <c r="AE779" s="47"/>
      <c r="AI779" s="47">
        <f t="shared" si="88"/>
        <v>27</v>
      </c>
      <c r="AJ779" s="47">
        <f t="shared" si="89"/>
        <v>7</v>
      </c>
      <c r="AK779" s="24">
        <f t="shared" si="90"/>
        <v>27</v>
      </c>
      <c r="AL779" s="24">
        <f t="shared" si="91"/>
        <v>7</v>
      </c>
      <c r="AO779" s="47"/>
      <c r="AS779" s="47"/>
      <c r="AT779" s="238">
        <f t="shared" ref="AT779:AT787" si="117">VLOOKUP(R779,$R$790:$AT$801,29,FALSE)</f>
        <v>7</v>
      </c>
      <c r="AV779" s="24">
        <f t="shared" ref="AV779:AV787" si="118">AT779</f>
        <v>7</v>
      </c>
      <c r="AW779" s="47">
        <v>27</v>
      </c>
      <c r="AX779" s="24">
        <f t="shared" si="92"/>
        <v>7</v>
      </c>
      <c r="AY779" s="24">
        <f t="shared" si="93"/>
        <v>27</v>
      </c>
      <c r="AZ779" s="24">
        <f t="shared" si="94"/>
        <v>7</v>
      </c>
      <c r="BC779" s="47">
        <f t="shared" si="95"/>
        <v>27</v>
      </c>
      <c r="BD779" s="24">
        <f t="shared" si="96"/>
        <v>7</v>
      </c>
      <c r="BE779" s="24">
        <f t="shared" si="97"/>
        <v>27</v>
      </c>
      <c r="BF779" s="24">
        <f t="shared" si="98"/>
        <v>7</v>
      </c>
      <c r="BG779" s="47">
        <f t="shared" si="99"/>
        <v>27</v>
      </c>
      <c r="BJ779" s="47">
        <f t="shared" si="100"/>
        <v>7</v>
      </c>
      <c r="BK779" s="24">
        <f t="shared" si="101"/>
        <v>27</v>
      </c>
      <c r="BL779" s="24">
        <f t="shared" si="102"/>
        <v>7</v>
      </c>
      <c r="BQ779" s="47">
        <f t="shared" si="103"/>
        <v>27</v>
      </c>
      <c r="BR779" s="47">
        <f t="shared" si="104"/>
        <v>7</v>
      </c>
      <c r="BS779" s="24">
        <f t="shared" si="105"/>
        <v>27</v>
      </c>
      <c r="BT779" s="24">
        <f t="shared" si="106"/>
        <v>7</v>
      </c>
      <c r="BU779" s="47">
        <f t="shared" si="107"/>
        <v>27</v>
      </c>
      <c r="BV779" s="47">
        <f t="shared" si="108"/>
        <v>7</v>
      </c>
      <c r="BW779" s="24">
        <f t="shared" si="109"/>
        <v>27</v>
      </c>
      <c r="BX779" s="24">
        <f t="shared" si="110"/>
        <v>7</v>
      </c>
      <c r="BY779" s="24">
        <f t="shared" si="111"/>
        <v>27</v>
      </c>
      <c r="BZ779" s="24">
        <f t="shared" si="112"/>
        <v>7</v>
      </c>
      <c r="CA779" s="47">
        <f t="shared" si="113"/>
        <v>27</v>
      </c>
      <c r="CB779" s="24">
        <f t="shared" si="114"/>
        <v>7</v>
      </c>
      <c r="CC779">
        <f t="shared" si="115"/>
        <v>27</v>
      </c>
      <c r="CD779" s="24">
        <f t="shared" si="116"/>
        <v>7</v>
      </c>
      <c r="CE779" s="24"/>
      <c r="CF779" s="24"/>
    </row>
    <row r="780" spans="1:84" x14ac:dyDescent="0.2">
      <c r="A780">
        <v>1</v>
      </c>
      <c r="B780" s="96"/>
      <c r="C780" s="96"/>
      <c r="R780" s="237" t="str">
        <f>R411</f>
        <v>INTO TVA</v>
      </c>
      <c r="W780" s="47"/>
      <c r="AA780" s="47"/>
      <c r="AE780" s="47"/>
      <c r="AI780" s="47">
        <f t="shared" si="88"/>
        <v>7</v>
      </c>
      <c r="AJ780" s="47">
        <f t="shared" si="89"/>
        <v>43</v>
      </c>
      <c r="AK780" s="24">
        <f t="shared" si="90"/>
        <v>7</v>
      </c>
      <c r="AL780" s="24">
        <f t="shared" si="91"/>
        <v>43</v>
      </c>
      <c r="AO780" s="47"/>
      <c r="AS780" s="47"/>
      <c r="AT780" s="238">
        <f t="shared" si="117"/>
        <v>43</v>
      </c>
      <c r="AV780" s="24">
        <f t="shared" si="118"/>
        <v>43</v>
      </c>
      <c r="AW780" s="47">
        <v>7</v>
      </c>
      <c r="AX780" s="24">
        <f t="shared" si="92"/>
        <v>43</v>
      </c>
      <c r="AY780" s="24">
        <f t="shared" si="93"/>
        <v>7</v>
      </c>
      <c r="AZ780" s="24">
        <f t="shared" si="94"/>
        <v>43</v>
      </c>
      <c r="BC780" s="47">
        <f t="shared" si="95"/>
        <v>7</v>
      </c>
      <c r="BD780" s="24">
        <f t="shared" si="96"/>
        <v>43</v>
      </c>
      <c r="BE780" s="24">
        <f t="shared" si="97"/>
        <v>7</v>
      </c>
      <c r="BF780" s="24">
        <f t="shared" si="98"/>
        <v>43</v>
      </c>
      <c r="BG780" s="47">
        <f t="shared" si="99"/>
        <v>7</v>
      </c>
      <c r="BJ780" s="47">
        <f t="shared" si="100"/>
        <v>43</v>
      </c>
      <c r="BK780" s="24">
        <f t="shared" si="101"/>
        <v>7</v>
      </c>
      <c r="BL780" s="24">
        <f t="shared" si="102"/>
        <v>43</v>
      </c>
      <c r="BQ780" s="47">
        <f t="shared" si="103"/>
        <v>7</v>
      </c>
      <c r="BR780" s="47">
        <f t="shared" si="104"/>
        <v>43</v>
      </c>
      <c r="BS780" s="24">
        <f t="shared" si="105"/>
        <v>7</v>
      </c>
      <c r="BT780" s="24">
        <f t="shared" si="106"/>
        <v>43</v>
      </c>
      <c r="BU780" s="47">
        <f t="shared" si="107"/>
        <v>7</v>
      </c>
      <c r="BV780" s="47">
        <f t="shared" si="108"/>
        <v>43</v>
      </c>
      <c r="BW780" s="24">
        <f t="shared" si="109"/>
        <v>7</v>
      </c>
      <c r="BX780" s="24">
        <f t="shared" si="110"/>
        <v>43</v>
      </c>
      <c r="BY780" s="24">
        <f t="shared" si="111"/>
        <v>7</v>
      </c>
      <c r="BZ780" s="24">
        <f t="shared" si="112"/>
        <v>43</v>
      </c>
      <c r="CA780" s="47">
        <f t="shared" si="113"/>
        <v>7</v>
      </c>
      <c r="CB780" s="24">
        <f t="shared" si="114"/>
        <v>43</v>
      </c>
      <c r="CC780">
        <f t="shared" si="115"/>
        <v>7</v>
      </c>
      <c r="CD780" s="24">
        <f t="shared" si="116"/>
        <v>43</v>
      </c>
      <c r="CE780" s="24"/>
      <c r="CF780" s="24"/>
    </row>
    <row r="781" spans="1:84" x14ac:dyDescent="0.2">
      <c r="A781">
        <v>1</v>
      </c>
      <c r="B781" s="96"/>
      <c r="C781" s="96"/>
      <c r="R781" s="237" t="str">
        <f>R412</f>
        <v>NEPOOL</v>
      </c>
      <c r="W781" s="47"/>
      <c r="AA781" s="47"/>
      <c r="AE781" s="47"/>
      <c r="AI781" s="47">
        <f t="shared" si="88"/>
        <v>11</v>
      </c>
      <c r="AJ781" s="47">
        <f t="shared" si="89"/>
        <v>15</v>
      </c>
      <c r="AK781" s="24">
        <f t="shared" si="90"/>
        <v>11</v>
      </c>
      <c r="AL781" s="24">
        <f t="shared" si="91"/>
        <v>15</v>
      </c>
      <c r="AO781" s="47"/>
      <c r="AS781" s="47"/>
      <c r="AT781" s="238">
        <f t="shared" si="117"/>
        <v>15</v>
      </c>
      <c r="AV781" s="24">
        <f t="shared" si="118"/>
        <v>15</v>
      </c>
      <c r="AW781" s="47">
        <v>11</v>
      </c>
      <c r="AX781" s="24">
        <f t="shared" si="92"/>
        <v>15</v>
      </c>
      <c r="AY781" s="24">
        <f t="shared" si="93"/>
        <v>11</v>
      </c>
      <c r="AZ781" s="24">
        <f t="shared" si="94"/>
        <v>15</v>
      </c>
      <c r="BC781" s="47">
        <f t="shared" si="95"/>
        <v>11</v>
      </c>
      <c r="BD781" s="24">
        <f t="shared" si="96"/>
        <v>15</v>
      </c>
      <c r="BE781" s="24">
        <f t="shared" si="97"/>
        <v>11</v>
      </c>
      <c r="BF781" s="24">
        <f t="shared" si="98"/>
        <v>15</v>
      </c>
      <c r="BG781" s="47">
        <f t="shared" si="99"/>
        <v>11</v>
      </c>
      <c r="BJ781" s="47">
        <f t="shared" si="100"/>
        <v>15</v>
      </c>
      <c r="BK781" s="24">
        <f t="shared" si="101"/>
        <v>11</v>
      </c>
      <c r="BL781" s="24">
        <f t="shared" si="102"/>
        <v>15</v>
      </c>
      <c r="BQ781" s="47">
        <f t="shared" si="103"/>
        <v>11</v>
      </c>
      <c r="BR781" s="47">
        <f t="shared" si="104"/>
        <v>15</v>
      </c>
      <c r="BS781" s="24">
        <f t="shared" si="105"/>
        <v>11</v>
      </c>
      <c r="BT781" s="24">
        <f t="shared" si="106"/>
        <v>15</v>
      </c>
      <c r="BU781" s="47">
        <f t="shared" si="107"/>
        <v>11</v>
      </c>
      <c r="BV781" s="47">
        <f t="shared" si="108"/>
        <v>15</v>
      </c>
      <c r="BW781" s="24">
        <f t="shared" si="109"/>
        <v>11</v>
      </c>
      <c r="BX781" s="24">
        <f t="shared" si="110"/>
        <v>15</v>
      </c>
      <c r="BY781" s="24">
        <f t="shared" si="111"/>
        <v>11</v>
      </c>
      <c r="BZ781" s="24">
        <f t="shared" si="112"/>
        <v>15</v>
      </c>
      <c r="CA781" s="47">
        <f t="shared" si="113"/>
        <v>11</v>
      </c>
      <c r="CB781" s="24">
        <f t="shared" si="114"/>
        <v>15</v>
      </c>
      <c r="CC781">
        <f t="shared" si="115"/>
        <v>11</v>
      </c>
      <c r="CD781" s="24">
        <f t="shared" si="116"/>
        <v>15</v>
      </c>
      <c r="CE781" s="24"/>
      <c r="CF781" s="24"/>
    </row>
    <row r="782" spans="1:84" x14ac:dyDescent="0.2">
      <c r="A782">
        <v>1</v>
      </c>
      <c r="B782" s="96"/>
      <c r="C782" s="96"/>
      <c r="R782" s="237" t="e">
        <f>#REF!</f>
        <v>#REF!</v>
      </c>
      <c r="W782" s="47"/>
      <c r="AA782" s="47"/>
      <c r="AE782" s="47"/>
      <c r="AI782" s="47">
        <f t="shared" si="88"/>
        <v>15</v>
      </c>
      <c r="AJ782" s="47" t="e">
        <f t="shared" si="89"/>
        <v>#REF!</v>
      </c>
      <c r="AK782" s="24">
        <f t="shared" si="90"/>
        <v>15</v>
      </c>
      <c r="AL782" s="24" t="e">
        <f t="shared" si="91"/>
        <v>#REF!</v>
      </c>
      <c r="AO782" s="47"/>
      <c r="AS782" s="47"/>
      <c r="AT782" s="238" t="e">
        <f t="shared" si="117"/>
        <v>#REF!</v>
      </c>
      <c r="AV782" s="24" t="e">
        <f t="shared" si="118"/>
        <v>#REF!</v>
      </c>
      <c r="AW782" s="47">
        <v>15</v>
      </c>
      <c r="AX782" s="24" t="e">
        <f t="shared" si="92"/>
        <v>#REF!</v>
      </c>
      <c r="AY782" s="24">
        <f t="shared" si="93"/>
        <v>15</v>
      </c>
      <c r="AZ782" s="24" t="e">
        <f t="shared" si="94"/>
        <v>#REF!</v>
      </c>
      <c r="BC782" s="47">
        <f t="shared" si="95"/>
        <v>15</v>
      </c>
      <c r="BD782" s="24" t="e">
        <f t="shared" si="96"/>
        <v>#REF!</v>
      </c>
      <c r="BE782" s="24">
        <f t="shared" si="97"/>
        <v>15</v>
      </c>
      <c r="BF782" s="24" t="e">
        <f t="shared" si="98"/>
        <v>#REF!</v>
      </c>
      <c r="BG782" s="47">
        <f t="shared" si="99"/>
        <v>15</v>
      </c>
      <c r="BJ782" s="47" t="e">
        <f t="shared" si="100"/>
        <v>#REF!</v>
      </c>
      <c r="BK782" s="24">
        <f t="shared" si="101"/>
        <v>15</v>
      </c>
      <c r="BL782" s="24" t="e">
        <f t="shared" si="102"/>
        <v>#REF!</v>
      </c>
      <c r="BQ782" s="47">
        <f t="shared" si="103"/>
        <v>15</v>
      </c>
      <c r="BR782" s="47" t="e">
        <f t="shared" si="104"/>
        <v>#REF!</v>
      </c>
      <c r="BS782" s="24">
        <f t="shared" si="105"/>
        <v>15</v>
      </c>
      <c r="BT782" s="24" t="e">
        <f t="shared" si="106"/>
        <v>#REF!</v>
      </c>
      <c r="BU782" s="47">
        <f t="shared" si="107"/>
        <v>15</v>
      </c>
      <c r="BV782" s="47" t="e">
        <f t="shared" si="108"/>
        <v>#REF!</v>
      </c>
      <c r="BW782" s="24">
        <f t="shared" si="109"/>
        <v>15</v>
      </c>
      <c r="BX782" s="24" t="e">
        <f t="shared" si="110"/>
        <v>#REF!</v>
      </c>
      <c r="BY782" s="24">
        <f t="shared" si="111"/>
        <v>15</v>
      </c>
      <c r="BZ782" s="24" t="e">
        <f t="shared" si="112"/>
        <v>#REF!</v>
      </c>
      <c r="CA782" s="47">
        <f t="shared" si="113"/>
        <v>15</v>
      </c>
      <c r="CB782" s="24" t="e">
        <f t="shared" si="114"/>
        <v>#REF!</v>
      </c>
      <c r="CC782">
        <f t="shared" si="115"/>
        <v>15</v>
      </c>
      <c r="CD782" s="24" t="e">
        <f t="shared" si="116"/>
        <v>#REF!</v>
      </c>
      <c r="CE782" s="24"/>
      <c r="CF782" s="24"/>
    </row>
    <row r="783" spans="1:84" x14ac:dyDescent="0.2">
      <c r="A783">
        <v>1</v>
      </c>
      <c r="B783" s="96"/>
      <c r="C783" s="96"/>
      <c r="R783" s="237" t="str">
        <f>R415</f>
        <v>NY WEST</v>
      </c>
      <c r="W783" s="47"/>
      <c r="AA783" s="47"/>
      <c r="AE783" s="47"/>
      <c r="AI783" s="47">
        <f t="shared" si="88"/>
        <v>19</v>
      </c>
      <c r="AJ783" s="47" t="e">
        <f t="shared" si="89"/>
        <v>#N/A</v>
      </c>
      <c r="AK783" s="24">
        <f t="shared" si="90"/>
        <v>19</v>
      </c>
      <c r="AL783" s="24" t="e">
        <f t="shared" si="91"/>
        <v>#N/A</v>
      </c>
      <c r="AO783" s="47"/>
      <c r="AS783" s="47"/>
      <c r="AT783" s="238" t="e">
        <f t="shared" si="117"/>
        <v>#N/A</v>
      </c>
      <c r="AV783" s="24" t="e">
        <f t="shared" si="118"/>
        <v>#N/A</v>
      </c>
      <c r="AW783" s="47">
        <v>19</v>
      </c>
      <c r="AX783" s="24" t="e">
        <f t="shared" si="92"/>
        <v>#N/A</v>
      </c>
      <c r="AY783" s="24">
        <f t="shared" si="93"/>
        <v>19</v>
      </c>
      <c r="AZ783" s="24" t="e">
        <f t="shared" si="94"/>
        <v>#N/A</v>
      </c>
      <c r="BC783" s="47">
        <f t="shared" si="95"/>
        <v>19</v>
      </c>
      <c r="BD783" s="24" t="e">
        <f t="shared" si="96"/>
        <v>#N/A</v>
      </c>
      <c r="BE783" s="24">
        <f t="shared" si="97"/>
        <v>19</v>
      </c>
      <c r="BF783" s="24" t="e">
        <f t="shared" si="98"/>
        <v>#N/A</v>
      </c>
      <c r="BG783" s="47">
        <f t="shared" si="99"/>
        <v>19</v>
      </c>
      <c r="BJ783" s="47" t="e">
        <f t="shared" si="100"/>
        <v>#N/A</v>
      </c>
      <c r="BK783" s="24">
        <f t="shared" si="101"/>
        <v>19</v>
      </c>
      <c r="BL783" s="24" t="e">
        <f t="shared" si="102"/>
        <v>#N/A</v>
      </c>
      <c r="BQ783" s="47">
        <f t="shared" si="103"/>
        <v>19</v>
      </c>
      <c r="BR783" s="47" t="e">
        <f t="shared" si="104"/>
        <v>#N/A</v>
      </c>
      <c r="BS783" s="24">
        <f t="shared" si="105"/>
        <v>19</v>
      </c>
      <c r="BT783" s="24" t="e">
        <f t="shared" si="106"/>
        <v>#N/A</v>
      </c>
      <c r="BU783" s="47">
        <f t="shared" si="107"/>
        <v>19</v>
      </c>
      <c r="BV783" s="47" t="e">
        <f t="shared" si="108"/>
        <v>#N/A</v>
      </c>
      <c r="BW783" s="24">
        <f t="shared" si="109"/>
        <v>19</v>
      </c>
      <c r="BX783" s="24" t="e">
        <f t="shared" si="110"/>
        <v>#N/A</v>
      </c>
      <c r="BY783" s="24">
        <f t="shared" si="111"/>
        <v>19</v>
      </c>
      <c r="BZ783" s="24" t="e">
        <f t="shared" si="112"/>
        <v>#N/A</v>
      </c>
      <c r="CA783" s="47">
        <f t="shared" si="113"/>
        <v>19</v>
      </c>
      <c r="CB783" s="24" t="e">
        <f t="shared" si="114"/>
        <v>#N/A</v>
      </c>
      <c r="CC783">
        <f t="shared" si="115"/>
        <v>19</v>
      </c>
      <c r="CD783" s="24" t="e">
        <f t="shared" si="116"/>
        <v>#N/A</v>
      </c>
      <c r="CE783" s="24"/>
      <c r="CF783" s="24"/>
    </row>
    <row r="784" spans="1:84" x14ac:dyDescent="0.2">
      <c r="A784">
        <v>1</v>
      </c>
      <c r="B784" s="96"/>
      <c r="C784" s="96"/>
      <c r="R784" s="237" t="str">
        <f>R416</f>
        <v>SOCO</v>
      </c>
      <c r="W784" s="47"/>
      <c r="AA784" s="47"/>
      <c r="AE784" s="47"/>
      <c r="AI784" s="47">
        <f t="shared" si="88"/>
        <v>23</v>
      </c>
      <c r="AJ784" s="47">
        <f t="shared" si="89"/>
        <v>23</v>
      </c>
      <c r="AK784" s="24">
        <f t="shared" si="90"/>
        <v>23</v>
      </c>
      <c r="AL784" s="24">
        <f t="shared" si="91"/>
        <v>23</v>
      </c>
      <c r="AO784" s="47"/>
      <c r="AS784" s="47"/>
      <c r="AT784" s="238">
        <f t="shared" si="117"/>
        <v>23</v>
      </c>
      <c r="AV784" s="24">
        <f t="shared" si="118"/>
        <v>23</v>
      </c>
      <c r="AW784" s="47">
        <v>23</v>
      </c>
      <c r="AX784" s="24">
        <f t="shared" si="92"/>
        <v>23</v>
      </c>
      <c r="AY784" s="24">
        <f t="shared" si="93"/>
        <v>23</v>
      </c>
      <c r="AZ784" s="24">
        <f t="shared" si="94"/>
        <v>23</v>
      </c>
      <c r="BC784" s="47">
        <f t="shared" si="95"/>
        <v>23</v>
      </c>
      <c r="BD784" s="24">
        <f t="shared" si="96"/>
        <v>23</v>
      </c>
      <c r="BE784" s="24">
        <f t="shared" si="97"/>
        <v>23</v>
      </c>
      <c r="BF784" s="24">
        <f t="shared" si="98"/>
        <v>23</v>
      </c>
      <c r="BG784" s="47">
        <f t="shared" si="99"/>
        <v>23</v>
      </c>
      <c r="BJ784" s="47">
        <f t="shared" si="100"/>
        <v>23</v>
      </c>
      <c r="BK784" s="24">
        <f t="shared" si="101"/>
        <v>23</v>
      </c>
      <c r="BL784" s="24">
        <f t="shared" si="102"/>
        <v>23</v>
      </c>
      <c r="BQ784" s="47">
        <f t="shared" si="103"/>
        <v>23</v>
      </c>
      <c r="BR784" s="47">
        <f t="shared" si="104"/>
        <v>23</v>
      </c>
      <c r="BS784" s="24">
        <f t="shared" si="105"/>
        <v>23</v>
      </c>
      <c r="BT784" s="24">
        <f t="shared" si="106"/>
        <v>23</v>
      </c>
      <c r="BU784" s="47">
        <f t="shared" si="107"/>
        <v>23</v>
      </c>
      <c r="BV784" s="47">
        <f t="shared" si="108"/>
        <v>23</v>
      </c>
      <c r="BW784" s="24">
        <f t="shared" si="109"/>
        <v>23</v>
      </c>
      <c r="BX784" s="24">
        <f t="shared" si="110"/>
        <v>23</v>
      </c>
      <c r="BY784" s="24">
        <f t="shared" si="111"/>
        <v>23</v>
      </c>
      <c r="BZ784" s="24">
        <f t="shared" si="112"/>
        <v>23</v>
      </c>
      <c r="CA784" s="47">
        <f t="shared" si="113"/>
        <v>23</v>
      </c>
      <c r="CB784" s="24">
        <f t="shared" si="114"/>
        <v>23</v>
      </c>
      <c r="CC784">
        <f t="shared" si="115"/>
        <v>23</v>
      </c>
      <c r="CD784" s="24">
        <f t="shared" si="116"/>
        <v>23</v>
      </c>
      <c r="CE784" s="24"/>
      <c r="CF784" s="24"/>
    </row>
    <row r="785" spans="1:84" x14ac:dyDescent="0.2">
      <c r="A785">
        <v>1</v>
      </c>
      <c r="B785" s="96"/>
      <c r="C785" s="96"/>
      <c r="R785" s="237" t="str">
        <f>R417</f>
        <v>WESTERN HUB</v>
      </c>
      <c r="W785" s="47"/>
      <c r="AA785" s="47"/>
      <c r="AE785" s="47"/>
      <c r="AI785" s="47">
        <f t="shared" si="88"/>
        <v>31</v>
      </c>
      <c r="AJ785" s="47">
        <f t="shared" si="89"/>
        <v>31</v>
      </c>
      <c r="AK785" s="24">
        <f t="shared" si="90"/>
        <v>31</v>
      </c>
      <c r="AL785" s="24">
        <f t="shared" si="91"/>
        <v>31</v>
      </c>
      <c r="AO785" s="47"/>
      <c r="AS785" s="47"/>
      <c r="AT785" s="238">
        <f t="shared" si="117"/>
        <v>31</v>
      </c>
      <c r="AV785" s="24">
        <f t="shared" si="118"/>
        <v>31</v>
      </c>
      <c r="AW785" s="47">
        <v>31</v>
      </c>
      <c r="AX785" s="24">
        <f t="shared" si="92"/>
        <v>31</v>
      </c>
      <c r="AY785" s="24">
        <f t="shared" si="93"/>
        <v>31</v>
      </c>
      <c r="AZ785" s="24">
        <f t="shared" si="94"/>
        <v>31</v>
      </c>
      <c r="BC785" s="47">
        <f t="shared" si="95"/>
        <v>31</v>
      </c>
      <c r="BD785" s="24">
        <f t="shared" si="96"/>
        <v>31</v>
      </c>
      <c r="BE785" s="24">
        <f t="shared" si="97"/>
        <v>31</v>
      </c>
      <c r="BF785" s="24">
        <f t="shared" si="98"/>
        <v>31</v>
      </c>
      <c r="BG785" s="47">
        <f t="shared" si="99"/>
        <v>31</v>
      </c>
      <c r="BJ785" s="47">
        <f t="shared" si="100"/>
        <v>31</v>
      </c>
      <c r="BK785" s="24">
        <f t="shared" si="101"/>
        <v>31</v>
      </c>
      <c r="BL785" s="24">
        <f t="shared" si="102"/>
        <v>31</v>
      </c>
      <c r="BQ785" s="47">
        <f t="shared" si="103"/>
        <v>31</v>
      </c>
      <c r="BR785" s="47">
        <f t="shared" si="104"/>
        <v>31</v>
      </c>
      <c r="BS785" s="24">
        <f t="shared" si="105"/>
        <v>31</v>
      </c>
      <c r="BT785" s="24">
        <f t="shared" si="106"/>
        <v>31</v>
      </c>
      <c r="BU785" s="47">
        <f t="shared" si="107"/>
        <v>31</v>
      </c>
      <c r="BV785" s="47">
        <f t="shared" si="108"/>
        <v>31</v>
      </c>
      <c r="BW785" s="24">
        <f t="shared" si="109"/>
        <v>31</v>
      </c>
      <c r="BX785" s="24">
        <f t="shared" si="110"/>
        <v>31</v>
      </c>
      <c r="BY785" s="24">
        <f t="shared" si="111"/>
        <v>31</v>
      </c>
      <c r="BZ785" s="24">
        <f t="shared" si="112"/>
        <v>31</v>
      </c>
      <c r="CA785" s="47">
        <f t="shared" si="113"/>
        <v>31</v>
      </c>
      <c r="CB785" s="24">
        <f t="shared" si="114"/>
        <v>31</v>
      </c>
      <c r="CC785">
        <f t="shared" si="115"/>
        <v>31</v>
      </c>
      <c r="CD785" s="24">
        <f t="shared" si="116"/>
        <v>31</v>
      </c>
      <c r="CE785" s="24"/>
      <c r="CF785" s="24"/>
    </row>
    <row r="786" spans="1:84" x14ac:dyDescent="0.2">
      <c r="A786">
        <v>1</v>
      </c>
      <c r="B786" s="96"/>
      <c r="C786" s="96"/>
      <c r="R786" s="47" t="e">
        <f>#REF!</f>
        <v>#REF!</v>
      </c>
      <c r="W786" s="47"/>
      <c r="AA786" s="47"/>
      <c r="AE786" s="47"/>
      <c r="AI786" s="47">
        <f t="shared" si="88"/>
        <v>0</v>
      </c>
      <c r="AJ786" s="47" t="e">
        <f t="shared" si="89"/>
        <v>#REF!</v>
      </c>
      <c r="AK786" s="24">
        <f t="shared" si="90"/>
        <v>0</v>
      </c>
      <c r="AL786" s="24" t="e">
        <f t="shared" si="91"/>
        <v>#REF!</v>
      </c>
      <c r="AO786" s="47"/>
      <c r="AS786" s="47"/>
      <c r="AT786" s="238" t="e">
        <f t="shared" si="117"/>
        <v>#REF!</v>
      </c>
      <c r="AV786" s="24" t="e">
        <f t="shared" si="118"/>
        <v>#REF!</v>
      </c>
      <c r="AX786" s="47" t="e">
        <f t="shared" si="92"/>
        <v>#REF!</v>
      </c>
      <c r="AY786" s="24">
        <f t="shared" si="93"/>
        <v>0</v>
      </c>
      <c r="AZ786" s="24" t="e">
        <f t="shared" si="94"/>
        <v>#REF!</v>
      </c>
      <c r="BC786" s="47">
        <f t="shared" si="95"/>
        <v>0</v>
      </c>
      <c r="BD786" s="47" t="e">
        <f t="shared" si="96"/>
        <v>#REF!</v>
      </c>
      <c r="BE786" s="24">
        <f t="shared" si="97"/>
        <v>0</v>
      </c>
      <c r="BF786" s="24" t="e">
        <f t="shared" si="98"/>
        <v>#REF!</v>
      </c>
      <c r="BG786" s="47">
        <f t="shared" si="99"/>
        <v>0</v>
      </c>
      <c r="BJ786" s="47" t="e">
        <f t="shared" si="100"/>
        <v>#REF!</v>
      </c>
      <c r="BK786" s="24">
        <f t="shared" si="101"/>
        <v>0</v>
      </c>
      <c r="BL786" s="24" t="e">
        <f t="shared" si="102"/>
        <v>#REF!</v>
      </c>
      <c r="BQ786" s="47">
        <f t="shared" si="103"/>
        <v>0</v>
      </c>
      <c r="BR786" s="47" t="e">
        <f t="shared" si="104"/>
        <v>#REF!</v>
      </c>
      <c r="BS786" s="24">
        <f t="shared" si="105"/>
        <v>0</v>
      </c>
      <c r="BT786" s="24" t="e">
        <f t="shared" si="106"/>
        <v>#REF!</v>
      </c>
      <c r="BU786" s="47">
        <f t="shared" si="107"/>
        <v>0</v>
      </c>
      <c r="BV786" s="47" t="e">
        <f t="shared" si="108"/>
        <v>#REF!</v>
      </c>
      <c r="BW786" s="24">
        <f t="shared" si="109"/>
        <v>0</v>
      </c>
      <c r="BX786" s="24" t="e">
        <f t="shared" si="110"/>
        <v>#REF!</v>
      </c>
      <c r="BY786" s="24">
        <f t="shared" si="111"/>
        <v>0</v>
      </c>
      <c r="BZ786" s="24" t="e">
        <f t="shared" si="112"/>
        <v>#REF!</v>
      </c>
      <c r="CA786" s="47">
        <f t="shared" si="113"/>
        <v>0</v>
      </c>
      <c r="CB786" s="47" t="e">
        <f t="shared" si="114"/>
        <v>#REF!</v>
      </c>
      <c r="CC786">
        <f t="shared" si="115"/>
        <v>0</v>
      </c>
      <c r="CD786" s="24" t="e">
        <f t="shared" si="116"/>
        <v>#REF!</v>
      </c>
      <c r="CE786" s="24"/>
      <c r="CF786" s="24"/>
    </row>
    <row r="787" spans="1:84" x14ac:dyDescent="0.2">
      <c r="A787">
        <v>1</v>
      </c>
      <c r="B787" s="96" t="s">
        <v>114</v>
      </c>
      <c r="C787" s="96"/>
      <c r="R787" s="47" t="e">
        <f>#REF!</f>
        <v>#REF!</v>
      </c>
      <c r="W787" s="47"/>
      <c r="AA787" s="47"/>
      <c r="AE787" s="47"/>
      <c r="AI787" s="47"/>
      <c r="AJ787" s="47" t="e">
        <f t="shared" si="89"/>
        <v>#REF!</v>
      </c>
      <c r="AK787" s="24">
        <f t="shared" si="91"/>
        <v>0</v>
      </c>
      <c r="AL787" s="24" t="e">
        <f t="shared" si="91"/>
        <v>#REF!</v>
      </c>
      <c r="AO787" s="47"/>
      <c r="AQ787" s="24">
        <f>AO787</f>
        <v>0</v>
      </c>
      <c r="AS787" s="47">
        <f>AQ787</f>
        <v>0</v>
      </c>
      <c r="AT787" s="238" t="e">
        <f t="shared" si="117"/>
        <v>#REF!</v>
      </c>
      <c r="AU787" s="24">
        <f>AS787</f>
        <v>0</v>
      </c>
      <c r="AV787" s="24" t="e">
        <f t="shared" si="118"/>
        <v>#REF!</v>
      </c>
      <c r="AW787" s="47">
        <f>AU787</f>
        <v>0</v>
      </c>
      <c r="AX787" s="47" t="e">
        <f t="shared" si="92"/>
        <v>#REF!</v>
      </c>
      <c r="AY787" s="24">
        <f t="shared" si="93"/>
        <v>0</v>
      </c>
      <c r="AZ787" s="24" t="e">
        <f t="shared" si="94"/>
        <v>#REF!</v>
      </c>
      <c r="BC787" s="47">
        <f t="shared" si="95"/>
        <v>0</v>
      </c>
      <c r="BD787" s="47" t="e">
        <f t="shared" si="96"/>
        <v>#REF!</v>
      </c>
      <c r="BF787" s="24" t="e">
        <f>BD787</f>
        <v>#REF!</v>
      </c>
      <c r="BR787" s="47" t="e">
        <f>BF787</f>
        <v>#REF!</v>
      </c>
      <c r="BT787" s="24" t="e">
        <f>BR787</f>
        <v>#REF!</v>
      </c>
      <c r="BV787" s="47" t="e">
        <f>BT787</f>
        <v>#REF!</v>
      </c>
      <c r="BX787" s="24" t="e">
        <f>BV787</f>
        <v>#REF!</v>
      </c>
      <c r="BY787" s="24">
        <f t="shared" si="111"/>
        <v>0</v>
      </c>
      <c r="BZ787" s="24" t="e">
        <f t="shared" si="112"/>
        <v>#REF!</v>
      </c>
      <c r="CB787" s="47" t="e">
        <f>BX787</f>
        <v>#REF!</v>
      </c>
      <c r="CD787" t="e">
        <f>CB787</f>
        <v>#REF!</v>
      </c>
    </row>
    <row r="788" spans="1:84" x14ac:dyDescent="0.2">
      <c r="A788">
        <v>1</v>
      </c>
      <c r="B788" s="96" t="s">
        <v>115</v>
      </c>
      <c r="C788" s="96"/>
      <c r="H788" s="40" t="s">
        <v>116</v>
      </c>
      <c r="L788" s="47" t="s">
        <v>117</v>
      </c>
      <c r="N788" s="24" t="s">
        <v>118</v>
      </c>
      <c r="W788" s="47"/>
      <c r="AA788" s="47"/>
      <c r="AE788" s="47"/>
      <c r="AI788" s="47"/>
      <c r="AO788" s="47"/>
      <c r="AS788" s="47"/>
    </row>
    <row r="789" spans="1:84" x14ac:dyDescent="0.2">
      <c r="A789">
        <v>1</v>
      </c>
      <c r="B789" s="96" t="s">
        <v>114</v>
      </c>
      <c r="C789" s="96"/>
      <c r="W789" s="47"/>
      <c r="AA789" s="47"/>
      <c r="AE789" s="47"/>
      <c r="AI789" s="47"/>
      <c r="AO789" s="47"/>
      <c r="AS789" s="47"/>
    </row>
    <row r="790" spans="1:84" x14ac:dyDescent="0.2">
      <c r="A790">
        <v>1</v>
      </c>
      <c r="B790" s="96"/>
      <c r="C790" s="96"/>
      <c r="J790" s="44" t="str">
        <f>[2]Master!G6</f>
        <v>Heat Rate</v>
      </c>
      <c r="K790" s="47" t="str">
        <f>[2]Master!H6</f>
        <v>NatGas Eq.</v>
      </c>
      <c r="M790" s="24">
        <f>[2]Master!J6</f>
        <v>0</v>
      </c>
      <c r="N790" s="24" t="s">
        <v>119</v>
      </c>
      <c r="Q790" s="47" t="str">
        <f>[2]Master!L6</f>
        <v>chng</v>
      </c>
      <c r="R790" s="47" t="s">
        <v>3</v>
      </c>
      <c r="S790" s="24" t="str">
        <f>[2]Master!N6</f>
        <v>Basis</v>
      </c>
      <c r="W790" s="47">
        <f>[2]Master!P6</f>
        <v>0</v>
      </c>
      <c r="X790" s="47">
        <f>[2]Master!Q6</f>
        <v>0</v>
      </c>
      <c r="Y790" s="24">
        <f>[2]Master!R6</f>
        <v>0</v>
      </c>
      <c r="Z790" s="24">
        <f>[2]Master!S6</f>
        <v>0</v>
      </c>
      <c r="AA790" s="47">
        <f>[2]Master!T6</f>
        <v>0</v>
      </c>
      <c r="AE790" s="47"/>
      <c r="AI790" s="47"/>
      <c r="AO790" s="47"/>
      <c r="AS790" s="47"/>
      <c r="AT790" s="47">
        <v>3</v>
      </c>
    </row>
    <row r="791" spans="1:84" x14ac:dyDescent="0.2">
      <c r="A791">
        <v>1</v>
      </c>
      <c r="B791" s="96"/>
      <c r="C791" s="96"/>
      <c r="R791" s="47" t="s">
        <v>35</v>
      </c>
      <c r="W791" s="47"/>
      <c r="AA791" s="47"/>
      <c r="AE791" s="47"/>
      <c r="AI791" s="47"/>
      <c r="AO791" s="47"/>
      <c r="AS791" s="47"/>
      <c r="AT791" s="47">
        <v>27</v>
      </c>
    </row>
    <row r="792" spans="1:84" x14ac:dyDescent="0.2">
      <c r="A792">
        <v>1</v>
      </c>
      <c r="B792" s="96"/>
      <c r="C792" s="96"/>
      <c r="R792" s="47" t="s">
        <v>26</v>
      </c>
      <c r="W792" s="47"/>
      <c r="AA792" s="47"/>
      <c r="AE792" s="47"/>
      <c r="AI792" s="47"/>
      <c r="AO792" s="47"/>
      <c r="AS792" s="47"/>
      <c r="AT792" s="47">
        <v>39</v>
      </c>
    </row>
    <row r="793" spans="1:84" x14ac:dyDescent="0.2">
      <c r="A793">
        <v>1</v>
      </c>
      <c r="B793" s="96"/>
      <c r="C793" s="96"/>
      <c r="R793" s="47" t="s">
        <v>6</v>
      </c>
      <c r="W793" s="47"/>
      <c r="AA793" s="47"/>
      <c r="AE793" s="47"/>
      <c r="AI793" s="47"/>
      <c r="AO793" s="47"/>
      <c r="AS793" s="47"/>
      <c r="AT793" s="47">
        <v>7</v>
      </c>
    </row>
    <row r="794" spans="1:84" x14ac:dyDescent="0.2">
      <c r="A794">
        <v>1</v>
      </c>
      <c r="B794" s="96"/>
      <c r="C794" s="96"/>
      <c r="R794" s="47" t="s">
        <v>112</v>
      </c>
      <c r="W794" s="47"/>
      <c r="AA794" s="47"/>
      <c r="AE794" s="47"/>
      <c r="AI794" s="47"/>
      <c r="AO794" s="47"/>
      <c r="AS794" s="47"/>
      <c r="AT794" s="47">
        <v>11</v>
      </c>
    </row>
    <row r="795" spans="1:84" x14ac:dyDescent="0.2">
      <c r="A795">
        <v>1</v>
      </c>
      <c r="B795" s="96"/>
      <c r="C795" s="96"/>
      <c r="R795" s="47" t="s">
        <v>9</v>
      </c>
      <c r="W795" s="47"/>
      <c r="AA795" s="47"/>
      <c r="AE795" s="47"/>
      <c r="AI795" s="47"/>
      <c r="AO795" s="47"/>
      <c r="AS795" s="47"/>
      <c r="AT795" s="47">
        <v>15</v>
      </c>
    </row>
    <row r="796" spans="1:84" x14ac:dyDescent="0.2">
      <c r="A796">
        <v>1</v>
      </c>
      <c r="B796" s="96"/>
      <c r="C796" s="96"/>
      <c r="R796" s="47" t="s">
        <v>111</v>
      </c>
      <c r="W796" s="47"/>
      <c r="AA796" s="47"/>
      <c r="AE796" s="47"/>
      <c r="AI796" s="47"/>
      <c r="AO796" s="47"/>
      <c r="AS796" s="47"/>
      <c r="AT796" s="47">
        <v>19</v>
      </c>
    </row>
    <row r="797" spans="1:84" x14ac:dyDescent="0.2">
      <c r="A797">
        <v>1</v>
      </c>
      <c r="B797" s="96"/>
      <c r="C797" s="96"/>
      <c r="R797" s="47" t="s">
        <v>78</v>
      </c>
      <c r="W797" s="47"/>
      <c r="AA797" s="47"/>
      <c r="AE797" s="47"/>
      <c r="AI797" s="47"/>
      <c r="AO797" s="47"/>
      <c r="AS797" s="47"/>
      <c r="AT797" s="47">
        <v>23</v>
      </c>
    </row>
    <row r="798" spans="1:84" x14ac:dyDescent="0.2">
      <c r="A798">
        <v>1</v>
      </c>
      <c r="B798" s="96"/>
      <c r="C798" s="96"/>
      <c r="R798" s="47" t="s">
        <v>14</v>
      </c>
      <c r="W798" s="47"/>
      <c r="AA798" s="47"/>
      <c r="AE798" s="47"/>
      <c r="AI798" s="47"/>
      <c r="AO798" s="47"/>
      <c r="AS798" s="47"/>
      <c r="AT798" s="47">
        <v>31</v>
      </c>
    </row>
    <row r="799" spans="1:84" hidden="1" x14ac:dyDescent="0.2">
      <c r="B799" s="96"/>
      <c r="C799" s="96"/>
      <c r="O799" s="444"/>
      <c r="R799" s="47" t="s">
        <v>7</v>
      </c>
      <c r="W799" s="47"/>
      <c r="AA799" s="47"/>
      <c r="AE799" s="47"/>
      <c r="AI799" s="47"/>
      <c r="AO799" s="47"/>
      <c r="AS799" s="47"/>
      <c r="AT799" s="47">
        <v>43</v>
      </c>
    </row>
    <row r="800" spans="1:84" hidden="1" x14ac:dyDescent="0.2">
      <c r="B800" s="96"/>
      <c r="C800" s="96"/>
      <c r="O800" s="444"/>
      <c r="R800" s="47" t="s">
        <v>113</v>
      </c>
      <c r="W800" s="47"/>
      <c r="AA800" s="47"/>
      <c r="AE800" s="47"/>
      <c r="AI800" s="47"/>
      <c r="AO800" s="47"/>
      <c r="AS800" s="47"/>
      <c r="AT800" s="47">
        <v>47</v>
      </c>
    </row>
    <row r="801" spans="2:46" hidden="1" x14ac:dyDescent="0.2">
      <c r="B801" s="96"/>
      <c r="C801" s="96"/>
      <c r="O801" s="444"/>
      <c r="R801" s="47" t="s">
        <v>5</v>
      </c>
      <c r="W801" s="47"/>
      <c r="AA801" s="47"/>
      <c r="AE801" s="47"/>
      <c r="AI801" s="47"/>
      <c r="AO801" s="47"/>
      <c r="AS801" s="47"/>
      <c r="AT801" s="47">
        <v>28</v>
      </c>
    </row>
    <row r="802" spans="2:46" x14ac:dyDescent="0.2">
      <c r="B802" s="96"/>
      <c r="C802" s="96"/>
      <c r="W802" s="47"/>
      <c r="AA802" s="47"/>
      <c r="AE802" s="47"/>
      <c r="AI802" s="47"/>
      <c r="AO802" s="47"/>
      <c r="AS802" s="47"/>
    </row>
    <row r="803" spans="2:46" x14ac:dyDescent="0.2">
      <c r="B803" s="96"/>
      <c r="C803" s="96"/>
      <c r="W803" s="47"/>
      <c r="AA803" s="47"/>
      <c r="AE803" s="47"/>
      <c r="AI803" s="47"/>
      <c r="AO803" s="47"/>
      <c r="AS803" s="47"/>
    </row>
    <row r="804" spans="2:46" x14ac:dyDescent="0.2">
      <c r="B804"/>
      <c r="C804" s="96"/>
      <c r="W804" s="47"/>
      <c r="AA804" s="47"/>
      <c r="AE804" s="47"/>
      <c r="AI804" s="47"/>
      <c r="AO804" s="47"/>
      <c r="AS804" s="47"/>
    </row>
    <row r="805" spans="2:46" x14ac:dyDescent="0.2">
      <c r="B805" s="96"/>
      <c r="C805" s="96"/>
      <c r="H805" s="402"/>
      <c r="I805" s="237"/>
      <c r="W805" s="47"/>
      <c r="AA805" s="47"/>
      <c r="AE805" s="47"/>
      <c r="AI805" s="47"/>
      <c r="AO805" s="47"/>
      <c r="AS805" s="47"/>
    </row>
    <row r="806" spans="2:46" x14ac:dyDescent="0.2">
      <c r="B806" s="96"/>
      <c r="C806" s="96"/>
      <c r="H806" s="402"/>
      <c r="I806" s="237"/>
      <c r="W806" s="47"/>
      <c r="AA806" s="47"/>
      <c r="AE806" s="47"/>
      <c r="AI806" s="47"/>
      <c r="AO806" s="47"/>
      <c r="AS806" s="47"/>
    </row>
    <row r="807" spans="2:46" x14ac:dyDescent="0.2">
      <c r="B807" s="96"/>
      <c r="C807" s="96"/>
      <c r="H807" s="402"/>
      <c r="I807" s="237"/>
      <c r="W807" s="47"/>
      <c r="AA807" s="47"/>
      <c r="AE807" s="47"/>
      <c r="AI807" s="47"/>
      <c r="AO807" s="47"/>
      <c r="AS807" s="47"/>
    </row>
    <row r="808" spans="2:46" x14ac:dyDescent="0.2">
      <c r="B808" s="96"/>
      <c r="C808" s="96"/>
      <c r="H808" s="402"/>
      <c r="I808" s="237"/>
      <c r="W808" s="47"/>
      <c r="AA808" s="47"/>
      <c r="AE808" s="47"/>
      <c r="AI808" s="47"/>
      <c r="AO808" s="47"/>
      <c r="AS808" s="47"/>
    </row>
    <row r="809" spans="2:46" x14ac:dyDescent="0.2">
      <c r="B809" s="96"/>
      <c r="C809" s="96"/>
      <c r="H809" s="402"/>
      <c r="I809" s="403"/>
      <c r="W809" s="47"/>
      <c r="AA809" s="47"/>
      <c r="AE809" s="47"/>
      <c r="AI809" s="47"/>
      <c r="AO809" s="47"/>
      <c r="AS809" s="47"/>
    </row>
    <row r="810" spans="2:46" x14ac:dyDescent="0.2">
      <c r="B810" s="96"/>
      <c r="C810" s="96"/>
      <c r="H810" s="402"/>
      <c r="I810" s="403"/>
      <c r="W810" s="47"/>
      <c r="AA810" s="47"/>
      <c r="AE810" s="47"/>
      <c r="AI810" s="47"/>
      <c r="AO810" s="47"/>
      <c r="AS810" s="47"/>
    </row>
    <row r="811" spans="2:46" x14ac:dyDescent="0.2">
      <c r="B811" s="96"/>
      <c r="C811" s="96"/>
      <c r="H811" s="402"/>
      <c r="I811" s="403"/>
      <c r="W811" s="47"/>
      <c r="AA811" s="47"/>
      <c r="AE811" s="47"/>
      <c r="AI811" s="47"/>
      <c r="AO811" s="47"/>
      <c r="AS811" s="47"/>
    </row>
    <row r="812" spans="2:46" x14ac:dyDescent="0.2">
      <c r="B812" s="96"/>
      <c r="C812" s="96"/>
      <c r="H812" s="402"/>
      <c r="I812" s="403"/>
      <c r="W812" s="47"/>
      <c r="AA812" s="47"/>
      <c r="AE812" s="47"/>
      <c r="AI812" s="47"/>
      <c r="AO812" s="47"/>
      <c r="AS812" s="47"/>
    </row>
    <row r="813" spans="2:46" x14ac:dyDescent="0.2">
      <c r="B813" s="96"/>
      <c r="C813" s="96"/>
      <c r="H813" s="402"/>
      <c r="I813" s="403"/>
      <c r="W813" s="47"/>
      <c r="AA813" s="47"/>
      <c r="AE813" s="47"/>
      <c r="AI813" s="47"/>
      <c r="AO813" s="47"/>
      <c r="AS813" s="47"/>
    </row>
    <row r="814" spans="2:46" x14ac:dyDescent="0.2">
      <c r="B814" s="96"/>
      <c r="C814" s="96"/>
      <c r="H814" s="402"/>
      <c r="I814" s="403"/>
      <c r="W814" s="47"/>
      <c r="AA814" s="47"/>
      <c r="AE814" s="47"/>
      <c r="AI814" s="47"/>
      <c r="AO814" s="47"/>
      <c r="AS814" s="47"/>
    </row>
    <row r="815" spans="2:46" x14ac:dyDescent="0.2">
      <c r="B815" s="96"/>
      <c r="C815" s="96"/>
      <c r="H815" s="402"/>
      <c r="I815" s="403"/>
      <c r="W815" s="47"/>
      <c r="AA815" s="47"/>
      <c r="AE815" s="47"/>
      <c r="AI815" s="47"/>
      <c r="AO815" s="47"/>
      <c r="AS815" s="47"/>
    </row>
    <row r="816" spans="2:46" x14ac:dyDescent="0.2">
      <c r="B816" s="96"/>
      <c r="C816" s="96"/>
      <c r="H816" s="402"/>
      <c r="I816" s="403"/>
      <c r="W816" s="47"/>
      <c r="AA816" s="47"/>
      <c r="AE816" s="47"/>
      <c r="AI816" s="47"/>
      <c r="AO816" s="47"/>
      <c r="AS816" s="47"/>
    </row>
    <row r="817" spans="2:45" x14ac:dyDescent="0.2">
      <c r="B817" s="96"/>
      <c r="C817" s="96"/>
      <c r="H817" s="402"/>
      <c r="I817" s="403"/>
      <c r="W817" s="47"/>
      <c r="AA817" s="47"/>
      <c r="AE817" s="47"/>
      <c r="AI817" s="47"/>
      <c r="AO817" s="47"/>
      <c r="AS817" s="47"/>
    </row>
    <row r="818" spans="2:45" x14ac:dyDescent="0.2">
      <c r="B818" s="96"/>
      <c r="C818" s="96"/>
      <c r="H818" s="402"/>
      <c r="I818" s="403"/>
      <c r="W818" s="47"/>
      <c r="AA818" s="47"/>
      <c r="AE818" s="47"/>
      <c r="AI818" s="47"/>
      <c r="AO818" s="47"/>
      <c r="AS818" s="47"/>
    </row>
    <row r="819" spans="2:45" x14ac:dyDescent="0.2">
      <c r="B819" s="96"/>
      <c r="C819" s="96"/>
      <c r="H819" s="402"/>
      <c r="I819" s="403"/>
      <c r="W819" s="47"/>
      <c r="AA819" s="47"/>
      <c r="AE819" s="47"/>
      <c r="AI819" s="47"/>
      <c r="AO819" s="47"/>
      <c r="AS819" s="47"/>
    </row>
    <row r="820" spans="2:45" x14ac:dyDescent="0.2">
      <c r="B820" s="96"/>
      <c r="C820" s="96"/>
      <c r="H820" s="402"/>
      <c r="I820" s="403"/>
      <c r="W820" s="47"/>
      <c r="AA820" s="47"/>
      <c r="AE820" s="47"/>
      <c r="AI820" s="47"/>
      <c r="AO820" s="47"/>
      <c r="AS820" s="47"/>
    </row>
    <row r="821" spans="2:45" x14ac:dyDescent="0.2">
      <c r="B821" s="96"/>
      <c r="C821" s="96"/>
      <c r="H821" s="402"/>
      <c r="I821" s="403"/>
      <c r="W821" s="47"/>
      <c r="AA821" s="47"/>
      <c r="AE821" s="47"/>
      <c r="AI821" s="47"/>
      <c r="AO821" s="47"/>
      <c r="AS821" s="47"/>
    </row>
    <row r="822" spans="2:45" x14ac:dyDescent="0.2">
      <c r="B822" s="96"/>
      <c r="C822" s="96"/>
      <c r="H822" s="402"/>
      <c r="I822" s="403"/>
      <c r="W822" s="47"/>
      <c r="AA822" s="47"/>
      <c r="AE822" s="47"/>
      <c r="AI822" s="47"/>
      <c r="AO822" s="47"/>
      <c r="AS822" s="47"/>
    </row>
    <row r="823" spans="2:45" x14ac:dyDescent="0.2">
      <c r="B823" s="96"/>
      <c r="C823" s="96"/>
      <c r="H823" s="402"/>
      <c r="I823" s="403"/>
      <c r="W823" s="47"/>
      <c r="AA823" s="47"/>
      <c r="AE823" s="47"/>
      <c r="AI823" s="47"/>
      <c r="AO823" s="47"/>
      <c r="AS823" s="47"/>
    </row>
    <row r="824" spans="2:45" x14ac:dyDescent="0.2">
      <c r="B824" s="96"/>
      <c r="C824" s="96"/>
      <c r="H824" s="402"/>
      <c r="I824" s="403"/>
      <c r="W824" s="47"/>
      <c r="AA824" s="47"/>
      <c r="AE824" s="47"/>
      <c r="AI824" s="47"/>
      <c r="AO824" s="47"/>
      <c r="AS824" s="47"/>
    </row>
    <row r="825" spans="2:45" x14ac:dyDescent="0.2">
      <c r="B825" s="96"/>
      <c r="C825" s="96"/>
      <c r="H825" s="402"/>
      <c r="I825" s="403"/>
      <c r="W825" s="47"/>
      <c r="AA825" s="47"/>
      <c r="AE825" s="47"/>
      <c r="AI825" s="47"/>
      <c r="AO825" s="47"/>
      <c r="AS825" s="47"/>
    </row>
    <row r="826" spans="2:45" x14ac:dyDescent="0.2">
      <c r="B826" s="96"/>
      <c r="C826" s="96"/>
      <c r="H826" s="402"/>
      <c r="I826" s="403"/>
      <c r="W826" s="47"/>
      <c r="AA826" s="47"/>
      <c r="AE826" s="47"/>
      <c r="AI826" s="47"/>
      <c r="AO826" s="47"/>
      <c r="AS826" s="47"/>
    </row>
    <row r="827" spans="2:45" x14ac:dyDescent="0.2">
      <c r="B827" s="96"/>
      <c r="C827" s="96"/>
      <c r="H827" s="402"/>
      <c r="I827" s="403"/>
      <c r="W827" s="47"/>
      <c r="AA827" s="47"/>
      <c r="AE827" s="47"/>
      <c r="AI827" s="47"/>
      <c r="AO827" s="47"/>
      <c r="AS827" s="47"/>
    </row>
    <row r="828" spans="2:45" x14ac:dyDescent="0.2">
      <c r="B828" s="96"/>
      <c r="C828" s="96"/>
      <c r="H828" s="402"/>
      <c r="I828" s="403"/>
      <c r="W828" s="47"/>
      <c r="AA828" s="47"/>
      <c r="AE828" s="47"/>
      <c r="AI828" s="47"/>
      <c r="AO828" s="47"/>
      <c r="AS828" s="47"/>
    </row>
    <row r="829" spans="2:45" x14ac:dyDescent="0.2">
      <c r="B829" s="96"/>
      <c r="C829" s="96"/>
      <c r="H829" s="402"/>
      <c r="L829" s="403"/>
      <c r="W829" s="47"/>
      <c r="AA829" s="47"/>
      <c r="AE829" s="47"/>
      <c r="AI829" s="47"/>
    </row>
    <row r="830" spans="2:45" x14ac:dyDescent="0.2">
      <c r="B830" s="96"/>
      <c r="C830" s="96"/>
      <c r="H830" s="402"/>
      <c r="L830" s="403"/>
      <c r="W830" s="47"/>
      <c r="AA830" s="47"/>
      <c r="AE830" s="47"/>
      <c r="AI830" s="47"/>
    </row>
    <row r="831" spans="2:45" x14ac:dyDescent="0.2">
      <c r="B831" s="96"/>
      <c r="C831" s="96"/>
      <c r="H831" s="402"/>
      <c r="L831" s="403"/>
      <c r="W831" s="47"/>
      <c r="AA831" s="47"/>
      <c r="AE831" s="47"/>
      <c r="AI831" s="47"/>
    </row>
    <row r="832" spans="2:45" x14ac:dyDescent="0.2">
      <c r="B832" s="96"/>
      <c r="C832" s="96"/>
      <c r="H832" s="402"/>
      <c r="L832" s="403"/>
      <c r="W832" s="47"/>
      <c r="AA832" s="47"/>
      <c r="AE832" s="47"/>
      <c r="AI832" s="47"/>
    </row>
    <row r="833" spans="2:35" x14ac:dyDescent="0.2">
      <c r="B833" s="96"/>
      <c r="C833" s="96"/>
      <c r="H833" s="402"/>
      <c r="L833" s="403"/>
      <c r="W833" s="47"/>
      <c r="AA833" s="47"/>
      <c r="AE833" s="47"/>
      <c r="AI833" s="47"/>
    </row>
    <row r="834" spans="2:35" x14ac:dyDescent="0.2">
      <c r="B834" s="96"/>
      <c r="C834" s="96"/>
      <c r="H834" s="402"/>
      <c r="L834" s="403"/>
      <c r="W834" s="47"/>
      <c r="AA834" s="47"/>
      <c r="AE834" s="47"/>
      <c r="AI834" s="47"/>
    </row>
    <row r="835" spans="2:35" x14ac:dyDescent="0.2">
      <c r="B835" s="96"/>
      <c r="C835" s="96"/>
      <c r="H835" s="402"/>
      <c r="L835" s="403"/>
      <c r="W835" s="47"/>
      <c r="AA835" s="47"/>
      <c r="AE835" s="47"/>
      <c r="AI835" s="47"/>
    </row>
    <row r="836" spans="2:35" x14ac:dyDescent="0.2">
      <c r="B836" s="96"/>
      <c r="C836" s="96"/>
      <c r="H836" s="402"/>
      <c r="L836" s="403"/>
      <c r="W836" s="47"/>
      <c r="AA836" s="47"/>
      <c r="AE836" s="47"/>
      <c r="AI836" s="47"/>
    </row>
    <row r="837" spans="2:35" x14ac:dyDescent="0.2">
      <c r="B837" s="96"/>
      <c r="C837" s="96"/>
      <c r="H837" s="402"/>
      <c r="L837" s="403"/>
      <c r="W837" s="47"/>
      <c r="AA837" s="47"/>
      <c r="AE837" s="47"/>
      <c r="AI837" s="47"/>
    </row>
    <row r="838" spans="2:35" x14ac:dyDescent="0.2">
      <c r="B838" s="96"/>
      <c r="C838" s="96"/>
      <c r="H838" s="402"/>
      <c r="L838" s="403"/>
      <c r="W838" s="47"/>
      <c r="AA838" s="47"/>
      <c r="AE838" s="47"/>
      <c r="AI838" s="47"/>
    </row>
    <row r="839" spans="2:35" x14ac:dyDescent="0.2">
      <c r="B839" s="96"/>
      <c r="C839" s="96"/>
      <c r="H839" s="402"/>
      <c r="L839" s="403"/>
      <c r="W839" s="47"/>
      <c r="AA839" s="47"/>
      <c r="AE839" s="47"/>
      <c r="AI839" s="47"/>
    </row>
    <row r="840" spans="2:35" x14ac:dyDescent="0.2">
      <c r="B840" s="96"/>
      <c r="C840" s="96"/>
      <c r="H840" s="402"/>
      <c r="L840" s="403"/>
      <c r="W840" s="47"/>
      <c r="AA840" s="47"/>
      <c r="AE840" s="47"/>
      <c r="AI840" s="47"/>
    </row>
    <row r="841" spans="2:35" x14ac:dyDescent="0.2">
      <c r="B841" s="96"/>
      <c r="C841" s="96"/>
      <c r="H841" s="402"/>
      <c r="L841" s="403"/>
      <c r="W841" s="47"/>
      <c r="AA841" s="47"/>
      <c r="AE841" s="47"/>
      <c r="AI841" s="47"/>
    </row>
    <row r="842" spans="2:35" x14ac:dyDescent="0.2">
      <c r="B842" s="96"/>
      <c r="C842" s="96"/>
      <c r="H842" s="402"/>
      <c r="L842" s="403"/>
      <c r="W842" s="47"/>
      <c r="AA842" s="47"/>
      <c r="AE842" s="47"/>
      <c r="AI842" s="47"/>
    </row>
    <row r="843" spans="2:35" x14ac:dyDescent="0.2">
      <c r="B843" s="96"/>
      <c r="C843" s="96"/>
      <c r="H843" s="402"/>
      <c r="L843" s="403"/>
      <c r="W843" s="47"/>
      <c r="AA843" s="47"/>
      <c r="AE843" s="47"/>
      <c r="AI843" s="47"/>
    </row>
    <row r="844" spans="2:35" x14ac:dyDescent="0.2">
      <c r="B844" s="96"/>
      <c r="C844" s="96"/>
      <c r="H844" s="402"/>
      <c r="L844" s="403"/>
      <c r="W844" s="47"/>
      <c r="AA844" s="47"/>
      <c r="AE844" s="47"/>
      <c r="AI844" s="47"/>
    </row>
    <row r="845" spans="2:35" x14ac:dyDescent="0.2">
      <c r="B845" s="96"/>
      <c r="C845" s="96"/>
      <c r="H845" s="402"/>
      <c r="L845" s="403"/>
      <c r="W845" s="47"/>
      <c r="AA845" s="47"/>
      <c r="AE845" s="47"/>
      <c r="AI845" s="47"/>
    </row>
    <row r="846" spans="2:35" x14ac:dyDescent="0.2">
      <c r="B846" s="96"/>
      <c r="C846" s="96"/>
      <c r="W846" s="47"/>
      <c r="AA846" s="47"/>
      <c r="AE846" s="47"/>
      <c r="AI846" s="47"/>
    </row>
    <row r="847" spans="2:35" x14ac:dyDescent="0.2">
      <c r="B847" s="96"/>
      <c r="C847" s="96"/>
      <c r="W847" s="47"/>
      <c r="AA847" s="47"/>
      <c r="AE847" s="47"/>
      <c r="AI847" s="47"/>
    </row>
    <row r="848" spans="2:35" x14ac:dyDescent="0.2">
      <c r="B848" s="96"/>
      <c r="C848" s="96"/>
      <c r="W848" s="47"/>
      <c r="AA848" s="47"/>
      <c r="AE848" s="47"/>
      <c r="AI848" s="47"/>
    </row>
    <row r="849" spans="2:35" x14ac:dyDescent="0.2">
      <c r="B849" s="96"/>
      <c r="C849" s="96"/>
      <c r="W849" s="47"/>
      <c r="AA849" s="47"/>
      <c r="AE849" s="47"/>
      <c r="AI849" s="47"/>
    </row>
    <row r="850" spans="2:35" x14ac:dyDescent="0.2">
      <c r="B850" s="96"/>
      <c r="C850" s="96"/>
      <c r="W850" s="47"/>
      <c r="AA850" s="47"/>
      <c r="AE850" s="47"/>
      <c r="AI850" s="47"/>
    </row>
    <row r="851" spans="2:35" x14ac:dyDescent="0.2">
      <c r="B851" s="96"/>
      <c r="C851" s="96"/>
      <c r="W851" s="47"/>
      <c r="AA851" s="47"/>
      <c r="AE851" s="47"/>
      <c r="AI851" s="47"/>
    </row>
    <row r="852" spans="2:35" x14ac:dyDescent="0.2">
      <c r="B852" s="96"/>
      <c r="C852" s="96"/>
      <c r="W852" s="47"/>
      <c r="AA852" s="47"/>
      <c r="AE852" s="47"/>
      <c r="AI852" s="47"/>
    </row>
    <row r="853" spans="2:35" x14ac:dyDescent="0.2">
      <c r="B853" s="96"/>
      <c r="C853" s="96"/>
      <c r="W853" s="47"/>
      <c r="AA853" s="47"/>
      <c r="AE853" s="47"/>
      <c r="AI853" s="47"/>
    </row>
    <row r="854" spans="2:35" x14ac:dyDescent="0.2">
      <c r="B854" s="96"/>
      <c r="C854" s="96"/>
      <c r="W854" s="47"/>
      <c r="AA854" s="47"/>
      <c r="AE854" s="47"/>
      <c r="AI854" s="47"/>
    </row>
    <row r="855" spans="2:35" x14ac:dyDescent="0.2">
      <c r="B855" s="96"/>
      <c r="C855" s="96"/>
      <c r="W855" s="47"/>
      <c r="AA855" s="47"/>
      <c r="AE855" s="47"/>
      <c r="AI855" s="47"/>
    </row>
    <row r="856" spans="2:35" x14ac:dyDescent="0.2">
      <c r="B856" s="96"/>
      <c r="C856" s="96"/>
      <c r="W856" s="47"/>
      <c r="AA856" s="47"/>
      <c r="AE856" s="47"/>
      <c r="AI856" s="47"/>
    </row>
    <row r="857" spans="2:35" x14ac:dyDescent="0.2">
      <c r="B857" s="96"/>
      <c r="C857" s="96"/>
      <c r="W857" s="47"/>
      <c r="AA857" s="47"/>
      <c r="AE857" s="47"/>
      <c r="AI857" s="47"/>
    </row>
    <row r="858" spans="2:35" x14ac:dyDescent="0.2">
      <c r="B858" s="96"/>
      <c r="C858" s="96"/>
      <c r="W858" s="47"/>
      <c r="AA858" s="47"/>
      <c r="AE858" s="47"/>
      <c r="AI858" s="47"/>
    </row>
    <row r="859" spans="2:35" x14ac:dyDescent="0.2">
      <c r="B859" s="96"/>
      <c r="C859" s="96"/>
      <c r="W859" s="47"/>
      <c r="AA859" s="47"/>
      <c r="AE859" s="47"/>
      <c r="AI859" s="47"/>
    </row>
    <row r="860" spans="2:35" x14ac:dyDescent="0.2">
      <c r="B860" s="96"/>
      <c r="C860" s="96"/>
      <c r="W860" s="47"/>
      <c r="AA860" s="47"/>
      <c r="AE860" s="47"/>
      <c r="AI860" s="47"/>
    </row>
    <row r="861" spans="2:35" x14ac:dyDescent="0.2">
      <c r="B861" s="96"/>
      <c r="C861" s="96"/>
      <c r="W861" s="47"/>
      <c r="AA861" s="47"/>
      <c r="AE861" s="47"/>
      <c r="AI861" s="47"/>
    </row>
    <row r="862" spans="2:35" x14ac:dyDescent="0.2">
      <c r="B862" s="96"/>
      <c r="C862" s="96"/>
      <c r="W862" s="47"/>
      <c r="AA862" s="47"/>
      <c r="AE862" s="47"/>
      <c r="AI862" s="47"/>
    </row>
    <row r="863" spans="2:35" x14ac:dyDescent="0.2">
      <c r="B863" s="96"/>
      <c r="C863" s="96"/>
      <c r="W863" s="47"/>
      <c r="AA863" s="47"/>
      <c r="AE863" s="47"/>
      <c r="AI863" s="47"/>
    </row>
    <row r="864" spans="2:35" x14ac:dyDescent="0.2">
      <c r="B864" s="96"/>
      <c r="C864" s="96"/>
      <c r="W864" s="47"/>
      <c r="AA864" s="47"/>
      <c r="AE864" s="47"/>
      <c r="AI864" s="47"/>
    </row>
    <row r="865" spans="2:35" x14ac:dyDescent="0.2">
      <c r="B865" s="96"/>
      <c r="C865" s="96"/>
      <c r="W865" s="47"/>
      <c r="AA865" s="47"/>
      <c r="AE865" s="47"/>
      <c r="AI865" s="47"/>
    </row>
    <row r="866" spans="2:35" x14ac:dyDescent="0.2">
      <c r="B866" s="96"/>
      <c r="C866" s="96"/>
      <c r="W866" s="47"/>
      <c r="AA866" s="47"/>
      <c r="AE866" s="47"/>
      <c r="AI866" s="47"/>
    </row>
    <row r="867" spans="2:35" x14ac:dyDescent="0.2">
      <c r="B867" s="96"/>
      <c r="C867" s="96"/>
      <c r="W867" s="47"/>
      <c r="AA867" s="47"/>
      <c r="AE867" s="47"/>
      <c r="AI867" s="47"/>
    </row>
    <row r="868" spans="2:35" x14ac:dyDescent="0.2">
      <c r="B868" s="96"/>
      <c r="C868" s="96"/>
      <c r="W868" s="47"/>
      <c r="AA868" s="47"/>
      <c r="AE868" s="47"/>
      <c r="AI868" s="47"/>
    </row>
    <row r="869" spans="2:35" x14ac:dyDescent="0.2">
      <c r="B869" s="96"/>
      <c r="C869" s="96"/>
      <c r="W869" s="47"/>
      <c r="AA869" s="47"/>
      <c r="AE869" s="47"/>
      <c r="AI869" s="47"/>
    </row>
    <row r="870" spans="2:35" x14ac:dyDescent="0.2">
      <c r="B870" s="96"/>
      <c r="C870" s="96"/>
      <c r="W870" s="47"/>
      <c r="AA870" s="47"/>
      <c r="AE870" s="47"/>
      <c r="AI870" s="47"/>
    </row>
    <row r="871" spans="2:35" x14ac:dyDescent="0.2">
      <c r="B871" s="96"/>
      <c r="C871" s="96"/>
      <c r="W871" s="47"/>
      <c r="AA871" s="47"/>
      <c r="AE871" s="47"/>
      <c r="AI871" s="47"/>
    </row>
    <row r="872" spans="2:35" x14ac:dyDescent="0.2">
      <c r="B872" s="96"/>
      <c r="C872" s="96"/>
      <c r="W872" s="47"/>
      <c r="AA872" s="47"/>
      <c r="AE872" s="47"/>
      <c r="AI872" s="47"/>
    </row>
    <row r="873" spans="2:35" x14ac:dyDescent="0.2">
      <c r="B873" s="96"/>
      <c r="C873" s="96"/>
      <c r="W873" s="47"/>
      <c r="AA873" s="47"/>
      <c r="AE873" s="47"/>
      <c r="AI873" s="47"/>
    </row>
    <row r="874" spans="2:35" x14ac:dyDescent="0.2">
      <c r="B874" s="96"/>
      <c r="C874" s="96"/>
      <c r="W874" s="47"/>
      <c r="AA874" s="47"/>
      <c r="AE874" s="47"/>
      <c r="AI874" s="47"/>
    </row>
    <row r="875" spans="2:35" x14ac:dyDescent="0.2">
      <c r="B875" s="96"/>
      <c r="C875" s="96"/>
      <c r="W875" s="47"/>
      <c r="AA875" s="47"/>
      <c r="AE875" s="47"/>
      <c r="AI875" s="47"/>
    </row>
    <row r="876" spans="2:35" x14ac:dyDescent="0.2">
      <c r="B876" s="96"/>
      <c r="C876" s="96"/>
      <c r="W876" s="47"/>
      <c r="AA876" s="47"/>
      <c r="AE876" s="47"/>
      <c r="AI876" s="47"/>
    </row>
    <row r="877" spans="2:35" x14ac:dyDescent="0.2">
      <c r="B877" s="96"/>
      <c r="C877" s="96"/>
      <c r="W877" s="47"/>
      <c r="AA877" s="47"/>
      <c r="AE877" s="47"/>
      <c r="AI877" s="47"/>
    </row>
    <row r="878" spans="2:35" x14ac:dyDescent="0.2">
      <c r="B878" s="96"/>
      <c r="C878" s="96"/>
      <c r="W878" s="47"/>
      <c r="AA878" s="47"/>
      <c r="AE878" s="47"/>
      <c r="AI878" s="47"/>
    </row>
    <row r="879" spans="2:35" x14ac:dyDescent="0.2">
      <c r="B879" s="96"/>
      <c r="C879" s="96"/>
      <c r="W879" s="47"/>
      <c r="AA879" s="47"/>
      <c r="AE879" s="47"/>
      <c r="AI879" s="47"/>
    </row>
    <row r="880" spans="2:35" x14ac:dyDescent="0.2">
      <c r="B880" s="96"/>
      <c r="C880" s="96"/>
      <c r="W880" s="47"/>
      <c r="AA880" s="47"/>
      <c r="AE880" s="47"/>
      <c r="AI880" s="47"/>
    </row>
    <row r="881" spans="2:35" x14ac:dyDescent="0.2">
      <c r="B881" s="96"/>
      <c r="C881" s="96"/>
      <c r="W881" s="47"/>
      <c r="AA881" s="47"/>
      <c r="AE881" s="47"/>
      <c r="AI881" s="47"/>
    </row>
    <row r="882" spans="2:35" x14ac:dyDescent="0.2">
      <c r="B882" s="96"/>
      <c r="C882" s="96"/>
      <c r="W882" s="47"/>
      <c r="AA882" s="47"/>
      <c r="AE882" s="47"/>
      <c r="AI882" s="47"/>
    </row>
    <row r="883" spans="2:35" x14ac:dyDescent="0.2">
      <c r="B883" s="96"/>
      <c r="C883" s="96"/>
      <c r="W883" s="47"/>
      <c r="AA883" s="47"/>
      <c r="AE883" s="47"/>
      <c r="AI883" s="47"/>
    </row>
    <row r="884" spans="2:35" x14ac:dyDescent="0.2">
      <c r="B884" s="96"/>
      <c r="C884" s="96"/>
      <c r="W884" s="47"/>
      <c r="AA884" s="47"/>
      <c r="AE884" s="47"/>
      <c r="AI884" s="47"/>
    </row>
    <row r="885" spans="2:35" x14ac:dyDescent="0.2">
      <c r="B885" s="96"/>
      <c r="C885" s="96"/>
      <c r="W885" s="47"/>
      <c r="AA885" s="47"/>
      <c r="AE885" s="47"/>
      <c r="AI885" s="47"/>
    </row>
    <row r="886" spans="2:35" x14ac:dyDescent="0.2">
      <c r="B886" s="96"/>
      <c r="C886" s="96"/>
      <c r="W886" s="47"/>
      <c r="AA886" s="47"/>
      <c r="AE886" s="47"/>
      <c r="AI886" s="47"/>
    </row>
    <row r="887" spans="2:35" x14ac:dyDescent="0.2">
      <c r="B887" s="96"/>
      <c r="C887" s="96"/>
      <c r="W887" s="47"/>
      <c r="AA887" s="47"/>
      <c r="AE887" s="47"/>
      <c r="AI887" s="47"/>
    </row>
    <row r="888" spans="2:35" x14ac:dyDescent="0.2">
      <c r="B888" s="96"/>
      <c r="C888" s="96"/>
      <c r="W888" s="47"/>
      <c r="AA888" s="47"/>
      <c r="AE888" s="47"/>
      <c r="AI888" s="47"/>
    </row>
    <row r="889" spans="2:35" x14ac:dyDescent="0.2">
      <c r="B889" s="96"/>
      <c r="C889" s="96"/>
      <c r="W889" s="47"/>
      <c r="AA889" s="47"/>
      <c r="AE889" s="47"/>
      <c r="AI889" s="47"/>
    </row>
    <row r="890" spans="2:35" x14ac:dyDescent="0.2">
      <c r="B890" s="96"/>
      <c r="C890" s="96"/>
      <c r="W890" s="47"/>
      <c r="AA890" s="47"/>
      <c r="AE890" s="47"/>
      <c r="AI890" s="47"/>
    </row>
    <row r="891" spans="2:35" x14ac:dyDescent="0.2">
      <c r="B891" s="96"/>
      <c r="C891" s="96"/>
      <c r="W891" s="47"/>
      <c r="AA891" s="47"/>
      <c r="AE891" s="47"/>
      <c r="AI891" s="47"/>
    </row>
    <row r="892" spans="2:35" x14ac:dyDescent="0.2">
      <c r="B892" s="96"/>
      <c r="C892" s="96"/>
      <c r="W892" s="47"/>
      <c r="AA892" s="47"/>
      <c r="AE892" s="47"/>
      <c r="AI892" s="47"/>
    </row>
    <row r="893" spans="2:35" x14ac:dyDescent="0.2">
      <c r="B893" s="96"/>
      <c r="C893" s="96"/>
      <c r="W893" s="47"/>
      <c r="AA893" s="47"/>
      <c r="AE893" s="47"/>
      <c r="AI893" s="47"/>
    </row>
    <row r="894" spans="2:35" x14ac:dyDescent="0.2">
      <c r="B894" s="96"/>
      <c r="C894" s="96"/>
      <c r="W894" s="47"/>
      <c r="AA894" s="47"/>
      <c r="AE894" s="47"/>
      <c r="AI894" s="47"/>
    </row>
    <row r="895" spans="2:35" x14ac:dyDescent="0.2">
      <c r="B895" s="96"/>
      <c r="C895" s="96"/>
      <c r="W895" s="47"/>
      <c r="AA895" s="47"/>
      <c r="AE895" s="47"/>
      <c r="AI895" s="47"/>
    </row>
    <row r="896" spans="2:35" x14ac:dyDescent="0.2">
      <c r="B896" s="96"/>
      <c r="C896" s="96"/>
      <c r="W896" s="47"/>
      <c r="AA896" s="47"/>
      <c r="AE896" s="47"/>
      <c r="AI896" s="47"/>
    </row>
    <row r="897" spans="2:35" x14ac:dyDescent="0.2">
      <c r="B897" s="96"/>
      <c r="C897" s="96"/>
      <c r="W897" s="47"/>
      <c r="AA897" s="47"/>
      <c r="AE897" s="47"/>
      <c r="AI897" s="47"/>
    </row>
    <row r="898" spans="2:35" x14ac:dyDescent="0.2">
      <c r="B898" s="96"/>
      <c r="C898" s="96"/>
      <c r="W898" s="47"/>
      <c r="AA898" s="47"/>
      <c r="AE898" s="47"/>
      <c r="AI898" s="47"/>
    </row>
    <row r="899" spans="2:35" x14ac:dyDescent="0.2">
      <c r="B899" s="96"/>
      <c r="C899" s="96"/>
      <c r="W899" s="47"/>
      <c r="AA899" s="47"/>
      <c r="AE899" s="47"/>
      <c r="AI899" s="47"/>
    </row>
    <row r="900" spans="2:35" x14ac:dyDescent="0.2">
      <c r="B900" s="96"/>
      <c r="C900" s="96"/>
      <c r="W900" s="47"/>
      <c r="AA900" s="47"/>
      <c r="AE900" s="47"/>
      <c r="AI900" s="47"/>
    </row>
    <row r="901" spans="2:35" x14ac:dyDescent="0.2">
      <c r="B901" s="96"/>
      <c r="C901" s="96"/>
      <c r="W901" s="47"/>
      <c r="AA901" s="47"/>
      <c r="AE901" s="47"/>
      <c r="AI901" s="47"/>
    </row>
    <row r="902" spans="2:35" x14ac:dyDescent="0.2">
      <c r="B902" s="96"/>
      <c r="C902" s="96"/>
      <c r="W902" s="47"/>
      <c r="AA902" s="47"/>
      <c r="AE902" s="47"/>
      <c r="AI902" s="47"/>
    </row>
    <row r="903" spans="2:35" x14ac:dyDescent="0.2">
      <c r="B903" s="96"/>
      <c r="C903" s="96"/>
      <c r="W903" s="47"/>
      <c r="AA903" s="47"/>
      <c r="AE903" s="47"/>
      <c r="AI903" s="47"/>
    </row>
    <row r="904" spans="2:35" x14ac:dyDescent="0.2">
      <c r="B904" s="96"/>
      <c r="C904" s="96"/>
      <c r="W904" s="47"/>
      <c r="AA904" s="47"/>
      <c r="AE904" s="47"/>
      <c r="AI904" s="47"/>
    </row>
    <row r="905" spans="2:35" x14ac:dyDescent="0.2">
      <c r="B905" s="96"/>
      <c r="C905" s="96"/>
      <c r="W905" s="47"/>
      <c r="AA905" s="47"/>
      <c r="AE905" s="47"/>
      <c r="AI905" s="47"/>
    </row>
    <row r="906" spans="2:35" x14ac:dyDescent="0.2">
      <c r="B906" s="96"/>
      <c r="C906" s="96"/>
      <c r="W906" s="47"/>
      <c r="AA906" s="47"/>
      <c r="AE906" s="47"/>
      <c r="AI906" s="47"/>
    </row>
    <row r="907" spans="2:35" x14ac:dyDescent="0.2">
      <c r="B907" s="96"/>
      <c r="C907" s="96"/>
      <c r="W907" s="47"/>
      <c r="AA907" s="47"/>
      <c r="AE907" s="47"/>
      <c r="AI907" s="47"/>
    </row>
    <row r="908" spans="2:35" x14ac:dyDescent="0.2">
      <c r="B908" s="96"/>
      <c r="C908" s="96"/>
      <c r="W908" s="47"/>
      <c r="AA908" s="47"/>
      <c r="AE908" s="47"/>
      <c r="AI908" s="47"/>
    </row>
    <row r="909" spans="2:35" x14ac:dyDescent="0.2">
      <c r="B909" s="96"/>
      <c r="C909" s="96"/>
      <c r="W909" s="47"/>
      <c r="AA909" s="47"/>
      <c r="AE909" s="47"/>
      <c r="AI909" s="47"/>
    </row>
    <row r="910" spans="2:35" x14ac:dyDescent="0.2">
      <c r="B910" s="96"/>
      <c r="C910" s="96"/>
      <c r="W910" s="47"/>
      <c r="AA910" s="47"/>
      <c r="AE910" s="47"/>
      <c r="AI910" s="47"/>
    </row>
    <row r="911" spans="2:35" x14ac:dyDescent="0.2">
      <c r="B911" s="96"/>
      <c r="C911" s="96"/>
      <c r="W911" s="47"/>
      <c r="AA911" s="47"/>
      <c r="AE911" s="47"/>
      <c r="AI911" s="47"/>
    </row>
    <row r="912" spans="2:35" x14ac:dyDescent="0.2">
      <c r="B912" s="96"/>
      <c r="C912" s="96"/>
      <c r="W912" s="47"/>
      <c r="AA912" s="47"/>
      <c r="AE912" s="47"/>
      <c r="AI912" s="47"/>
    </row>
    <row r="913" spans="2:35" x14ac:dyDescent="0.2">
      <c r="B913" s="96"/>
      <c r="C913" s="96"/>
      <c r="W913" s="47"/>
      <c r="AA913" s="47"/>
      <c r="AE913" s="47"/>
      <c r="AI913" s="47"/>
    </row>
    <row r="914" spans="2:35" x14ac:dyDescent="0.2">
      <c r="B914" s="96"/>
      <c r="C914" s="96"/>
      <c r="W914" s="47"/>
      <c r="AA914" s="47"/>
      <c r="AE914" s="47"/>
      <c r="AI914" s="47"/>
    </row>
    <row r="915" spans="2:35" x14ac:dyDescent="0.2">
      <c r="B915" s="96"/>
      <c r="C915" s="96"/>
      <c r="W915" s="47"/>
      <c r="AA915" s="47"/>
      <c r="AE915" s="47"/>
      <c r="AI915" s="47"/>
    </row>
    <row r="916" spans="2:35" x14ac:dyDescent="0.2">
      <c r="B916" s="96"/>
      <c r="C916" s="96"/>
      <c r="W916" s="47"/>
      <c r="AA916" s="47"/>
      <c r="AE916" s="47"/>
      <c r="AI916" s="47"/>
    </row>
    <row r="917" spans="2:35" x14ac:dyDescent="0.2">
      <c r="B917" s="96"/>
      <c r="C917" s="96"/>
      <c r="W917" s="47"/>
      <c r="AA917" s="47"/>
      <c r="AE917" s="47"/>
      <c r="AI917" s="47"/>
    </row>
    <row r="918" spans="2:35" x14ac:dyDescent="0.2">
      <c r="B918" s="96"/>
      <c r="C918" s="96"/>
      <c r="W918" s="47"/>
      <c r="AA918" s="47"/>
      <c r="AE918" s="47"/>
      <c r="AI918" s="47"/>
    </row>
    <row r="919" spans="2:35" x14ac:dyDescent="0.2">
      <c r="B919" s="96"/>
      <c r="C919" s="96"/>
      <c r="W919" s="47"/>
      <c r="AA919" s="47"/>
      <c r="AE919" s="47"/>
      <c r="AI919" s="47"/>
    </row>
    <row r="920" spans="2:35" x14ac:dyDescent="0.2">
      <c r="B920" s="96"/>
      <c r="C920" s="96"/>
      <c r="W920" s="47"/>
      <c r="AA920" s="47"/>
      <c r="AE920" s="47"/>
      <c r="AI920" s="47"/>
    </row>
    <row r="921" spans="2:35" x14ac:dyDescent="0.2">
      <c r="B921" s="96"/>
      <c r="C921" s="96"/>
      <c r="W921" s="47"/>
      <c r="AA921" s="47"/>
      <c r="AE921" s="47"/>
      <c r="AI921" s="47"/>
    </row>
    <row r="922" spans="2:35" x14ac:dyDescent="0.2">
      <c r="B922" s="96"/>
      <c r="C922" s="96"/>
      <c r="W922" s="47"/>
      <c r="AA922" s="47"/>
      <c r="AE922" s="47"/>
      <c r="AI922" s="47"/>
    </row>
    <row r="923" spans="2:35" x14ac:dyDescent="0.2">
      <c r="B923" s="96"/>
      <c r="C923" s="96"/>
      <c r="W923" s="47"/>
      <c r="AA923" s="47"/>
      <c r="AE923" s="47"/>
      <c r="AI923" s="47"/>
    </row>
    <row r="924" spans="2:35" x14ac:dyDescent="0.2">
      <c r="B924" s="96"/>
      <c r="C924" s="96"/>
      <c r="W924" s="47"/>
      <c r="AA924" s="47"/>
      <c r="AE924" s="47"/>
      <c r="AI924" s="47"/>
    </row>
    <row r="925" spans="2:35" x14ac:dyDescent="0.2">
      <c r="B925" s="96"/>
      <c r="C925" s="96"/>
      <c r="W925" s="47"/>
      <c r="AA925" s="47"/>
      <c r="AE925" s="47"/>
      <c r="AI925" s="47"/>
    </row>
    <row r="926" spans="2:35" x14ac:dyDescent="0.2">
      <c r="B926" s="96"/>
      <c r="C926" s="96"/>
      <c r="W926" s="47"/>
      <c r="AA926" s="47"/>
      <c r="AE926" s="47"/>
      <c r="AI926" s="47"/>
    </row>
    <row r="927" spans="2:35" x14ac:dyDescent="0.2">
      <c r="B927" s="96"/>
      <c r="C927" s="96"/>
      <c r="W927" s="47"/>
      <c r="AA927" s="47"/>
      <c r="AE927" s="47"/>
      <c r="AI927" s="47"/>
    </row>
    <row r="928" spans="2:35" x14ac:dyDescent="0.2">
      <c r="B928" s="96"/>
      <c r="C928" s="96"/>
      <c r="W928" s="47"/>
      <c r="AA928" s="47"/>
      <c r="AE928" s="47"/>
      <c r="AI928" s="47"/>
    </row>
    <row r="929" spans="2:35" x14ac:dyDescent="0.2">
      <c r="B929" s="96"/>
      <c r="C929" s="96"/>
      <c r="W929" s="47"/>
      <c r="AA929" s="47"/>
      <c r="AE929" s="47"/>
      <c r="AI929" s="47"/>
    </row>
    <row r="930" spans="2:35" x14ac:dyDescent="0.2">
      <c r="B930" s="96"/>
      <c r="C930" s="96"/>
      <c r="W930" s="47"/>
      <c r="AA930" s="47"/>
      <c r="AE930" s="47"/>
      <c r="AI930" s="47"/>
    </row>
    <row r="931" spans="2:35" x14ac:dyDescent="0.2">
      <c r="B931" s="96"/>
      <c r="C931" s="96"/>
      <c r="W931" s="47"/>
      <c r="AA931" s="47"/>
      <c r="AE931" s="47"/>
      <c r="AI931" s="47"/>
    </row>
    <row r="932" spans="2:35" x14ac:dyDescent="0.2">
      <c r="B932" s="96"/>
      <c r="C932" s="96"/>
      <c r="W932" s="47"/>
      <c r="AA932" s="47"/>
      <c r="AE932" s="47"/>
      <c r="AI932" s="47"/>
    </row>
    <row r="933" spans="2:35" x14ac:dyDescent="0.2">
      <c r="B933" s="96"/>
      <c r="C933" s="96"/>
      <c r="W933" s="47"/>
      <c r="AA933" s="47"/>
      <c r="AE933" s="47"/>
      <c r="AI933" s="47"/>
    </row>
    <row r="934" spans="2:35" x14ac:dyDescent="0.2">
      <c r="B934" s="96"/>
      <c r="C934" s="96"/>
      <c r="W934" s="47"/>
      <c r="AA934" s="47"/>
      <c r="AE934" s="47"/>
      <c r="AI934" s="47"/>
    </row>
    <row r="935" spans="2:35" x14ac:dyDescent="0.2">
      <c r="B935" s="96"/>
      <c r="C935" s="96"/>
      <c r="W935" s="47"/>
      <c r="AA935" s="47"/>
      <c r="AE935" s="47"/>
      <c r="AI935" s="47"/>
    </row>
    <row r="936" spans="2:35" x14ac:dyDescent="0.2">
      <c r="B936" s="96"/>
      <c r="C936" s="96"/>
      <c r="W936" s="47"/>
      <c r="AA936" s="47"/>
      <c r="AE936" s="47"/>
      <c r="AI936" s="47"/>
    </row>
    <row r="937" spans="2:35" x14ac:dyDescent="0.2">
      <c r="B937" s="96"/>
      <c r="C937" s="96"/>
      <c r="W937" s="47"/>
      <c r="AA937" s="47"/>
      <c r="AE937" s="47"/>
      <c r="AI937" s="47"/>
    </row>
    <row r="938" spans="2:35" x14ac:dyDescent="0.2">
      <c r="B938" s="96"/>
      <c r="C938" s="96"/>
      <c r="W938" s="47"/>
      <c r="AA938" s="47"/>
      <c r="AE938" s="47"/>
      <c r="AI938" s="47"/>
    </row>
    <row r="939" spans="2:35" x14ac:dyDescent="0.2">
      <c r="B939" s="96"/>
      <c r="C939" s="96"/>
      <c r="W939" s="47"/>
      <c r="AA939" s="47"/>
      <c r="AE939" s="47"/>
      <c r="AI939" s="47"/>
    </row>
    <row r="940" spans="2:35" x14ac:dyDescent="0.2">
      <c r="B940" s="96"/>
      <c r="C940" s="96"/>
      <c r="W940" s="47"/>
      <c r="AA940" s="47"/>
      <c r="AE940" s="47"/>
      <c r="AI940" s="47"/>
    </row>
    <row r="941" spans="2:35" x14ac:dyDescent="0.2">
      <c r="B941" s="96"/>
      <c r="C941" s="96"/>
      <c r="W941" s="47"/>
      <c r="AA941" s="47"/>
      <c r="AE941" s="47"/>
      <c r="AI941" s="47"/>
    </row>
    <row r="942" spans="2:35" x14ac:dyDescent="0.2">
      <c r="B942" s="96"/>
      <c r="C942" s="96"/>
      <c r="W942" s="47"/>
      <c r="AA942" s="47"/>
      <c r="AE942" s="47"/>
      <c r="AI942" s="47"/>
    </row>
    <row r="943" spans="2:35" x14ac:dyDescent="0.2">
      <c r="B943" s="96"/>
      <c r="C943" s="96"/>
      <c r="W943" s="47"/>
      <c r="AA943" s="47"/>
      <c r="AE943" s="47"/>
      <c r="AI943" s="47"/>
    </row>
    <row r="944" spans="2:35" x14ac:dyDescent="0.2">
      <c r="B944" s="96"/>
      <c r="C944" s="96"/>
      <c r="W944" s="47"/>
      <c r="AA944" s="47"/>
      <c r="AE944" s="47"/>
      <c r="AI944" s="47"/>
    </row>
    <row r="945" spans="2:35" x14ac:dyDescent="0.2">
      <c r="B945" s="96"/>
      <c r="C945" s="96"/>
      <c r="W945" s="47"/>
      <c r="AA945" s="47"/>
      <c r="AE945" s="47"/>
      <c r="AI945" s="47"/>
    </row>
    <row r="946" spans="2:35" x14ac:dyDescent="0.2">
      <c r="B946" s="96"/>
      <c r="C946" s="96"/>
      <c r="W946" s="47"/>
      <c r="AA946" s="47"/>
      <c r="AE946" s="47"/>
      <c r="AI946" s="47"/>
    </row>
    <row r="947" spans="2:35" x14ac:dyDescent="0.2">
      <c r="B947" s="96"/>
      <c r="C947" s="96"/>
      <c r="W947" s="47"/>
      <c r="AA947" s="47"/>
      <c r="AE947" s="47"/>
      <c r="AI947" s="47"/>
    </row>
    <row r="948" spans="2:35" x14ac:dyDescent="0.2">
      <c r="B948" s="96"/>
      <c r="C948" s="96"/>
      <c r="W948" s="47"/>
      <c r="AA948" s="47"/>
      <c r="AE948" s="47"/>
      <c r="AI948" s="47"/>
    </row>
    <row r="949" spans="2:35" x14ac:dyDescent="0.2">
      <c r="B949" s="96"/>
      <c r="C949" s="96"/>
      <c r="W949" s="47"/>
      <c r="AA949" s="47"/>
      <c r="AE949" s="47"/>
      <c r="AI949" s="47"/>
    </row>
    <row r="950" spans="2:35" x14ac:dyDescent="0.2">
      <c r="B950" s="96"/>
      <c r="C950" s="96"/>
      <c r="W950" s="47"/>
      <c r="AA950" s="47"/>
      <c r="AE950" s="47"/>
      <c r="AI950" s="47"/>
    </row>
    <row r="951" spans="2:35" x14ac:dyDescent="0.2">
      <c r="B951" s="96"/>
      <c r="C951" s="96"/>
      <c r="W951" s="47"/>
      <c r="AA951" s="47"/>
      <c r="AE951" s="47"/>
      <c r="AI951" s="47"/>
    </row>
    <row r="952" spans="2:35" x14ac:dyDescent="0.2">
      <c r="B952" s="96"/>
      <c r="C952" s="96"/>
      <c r="W952" s="47"/>
      <c r="AA952" s="47"/>
      <c r="AE952" s="47"/>
      <c r="AI952" s="47"/>
    </row>
    <row r="953" spans="2:35" x14ac:dyDescent="0.2">
      <c r="B953" s="96"/>
      <c r="C953" s="96"/>
      <c r="W953" s="47"/>
      <c r="AA953" s="47"/>
      <c r="AE953" s="47"/>
      <c r="AI953" s="47"/>
    </row>
    <row r="954" spans="2:35" x14ac:dyDescent="0.2">
      <c r="B954" s="96"/>
      <c r="C954" s="96"/>
      <c r="W954" s="47"/>
      <c r="AA954" s="47"/>
      <c r="AE954" s="47"/>
      <c r="AI954" s="47"/>
    </row>
    <row r="955" spans="2:35" x14ac:dyDescent="0.2">
      <c r="B955" s="96"/>
      <c r="C955" s="96"/>
      <c r="W955" s="47"/>
      <c r="AA955" s="47"/>
      <c r="AE955" s="47"/>
      <c r="AI955" s="47"/>
    </row>
    <row r="956" spans="2:35" x14ac:dyDescent="0.2">
      <c r="B956" s="96"/>
      <c r="C956" s="96"/>
      <c r="W956" s="47"/>
      <c r="AA956" s="47"/>
      <c r="AE956" s="47"/>
      <c r="AI956" s="47"/>
    </row>
    <row r="957" spans="2:35" x14ac:dyDescent="0.2">
      <c r="B957" s="96"/>
      <c r="C957" s="96"/>
      <c r="W957" s="47"/>
      <c r="AA957" s="47"/>
      <c r="AE957" s="47"/>
      <c r="AI957" s="47"/>
    </row>
    <row r="958" spans="2:35" x14ac:dyDescent="0.2">
      <c r="B958" s="96"/>
      <c r="C958" s="96"/>
      <c r="W958" s="47"/>
      <c r="AA958" s="47"/>
      <c r="AE958" s="47"/>
      <c r="AI958" s="47"/>
    </row>
    <row r="959" spans="2:35" x14ac:dyDescent="0.2">
      <c r="B959" s="96"/>
      <c r="C959" s="96"/>
      <c r="W959" s="47"/>
      <c r="AA959" s="47"/>
      <c r="AE959" s="47"/>
      <c r="AI959" s="47"/>
    </row>
    <row r="960" spans="2:35" x14ac:dyDescent="0.2">
      <c r="B960" s="96"/>
      <c r="C960" s="96"/>
      <c r="W960" s="47"/>
      <c r="AA960" s="47"/>
      <c r="AE960" s="47"/>
      <c r="AI960" s="47"/>
    </row>
    <row r="961" spans="2:35" x14ac:dyDescent="0.2">
      <c r="B961" s="96"/>
      <c r="C961" s="96"/>
      <c r="W961" s="47"/>
      <c r="AA961" s="47"/>
      <c r="AE961" s="47"/>
      <c r="AI961" s="47"/>
    </row>
    <row r="962" spans="2:35" x14ac:dyDescent="0.2">
      <c r="B962" s="96"/>
      <c r="C962" s="96"/>
      <c r="W962" s="47"/>
      <c r="AA962" s="47"/>
      <c r="AE962" s="47"/>
      <c r="AI962" s="47"/>
    </row>
    <row r="963" spans="2:35" x14ac:dyDescent="0.2">
      <c r="B963" s="96"/>
      <c r="C963" s="96"/>
      <c r="W963" s="47"/>
      <c r="AA963" s="47"/>
      <c r="AE963" s="47"/>
      <c r="AI963" s="47"/>
    </row>
    <row r="964" spans="2:35" x14ac:dyDescent="0.2">
      <c r="B964" s="96"/>
      <c r="C964" s="96"/>
      <c r="W964" s="47"/>
      <c r="AA964" s="47"/>
      <c r="AE964" s="47"/>
      <c r="AI964" s="47"/>
    </row>
    <row r="965" spans="2:35" x14ac:dyDescent="0.2">
      <c r="B965" s="96"/>
      <c r="C965" s="96"/>
      <c r="W965" s="47"/>
      <c r="AA965" s="47"/>
      <c r="AE965" s="47"/>
      <c r="AI965" s="47"/>
    </row>
    <row r="966" spans="2:35" x14ac:dyDescent="0.2">
      <c r="B966" s="96"/>
      <c r="C966" s="96"/>
      <c r="W966" s="47"/>
      <c r="AA966" s="47"/>
      <c r="AE966" s="47"/>
      <c r="AI966" s="47"/>
    </row>
    <row r="967" spans="2:35" x14ac:dyDescent="0.2">
      <c r="B967" s="96"/>
      <c r="C967" s="96"/>
      <c r="W967" s="47"/>
      <c r="AA967" s="47"/>
      <c r="AE967" s="47"/>
      <c r="AI967" s="47"/>
    </row>
    <row r="968" spans="2:35" x14ac:dyDescent="0.2">
      <c r="B968" s="96"/>
      <c r="C968" s="96"/>
      <c r="W968" s="47"/>
      <c r="AA968" s="47"/>
      <c r="AE968" s="47"/>
      <c r="AI968" s="47"/>
    </row>
    <row r="969" spans="2:35" x14ac:dyDescent="0.2">
      <c r="B969" s="96"/>
      <c r="C969" s="96"/>
      <c r="W969" s="47"/>
      <c r="AA969" s="47"/>
      <c r="AE969" s="47"/>
      <c r="AI969" s="47"/>
    </row>
    <row r="970" spans="2:35" x14ac:dyDescent="0.2">
      <c r="B970" s="96"/>
      <c r="C970" s="96"/>
      <c r="W970" s="47"/>
      <c r="AA970" s="47"/>
      <c r="AE970" s="47"/>
      <c r="AI970" s="47"/>
    </row>
    <row r="971" spans="2:35" x14ac:dyDescent="0.2">
      <c r="B971" s="96"/>
      <c r="C971" s="96"/>
      <c r="W971" s="47"/>
      <c r="AA971" s="47"/>
      <c r="AE971" s="47"/>
      <c r="AI971" s="47"/>
    </row>
    <row r="972" spans="2:35" x14ac:dyDescent="0.2">
      <c r="B972" s="96"/>
      <c r="C972" s="96"/>
      <c r="W972" s="47"/>
      <c r="AA972" s="47"/>
      <c r="AE972" s="47"/>
      <c r="AI972" s="47"/>
    </row>
    <row r="973" spans="2:35" x14ac:dyDescent="0.2">
      <c r="B973" s="96"/>
      <c r="C973" s="96"/>
      <c r="W973" s="47"/>
      <c r="AA973" s="47"/>
      <c r="AE973" s="47"/>
      <c r="AI973" s="47"/>
    </row>
    <row r="974" spans="2:35" x14ac:dyDescent="0.2">
      <c r="B974" s="96"/>
      <c r="C974" s="96"/>
      <c r="W974" s="47"/>
      <c r="AA974" s="47"/>
      <c r="AE974" s="47"/>
      <c r="AI974" s="47"/>
    </row>
    <row r="975" spans="2:35" x14ac:dyDescent="0.2">
      <c r="B975" s="96"/>
      <c r="C975" s="96"/>
      <c r="W975" s="47"/>
      <c r="AA975" s="47"/>
      <c r="AE975" s="47"/>
      <c r="AI975" s="47"/>
    </row>
    <row r="976" spans="2:35" x14ac:dyDescent="0.2">
      <c r="B976" s="96"/>
      <c r="C976" s="96"/>
      <c r="W976" s="47"/>
      <c r="AA976" s="47"/>
      <c r="AE976" s="47"/>
      <c r="AI976" s="47"/>
    </row>
    <row r="977" spans="2:35" x14ac:dyDescent="0.2">
      <c r="B977" s="96"/>
      <c r="C977" s="96"/>
      <c r="W977" s="47"/>
      <c r="AA977" s="47"/>
      <c r="AE977" s="47"/>
      <c r="AI977" s="47"/>
    </row>
    <row r="978" spans="2:35" x14ac:dyDescent="0.2">
      <c r="B978" s="96"/>
      <c r="C978" s="96"/>
      <c r="W978" s="47"/>
      <c r="AA978" s="47"/>
      <c r="AE978" s="47"/>
      <c r="AI978" s="47"/>
    </row>
    <row r="979" spans="2:35" x14ac:dyDescent="0.2">
      <c r="B979" s="96"/>
      <c r="C979" s="96"/>
      <c r="W979" s="47"/>
      <c r="AA979" s="47"/>
      <c r="AE979" s="47"/>
      <c r="AI979" s="47"/>
    </row>
    <row r="980" spans="2:35" x14ac:dyDescent="0.2">
      <c r="B980" s="96"/>
      <c r="C980" s="96"/>
      <c r="W980" s="47"/>
      <c r="AA980" s="47"/>
      <c r="AE980" s="47"/>
      <c r="AI980" s="47"/>
    </row>
    <row r="981" spans="2:35" x14ac:dyDescent="0.2">
      <c r="B981" s="96"/>
      <c r="C981" s="96"/>
      <c r="W981" s="47"/>
      <c r="AA981" s="47"/>
      <c r="AE981" s="47"/>
      <c r="AI981" s="47"/>
    </row>
    <row r="982" spans="2:35" x14ac:dyDescent="0.2">
      <c r="B982" s="96"/>
      <c r="C982" s="96"/>
      <c r="W982" s="47"/>
      <c r="AA982" s="47"/>
      <c r="AE982" s="47"/>
      <c r="AI982" s="47"/>
    </row>
    <row r="983" spans="2:35" x14ac:dyDescent="0.2">
      <c r="B983" s="96"/>
      <c r="C983" s="96"/>
      <c r="W983" s="47"/>
      <c r="AA983" s="47"/>
      <c r="AE983" s="47"/>
      <c r="AI983" s="47"/>
    </row>
    <row r="984" spans="2:35" x14ac:dyDescent="0.2">
      <c r="B984" s="96"/>
      <c r="C984" s="96"/>
      <c r="W984" s="47"/>
      <c r="AA984" s="47"/>
      <c r="AE984" s="47"/>
      <c r="AI984" s="47"/>
    </row>
    <row r="985" spans="2:35" x14ac:dyDescent="0.2">
      <c r="B985" s="96"/>
      <c r="C985" s="96"/>
      <c r="W985" s="47"/>
      <c r="AA985" s="47"/>
      <c r="AE985" s="47"/>
      <c r="AI985" s="47"/>
    </row>
    <row r="986" spans="2:35" x14ac:dyDescent="0.2">
      <c r="B986" s="96"/>
      <c r="C986" s="96"/>
      <c r="W986" s="47"/>
      <c r="AA986" s="47"/>
      <c r="AE986" s="47"/>
      <c r="AI986" s="47"/>
    </row>
    <row r="987" spans="2:35" x14ac:dyDescent="0.2">
      <c r="B987" s="96"/>
      <c r="C987" s="96"/>
      <c r="W987" s="47"/>
      <c r="AA987" s="47"/>
      <c r="AE987" s="47"/>
      <c r="AI987" s="47"/>
    </row>
    <row r="988" spans="2:35" x14ac:dyDescent="0.2">
      <c r="B988" s="96"/>
      <c r="C988" s="96"/>
      <c r="W988" s="47"/>
      <c r="AA988" s="47"/>
      <c r="AE988" s="47"/>
      <c r="AI988" s="47"/>
    </row>
    <row r="989" spans="2:35" x14ac:dyDescent="0.2">
      <c r="B989" s="96"/>
      <c r="C989" s="96"/>
      <c r="W989" s="47"/>
      <c r="AA989" s="47"/>
      <c r="AE989" s="47"/>
      <c r="AI989" s="47"/>
    </row>
    <row r="990" spans="2:35" x14ac:dyDescent="0.2">
      <c r="B990" s="96"/>
      <c r="C990" s="96"/>
      <c r="W990" s="47"/>
      <c r="AA990" s="47"/>
      <c r="AE990" s="47"/>
      <c r="AI990" s="47"/>
    </row>
    <row r="991" spans="2:35" x14ac:dyDescent="0.2">
      <c r="B991" s="96"/>
      <c r="C991" s="96"/>
      <c r="W991" s="47"/>
      <c r="AA991" s="47"/>
      <c r="AE991" s="47"/>
      <c r="AI991" s="47"/>
    </row>
    <row r="992" spans="2:35" x14ac:dyDescent="0.2">
      <c r="B992" s="96"/>
      <c r="C992" s="96"/>
      <c r="W992" s="47"/>
      <c r="AA992" s="47"/>
      <c r="AE992" s="47"/>
      <c r="AI992" s="47"/>
    </row>
    <row r="993" spans="2:35" x14ac:dyDescent="0.2">
      <c r="B993" s="96"/>
      <c r="C993" s="96"/>
      <c r="W993" s="47"/>
      <c r="AA993" s="47"/>
      <c r="AE993" s="47"/>
      <c r="AI993" s="47"/>
    </row>
    <row r="994" spans="2:35" x14ac:dyDescent="0.2">
      <c r="B994" s="96"/>
      <c r="C994" s="96"/>
      <c r="W994" s="47"/>
      <c r="AA994" s="47"/>
      <c r="AE994" s="47"/>
      <c r="AI994" s="47"/>
    </row>
    <row r="995" spans="2:35" x14ac:dyDescent="0.2">
      <c r="B995" s="96"/>
      <c r="C995" s="96"/>
      <c r="W995" s="47"/>
      <c r="AA995" s="47"/>
      <c r="AE995" s="47"/>
      <c r="AI995" s="47"/>
    </row>
    <row r="996" spans="2:35" x14ac:dyDescent="0.2">
      <c r="B996" s="96"/>
      <c r="C996" s="96"/>
      <c r="W996" s="47"/>
      <c r="AA996" s="47"/>
      <c r="AE996" s="47"/>
      <c r="AI996" s="47"/>
    </row>
    <row r="997" spans="2:35" x14ac:dyDescent="0.2">
      <c r="B997" s="96"/>
      <c r="C997" s="96"/>
      <c r="W997" s="47"/>
      <c r="AA997" s="47"/>
      <c r="AE997" s="47"/>
      <c r="AI997" s="47"/>
    </row>
    <row r="998" spans="2:35" x14ac:dyDescent="0.2">
      <c r="B998" s="96"/>
      <c r="C998" s="96"/>
      <c r="W998" s="47"/>
      <c r="AA998" s="47"/>
      <c r="AE998" s="47"/>
      <c r="AI998" s="47"/>
    </row>
    <row r="999" spans="2:35" x14ac:dyDescent="0.2">
      <c r="B999" s="96"/>
      <c r="C999" s="96"/>
      <c r="W999" s="47"/>
      <c r="AA999" s="47"/>
      <c r="AE999" s="47"/>
      <c r="AI999" s="47"/>
    </row>
    <row r="1000" spans="2:35" x14ac:dyDescent="0.2">
      <c r="B1000" s="96"/>
      <c r="C1000" s="96"/>
      <c r="W1000" s="47"/>
      <c r="AA1000" s="47"/>
      <c r="AE1000" s="47"/>
      <c r="AI1000" s="47"/>
    </row>
    <row r="1001" spans="2:35" x14ac:dyDescent="0.2">
      <c r="B1001" s="96"/>
      <c r="C1001" s="96"/>
      <c r="W1001" s="47"/>
      <c r="AA1001" s="47"/>
      <c r="AE1001" s="47"/>
      <c r="AI1001" s="47"/>
    </row>
    <row r="1002" spans="2:35" x14ac:dyDescent="0.2">
      <c r="B1002" s="96"/>
      <c r="C1002" s="96"/>
      <c r="W1002" s="47"/>
      <c r="AA1002" s="47"/>
      <c r="AE1002" s="47"/>
      <c r="AI1002" s="47"/>
    </row>
    <row r="1003" spans="2:35" x14ac:dyDescent="0.2">
      <c r="B1003" s="96"/>
      <c r="C1003" s="96"/>
      <c r="W1003" s="47"/>
      <c r="AA1003" s="47"/>
      <c r="AE1003" s="47"/>
      <c r="AI1003" s="47"/>
    </row>
    <row r="1004" spans="2:35" x14ac:dyDescent="0.2">
      <c r="B1004" s="96"/>
      <c r="C1004" s="96"/>
      <c r="W1004" s="47"/>
      <c r="AA1004" s="47"/>
      <c r="AE1004" s="47"/>
      <c r="AI1004" s="47"/>
    </row>
    <row r="1005" spans="2:35" x14ac:dyDescent="0.2">
      <c r="B1005" s="96"/>
      <c r="C1005" s="96"/>
      <c r="W1005" s="47"/>
      <c r="AA1005" s="47"/>
      <c r="AE1005" s="47"/>
      <c r="AI1005" s="47"/>
    </row>
    <row r="1006" spans="2:35" x14ac:dyDescent="0.2">
      <c r="B1006" s="96"/>
      <c r="C1006" s="96"/>
      <c r="W1006" s="47"/>
      <c r="AA1006" s="47"/>
      <c r="AE1006" s="47"/>
      <c r="AI1006" s="47"/>
    </row>
    <row r="1007" spans="2:35" x14ac:dyDescent="0.2">
      <c r="B1007" s="96"/>
      <c r="C1007" s="96"/>
      <c r="W1007" s="47"/>
      <c r="AA1007" s="47"/>
      <c r="AE1007" s="47"/>
      <c r="AI1007" s="47"/>
    </row>
    <row r="1008" spans="2:35" x14ac:dyDescent="0.2">
      <c r="B1008" s="96"/>
      <c r="C1008" s="96"/>
      <c r="W1008" s="47"/>
      <c r="AA1008" s="47"/>
      <c r="AE1008" s="47"/>
      <c r="AI1008" s="47"/>
    </row>
    <row r="1009" spans="2:35" x14ac:dyDescent="0.2">
      <c r="B1009" s="96"/>
      <c r="C1009" s="96"/>
      <c r="W1009" s="47"/>
      <c r="AA1009" s="47"/>
      <c r="AE1009" s="47"/>
      <c r="AI1009" s="47"/>
    </row>
    <row r="1010" spans="2:35" x14ac:dyDescent="0.2">
      <c r="B1010" s="96"/>
      <c r="C1010" s="96"/>
      <c r="W1010" s="47"/>
      <c r="AA1010" s="47"/>
      <c r="AE1010" s="47"/>
      <c r="AI1010" s="47"/>
    </row>
    <row r="1011" spans="2:35" x14ac:dyDescent="0.2">
      <c r="B1011" s="96"/>
      <c r="C1011" s="96"/>
      <c r="W1011" s="47"/>
      <c r="AA1011" s="47"/>
      <c r="AE1011" s="47"/>
      <c r="AI1011" s="47"/>
    </row>
    <row r="1012" spans="2:35" x14ac:dyDescent="0.2">
      <c r="B1012" s="96"/>
      <c r="C1012" s="96"/>
      <c r="W1012" s="47"/>
      <c r="AA1012" s="47"/>
      <c r="AE1012" s="47"/>
      <c r="AI1012" s="47"/>
    </row>
    <row r="1013" spans="2:35" x14ac:dyDescent="0.2">
      <c r="B1013" s="96"/>
      <c r="C1013" s="96"/>
      <c r="W1013" s="47"/>
      <c r="AA1013" s="47"/>
      <c r="AE1013" s="47"/>
      <c r="AI1013" s="47"/>
    </row>
    <row r="1014" spans="2:35" x14ac:dyDescent="0.2">
      <c r="B1014" s="96"/>
      <c r="C1014" s="96"/>
      <c r="W1014" s="47"/>
      <c r="AA1014" s="47"/>
      <c r="AE1014" s="47"/>
      <c r="AI1014" s="47"/>
    </row>
    <row r="1015" spans="2:35" x14ac:dyDescent="0.2">
      <c r="B1015" s="96"/>
      <c r="C1015" s="96"/>
      <c r="W1015" s="47"/>
      <c r="AA1015" s="47"/>
      <c r="AE1015" s="47"/>
      <c r="AI1015" s="47"/>
    </row>
    <row r="1016" spans="2:35" x14ac:dyDescent="0.2">
      <c r="B1016" s="96"/>
      <c r="C1016" s="96"/>
      <c r="W1016" s="47"/>
      <c r="AA1016" s="47"/>
      <c r="AE1016" s="47"/>
      <c r="AI1016" s="47"/>
    </row>
    <row r="1017" spans="2:35" x14ac:dyDescent="0.2">
      <c r="B1017" s="96"/>
      <c r="C1017" s="96"/>
      <c r="W1017" s="47"/>
      <c r="AA1017" s="47"/>
      <c r="AE1017" s="47"/>
      <c r="AI1017" s="47"/>
    </row>
    <row r="1018" spans="2:35" x14ac:dyDescent="0.2">
      <c r="B1018" s="96"/>
      <c r="C1018" s="96"/>
      <c r="W1018" s="47"/>
      <c r="AA1018" s="47"/>
      <c r="AE1018" s="47"/>
      <c r="AI1018" s="47"/>
    </row>
    <row r="1019" spans="2:35" x14ac:dyDescent="0.2">
      <c r="B1019" s="96"/>
      <c r="C1019" s="96"/>
      <c r="W1019" s="47"/>
      <c r="AA1019" s="47"/>
      <c r="AE1019" s="47"/>
      <c r="AI1019" s="47"/>
    </row>
    <row r="1020" spans="2:35" x14ac:dyDescent="0.2">
      <c r="B1020" s="96"/>
      <c r="C1020" s="96"/>
      <c r="W1020" s="47"/>
      <c r="AA1020" s="47"/>
      <c r="AE1020" s="47"/>
      <c r="AI1020" s="47"/>
    </row>
    <row r="1021" spans="2:35" x14ac:dyDescent="0.2">
      <c r="B1021" s="96"/>
      <c r="C1021" s="96"/>
      <c r="W1021" s="47"/>
      <c r="AA1021" s="47"/>
      <c r="AE1021" s="47"/>
      <c r="AI1021" s="47"/>
    </row>
    <row r="1022" spans="2:35" x14ac:dyDescent="0.2">
      <c r="B1022" s="96"/>
      <c r="C1022" s="96"/>
      <c r="W1022" s="47"/>
      <c r="AA1022" s="47"/>
      <c r="AE1022" s="47"/>
      <c r="AI1022" s="47"/>
    </row>
    <row r="1023" spans="2:35" x14ac:dyDescent="0.2">
      <c r="B1023" s="96"/>
      <c r="C1023" s="96"/>
      <c r="W1023" s="47"/>
      <c r="AA1023" s="47"/>
      <c r="AE1023" s="47"/>
      <c r="AI1023" s="47"/>
    </row>
    <row r="1024" spans="2:35" x14ac:dyDescent="0.2">
      <c r="B1024" s="96"/>
      <c r="C1024" s="96"/>
      <c r="W1024" s="47"/>
      <c r="AA1024" s="47"/>
      <c r="AE1024" s="47"/>
      <c r="AI1024" s="47"/>
    </row>
    <row r="1025" spans="2:35" x14ac:dyDescent="0.2">
      <c r="B1025" s="96"/>
      <c r="C1025" s="96"/>
      <c r="W1025" s="47"/>
      <c r="AA1025" s="47"/>
      <c r="AE1025" s="47"/>
      <c r="AI1025" s="47"/>
    </row>
    <row r="1026" spans="2:35" x14ac:dyDescent="0.2">
      <c r="B1026" s="96"/>
      <c r="C1026" s="96"/>
      <c r="W1026" s="47"/>
      <c r="AA1026" s="47"/>
      <c r="AE1026" s="47"/>
      <c r="AI1026" s="47"/>
    </row>
    <row r="1027" spans="2:35" x14ac:dyDescent="0.2">
      <c r="B1027" s="96"/>
      <c r="C1027" s="96"/>
      <c r="W1027" s="47"/>
      <c r="AA1027" s="47"/>
      <c r="AE1027" s="47"/>
      <c r="AI1027" s="47"/>
    </row>
    <row r="1028" spans="2:35" x14ac:dyDescent="0.2">
      <c r="B1028" s="96"/>
      <c r="C1028" s="96"/>
      <c r="W1028" s="47"/>
      <c r="AA1028" s="47"/>
      <c r="AE1028" s="47"/>
      <c r="AI1028" s="47"/>
    </row>
    <row r="1029" spans="2:35" x14ac:dyDescent="0.2">
      <c r="B1029" s="96"/>
      <c r="C1029" s="96"/>
      <c r="W1029" s="47"/>
      <c r="AA1029" s="47"/>
      <c r="AE1029" s="47"/>
      <c r="AI1029" s="47"/>
    </row>
    <row r="1030" spans="2:35" x14ac:dyDescent="0.2">
      <c r="B1030" s="96"/>
      <c r="C1030" s="96"/>
      <c r="W1030" s="47"/>
      <c r="AA1030" s="47"/>
      <c r="AE1030" s="47"/>
      <c r="AI1030" s="47"/>
    </row>
    <row r="1031" spans="2:35" x14ac:dyDescent="0.2">
      <c r="B1031" s="96"/>
      <c r="C1031" s="96"/>
      <c r="W1031" s="47"/>
      <c r="AA1031" s="47"/>
      <c r="AE1031" s="47"/>
      <c r="AI1031" s="47"/>
    </row>
    <row r="1032" spans="2:35" x14ac:dyDescent="0.2">
      <c r="B1032" s="96"/>
      <c r="C1032" s="96"/>
      <c r="W1032" s="47"/>
      <c r="AA1032" s="47"/>
      <c r="AE1032" s="47"/>
      <c r="AI1032" s="47"/>
    </row>
    <row r="1033" spans="2:35" x14ac:dyDescent="0.2">
      <c r="B1033" s="96"/>
      <c r="C1033" s="96"/>
      <c r="W1033" s="47"/>
      <c r="AA1033" s="47"/>
      <c r="AE1033" s="47"/>
      <c r="AI1033" s="47"/>
    </row>
    <row r="1034" spans="2:35" x14ac:dyDescent="0.2">
      <c r="B1034" s="96"/>
      <c r="C1034" s="96"/>
      <c r="W1034" s="47"/>
      <c r="AA1034" s="47"/>
      <c r="AE1034" s="47"/>
      <c r="AI1034" s="47"/>
    </row>
    <row r="1035" spans="2:35" x14ac:dyDescent="0.2">
      <c r="B1035" s="96"/>
      <c r="C1035" s="96"/>
      <c r="W1035" s="47"/>
      <c r="AA1035" s="47"/>
      <c r="AE1035" s="47"/>
      <c r="AI1035" s="47"/>
    </row>
    <row r="1036" spans="2:35" x14ac:dyDescent="0.2">
      <c r="B1036" s="96"/>
      <c r="C1036" s="96"/>
      <c r="W1036" s="47"/>
      <c r="AA1036" s="47"/>
      <c r="AE1036" s="47"/>
      <c r="AI1036" s="47"/>
    </row>
    <row r="1037" spans="2:35" x14ac:dyDescent="0.2">
      <c r="B1037" s="96"/>
      <c r="C1037" s="96"/>
      <c r="W1037" s="47"/>
      <c r="AA1037" s="47"/>
      <c r="AE1037" s="47"/>
      <c r="AI1037" s="47"/>
    </row>
    <row r="1038" spans="2:35" x14ac:dyDescent="0.2">
      <c r="B1038" s="96"/>
      <c r="C1038" s="96"/>
      <c r="W1038" s="47"/>
      <c r="AA1038" s="47"/>
      <c r="AE1038" s="47"/>
      <c r="AI1038" s="47"/>
    </row>
    <row r="1039" spans="2:35" x14ac:dyDescent="0.2">
      <c r="B1039" s="96"/>
      <c r="C1039" s="96"/>
      <c r="W1039" s="47"/>
      <c r="AA1039" s="47"/>
      <c r="AE1039" s="47"/>
      <c r="AI1039" s="47"/>
    </row>
    <row r="1040" spans="2:35" x14ac:dyDescent="0.2">
      <c r="B1040" s="96"/>
      <c r="C1040" s="96"/>
      <c r="W1040" s="47"/>
      <c r="AA1040" s="47"/>
      <c r="AE1040" s="47"/>
      <c r="AI1040" s="47"/>
    </row>
    <row r="1041" spans="2:35" x14ac:dyDescent="0.2">
      <c r="B1041" s="96"/>
      <c r="C1041" s="96"/>
      <c r="W1041" s="47"/>
      <c r="AA1041" s="47"/>
      <c r="AE1041" s="47"/>
      <c r="AI1041" s="47"/>
    </row>
    <row r="1042" spans="2:35" x14ac:dyDescent="0.2">
      <c r="B1042" s="96"/>
      <c r="C1042" s="96"/>
      <c r="W1042" s="47"/>
      <c r="AA1042" s="47"/>
      <c r="AE1042" s="47"/>
      <c r="AI1042" s="47"/>
    </row>
    <row r="1043" spans="2:35" x14ac:dyDescent="0.2">
      <c r="B1043" s="96"/>
      <c r="C1043" s="96"/>
      <c r="W1043" s="47"/>
      <c r="AA1043" s="47"/>
      <c r="AE1043" s="47"/>
      <c r="AI1043" s="47"/>
    </row>
    <row r="1044" spans="2:35" x14ac:dyDescent="0.2">
      <c r="B1044" s="96"/>
      <c r="C1044" s="96"/>
      <c r="W1044" s="47"/>
      <c r="AA1044" s="47"/>
      <c r="AE1044" s="47"/>
      <c r="AI1044" s="47"/>
    </row>
    <row r="1045" spans="2:35" x14ac:dyDescent="0.2">
      <c r="B1045" s="96"/>
      <c r="C1045" s="96"/>
      <c r="W1045" s="47"/>
      <c r="AA1045" s="47"/>
      <c r="AE1045" s="47"/>
      <c r="AI1045" s="47"/>
    </row>
    <row r="1046" spans="2:35" x14ac:dyDescent="0.2">
      <c r="B1046" s="96"/>
      <c r="C1046" s="96"/>
      <c r="W1046" s="47"/>
      <c r="AA1046" s="47"/>
      <c r="AE1046" s="47"/>
      <c r="AI1046" s="47"/>
    </row>
    <row r="1047" spans="2:35" x14ac:dyDescent="0.2">
      <c r="B1047" s="96"/>
      <c r="C1047" s="96"/>
      <c r="W1047" s="47"/>
      <c r="AA1047" s="47"/>
      <c r="AE1047" s="47"/>
      <c r="AI1047" s="47"/>
    </row>
    <row r="1048" spans="2:35" x14ac:dyDescent="0.2">
      <c r="B1048" s="96"/>
      <c r="C1048" s="96"/>
      <c r="W1048" s="47"/>
      <c r="AA1048" s="47"/>
      <c r="AE1048" s="47"/>
      <c r="AI1048" s="47"/>
    </row>
    <row r="1049" spans="2:35" x14ac:dyDescent="0.2">
      <c r="B1049" s="96"/>
      <c r="C1049" s="96"/>
      <c r="W1049" s="47"/>
      <c r="AA1049" s="47"/>
      <c r="AE1049" s="47"/>
      <c r="AI1049" s="47"/>
    </row>
    <row r="1050" spans="2:35" x14ac:dyDescent="0.2">
      <c r="B1050" s="96"/>
      <c r="C1050" s="96"/>
      <c r="W1050" s="47"/>
      <c r="AA1050" s="47"/>
      <c r="AE1050" s="47"/>
      <c r="AI1050" s="47"/>
    </row>
    <row r="1051" spans="2:35" x14ac:dyDescent="0.2">
      <c r="B1051" s="96"/>
      <c r="C1051" s="96"/>
      <c r="W1051" s="47"/>
      <c r="AA1051" s="47"/>
      <c r="AE1051" s="47"/>
      <c r="AI1051" s="47"/>
    </row>
    <row r="1052" spans="2:35" x14ac:dyDescent="0.2">
      <c r="B1052" s="96"/>
      <c r="C1052" s="96"/>
      <c r="W1052" s="47"/>
      <c r="AA1052" s="47"/>
      <c r="AE1052" s="47"/>
      <c r="AI1052" s="47"/>
    </row>
    <row r="1053" spans="2:35" x14ac:dyDescent="0.2">
      <c r="B1053" s="96"/>
      <c r="C1053" s="96"/>
      <c r="W1053" s="47"/>
      <c r="AA1053" s="47"/>
      <c r="AE1053" s="47"/>
      <c r="AI1053" s="47"/>
    </row>
    <row r="1054" spans="2:35" x14ac:dyDescent="0.2">
      <c r="B1054" s="96"/>
      <c r="C1054" s="96"/>
      <c r="W1054" s="47"/>
      <c r="AA1054" s="47"/>
      <c r="AE1054" s="47"/>
      <c r="AI1054" s="47"/>
    </row>
    <row r="1055" spans="2:35" x14ac:dyDescent="0.2">
      <c r="B1055" s="96"/>
      <c r="C1055" s="96"/>
      <c r="W1055" s="47"/>
      <c r="AA1055" s="47"/>
      <c r="AE1055" s="47"/>
      <c r="AI1055" s="47"/>
    </row>
    <row r="1056" spans="2:35" x14ac:dyDescent="0.2">
      <c r="B1056" s="96"/>
      <c r="C1056" s="96"/>
      <c r="W1056" s="47"/>
      <c r="AA1056" s="47"/>
      <c r="AE1056" s="47"/>
      <c r="AI1056" s="47"/>
    </row>
    <row r="1057" spans="2:35" x14ac:dyDescent="0.2">
      <c r="B1057" s="96"/>
      <c r="C1057" s="96"/>
      <c r="W1057" s="47"/>
      <c r="AA1057" s="47"/>
      <c r="AE1057" s="47"/>
      <c r="AI1057" s="47"/>
    </row>
    <row r="1058" spans="2:35" x14ac:dyDescent="0.2">
      <c r="B1058" s="96"/>
      <c r="C1058" s="96"/>
      <c r="W1058" s="47"/>
      <c r="AA1058" s="47"/>
      <c r="AE1058" s="47"/>
      <c r="AI1058" s="47"/>
    </row>
    <row r="1059" spans="2:35" x14ac:dyDescent="0.2">
      <c r="B1059" s="96"/>
      <c r="C1059" s="96"/>
      <c r="W1059" s="47"/>
      <c r="AA1059" s="47"/>
      <c r="AE1059" s="47"/>
      <c r="AI1059" s="47"/>
    </row>
    <row r="1060" spans="2:35" x14ac:dyDescent="0.2">
      <c r="B1060" s="96"/>
      <c r="C1060" s="96"/>
      <c r="W1060" s="47"/>
      <c r="AA1060" s="47"/>
      <c r="AE1060" s="47"/>
      <c r="AI1060" s="47"/>
    </row>
    <row r="1061" spans="2:35" x14ac:dyDescent="0.2">
      <c r="B1061" s="96"/>
      <c r="C1061" s="96"/>
      <c r="W1061" s="47"/>
      <c r="AA1061" s="47"/>
      <c r="AE1061" s="47"/>
      <c r="AI1061" s="47"/>
    </row>
    <row r="1062" spans="2:35" x14ac:dyDescent="0.2">
      <c r="B1062" s="96"/>
      <c r="C1062" s="96"/>
      <c r="W1062" s="47"/>
      <c r="AA1062" s="47"/>
      <c r="AE1062" s="47"/>
      <c r="AI1062" s="47"/>
    </row>
    <row r="1063" spans="2:35" x14ac:dyDescent="0.2">
      <c r="B1063" s="96"/>
      <c r="C1063" s="96"/>
      <c r="W1063" s="47"/>
      <c r="AA1063" s="47"/>
      <c r="AE1063" s="47"/>
      <c r="AI1063" s="47"/>
    </row>
    <row r="1064" spans="2:35" x14ac:dyDescent="0.2">
      <c r="B1064" s="96"/>
      <c r="C1064" s="96"/>
      <c r="W1064" s="47"/>
      <c r="AA1064" s="47"/>
      <c r="AE1064" s="47"/>
      <c r="AI1064" s="47"/>
    </row>
    <row r="1065" spans="2:35" x14ac:dyDescent="0.2">
      <c r="B1065" s="96"/>
      <c r="C1065" s="96"/>
      <c r="W1065" s="47"/>
      <c r="AA1065" s="47"/>
      <c r="AE1065" s="47"/>
      <c r="AI1065" s="47"/>
    </row>
    <row r="1066" spans="2:35" x14ac:dyDescent="0.2">
      <c r="B1066" s="96"/>
      <c r="C1066" s="96"/>
      <c r="W1066" s="47"/>
      <c r="AA1066" s="47"/>
      <c r="AE1066" s="47"/>
      <c r="AI1066" s="47"/>
    </row>
    <row r="1067" spans="2:35" x14ac:dyDescent="0.2">
      <c r="B1067" s="96"/>
      <c r="C1067" s="96"/>
      <c r="W1067" s="47"/>
      <c r="AA1067" s="47"/>
      <c r="AE1067" s="47"/>
      <c r="AI1067" s="47"/>
    </row>
    <row r="1068" spans="2:35" x14ac:dyDescent="0.2">
      <c r="W1068" s="47"/>
      <c r="AA1068" s="47"/>
      <c r="AE1068" s="47"/>
      <c r="AI1068" s="47"/>
    </row>
    <row r="1069" spans="2:35" x14ac:dyDescent="0.2">
      <c r="W1069" s="47"/>
      <c r="AA1069" s="47"/>
      <c r="AE1069" s="47"/>
      <c r="AI1069" s="47"/>
    </row>
    <row r="1070" spans="2:35" x14ac:dyDescent="0.2">
      <c r="W1070" s="47"/>
      <c r="AA1070" s="47"/>
      <c r="AE1070" s="47"/>
      <c r="AI1070" s="47"/>
    </row>
    <row r="1071" spans="2:35" x14ac:dyDescent="0.2">
      <c r="W1071" s="47"/>
      <c r="AA1071" s="47"/>
      <c r="AE1071" s="47"/>
      <c r="AI1071" s="47"/>
    </row>
    <row r="1072" spans="2:35" x14ac:dyDescent="0.2">
      <c r="W1072" s="47"/>
      <c r="AA1072" s="47"/>
      <c r="AE1072" s="47"/>
      <c r="AI1072" s="47"/>
    </row>
    <row r="1073" spans="23:35" x14ac:dyDescent="0.2">
      <c r="W1073" s="47"/>
      <c r="AA1073" s="47"/>
      <c r="AE1073" s="47"/>
      <c r="AI1073" s="47"/>
    </row>
    <row r="1074" spans="23:35" x14ac:dyDescent="0.2">
      <c r="W1074" s="47"/>
      <c r="AA1074" s="47"/>
      <c r="AE1074" s="47"/>
      <c r="AI1074" s="47"/>
    </row>
    <row r="1075" spans="23:35" x14ac:dyDescent="0.2">
      <c r="W1075" s="47"/>
      <c r="AA1075" s="47"/>
      <c r="AE1075" s="47"/>
      <c r="AI1075" s="47"/>
    </row>
    <row r="1076" spans="23:35" x14ac:dyDescent="0.2">
      <c r="W1076" s="47"/>
      <c r="AA1076" s="47"/>
      <c r="AE1076" s="47"/>
      <c r="AI1076" s="47"/>
    </row>
    <row r="1077" spans="23:35" x14ac:dyDescent="0.2">
      <c r="W1077" s="47"/>
      <c r="AA1077" s="47"/>
      <c r="AE1077" s="47"/>
      <c r="AI1077" s="47"/>
    </row>
    <row r="1078" spans="23:35" x14ac:dyDescent="0.2">
      <c r="W1078" s="47"/>
      <c r="AA1078" s="47"/>
      <c r="AE1078" s="47"/>
      <c r="AI1078" s="47"/>
    </row>
    <row r="1079" spans="23:35" x14ac:dyDescent="0.2">
      <c r="W1079" s="47"/>
      <c r="AA1079" s="47"/>
      <c r="AE1079" s="47"/>
      <c r="AI1079" s="47"/>
    </row>
    <row r="1080" spans="23:35" x14ac:dyDescent="0.2">
      <c r="W1080" s="47"/>
      <c r="AA1080" s="47"/>
      <c r="AE1080" s="47"/>
      <c r="AI1080" s="47"/>
    </row>
    <row r="1081" spans="23:35" x14ac:dyDescent="0.2">
      <c r="W1081" s="47"/>
      <c r="AA1081" s="47"/>
      <c r="AE1081" s="47"/>
      <c r="AI1081" s="47"/>
    </row>
    <row r="1082" spans="23:35" x14ac:dyDescent="0.2">
      <c r="W1082" s="47"/>
      <c r="AA1082" s="47"/>
      <c r="AE1082" s="47"/>
      <c r="AI1082" s="47"/>
    </row>
    <row r="1083" spans="23:35" x14ac:dyDescent="0.2">
      <c r="W1083" s="47"/>
      <c r="AA1083" s="47"/>
      <c r="AE1083" s="47"/>
      <c r="AI1083" s="47"/>
    </row>
    <row r="1084" spans="23:35" x14ac:dyDescent="0.2">
      <c r="W1084" s="47"/>
      <c r="AA1084" s="47"/>
      <c r="AE1084" s="47"/>
      <c r="AI1084" s="47"/>
    </row>
    <row r="1085" spans="23:35" x14ac:dyDescent="0.2">
      <c r="W1085" s="47"/>
      <c r="AA1085" s="47"/>
      <c r="AE1085" s="47"/>
      <c r="AI1085" s="47"/>
    </row>
    <row r="1086" spans="23:35" x14ac:dyDescent="0.2">
      <c r="W1086" s="47"/>
      <c r="AA1086" s="47"/>
      <c r="AE1086" s="47"/>
      <c r="AI1086" s="47"/>
    </row>
    <row r="1087" spans="23:35" x14ac:dyDescent="0.2">
      <c r="W1087" s="47"/>
      <c r="AA1087" s="47"/>
      <c r="AE1087" s="47"/>
      <c r="AI1087" s="47"/>
    </row>
    <row r="1088" spans="23:35" x14ac:dyDescent="0.2">
      <c r="W1088" s="47"/>
      <c r="AA1088" s="47"/>
      <c r="AE1088" s="47"/>
      <c r="AI1088" s="47"/>
    </row>
    <row r="1089" spans="23:35" x14ac:dyDescent="0.2">
      <c r="W1089" s="47"/>
      <c r="AA1089" s="47"/>
      <c r="AE1089" s="47"/>
      <c r="AI1089" s="47"/>
    </row>
    <row r="1090" spans="23:35" x14ac:dyDescent="0.2">
      <c r="W1090" s="47"/>
      <c r="AA1090" s="47"/>
      <c r="AE1090" s="47"/>
      <c r="AI1090" s="47"/>
    </row>
    <row r="1091" spans="23:35" x14ac:dyDescent="0.2">
      <c r="W1091" s="47"/>
      <c r="AA1091" s="47"/>
      <c r="AE1091" s="47"/>
      <c r="AI1091" s="47"/>
    </row>
    <row r="1092" spans="23:35" x14ac:dyDescent="0.2">
      <c r="W1092" s="47"/>
      <c r="AA1092" s="47"/>
      <c r="AE1092" s="47"/>
      <c r="AI1092" s="47"/>
    </row>
    <row r="1093" spans="23:35" x14ac:dyDescent="0.2">
      <c r="W1093" s="47"/>
      <c r="AA1093" s="47"/>
      <c r="AE1093" s="47"/>
      <c r="AI1093" s="47"/>
    </row>
    <row r="1094" spans="23:35" x14ac:dyDescent="0.2">
      <c r="W1094" s="47"/>
      <c r="AA1094" s="47"/>
      <c r="AE1094" s="47"/>
      <c r="AI1094" s="47"/>
    </row>
    <row r="1095" spans="23:35" x14ac:dyDescent="0.2">
      <c r="W1095" s="47"/>
      <c r="AA1095" s="47"/>
      <c r="AE1095" s="47"/>
      <c r="AI1095" s="47"/>
    </row>
    <row r="1096" spans="23:35" x14ac:dyDescent="0.2">
      <c r="W1096" s="47"/>
      <c r="AA1096" s="47"/>
      <c r="AE1096" s="47"/>
      <c r="AI1096" s="47"/>
    </row>
    <row r="1097" spans="23:35" x14ac:dyDescent="0.2">
      <c r="W1097" s="47"/>
      <c r="AA1097" s="47"/>
      <c r="AE1097" s="47"/>
      <c r="AI1097" s="47"/>
    </row>
    <row r="1098" spans="23:35" x14ac:dyDescent="0.2">
      <c r="W1098" s="47"/>
      <c r="AA1098" s="47"/>
      <c r="AE1098" s="47"/>
      <c r="AI1098" s="47"/>
    </row>
    <row r="1099" spans="23:35" x14ac:dyDescent="0.2">
      <c r="W1099" s="47"/>
      <c r="AA1099" s="47"/>
      <c r="AE1099" s="47"/>
      <c r="AI1099" s="47"/>
    </row>
    <row r="1100" spans="23:35" x14ac:dyDescent="0.2">
      <c r="W1100" s="47"/>
      <c r="AA1100" s="47"/>
      <c r="AE1100" s="47"/>
      <c r="AI1100" s="47"/>
    </row>
    <row r="1101" spans="23:35" x14ac:dyDescent="0.2">
      <c r="W1101" s="47"/>
      <c r="AA1101" s="47"/>
      <c r="AE1101" s="47"/>
      <c r="AI1101" s="47"/>
    </row>
    <row r="1102" spans="23:35" x14ac:dyDescent="0.2">
      <c r="W1102" s="47"/>
      <c r="AA1102" s="47"/>
      <c r="AE1102" s="47"/>
      <c r="AI1102" s="47"/>
    </row>
    <row r="1103" spans="23:35" x14ac:dyDescent="0.2">
      <c r="W1103" s="47"/>
      <c r="AA1103" s="47"/>
      <c r="AE1103" s="47"/>
      <c r="AI1103" s="47"/>
    </row>
    <row r="1104" spans="23:35" x14ac:dyDescent="0.2">
      <c r="W1104" s="47"/>
      <c r="AA1104" s="47"/>
      <c r="AE1104" s="47"/>
      <c r="AI1104" s="47"/>
    </row>
    <row r="1105" spans="23:35" x14ac:dyDescent="0.2">
      <c r="W1105" s="47"/>
      <c r="AA1105" s="47"/>
      <c r="AE1105" s="47"/>
      <c r="AI1105" s="47"/>
    </row>
    <row r="1106" spans="23:35" x14ac:dyDescent="0.2">
      <c r="W1106" s="47"/>
      <c r="AA1106" s="47"/>
      <c r="AE1106" s="47"/>
      <c r="AI1106" s="47"/>
    </row>
    <row r="1107" spans="23:35" x14ac:dyDescent="0.2">
      <c r="W1107" s="47"/>
      <c r="AA1107" s="47"/>
      <c r="AE1107" s="47"/>
      <c r="AI1107" s="47"/>
    </row>
    <row r="1108" spans="23:35" x14ac:dyDescent="0.2">
      <c r="W1108" s="47"/>
      <c r="AA1108" s="47"/>
      <c r="AE1108" s="47"/>
      <c r="AI1108" s="47"/>
    </row>
    <row r="1109" spans="23:35" x14ac:dyDescent="0.2">
      <c r="W1109" s="47"/>
      <c r="AA1109" s="47"/>
      <c r="AE1109" s="47"/>
      <c r="AI1109" s="47"/>
    </row>
    <row r="1110" spans="23:35" x14ac:dyDescent="0.2">
      <c r="W1110" s="47"/>
      <c r="AA1110" s="47"/>
      <c r="AE1110" s="47"/>
      <c r="AI1110" s="47"/>
    </row>
    <row r="1111" spans="23:35" x14ac:dyDescent="0.2">
      <c r="W1111" s="47"/>
      <c r="AA1111" s="47"/>
      <c r="AE1111" s="47"/>
      <c r="AI1111" s="47"/>
    </row>
    <row r="1112" spans="23:35" x14ac:dyDescent="0.2">
      <c r="W1112" s="47"/>
      <c r="AA1112" s="47"/>
      <c r="AE1112" s="47"/>
      <c r="AI1112" s="47"/>
    </row>
    <row r="1113" spans="23:35" x14ac:dyDescent="0.2">
      <c r="W1113" s="47"/>
      <c r="AA1113" s="47"/>
      <c r="AE1113" s="47"/>
      <c r="AI1113" s="47"/>
    </row>
    <row r="1114" spans="23:35" x14ac:dyDescent="0.2">
      <c r="W1114" s="47"/>
      <c r="AA1114" s="47"/>
      <c r="AE1114" s="47"/>
      <c r="AI1114" s="47"/>
    </row>
    <row r="1115" spans="23:35" x14ac:dyDescent="0.2">
      <c r="W1115" s="47"/>
      <c r="AA1115" s="47"/>
      <c r="AE1115" s="47"/>
      <c r="AI1115" s="47"/>
    </row>
    <row r="1116" spans="23:35" x14ac:dyDescent="0.2">
      <c r="W1116" s="47"/>
      <c r="AA1116" s="47"/>
      <c r="AE1116" s="47"/>
      <c r="AI1116" s="47"/>
    </row>
    <row r="1117" spans="23:35" x14ac:dyDescent="0.2">
      <c r="W1117" s="47"/>
      <c r="AA1117" s="47"/>
      <c r="AE1117" s="47"/>
      <c r="AI1117" s="47"/>
    </row>
    <row r="1118" spans="23:35" x14ac:dyDescent="0.2">
      <c r="W1118" s="47"/>
      <c r="AA1118" s="47"/>
      <c r="AE1118" s="47"/>
      <c r="AI1118" s="47"/>
    </row>
    <row r="1119" spans="23:35" x14ac:dyDescent="0.2">
      <c r="W1119" s="47"/>
      <c r="AA1119" s="47"/>
      <c r="AE1119" s="47"/>
      <c r="AI1119" s="47"/>
    </row>
    <row r="1120" spans="23:35" x14ac:dyDescent="0.2">
      <c r="W1120" s="47"/>
      <c r="AA1120" s="47"/>
      <c r="AE1120" s="47"/>
      <c r="AI1120" s="47"/>
    </row>
    <row r="1121" spans="23:35" x14ac:dyDescent="0.2">
      <c r="W1121" s="47"/>
      <c r="AA1121" s="47"/>
      <c r="AE1121" s="47"/>
      <c r="AI1121" s="47"/>
    </row>
    <row r="1122" spans="23:35" x14ac:dyDescent="0.2">
      <c r="W1122" s="47"/>
      <c r="AA1122" s="47"/>
      <c r="AE1122" s="47"/>
      <c r="AI1122" s="47"/>
    </row>
    <row r="1123" spans="23:35" x14ac:dyDescent="0.2">
      <c r="W1123" s="47"/>
      <c r="AA1123" s="47"/>
      <c r="AE1123" s="47"/>
      <c r="AI1123" s="47"/>
    </row>
    <row r="1124" spans="23:35" x14ac:dyDescent="0.2">
      <c r="W1124" s="47"/>
      <c r="AA1124" s="47"/>
      <c r="AE1124" s="47"/>
      <c r="AI1124" s="47"/>
    </row>
    <row r="1125" spans="23:35" x14ac:dyDescent="0.2">
      <c r="W1125" s="47"/>
      <c r="AA1125" s="47"/>
      <c r="AE1125" s="47"/>
      <c r="AI1125" s="47"/>
    </row>
    <row r="1126" spans="23:35" x14ac:dyDescent="0.2">
      <c r="W1126" s="47"/>
      <c r="AA1126" s="47"/>
      <c r="AE1126" s="47"/>
      <c r="AI1126" s="47"/>
    </row>
    <row r="1127" spans="23:35" x14ac:dyDescent="0.2">
      <c r="W1127" s="47"/>
      <c r="AA1127" s="47"/>
      <c r="AE1127" s="47"/>
      <c r="AI1127" s="47"/>
    </row>
    <row r="1128" spans="23:35" x14ac:dyDescent="0.2">
      <c r="W1128" s="47"/>
      <c r="AA1128" s="47"/>
      <c r="AE1128" s="47"/>
      <c r="AI1128" s="47"/>
    </row>
    <row r="1129" spans="23:35" x14ac:dyDescent="0.2">
      <c r="W1129" s="47"/>
      <c r="AA1129" s="47"/>
      <c r="AE1129" s="47"/>
      <c r="AI1129" s="47"/>
    </row>
    <row r="1130" spans="23:35" x14ac:dyDescent="0.2">
      <c r="W1130" s="47"/>
      <c r="AA1130" s="47"/>
      <c r="AE1130" s="47"/>
      <c r="AI1130" s="47"/>
    </row>
    <row r="1131" spans="23:35" x14ac:dyDescent="0.2">
      <c r="W1131" s="47"/>
      <c r="AA1131" s="47"/>
      <c r="AE1131" s="47"/>
      <c r="AI1131" s="47"/>
    </row>
    <row r="1132" spans="23:35" x14ac:dyDescent="0.2">
      <c r="W1132" s="47"/>
      <c r="AA1132" s="47"/>
      <c r="AE1132" s="47"/>
      <c r="AI1132" s="47"/>
    </row>
    <row r="1133" spans="23:35" x14ac:dyDescent="0.2">
      <c r="W1133" s="47"/>
      <c r="AA1133" s="47"/>
      <c r="AE1133" s="47"/>
      <c r="AI1133" s="47"/>
    </row>
    <row r="1134" spans="23:35" x14ac:dyDescent="0.2">
      <c r="W1134" s="47"/>
      <c r="AA1134" s="47"/>
      <c r="AE1134" s="47"/>
      <c r="AI1134" s="47"/>
    </row>
    <row r="1135" spans="23:35" x14ac:dyDescent="0.2">
      <c r="W1135" s="47"/>
      <c r="AA1135" s="47"/>
      <c r="AE1135" s="47"/>
      <c r="AI1135" s="47"/>
    </row>
    <row r="1136" spans="23:35" x14ac:dyDescent="0.2">
      <c r="W1136" s="47"/>
      <c r="AA1136" s="47"/>
      <c r="AE1136" s="47"/>
      <c r="AI1136" s="47"/>
    </row>
    <row r="1137" spans="23:35" x14ac:dyDescent="0.2">
      <c r="W1137" s="47"/>
      <c r="AA1137" s="47"/>
      <c r="AE1137" s="47"/>
      <c r="AI1137" s="47"/>
    </row>
    <row r="1138" spans="23:35" x14ac:dyDescent="0.2">
      <c r="W1138" s="47"/>
      <c r="AA1138" s="47"/>
      <c r="AE1138" s="47"/>
      <c r="AI1138" s="47"/>
    </row>
    <row r="1139" spans="23:35" x14ac:dyDescent="0.2">
      <c r="W1139" s="47"/>
      <c r="AA1139" s="47"/>
      <c r="AE1139" s="47"/>
      <c r="AI1139" s="47"/>
    </row>
    <row r="1140" spans="23:35" x14ac:dyDescent="0.2">
      <c r="W1140" s="47"/>
      <c r="AA1140" s="47"/>
      <c r="AE1140" s="47"/>
      <c r="AI1140" s="47"/>
    </row>
    <row r="1141" spans="23:35" x14ac:dyDescent="0.2">
      <c r="W1141" s="47"/>
      <c r="AA1141" s="47"/>
      <c r="AE1141" s="47"/>
      <c r="AI1141" s="47"/>
    </row>
    <row r="1142" spans="23:35" x14ac:dyDescent="0.2">
      <c r="W1142" s="47"/>
      <c r="AA1142" s="47"/>
      <c r="AE1142" s="47"/>
      <c r="AI1142" s="47"/>
    </row>
    <row r="1143" spans="23:35" x14ac:dyDescent="0.2">
      <c r="W1143" s="47"/>
      <c r="AA1143" s="47"/>
      <c r="AE1143" s="47"/>
      <c r="AI1143" s="47"/>
    </row>
    <row r="1144" spans="23:35" x14ac:dyDescent="0.2">
      <c r="W1144" s="47"/>
      <c r="AA1144" s="47"/>
      <c r="AE1144" s="47"/>
      <c r="AI1144" s="47"/>
    </row>
    <row r="1145" spans="23:35" x14ac:dyDescent="0.2">
      <c r="W1145" s="47"/>
      <c r="AA1145" s="47"/>
      <c r="AE1145" s="47"/>
      <c r="AI1145" s="47"/>
    </row>
    <row r="1146" spans="23:35" x14ac:dyDescent="0.2">
      <c r="W1146" s="47"/>
      <c r="AA1146" s="47"/>
      <c r="AE1146" s="47"/>
      <c r="AI1146" s="47"/>
    </row>
    <row r="1147" spans="23:35" x14ac:dyDescent="0.2">
      <c r="W1147" s="47"/>
      <c r="AA1147" s="47"/>
      <c r="AE1147" s="47"/>
      <c r="AI1147" s="47"/>
    </row>
    <row r="1148" spans="23:35" x14ac:dyDescent="0.2">
      <c r="W1148" s="47"/>
      <c r="AA1148" s="47"/>
      <c r="AE1148" s="47"/>
      <c r="AI1148" s="47"/>
    </row>
    <row r="1149" spans="23:35" x14ac:dyDescent="0.2">
      <c r="W1149" s="47"/>
      <c r="AA1149" s="47"/>
      <c r="AE1149" s="47"/>
      <c r="AI1149" s="47"/>
    </row>
    <row r="1150" spans="23:35" x14ac:dyDescent="0.2">
      <c r="W1150" s="47"/>
      <c r="AA1150" s="47"/>
      <c r="AE1150" s="47"/>
      <c r="AI1150" s="47"/>
    </row>
    <row r="1151" spans="23:35" x14ac:dyDescent="0.2">
      <c r="W1151" s="47"/>
      <c r="AA1151" s="47"/>
      <c r="AE1151" s="47"/>
      <c r="AI1151" s="47"/>
    </row>
    <row r="1152" spans="23:35" x14ac:dyDescent="0.2">
      <c r="W1152" s="47"/>
      <c r="AA1152" s="47"/>
      <c r="AE1152" s="47"/>
      <c r="AI1152" s="47"/>
    </row>
    <row r="1153" spans="23:35" x14ac:dyDescent="0.2">
      <c r="W1153" s="47"/>
      <c r="AA1153" s="47"/>
      <c r="AE1153" s="47"/>
      <c r="AI1153" s="47"/>
    </row>
    <row r="1154" spans="23:35" x14ac:dyDescent="0.2">
      <c r="W1154" s="47"/>
      <c r="AA1154" s="47"/>
      <c r="AE1154" s="47"/>
      <c r="AI1154" s="47"/>
    </row>
    <row r="1155" spans="23:35" x14ac:dyDescent="0.2">
      <c r="W1155" s="47"/>
      <c r="AA1155" s="47"/>
      <c r="AE1155" s="47"/>
      <c r="AI1155" s="47"/>
    </row>
    <row r="1156" spans="23:35" x14ac:dyDescent="0.2">
      <c r="W1156" s="47"/>
      <c r="AA1156" s="47"/>
      <c r="AE1156" s="47"/>
      <c r="AI1156" s="47"/>
    </row>
    <row r="1157" spans="23:35" x14ac:dyDescent="0.2">
      <c r="W1157" s="47"/>
      <c r="AA1157" s="47"/>
      <c r="AE1157" s="47"/>
      <c r="AI1157" s="47"/>
    </row>
    <row r="1158" spans="23:35" x14ac:dyDescent="0.2">
      <c r="W1158" s="47"/>
      <c r="AA1158" s="47"/>
      <c r="AE1158" s="47"/>
      <c r="AI1158" s="47"/>
    </row>
    <row r="1159" spans="23:35" x14ac:dyDescent="0.2">
      <c r="W1159" s="47"/>
      <c r="AA1159" s="47"/>
      <c r="AE1159" s="47"/>
      <c r="AI1159" s="47"/>
    </row>
    <row r="1160" spans="23:35" x14ac:dyDescent="0.2">
      <c r="W1160" s="47"/>
      <c r="AA1160" s="47"/>
      <c r="AE1160" s="47"/>
      <c r="AI1160" s="47"/>
    </row>
    <row r="1161" spans="23:35" x14ac:dyDescent="0.2">
      <c r="W1161" s="47"/>
      <c r="AA1161" s="47"/>
      <c r="AE1161" s="47"/>
      <c r="AI1161" s="47"/>
    </row>
    <row r="1162" spans="23:35" x14ac:dyDescent="0.2">
      <c r="W1162" s="47"/>
      <c r="AA1162" s="47"/>
      <c r="AE1162" s="47"/>
      <c r="AI1162" s="47"/>
    </row>
    <row r="1163" spans="23:35" x14ac:dyDescent="0.2">
      <c r="W1163" s="47"/>
      <c r="AA1163" s="47"/>
      <c r="AE1163" s="47"/>
      <c r="AI1163" s="47"/>
    </row>
    <row r="1164" spans="23:35" x14ac:dyDescent="0.2">
      <c r="W1164" s="47"/>
      <c r="AA1164" s="47"/>
      <c r="AE1164" s="47"/>
      <c r="AI1164" s="47"/>
    </row>
    <row r="1165" spans="23:35" x14ac:dyDescent="0.2">
      <c r="W1165" s="47"/>
      <c r="AA1165" s="47"/>
      <c r="AE1165" s="47"/>
      <c r="AI1165" s="47"/>
    </row>
    <row r="1166" spans="23:35" x14ac:dyDescent="0.2">
      <c r="W1166" s="47"/>
      <c r="AA1166" s="47"/>
      <c r="AE1166" s="47"/>
      <c r="AI1166" s="47"/>
    </row>
    <row r="1167" spans="23:35" x14ac:dyDescent="0.2">
      <c r="W1167" s="47"/>
      <c r="AA1167" s="47"/>
      <c r="AE1167" s="47"/>
      <c r="AI1167" s="47"/>
    </row>
    <row r="1168" spans="23:35" x14ac:dyDescent="0.2">
      <c r="W1168" s="47"/>
      <c r="AA1168" s="47"/>
      <c r="AE1168" s="47"/>
      <c r="AI1168" s="47"/>
    </row>
    <row r="1169" spans="23:35" x14ac:dyDescent="0.2">
      <c r="W1169" s="47"/>
      <c r="AA1169" s="47"/>
      <c r="AE1169" s="47"/>
      <c r="AI1169" s="47"/>
    </row>
    <row r="1170" spans="23:35" x14ac:dyDescent="0.2">
      <c r="W1170" s="47"/>
      <c r="AA1170" s="47"/>
      <c r="AE1170" s="47"/>
      <c r="AI1170" s="47"/>
    </row>
    <row r="1171" spans="23:35" x14ac:dyDescent="0.2">
      <c r="W1171" s="47"/>
      <c r="AA1171" s="47"/>
      <c r="AE1171" s="47"/>
      <c r="AI1171" s="47"/>
    </row>
    <row r="1172" spans="23:35" x14ac:dyDescent="0.2">
      <c r="W1172" s="47"/>
      <c r="AA1172" s="47"/>
      <c r="AE1172" s="47"/>
      <c r="AI1172" s="47"/>
    </row>
    <row r="1173" spans="23:35" x14ac:dyDescent="0.2">
      <c r="W1173" s="47"/>
      <c r="AA1173" s="47"/>
      <c r="AE1173" s="47"/>
      <c r="AI1173" s="47"/>
    </row>
    <row r="1174" spans="23:35" x14ac:dyDescent="0.2">
      <c r="W1174" s="47"/>
      <c r="AA1174" s="47"/>
      <c r="AE1174" s="47"/>
      <c r="AI1174" s="47"/>
    </row>
    <row r="1175" spans="23:35" x14ac:dyDescent="0.2">
      <c r="W1175" s="47"/>
      <c r="AA1175" s="47"/>
      <c r="AE1175" s="47"/>
      <c r="AI1175" s="47"/>
    </row>
    <row r="1176" spans="23:35" x14ac:dyDescent="0.2">
      <c r="W1176" s="47"/>
      <c r="AA1176" s="47"/>
      <c r="AE1176" s="47"/>
      <c r="AI1176" s="47"/>
    </row>
    <row r="1177" spans="23:35" x14ac:dyDescent="0.2">
      <c r="W1177" s="47"/>
      <c r="AA1177" s="47"/>
      <c r="AE1177" s="47"/>
      <c r="AI1177" s="47"/>
    </row>
    <row r="1178" spans="23:35" x14ac:dyDescent="0.2">
      <c r="W1178" s="47"/>
      <c r="AA1178" s="47"/>
      <c r="AE1178" s="47"/>
      <c r="AI1178" s="47"/>
    </row>
    <row r="1179" spans="23:35" x14ac:dyDescent="0.2">
      <c r="W1179" s="47"/>
      <c r="AA1179" s="47"/>
      <c r="AE1179" s="47"/>
      <c r="AI1179" s="47"/>
    </row>
    <row r="1180" spans="23:35" x14ac:dyDescent="0.2">
      <c r="W1180" s="47"/>
      <c r="AA1180" s="47"/>
      <c r="AE1180" s="47"/>
      <c r="AI1180" s="47"/>
    </row>
    <row r="1181" spans="23:35" x14ac:dyDescent="0.2">
      <c r="W1181" s="47"/>
      <c r="AA1181" s="47"/>
      <c r="AE1181" s="47"/>
      <c r="AI1181" s="47"/>
    </row>
    <row r="1182" spans="23:35" x14ac:dyDescent="0.2">
      <c r="W1182" s="47"/>
      <c r="AA1182" s="47"/>
      <c r="AE1182" s="47"/>
      <c r="AI1182" s="47"/>
    </row>
    <row r="1183" spans="23:35" x14ac:dyDescent="0.2">
      <c r="W1183" s="47"/>
      <c r="AA1183" s="47"/>
      <c r="AE1183" s="47"/>
      <c r="AI1183" s="47"/>
    </row>
    <row r="1184" spans="23:35" x14ac:dyDescent="0.2">
      <c r="W1184" s="47"/>
      <c r="AA1184" s="47"/>
      <c r="AE1184" s="47"/>
      <c r="AI1184" s="47"/>
    </row>
    <row r="1185" spans="23:35" x14ac:dyDescent="0.2">
      <c r="W1185" s="47"/>
      <c r="AA1185" s="47"/>
      <c r="AE1185" s="47"/>
      <c r="AI1185" s="47"/>
    </row>
    <row r="1186" spans="23:35" x14ac:dyDescent="0.2">
      <c r="W1186" s="47"/>
      <c r="AA1186" s="47"/>
      <c r="AE1186" s="47"/>
      <c r="AI1186" s="47"/>
    </row>
    <row r="1187" spans="23:35" x14ac:dyDescent="0.2">
      <c r="W1187" s="47"/>
      <c r="AA1187" s="47"/>
      <c r="AE1187" s="47"/>
      <c r="AI1187" s="47"/>
    </row>
    <row r="1188" spans="23:35" x14ac:dyDescent="0.2">
      <c r="W1188" s="47"/>
      <c r="AA1188" s="47"/>
      <c r="AE1188" s="47"/>
      <c r="AI1188" s="47"/>
    </row>
    <row r="1189" spans="23:35" x14ac:dyDescent="0.2">
      <c r="W1189" s="47"/>
      <c r="AA1189" s="47"/>
      <c r="AE1189" s="47"/>
      <c r="AI1189" s="47"/>
    </row>
    <row r="1190" spans="23:35" x14ac:dyDescent="0.2">
      <c r="W1190" s="47"/>
      <c r="AA1190" s="47"/>
      <c r="AE1190" s="47"/>
      <c r="AI1190" s="47"/>
    </row>
    <row r="1191" spans="23:35" x14ac:dyDescent="0.2">
      <c r="W1191" s="47"/>
      <c r="AA1191" s="47"/>
      <c r="AE1191" s="47"/>
      <c r="AI1191" s="47"/>
    </row>
    <row r="1192" spans="23:35" x14ac:dyDescent="0.2">
      <c r="W1192" s="47"/>
      <c r="AA1192" s="47"/>
      <c r="AE1192" s="47"/>
      <c r="AI1192" s="47"/>
    </row>
    <row r="1193" spans="23:35" x14ac:dyDescent="0.2">
      <c r="W1193" s="47"/>
      <c r="AA1193" s="47"/>
      <c r="AE1193" s="47"/>
      <c r="AI1193" s="47"/>
    </row>
    <row r="1194" spans="23:35" x14ac:dyDescent="0.2">
      <c r="W1194" s="47"/>
      <c r="AA1194" s="47"/>
      <c r="AE1194" s="47"/>
      <c r="AI1194" s="47"/>
    </row>
    <row r="1195" spans="23:35" x14ac:dyDescent="0.2">
      <c r="W1195" s="47"/>
      <c r="AA1195" s="47"/>
      <c r="AE1195" s="47"/>
      <c r="AI1195" s="47"/>
    </row>
    <row r="1196" spans="23:35" x14ac:dyDescent="0.2">
      <c r="W1196" s="47"/>
      <c r="AA1196" s="47"/>
      <c r="AE1196" s="47"/>
      <c r="AI1196" s="47"/>
    </row>
    <row r="1197" spans="23:35" x14ac:dyDescent="0.2">
      <c r="W1197" s="47"/>
      <c r="AA1197" s="47"/>
      <c r="AE1197" s="47"/>
      <c r="AI1197" s="47"/>
    </row>
    <row r="1198" spans="23:35" x14ac:dyDescent="0.2">
      <c r="W1198" s="47"/>
      <c r="AA1198" s="47"/>
      <c r="AE1198" s="47"/>
      <c r="AI1198" s="47"/>
    </row>
    <row r="1199" spans="23:35" x14ac:dyDescent="0.2">
      <c r="W1199" s="47"/>
      <c r="AA1199" s="47"/>
      <c r="AE1199" s="47"/>
      <c r="AI1199" s="47"/>
    </row>
    <row r="1200" spans="23:35" x14ac:dyDescent="0.2">
      <c r="W1200" s="47"/>
      <c r="AA1200" s="47"/>
      <c r="AE1200" s="47"/>
      <c r="AI1200" s="47"/>
    </row>
    <row r="1201" spans="23:35" x14ac:dyDescent="0.2">
      <c r="W1201" s="47"/>
      <c r="AA1201" s="47"/>
      <c r="AE1201" s="47"/>
      <c r="AI1201" s="47"/>
    </row>
    <row r="1202" spans="23:35" x14ac:dyDescent="0.2">
      <c r="W1202" s="47"/>
      <c r="AA1202" s="47"/>
      <c r="AE1202" s="47"/>
      <c r="AI1202" s="47"/>
    </row>
    <row r="1203" spans="23:35" x14ac:dyDescent="0.2">
      <c r="W1203" s="47"/>
      <c r="AA1203" s="47"/>
      <c r="AE1203" s="47"/>
      <c r="AI1203" s="47"/>
    </row>
    <row r="1204" spans="23:35" x14ac:dyDescent="0.2">
      <c r="W1204" s="47"/>
      <c r="AA1204" s="47"/>
      <c r="AE1204" s="47"/>
      <c r="AI1204" s="47"/>
    </row>
    <row r="1205" spans="23:35" x14ac:dyDescent="0.2">
      <c r="W1205" s="47"/>
      <c r="AA1205" s="47"/>
      <c r="AE1205" s="47"/>
      <c r="AI1205" s="47"/>
    </row>
    <row r="1206" spans="23:35" x14ac:dyDescent="0.2">
      <c r="W1206" s="47"/>
      <c r="AA1206" s="47"/>
      <c r="AE1206" s="47"/>
      <c r="AI1206" s="47"/>
    </row>
    <row r="1207" spans="23:35" x14ac:dyDescent="0.2">
      <c r="W1207" s="47"/>
      <c r="AA1207" s="47"/>
      <c r="AE1207" s="47"/>
      <c r="AI1207" s="47"/>
    </row>
    <row r="1208" spans="23:35" x14ac:dyDescent="0.2">
      <c r="W1208" s="47"/>
      <c r="AA1208" s="47"/>
      <c r="AE1208" s="47"/>
      <c r="AI1208" s="47"/>
    </row>
    <row r="1209" spans="23:35" x14ac:dyDescent="0.2">
      <c r="W1209" s="47"/>
      <c r="AA1209" s="47"/>
      <c r="AE1209" s="47"/>
      <c r="AI1209" s="47"/>
    </row>
    <row r="1210" spans="23:35" x14ac:dyDescent="0.2">
      <c r="W1210" s="47"/>
      <c r="AA1210" s="47"/>
      <c r="AE1210" s="47"/>
      <c r="AI1210" s="47"/>
    </row>
    <row r="1211" spans="23:35" x14ac:dyDescent="0.2">
      <c r="W1211" s="47"/>
      <c r="AA1211" s="47"/>
      <c r="AE1211" s="47"/>
      <c r="AI1211" s="47"/>
    </row>
    <row r="1212" spans="23:35" x14ac:dyDescent="0.2">
      <c r="W1212" s="47"/>
      <c r="AA1212" s="47"/>
      <c r="AE1212" s="47"/>
      <c r="AI1212" s="47"/>
    </row>
    <row r="1213" spans="23:35" x14ac:dyDescent="0.2">
      <c r="W1213" s="47"/>
      <c r="AA1213" s="47"/>
      <c r="AE1213" s="47"/>
      <c r="AI1213" s="47"/>
    </row>
    <row r="1214" spans="23:35" x14ac:dyDescent="0.2">
      <c r="W1214" s="47"/>
      <c r="AA1214" s="47"/>
      <c r="AE1214" s="47"/>
      <c r="AI1214" s="47"/>
    </row>
    <row r="1215" spans="23:35" x14ac:dyDescent="0.2">
      <c r="W1215" s="47"/>
      <c r="AA1215" s="47"/>
      <c r="AE1215" s="47"/>
      <c r="AI1215" s="47"/>
    </row>
    <row r="1216" spans="23:35" x14ac:dyDescent="0.2">
      <c r="W1216" s="47"/>
      <c r="AA1216" s="47"/>
      <c r="AE1216" s="47"/>
      <c r="AI1216" s="47"/>
    </row>
    <row r="1217" spans="23:35" x14ac:dyDescent="0.2">
      <c r="W1217" s="47"/>
      <c r="AA1217" s="47"/>
      <c r="AE1217" s="47"/>
      <c r="AI1217" s="47"/>
    </row>
    <row r="1218" spans="23:35" x14ac:dyDescent="0.2">
      <c r="W1218" s="47"/>
      <c r="AA1218" s="47"/>
      <c r="AE1218" s="47"/>
      <c r="AI1218" s="47"/>
    </row>
    <row r="1219" spans="23:35" x14ac:dyDescent="0.2">
      <c r="W1219" s="47"/>
      <c r="AA1219" s="47"/>
      <c r="AE1219" s="47"/>
      <c r="AI1219" s="47"/>
    </row>
    <row r="1220" spans="23:35" x14ac:dyDescent="0.2">
      <c r="W1220" s="47"/>
      <c r="AA1220" s="47"/>
      <c r="AE1220" s="47"/>
      <c r="AI1220" s="47"/>
    </row>
    <row r="1221" spans="23:35" x14ac:dyDescent="0.2">
      <c r="W1221" s="47"/>
      <c r="AA1221" s="47"/>
      <c r="AE1221" s="47"/>
      <c r="AI1221" s="47"/>
    </row>
    <row r="1222" spans="23:35" x14ac:dyDescent="0.2">
      <c r="W1222" s="47"/>
      <c r="AA1222" s="47"/>
      <c r="AE1222" s="47"/>
      <c r="AI1222" s="47"/>
    </row>
    <row r="1223" spans="23:35" x14ac:dyDescent="0.2">
      <c r="W1223" s="47"/>
      <c r="AA1223" s="47"/>
      <c r="AE1223" s="47"/>
      <c r="AI1223" s="47"/>
    </row>
    <row r="1224" spans="23:35" x14ac:dyDescent="0.2">
      <c r="W1224" s="47"/>
      <c r="AA1224" s="47"/>
      <c r="AE1224" s="47"/>
      <c r="AI1224" s="47"/>
    </row>
    <row r="1225" spans="23:35" x14ac:dyDescent="0.2">
      <c r="W1225" s="47"/>
      <c r="AA1225" s="47"/>
      <c r="AE1225" s="47"/>
      <c r="AI1225" s="47"/>
    </row>
    <row r="1226" spans="23:35" x14ac:dyDescent="0.2">
      <c r="W1226" s="47"/>
      <c r="AA1226" s="47"/>
      <c r="AE1226" s="47"/>
      <c r="AI1226" s="47"/>
    </row>
    <row r="1227" spans="23:35" x14ac:dyDescent="0.2">
      <c r="W1227" s="47"/>
      <c r="AA1227" s="47"/>
      <c r="AE1227" s="47"/>
      <c r="AI1227" s="47"/>
    </row>
    <row r="1228" spans="23:35" x14ac:dyDescent="0.2">
      <c r="W1228" s="47"/>
      <c r="AA1228" s="47"/>
      <c r="AE1228" s="47"/>
      <c r="AI1228" s="47"/>
    </row>
    <row r="1229" spans="23:35" x14ac:dyDescent="0.2">
      <c r="W1229" s="47"/>
      <c r="AA1229" s="47"/>
      <c r="AE1229" s="47"/>
      <c r="AI1229" s="47"/>
    </row>
    <row r="1230" spans="23:35" x14ac:dyDescent="0.2">
      <c r="W1230" s="47"/>
      <c r="AA1230" s="47"/>
      <c r="AE1230" s="47"/>
      <c r="AI1230" s="47"/>
    </row>
    <row r="1231" spans="23:35" x14ac:dyDescent="0.2">
      <c r="W1231" s="47"/>
      <c r="AA1231" s="47"/>
      <c r="AE1231" s="47"/>
      <c r="AI1231" s="47"/>
    </row>
    <row r="1232" spans="23:35" x14ac:dyDescent="0.2">
      <c r="W1232" s="47"/>
      <c r="AA1232" s="47"/>
      <c r="AE1232" s="47"/>
      <c r="AI1232" s="47"/>
    </row>
    <row r="1233" spans="23:35" x14ac:dyDescent="0.2">
      <c r="W1233" s="47"/>
      <c r="AA1233" s="47"/>
      <c r="AE1233" s="47"/>
      <c r="AI1233" s="47"/>
    </row>
    <row r="1234" spans="23:35" x14ac:dyDescent="0.2">
      <c r="W1234" s="47"/>
      <c r="AA1234" s="47"/>
      <c r="AE1234" s="47"/>
      <c r="AI1234" s="47"/>
    </row>
    <row r="1235" spans="23:35" x14ac:dyDescent="0.2">
      <c r="W1235" s="47"/>
      <c r="AA1235" s="47"/>
      <c r="AE1235" s="47"/>
      <c r="AI1235" s="47"/>
    </row>
    <row r="1236" spans="23:35" x14ac:dyDescent="0.2">
      <c r="W1236" s="47"/>
      <c r="AA1236" s="47"/>
      <c r="AE1236" s="47"/>
      <c r="AI1236" s="47"/>
    </row>
    <row r="1237" spans="23:35" x14ac:dyDescent="0.2">
      <c r="W1237" s="47"/>
      <c r="AA1237" s="47"/>
      <c r="AE1237" s="47"/>
      <c r="AI1237" s="47"/>
    </row>
    <row r="1238" spans="23:35" x14ac:dyDescent="0.2">
      <c r="W1238" s="47"/>
      <c r="AA1238" s="47"/>
      <c r="AE1238" s="47"/>
      <c r="AI1238" s="47"/>
    </row>
    <row r="1239" spans="23:35" x14ac:dyDescent="0.2">
      <c r="W1239" s="47"/>
      <c r="AA1239" s="47"/>
      <c r="AE1239" s="47"/>
      <c r="AI1239" s="47"/>
    </row>
    <row r="1240" spans="23:35" x14ac:dyDescent="0.2">
      <c r="W1240" s="47"/>
      <c r="AA1240" s="47"/>
      <c r="AE1240" s="47"/>
      <c r="AI1240" s="47"/>
    </row>
    <row r="1241" spans="23:35" x14ac:dyDescent="0.2">
      <c r="W1241" s="47"/>
      <c r="AA1241" s="47"/>
      <c r="AE1241" s="47"/>
      <c r="AI1241" s="47"/>
    </row>
    <row r="1242" spans="23:35" x14ac:dyDescent="0.2">
      <c r="W1242" s="47"/>
      <c r="AA1242" s="47"/>
      <c r="AE1242" s="47"/>
      <c r="AI1242" s="47"/>
    </row>
    <row r="1243" spans="23:35" x14ac:dyDescent="0.2">
      <c r="W1243" s="47"/>
      <c r="AA1243" s="47"/>
      <c r="AE1243" s="47"/>
      <c r="AI1243" s="47"/>
    </row>
    <row r="1244" spans="23:35" x14ac:dyDescent="0.2">
      <c r="W1244" s="47"/>
      <c r="AA1244" s="47"/>
      <c r="AE1244" s="47"/>
      <c r="AI1244" s="47"/>
    </row>
    <row r="1245" spans="23:35" x14ac:dyDescent="0.2">
      <c r="W1245" s="47"/>
      <c r="AA1245" s="47"/>
      <c r="AE1245" s="47"/>
      <c r="AI1245" s="47"/>
    </row>
    <row r="1246" spans="23:35" x14ac:dyDescent="0.2">
      <c r="W1246" s="47"/>
      <c r="AA1246" s="47"/>
      <c r="AE1246" s="47"/>
      <c r="AI1246" s="47"/>
    </row>
    <row r="1247" spans="23:35" x14ac:dyDescent="0.2">
      <c r="W1247" s="47"/>
      <c r="AA1247" s="47"/>
      <c r="AE1247" s="47"/>
      <c r="AI1247" s="47"/>
    </row>
    <row r="1248" spans="23:35" x14ac:dyDescent="0.2">
      <c r="W1248" s="47"/>
      <c r="AA1248" s="47"/>
      <c r="AE1248" s="47"/>
      <c r="AI1248" s="47"/>
    </row>
    <row r="1249" spans="23:35" x14ac:dyDescent="0.2">
      <c r="W1249" s="47"/>
      <c r="AA1249" s="47"/>
      <c r="AE1249" s="47"/>
      <c r="AI1249" s="47"/>
    </row>
    <row r="1250" spans="23:35" x14ac:dyDescent="0.2">
      <c r="W1250" s="47"/>
      <c r="AA1250" s="47"/>
      <c r="AE1250" s="47"/>
      <c r="AI1250" s="47"/>
    </row>
    <row r="1251" spans="23:35" x14ac:dyDescent="0.2">
      <c r="W1251" s="47"/>
      <c r="AA1251" s="47"/>
      <c r="AE1251" s="47"/>
      <c r="AI1251" s="47"/>
    </row>
    <row r="1252" spans="23:35" x14ac:dyDescent="0.2">
      <c r="W1252" s="47"/>
      <c r="AA1252" s="47"/>
      <c r="AE1252" s="47"/>
      <c r="AI1252" s="47"/>
    </row>
    <row r="1253" spans="23:35" x14ac:dyDescent="0.2">
      <c r="W1253" s="47"/>
      <c r="AA1253" s="47"/>
      <c r="AE1253" s="47"/>
      <c r="AI1253" s="47"/>
    </row>
    <row r="1254" spans="23:35" x14ac:dyDescent="0.2">
      <c r="W1254" s="47"/>
      <c r="AA1254" s="47"/>
      <c r="AE1254" s="47"/>
      <c r="AI1254" s="47"/>
    </row>
    <row r="1255" spans="23:35" x14ac:dyDescent="0.2">
      <c r="W1255" s="47"/>
      <c r="AA1255" s="47"/>
      <c r="AE1255" s="47"/>
      <c r="AI1255" s="47"/>
    </row>
    <row r="1256" spans="23:35" x14ac:dyDescent="0.2">
      <c r="W1256" s="47"/>
      <c r="AA1256" s="47"/>
      <c r="AE1256" s="47"/>
      <c r="AI1256" s="47"/>
    </row>
    <row r="1257" spans="23:35" x14ac:dyDescent="0.2">
      <c r="W1257" s="47"/>
      <c r="AA1257" s="47"/>
      <c r="AE1257" s="47"/>
      <c r="AI1257" s="47"/>
    </row>
    <row r="1258" spans="23:35" x14ac:dyDescent="0.2">
      <c r="W1258" s="47"/>
      <c r="AA1258" s="47"/>
      <c r="AE1258" s="47"/>
      <c r="AI1258" s="47"/>
    </row>
    <row r="1259" spans="23:35" x14ac:dyDescent="0.2">
      <c r="W1259" s="47"/>
      <c r="AA1259" s="47"/>
      <c r="AE1259" s="47"/>
      <c r="AI1259" s="47"/>
    </row>
    <row r="1260" spans="23:35" x14ac:dyDescent="0.2">
      <c r="W1260" s="47"/>
      <c r="AA1260" s="47"/>
      <c r="AE1260" s="47"/>
      <c r="AI1260" s="47"/>
    </row>
    <row r="1261" spans="23:35" x14ac:dyDescent="0.2">
      <c r="W1261" s="47"/>
      <c r="AA1261" s="47"/>
      <c r="AE1261" s="47"/>
      <c r="AI1261" s="47"/>
    </row>
    <row r="1262" spans="23:35" x14ac:dyDescent="0.2">
      <c r="W1262" s="47"/>
      <c r="AA1262" s="47"/>
      <c r="AE1262" s="47"/>
      <c r="AI1262" s="47"/>
    </row>
    <row r="1263" spans="23:35" x14ac:dyDescent="0.2">
      <c r="W1263" s="47"/>
      <c r="AA1263" s="47"/>
      <c r="AE1263" s="47"/>
      <c r="AI1263" s="47"/>
    </row>
    <row r="1264" spans="23:35" x14ac:dyDescent="0.2">
      <c r="W1264" s="47"/>
      <c r="AA1264" s="47"/>
      <c r="AE1264" s="47"/>
      <c r="AI1264" s="47"/>
    </row>
    <row r="1265" spans="23:35" x14ac:dyDescent="0.2">
      <c r="W1265" s="47"/>
      <c r="AA1265" s="47"/>
      <c r="AE1265" s="47"/>
      <c r="AI1265" s="47"/>
    </row>
    <row r="1266" spans="23:35" x14ac:dyDescent="0.2">
      <c r="W1266" s="47"/>
      <c r="AA1266" s="47"/>
      <c r="AE1266" s="47"/>
      <c r="AI1266" s="47"/>
    </row>
    <row r="1267" spans="23:35" x14ac:dyDescent="0.2">
      <c r="W1267" s="47"/>
      <c r="AA1267" s="47"/>
      <c r="AE1267" s="47"/>
      <c r="AI1267" s="47"/>
    </row>
    <row r="1268" spans="23:35" x14ac:dyDescent="0.2">
      <c r="W1268" s="47"/>
      <c r="AA1268" s="47"/>
      <c r="AE1268" s="47"/>
      <c r="AI1268" s="47"/>
    </row>
    <row r="1269" spans="23:35" x14ac:dyDescent="0.2">
      <c r="W1269" s="47"/>
      <c r="AA1269" s="47"/>
      <c r="AE1269" s="47"/>
      <c r="AI1269" s="47"/>
    </row>
    <row r="1270" spans="23:35" x14ac:dyDescent="0.2">
      <c r="W1270" s="47"/>
      <c r="AA1270" s="47"/>
      <c r="AE1270" s="47"/>
      <c r="AI1270" s="47"/>
    </row>
    <row r="1271" spans="23:35" x14ac:dyDescent="0.2">
      <c r="W1271" s="47"/>
      <c r="AA1271" s="47"/>
      <c r="AE1271" s="47"/>
      <c r="AI1271" s="47"/>
    </row>
    <row r="1272" spans="23:35" x14ac:dyDescent="0.2">
      <c r="W1272" s="47"/>
      <c r="AA1272" s="47"/>
      <c r="AE1272" s="47"/>
      <c r="AI1272" s="47"/>
    </row>
    <row r="1273" spans="23:35" x14ac:dyDescent="0.2">
      <c r="W1273" s="47"/>
      <c r="AA1273" s="47"/>
      <c r="AE1273" s="47"/>
      <c r="AI1273" s="47"/>
    </row>
    <row r="1274" spans="23:35" x14ac:dyDescent="0.2">
      <c r="W1274" s="47"/>
      <c r="AA1274" s="47"/>
      <c r="AE1274" s="47"/>
      <c r="AI1274" s="47"/>
    </row>
    <row r="1275" spans="23:35" x14ac:dyDescent="0.2">
      <c r="W1275" s="47"/>
      <c r="AA1275" s="47"/>
      <c r="AE1275" s="47"/>
      <c r="AI1275" s="47"/>
    </row>
    <row r="1276" spans="23:35" x14ac:dyDescent="0.2">
      <c r="W1276" s="47"/>
      <c r="AA1276" s="47"/>
      <c r="AE1276" s="47"/>
      <c r="AI1276" s="47"/>
    </row>
    <row r="1277" spans="23:35" x14ac:dyDescent="0.2">
      <c r="W1277" s="47"/>
      <c r="AA1277" s="47"/>
      <c r="AE1277" s="47"/>
      <c r="AI1277" s="47"/>
    </row>
    <row r="1278" spans="23:35" x14ac:dyDescent="0.2">
      <c r="W1278" s="47"/>
      <c r="AA1278" s="47"/>
      <c r="AE1278" s="47"/>
      <c r="AI1278" s="47"/>
    </row>
    <row r="1279" spans="23:35" x14ac:dyDescent="0.2">
      <c r="W1279" s="47"/>
      <c r="AA1279" s="47"/>
      <c r="AE1279" s="47"/>
      <c r="AI1279" s="47"/>
    </row>
  </sheetData>
  <autoFilter ref="A5:A801">
    <filterColumn colId="0">
      <filters>
        <filter val="1"/>
      </filters>
    </filterColumn>
  </autoFilter>
  <mergeCells count="32">
    <mergeCell ref="CA2:CF2"/>
    <mergeCell ref="CB3:CD3"/>
    <mergeCell ref="CE3:CF3"/>
    <mergeCell ref="BV3:BX3"/>
    <mergeCell ref="BY3:BZ3"/>
    <mergeCell ref="BU2:BZ2"/>
    <mergeCell ref="BQ2:BT3"/>
    <mergeCell ref="BM2:BP3"/>
    <mergeCell ref="AT2:AV2"/>
    <mergeCell ref="AX3:AZ3"/>
    <mergeCell ref="BA3:BB3"/>
    <mergeCell ref="BJ2:BL3"/>
    <mergeCell ref="BD2:BI2"/>
    <mergeCell ref="BD3:BF3"/>
    <mergeCell ref="BH3:BI3"/>
    <mergeCell ref="AO2:AR3"/>
    <mergeCell ref="AW2:BB2"/>
    <mergeCell ref="AM3:AN3"/>
    <mergeCell ref="W2:Z3"/>
    <mergeCell ref="AI2:AN2"/>
    <mergeCell ref="AA2:AD3"/>
    <mergeCell ref="AE2:AH3"/>
    <mergeCell ref="AJ3:AL3"/>
    <mergeCell ref="U3:V3"/>
    <mergeCell ref="R3:T3"/>
    <mergeCell ref="R2:V2"/>
    <mergeCell ref="B2:B3"/>
    <mergeCell ref="H2:I2"/>
    <mergeCell ref="B4:B5"/>
    <mergeCell ref="K2:P2"/>
    <mergeCell ref="L3:N3"/>
    <mergeCell ref="O3:P3"/>
  </mergeCells>
  <phoneticPr fontId="0" type="noConversion"/>
  <printOptions horizontalCentered="1" verticalCentered="1"/>
  <pageMargins left="0" right="0" top="0" bottom="0" header="0" footer="0"/>
  <pageSetup paperSize="5" scale="38" orientation="landscape" r:id="rId1"/>
  <headerFooter alignWithMargins="0">
    <oddFooter>&amp;R&amp;D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8" r:id="rId4" name="Button 24">
              <controlPr defaultSize="0" print="0" autoFill="0" autoPict="0" macro="[0]!ClearAndCopyOld">
                <anchor moveWithCells="1" sizeWithCells="1">
                  <from>
                    <xdr:col>84</xdr:col>
                    <xdr:colOff>276225</xdr:colOff>
                    <xdr:row>3</xdr:row>
                    <xdr:rowOff>85725</xdr:rowOff>
                  </from>
                  <to>
                    <xdr:col>90</xdr:col>
                    <xdr:colOff>9525</xdr:colOff>
                    <xdr:row>130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" name="Button 25">
              <controlPr defaultSize="0" print="0" autoFill="0" autoPict="0" macro="[0]!ImportData">
                <anchor moveWithCells="1" sizeWithCells="1">
                  <from>
                    <xdr:col>84</xdr:col>
                    <xdr:colOff>276225</xdr:colOff>
                    <xdr:row>134</xdr:row>
                    <xdr:rowOff>57150</xdr:rowOff>
                  </from>
                  <to>
                    <xdr:col>89</xdr:col>
                    <xdr:colOff>581025</xdr:colOff>
                    <xdr:row>136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2.75" x14ac:dyDescent="0.2"/>
  <cols>
    <col min="2" max="2" width="9.140625" style="4"/>
    <col min="3" max="3" width="11" style="4" bestFit="1" customWidth="1"/>
    <col min="4" max="4" width="8.42578125" style="4" bestFit="1" customWidth="1"/>
  </cols>
  <sheetData>
    <row r="1" spans="1:4" x14ac:dyDescent="0.2">
      <c r="A1" t="s">
        <v>27</v>
      </c>
      <c r="B1" s="4" t="s">
        <v>28</v>
      </c>
      <c r="C1" s="4" t="s">
        <v>29</v>
      </c>
      <c r="D1" s="4" t="s">
        <v>30</v>
      </c>
    </row>
    <row r="2" spans="1:4" x14ac:dyDescent="0.2">
      <c r="A2" s="1">
        <f>'Filter-old'!C3</f>
        <v>36892</v>
      </c>
    </row>
    <row r="3" spans="1:4" x14ac:dyDescent="0.2">
      <c r="A3" s="1">
        <f>'Filter-old'!C4</f>
        <v>36923</v>
      </c>
    </row>
    <row r="4" spans="1:4" x14ac:dyDescent="0.2">
      <c r="A4" s="1">
        <f>'Filter-old'!C5</f>
        <v>36951</v>
      </c>
      <c r="B4" s="4">
        <v>744</v>
      </c>
      <c r="C4" s="4">
        <v>392</v>
      </c>
      <c r="D4" s="4">
        <v>352</v>
      </c>
    </row>
    <row r="5" spans="1:4" x14ac:dyDescent="0.2">
      <c r="A5" s="1">
        <f>'Filter-old'!C6</f>
        <v>36982</v>
      </c>
      <c r="B5" s="4">
        <v>720</v>
      </c>
      <c r="C5" s="4">
        <v>384</v>
      </c>
      <c r="D5" s="4">
        <v>336</v>
      </c>
    </row>
    <row r="6" spans="1:4" x14ac:dyDescent="0.2">
      <c r="A6" s="1">
        <f>'Filter-old'!C7</f>
        <v>37012</v>
      </c>
      <c r="B6" s="4">
        <v>744</v>
      </c>
      <c r="C6" s="4">
        <v>392</v>
      </c>
      <c r="D6" s="4">
        <v>352</v>
      </c>
    </row>
    <row r="7" spans="1:4" x14ac:dyDescent="0.2">
      <c r="A7" s="1">
        <f>'Filter-old'!C8</f>
        <v>37043</v>
      </c>
      <c r="B7" s="4">
        <v>720</v>
      </c>
      <c r="C7" s="4">
        <v>384</v>
      </c>
      <c r="D7" s="4">
        <v>336</v>
      </c>
    </row>
    <row r="8" spans="1:4" x14ac:dyDescent="0.2">
      <c r="A8" s="1">
        <f>'Filter-old'!C9</f>
        <v>37073</v>
      </c>
      <c r="B8" s="4">
        <v>744</v>
      </c>
      <c r="C8" s="4">
        <v>408</v>
      </c>
      <c r="D8" s="4">
        <v>336</v>
      </c>
    </row>
    <row r="9" spans="1:4" x14ac:dyDescent="0.2">
      <c r="A9" s="1">
        <f>'Filter-old'!C10</f>
        <v>37104</v>
      </c>
      <c r="B9" s="4">
        <v>744</v>
      </c>
      <c r="C9" s="4">
        <v>376</v>
      </c>
      <c r="D9" s="4">
        <v>368</v>
      </c>
    </row>
    <row r="10" spans="1:4" x14ac:dyDescent="0.2">
      <c r="A10" s="1">
        <f>'Filter-old'!C11</f>
        <v>37135</v>
      </c>
      <c r="B10" s="4">
        <v>720</v>
      </c>
      <c r="C10" s="4">
        <v>416</v>
      </c>
      <c r="D10" s="4">
        <v>304</v>
      </c>
    </row>
    <row r="11" spans="1:4" x14ac:dyDescent="0.2">
      <c r="A11" s="1">
        <f>'Filter-old'!C12</f>
        <v>37165</v>
      </c>
      <c r="B11" s="4">
        <v>744</v>
      </c>
      <c r="C11" s="4">
        <v>376</v>
      </c>
      <c r="D11" s="4">
        <v>368</v>
      </c>
    </row>
    <row r="12" spans="1:4" x14ac:dyDescent="0.2">
      <c r="A12" s="1">
        <f>'Filter-old'!C13</f>
        <v>37196</v>
      </c>
      <c r="B12" s="4">
        <v>720</v>
      </c>
      <c r="C12" s="4">
        <v>384</v>
      </c>
      <c r="D12" s="4">
        <v>336</v>
      </c>
    </row>
    <row r="13" spans="1:4" x14ac:dyDescent="0.2">
      <c r="A13" s="1">
        <f>'Filter-old'!C14</f>
        <v>37226</v>
      </c>
      <c r="B13" s="4">
        <v>744</v>
      </c>
      <c r="C13" s="4">
        <v>424</v>
      </c>
      <c r="D13" s="4">
        <v>320</v>
      </c>
    </row>
    <row r="14" spans="1:4" x14ac:dyDescent="0.2">
      <c r="A14" s="1">
        <f>'Filter-old'!C15</f>
        <v>37257</v>
      </c>
      <c r="B14" s="4">
        <v>744</v>
      </c>
      <c r="C14" s="4">
        <v>392</v>
      </c>
      <c r="D14" s="4">
        <f>B14-C14</f>
        <v>352</v>
      </c>
    </row>
    <row r="15" spans="1:4" x14ac:dyDescent="0.2">
      <c r="A15" s="1">
        <f>'Filter-old'!C16</f>
        <v>37288</v>
      </c>
      <c r="B15" s="4">
        <v>672</v>
      </c>
      <c r="C15" s="4">
        <v>352</v>
      </c>
      <c r="D15" s="4">
        <f t="shared" ref="D15:D78" si="0">B15-C15</f>
        <v>320</v>
      </c>
    </row>
    <row r="16" spans="1:4" x14ac:dyDescent="0.2">
      <c r="A16" s="1">
        <f>'Filter-old'!C17</f>
        <v>37316</v>
      </c>
      <c r="B16" s="4">
        <v>744</v>
      </c>
      <c r="C16" s="4">
        <v>408</v>
      </c>
      <c r="D16" s="4">
        <f t="shared" si="0"/>
        <v>336</v>
      </c>
    </row>
    <row r="17" spans="1:4" x14ac:dyDescent="0.2">
      <c r="A17" s="1">
        <f>'Filter-old'!C18</f>
        <v>37347</v>
      </c>
      <c r="B17" s="4">
        <v>720</v>
      </c>
      <c r="C17" s="4">
        <v>368</v>
      </c>
      <c r="D17" s="4">
        <f t="shared" si="0"/>
        <v>352</v>
      </c>
    </row>
    <row r="18" spans="1:4" x14ac:dyDescent="0.2">
      <c r="A18" s="1">
        <f>'Filter-old'!C19</f>
        <v>37377</v>
      </c>
      <c r="B18" s="4">
        <v>744</v>
      </c>
      <c r="C18" s="4">
        <v>392</v>
      </c>
      <c r="D18" s="4">
        <f t="shared" si="0"/>
        <v>352</v>
      </c>
    </row>
    <row r="19" spans="1:4" x14ac:dyDescent="0.2">
      <c r="A19" s="1">
        <f>'Filter-old'!C20</f>
        <v>37408</v>
      </c>
      <c r="B19" s="4">
        <v>720</v>
      </c>
      <c r="C19" s="4">
        <v>400</v>
      </c>
      <c r="D19" s="4">
        <f t="shared" si="0"/>
        <v>320</v>
      </c>
    </row>
    <row r="20" spans="1:4" x14ac:dyDescent="0.2">
      <c r="A20" s="1">
        <f>'Filter-old'!C21</f>
        <v>37438</v>
      </c>
      <c r="B20" s="4">
        <v>744</v>
      </c>
      <c r="C20" s="4">
        <v>392</v>
      </c>
      <c r="D20" s="4">
        <f t="shared" si="0"/>
        <v>352</v>
      </c>
    </row>
    <row r="21" spans="1:4" x14ac:dyDescent="0.2">
      <c r="A21" s="1">
        <f>'Filter-old'!C22</f>
        <v>37469</v>
      </c>
      <c r="B21" s="4">
        <v>744</v>
      </c>
      <c r="C21" s="4">
        <v>392</v>
      </c>
      <c r="D21" s="4">
        <f t="shared" si="0"/>
        <v>352</v>
      </c>
    </row>
    <row r="22" spans="1:4" x14ac:dyDescent="0.2">
      <c r="A22" s="1">
        <f>'Filter-old'!C23</f>
        <v>37500</v>
      </c>
      <c r="B22" s="4">
        <v>720</v>
      </c>
      <c r="C22" s="4">
        <v>400</v>
      </c>
      <c r="D22" s="4">
        <f t="shared" si="0"/>
        <v>320</v>
      </c>
    </row>
    <row r="23" spans="1:4" x14ac:dyDescent="0.2">
      <c r="A23" s="1">
        <f>'Filter-old'!C24</f>
        <v>37530</v>
      </c>
      <c r="B23" s="4">
        <v>744</v>
      </c>
      <c r="C23" s="4">
        <v>376</v>
      </c>
      <c r="D23" s="4">
        <f t="shared" si="0"/>
        <v>368</v>
      </c>
    </row>
    <row r="24" spans="1:4" x14ac:dyDescent="0.2">
      <c r="A24" s="1">
        <f>'Filter-old'!C25</f>
        <v>37561</v>
      </c>
      <c r="B24" s="4">
        <v>720</v>
      </c>
      <c r="C24" s="4">
        <v>400</v>
      </c>
      <c r="D24" s="4">
        <f t="shared" si="0"/>
        <v>320</v>
      </c>
    </row>
    <row r="25" spans="1:4" x14ac:dyDescent="0.2">
      <c r="A25" s="1">
        <f>'Filter-old'!C26</f>
        <v>37591</v>
      </c>
      <c r="B25" s="4">
        <v>744</v>
      </c>
      <c r="C25" s="4">
        <v>408</v>
      </c>
      <c r="D25" s="4">
        <f t="shared" si="0"/>
        <v>336</v>
      </c>
    </row>
    <row r="26" spans="1:4" x14ac:dyDescent="0.2">
      <c r="A26" s="1">
        <f>'Filter-old'!C27</f>
        <v>37622</v>
      </c>
      <c r="B26" s="4">
        <v>744</v>
      </c>
      <c r="C26" s="4">
        <v>392</v>
      </c>
      <c r="D26" s="4">
        <f t="shared" si="0"/>
        <v>352</v>
      </c>
    </row>
    <row r="27" spans="1:4" x14ac:dyDescent="0.2">
      <c r="A27" s="1">
        <f>'Filter-old'!C28</f>
        <v>37653</v>
      </c>
      <c r="B27" s="4">
        <v>672</v>
      </c>
      <c r="C27" s="4">
        <v>352</v>
      </c>
      <c r="D27" s="4">
        <f t="shared" si="0"/>
        <v>320</v>
      </c>
    </row>
    <row r="28" spans="1:4" x14ac:dyDescent="0.2">
      <c r="A28" s="1">
        <f>'Filter-old'!C29</f>
        <v>37681</v>
      </c>
      <c r="B28" s="4">
        <v>744</v>
      </c>
      <c r="C28" s="4">
        <v>408</v>
      </c>
      <c r="D28" s="4">
        <f t="shared" si="0"/>
        <v>336</v>
      </c>
    </row>
    <row r="29" spans="1:4" x14ac:dyDescent="0.2">
      <c r="A29" s="1">
        <f>'Filter-old'!C30</f>
        <v>37712</v>
      </c>
      <c r="B29" s="4">
        <v>720</v>
      </c>
      <c r="C29" s="4">
        <v>368</v>
      </c>
      <c r="D29" s="4">
        <f t="shared" si="0"/>
        <v>352</v>
      </c>
    </row>
    <row r="30" spans="1:4" x14ac:dyDescent="0.2">
      <c r="A30" s="1">
        <f>'Filter-old'!C31</f>
        <v>37742</v>
      </c>
      <c r="B30" s="4">
        <v>744</v>
      </c>
      <c r="C30" s="4">
        <v>408</v>
      </c>
      <c r="D30" s="4">
        <f t="shared" si="0"/>
        <v>336</v>
      </c>
    </row>
    <row r="31" spans="1:4" x14ac:dyDescent="0.2">
      <c r="A31" s="1">
        <f>'Filter-old'!C32</f>
        <v>37773</v>
      </c>
      <c r="B31" s="4">
        <v>720</v>
      </c>
      <c r="C31" s="4">
        <v>384</v>
      </c>
      <c r="D31" s="4">
        <f t="shared" si="0"/>
        <v>336</v>
      </c>
    </row>
    <row r="32" spans="1:4" x14ac:dyDescent="0.2">
      <c r="A32" s="1">
        <f>'Filter-old'!C33</f>
        <v>37803</v>
      </c>
      <c r="B32" s="4">
        <v>744</v>
      </c>
      <c r="C32" s="4">
        <v>392</v>
      </c>
      <c r="D32" s="4">
        <f t="shared" si="0"/>
        <v>352</v>
      </c>
    </row>
    <row r="33" spans="1:4" x14ac:dyDescent="0.2">
      <c r="A33" s="1">
        <f>'Filter-old'!C34</f>
        <v>37834</v>
      </c>
      <c r="B33" s="4">
        <v>744</v>
      </c>
      <c r="C33" s="4">
        <v>408</v>
      </c>
      <c r="D33" s="4">
        <f t="shared" si="0"/>
        <v>336</v>
      </c>
    </row>
    <row r="34" spans="1:4" x14ac:dyDescent="0.2">
      <c r="A34" s="1">
        <f>'Filter-old'!C35</f>
        <v>37865</v>
      </c>
      <c r="B34" s="4">
        <v>720</v>
      </c>
      <c r="C34" s="4">
        <v>384</v>
      </c>
      <c r="D34" s="4">
        <f t="shared" si="0"/>
        <v>336</v>
      </c>
    </row>
    <row r="35" spans="1:4" x14ac:dyDescent="0.2">
      <c r="A35" s="1">
        <f>'Filter-old'!C36</f>
        <v>37895</v>
      </c>
      <c r="B35" s="4">
        <v>744</v>
      </c>
      <c r="C35" s="4">
        <v>376</v>
      </c>
      <c r="D35" s="4">
        <f t="shared" si="0"/>
        <v>368</v>
      </c>
    </row>
    <row r="36" spans="1:4" x14ac:dyDescent="0.2">
      <c r="A36" s="1">
        <f>'Filter-old'!C37</f>
        <v>37926</v>
      </c>
      <c r="B36" s="4">
        <v>720</v>
      </c>
      <c r="C36" s="4">
        <v>416</v>
      </c>
      <c r="D36" s="4">
        <f t="shared" si="0"/>
        <v>304</v>
      </c>
    </row>
    <row r="37" spans="1:4" x14ac:dyDescent="0.2">
      <c r="A37" s="1">
        <f>'Filter-old'!C38</f>
        <v>37956</v>
      </c>
      <c r="B37" s="4">
        <v>744</v>
      </c>
      <c r="C37" s="4">
        <v>392</v>
      </c>
      <c r="D37" s="4">
        <f t="shared" si="0"/>
        <v>352</v>
      </c>
    </row>
    <row r="38" spans="1:4" x14ac:dyDescent="0.2">
      <c r="A38" s="1">
        <f>'Filter-old'!C39</f>
        <v>37987</v>
      </c>
      <c r="B38" s="4">
        <v>744</v>
      </c>
      <c r="C38" s="4">
        <v>408</v>
      </c>
      <c r="D38" s="4">
        <f t="shared" si="0"/>
        <v>336</v>
      </c>
    </row>
    <row r="39" spans="1:4" x14ac:dyDescent="0.2">
      <c r="A39" s="1">
        <f>'Filter-old'!C40</f>
        <v>38018</v>
      </c>
      <c r="B39" s="4">
        <v>696</v>
      </c>
      <c r="C39" s="4">
        <v>376</v>
      </c>
      <c r="D39" s="4">
        <f t="shared" si="0"/>
        <v>320</v>
      </c>
    </row>
    <row r="40" spans="1:4" x14ac:dyDescent="0.2">
      <c r="A40" s="1">
        <f>'Filter-old'!C41</f>
        <v>38047</v>
      </c>
      <c r="B40" s="4">
        <v>744</v>
      </c>
      <c r="C40" s="4">
        <v>376</v>
      </c>
      <c r="D40" s="4">
        <f t="shared" si="0"/>
        <v>368</v>
      </c>
    </row>
    <row r="41" spans="1:4" x14ac:dyDescent="0.2">
      <c r="A41" s="1">
        <f>'Filter-old'!C42</f>
        <v>38078</v>
      </c>
      <c r="B41" s="4">
        <v>720</v>
      </c>
      <c r="C41" s="4">
        <v>368</v>
      </c>
      <c r="D41" s="4">
        <f t="shared" si="0"/>
        <v>352</v>
      </c>
    </row>
    <row r="42" spans="1:4" x14ac:dyDescent="0.2">
      <c r="A42" s="1">
        <f>'Filter-old'!C43</f>
        <v>38108</v>
      </c>
      <c r="B42" s="4">
        <v>744</v>
      </c>
      <c r="C42" s="4">
        <v>424</v>
      </c>
      <c r="D42" s="4">
        <f t="shared" si="0"/>
        <v>320</v>
      </c>
    </row>
    <row r="43" spans="1:4" x14ac:dyDescent="0.2">
      <c r="A43" s="1">
        <f>'Filter-old'!C44</f>
        <v>38139</v>
      </c>
      <c r="B43" s="4">
        <v>720</v>
      </c>
      <c r="C43" s="4">
        <v>368</v>
      </c>
      <c r="D43" s="4">
        <f t="shared" si="0"/>
        <v>352</v>
      </c>
    </row>
    <row r="44" spans="1:4" x14ac:dyDescent="0.2">
      <c r="A44" s="1">
        <f>'Filter-old'!C45</f>
        <v>38169</v>
      </c>
      <c r="B44" s="4">
        <v>744</v>
      </c>
      <c r="C44" s="4">
        <v>408</v>
      </c>
      <c r="D44" s="4">
        <f t="shared" si="0"/>
        <v>336</v>
      </c>
    </row>
    <row r="45" spans="1:4" x14ac:dyDescent="0.2">
      <c r="A45" s="1">
        <f>'Filter-old'!C46</f>
        <v>38200</v>
      </c>
      <c r="B45" s="4">
        <v>744</v>
      </c>
      <c r="C45" s="4">
        <v>392</v>
      </c>
      <c r="D45" s="4">
        <f t="shared" si="0"/>
        <v>352</v>
      </c>
    </row>
    <row r="46" spans="1:4" x14ac:dyDescent="0.2">
      <c r="A46" s="1">
        <f>'Filter-old'!C47</f>
        <v>38231</v>
      </c>
      <c r="B46" s="4">
        <v>720</v>
      </c>
      <c r="C46" s="4">
        <v>384</v>
      </c>
      <c r="D46" s="4">
        <f t="shared" si="0"/>
        <v>336</v>
      </c>
    </row>
    <row r="47" spans="1:4" x14ac:dyDescent="0.2">
      <c r="A47" s="1">
        <f>'Filter-old'!C48</f>
        <v>38261</v>
      </c>
      <c r="B47" s="4">
        <v>744</v>
      </c>
      <c r="C47" s="4">
        <v>408</v>
      </c>
      <c r="D47" s="4">
        <f t="shared" si="0"/>
        <v>336</v>
      </c>
    </row>
    <row r="48" spans="1:4" x14ac:dyDescent="0.2">
      <c r="A48" s="1">
        <f>'Filter-old'!C49</f>
        <v>38292</v>
      </c>
      <c r="B48" s="4">
        <v>720</v>
      </c>
      <c r="C48" s="4">
        <v>384</v>
      </c>
      <c r="D48" s="4">
        <f t="shared" si="0"/>
        <v>336</v>
      </c>
    </row>
    <row r="49" spans="1:4" x14ac:dyDescent="0.2">
      <c r="A49" s="1">
        <f>'Filter-old'!C50</f>
        <v>38322</v>
      </c>
      <c r="B49" s="4">
        <v>744</v>
      </c>
      <c r="C49" s="4">
        <v>376</v>
      </c>
      <c r="D49" s="4">
        <f t="shared" si="0"/>
        <v>368</v>
      </c>
    </row>
    <row r="50" spans="1:4" x14ac:dyDescent="0.2">
      <c r="A50" s="1">
        <f>'Filter-old'!C51</f>
        <v>38353</v>
      </c>
      <c r="B50" s="4">
        <v>744</v>
      </c>
      <c r="C50" s="4">
        <v>408</v>
      </c>
      <c r="D50" s="4">
        <f t="shared" si="0"/>
        <v>336</v>
      </c>
    </row>
    <row r="51" spans="1:4" x14ac:dyDescent="0.2">
      <c r="A51" s="1">
        <f>'Filter-old'!C52</f>
        <v>38384</v>
      </c>
      <c r="B51" s="4">
        <v>672</v>
      </c>
      <c r="C51" s="4">
        <v>352</v>
      </c>
      <c r="D51" s="4">
        <f t="shared" si="0"/>
        <v>320</v>
      </c>
    </row>
    <row r="52" spans="1:4" x14ac:dyDescent="0.2">
      <c r="A52" s="1">
        <f>'Filter-old'!C53</f>
        <v>38412</v>
      </c>
      <c r="B52" s="4">
        <v>744</v>
      </c>
      <c r="C52" s="4">
        <v>376</v>
      </c>
      <c r="D52" s="4">
        <f t="shared" si="0"/>
        <v>368</v>
      </c>
    </row>
    <row r="53" spans="1:4" x14ac:dyDescent="0.2">
      <c r="A53" s="1">
        <f>'Filter-old'!C54</f>
        <v>38443</v>
      </c>
      <c r="B53" s="4">
        <v>720</v>
      </c>
      <c r="C53" s="4">
        <v>384</v>
      </c>
      <c r="D53" s="4">
        <f t="shared" si="0"/>
        <v>336</v>
      </c>
    </row>
    <row r="54" spans="1:4" x14ac:dyDescent="0.2">
      <c r="A54" s="1">
        <f>'Filter-old'!C55</f>
        <v>38473</v>
      </c>
      <c r="B54" s="4">
        <v>744</v>
      </c>
      <c r="C54" s="4">
        <v>408</v>
      </c>
      <c r="D54" s="4">
        <f t="shared" si="0"/>
        <v>336</v>
      </c>
    </row>
    <row r="55" spans="1:4" x14ac:dyDescent="0.2">
      <c r="A55" s="1">
        <f>'Filter-old'!C56</f>
        <v>38504</v>
      </c>
      <c r="B55" s="4">
        <v>720</v>
      </c>
      <c r="C55" s="4">
        <v>368</v>
      </c>
      <c r="D55" s="4">
        <f t="shared" si="0"/>
        <v>352</v>
      </c>
    </row>
    <row r="56" spans="1:4" x14ac:dyDescent="0.2">
      <c r="A56" s="1">
        <f>'Filter-old'!C57</f>
        <v>38534</v>
      </c>
      <c r="B56" s="4">
        <v>744</v>
      </c>
      <c r="C56" s="4">
        <v>424</v>
      </c>
      <c r="D56" s="4">
        <f t="shared" si="0"/>
        <v>320</v>
      </c>
    </row>
    <row r="57" spans="1:4" x14ac:dyDescent="0.2">
      <c r="A57" s="1">
        <f>'Filter-old'!C58</f>
        <v>38565</v>
      </c>
      <c r="B57" s="4">
        <v>744</v>
      </c>
      <c r="C57" s="4">
        <v>376</v>
      </c>
      <c r="D57" s="4">
        <f t="shared" si="0"/>
        <v>368</v>
      </c>
    </row>
    <row r="58" spans="1:4" x14ac:dyDescent="0.2">
      <c r="A58" s="1">
        <f>'Filter-old'!C59</f>
        <v>38596</v>
      </c>
      <c r="B58" s="4">
        <v>720</v>
      </c>
      <c r="C58" s="4">
        <v>384</v>
      </c>
      <c r="D58" s="4">
        <f t="shared" si="0"/>
        <v>336</v>
      </c>
    </row>
    <row r="59" spans="1:4" x14ac:dyDescent="0.2">
      <c r="A59" s="1">
        <f>'Filter-old'!C60</f>
        <v>38626</v>
      </c>
      <c r="B59" s="4">
        <v>744</v>
      </c>
      <c r="C59" s="4">
        <v>408</v>
      </c>
      <c r="D59" s="4">
        <f t="shared" si="0"/>
        <v>336</v>
      </c>
    </row>
    <row r="60" spans="1:4" x14ac:dyDescent="0.2">
      <c r="A60" s="1">
        <f>'Filter-old'!C61</f>
        <v>38657</v>
      </c>
      <c r="B60" s="4">
        <v>720</v>
      </c>
      <c r="C60" s="4">
        <v>384</v>
      </c>
      <c r="D60" s="4">
        <f t="shared" si="0"/>
        <v>336</v>
      </c>
    </row>
    <row r="61" spans="1:4" x14ac:dyDescent="0.2">
      <c r="A61" s="1">
        <f>'Filter-old'!C62</f>
        <v>38687</v>
      </c>
      <c r="B61" s="4">
        <v>744</v>
      </c>
      <c r="C61" s="4">
        <v>408</v>
      </c>
      <c r="D61" s="4">
        <f t="shared" si="0"/>
        <v>336</v>
      </c>
    </row>
    <row r="62" spans="1:4" x14ac:dyDescent="0.2">
      <c r="A62" s="1">
        <f>'Filter-old'!C63</f>
        <v>38718</v>
      </c>
      <c r="B62" s="4">
        <v>744</v>
      </c>
      <c r="C62" s="4">
        <v>408</v>
      </c>
      <c r="D62" s="4">
        <f t="shared" si="0"/>
        <v>336</v>
      </c>
    </row>
    <row r="63" spans="1:4" x14ac:dyDescent="0.2">
      <c r="A63" s="1">
        <f>'Filter-old'!C64</f>
        <v>38749</v>
      </c>
      <c r="B63" s="4">
        <v>672</v>
      </c>
      <c r="C63" s="4">
        <v>352</v>
      </c>
      <c r="D63" s="4">
        <f t="shared" si="0"/>
        <v>320</v>
      </c>
    </row>
    <row r="64" spans="1:4" x14ac:dyDescent="0.2">
      <c r="A64" s="1">
        <f>'Filter-old'!C65</f>
        <v>38777</v>
      </c>
      <c r="B64" s="4">
        <v>744</v>
      </c>
      <c r="C64" s="4">
        <v>376</v>
      </c>
      <c r="D64" s="4">
        <f t="shared" si="0"/>
        <v>368</v>
      </c>
    </row>
    <row r="65" spans="1:4" x14ac:dyDescent="0.2">
      <c r="A65" s="1">
        <f>'Filter-old'!C66</f>
        <v>38808</v>
      </c>
      <c r="B65" s="4">
        <v>720</v>
      </c>
      <c r="C65" s="4">
        <v>400</v>
      </c>
      <c r="D65" s="4">
        <f t="shared" si="0"/>
        <v>320</v>
      </c>
    </row>
    <row r="66" spans="1:4" x14ac:dyDescent="0.2">
      <c r="A66" s="1">
        <f>'Filter-old'!C67</f>
        <v>38838</v>
      </c>
      <c r="B66" s="4">
        <v>744</v>
      </c>
      <c r="C66" s="4">
        <v>392</v>
      </c>
      <c r="D66" s="4">
        <f t="shared" si="0"/>
        <v>352</v>
      </c>
    </row>
    <row r="67" spans="1:4" x14ac:dyDescent="0.2">
      <c r="A67" s="1">
        <f>'Filter-old'!C68</f>
        <v>38869</v>
      </c>
      <c r="B67" s="4">
        <v>720</v>
      </c>
      <c r="C67" s="4">
        <v>368</v>
      </c>
      <c r="D67" s="4">
        <f t="shared" si="0"/>
        <v>352</v>
      </c>
    </row>
    <row r="68" spans="1:4" x14ac:dyDescent="0.2">
      <c r="A68" s="1">
        <f>'Filter-old'!C69</f>
        <v>38899</v>
      </c>
      <c r="B68" s="4">
        <v>744</v>
      </c>
      <c r="C68" s="4">
        <v>424</v>
      </c>
      <c r="D68" s="4">
        <f t="shared" si="0"/>
        <v>320</v>
      </c>
    </row>
    <row r="69" spans="1:4" x14ac:dyDescent="0.2">
      <c r="A69" s="1">
        <f>'Filter-old'!C70</f>
        <v>38930</v>
      </c>
      <c r="B69" s="4">
        <v>744</v>
      </c>
      <c r="C69" s="4">
        <v>376</v>
      </c>
      <c r="D69" s="4">
        <f t="shared" si="0"/>
        <v>368</v>
      </c>
    </row>
    <row r="70" spans="1:4" x14ac:dyDescent="0.2">
      <c r="A70" s="1">
        <f>'Filter-old'!C71</f>
        <v>38961</v>
      </c>
      <c r="B70" s="4">
        <v>720</v>
      </c>
      <c r="C70" s="4">
        <v>400</v>
      </c>
      <c r="D70" s="4">
        <f t="shared" si="0"/>
        <v>320</v>
      </c>
    </row>
    <row r="71" spans="1:4" x14ac:dyDescent="0.2">
      <c r="A71" s="1">
        <f>'Filter-old'!C72</f>
        <v>38991</v>
      </c>
      <c r="B71" s="4">
        <v>744</v>
      </c>
      <c r="C71" s="4">
        <v>392</v>
      </c>
      <c r="D71" s="4">
        <f t="shared" si="0"/>
        <v>352</v>
      </c>
    </row>
    <row r="72" spans="1:4" x14ac:dyDescent="0.2">
      <c r="A72" s="1">
        <f>'Filter-old'!C73</f>
        <v>39022</v>
      </c>
      <c r="B72" s="4">
        <v>720</v>
      </c>
      <c r="C72" s="4">
        <v>384</v>
      </c>
      <c r="D72" s="4">
        <f t="shared" si="0"/>
        <v>336</v>
      </c>
    </row>
    <row r="73" spans="1:4" x14ac:dyDescent="0.2">
      <c r="A73" s="1">
        <f>'Filter-old'!C74</f>
        <v>39052</v>
      </c>
      <c r="B73" s="4">
        <v>744</v>
      </c>
      <c r="C73" s="4">
        <v>424</v>
      </c>
      <c r="D73" s="4">
        <f t="shared" si="0"/>
        <v>320</v>
      </c>
    </row>
    <row r="74" spans="1:4" x14ac:dyDescent="0.2">
      <c r="A74" s="1">
        <f>'Filter-old'!C75</f>
        <v>39083</v>
      </c>
      <c r="B74" s="4">
        <v>744</v>
      </c>
      <c r="C74" s="4">
        <v>392</v>
      </c>
      <c r="D74" s="4">
        <f t="shared" si="0"/>
        <v>352</v>
      </c>
    </row>
    <row r="75" spans="1:4" x14ac:dyDescent="0.2">
      <c r="A75" s="1">
        <f>'Filter-old'!C76</f>
        <v>39114</v>
      </c>
      <c r="B75" s="4">
        <v>672</v>
      </c>
      <c r="C75" s="4">
        <v>352</v>
      </c>
      <c r="D75" s="4">
        <f t="shared" si="0"/>
        <v>320</v>
      </c>
    </row>
    <row r="76" spans="1:4" x14ac:dyDescent="0.2">
      <c r="A76" s="1">
        <f>'Filter-old'!C77</f>
        <v>39142</v>
      </c>
      <c r="B76" s="4">
        <v>744</v>
      </c>
      <c r="C76" s="4">
        <v>392</v>
      </c>
      <c r="D76" s="4">
        <f t="shared" si="0"/>
        <v>352</v>
      </c>
    </row>
    <row r="77" spans="1:4" x14ac:dyDescent="0.2">
      <c r="A77" s="1">
        <f>'Filter-old'!C78</f>
        <v>39173</v>
      </c>
      <c r="B77" s="4">
        <v>720</v>
      </c>
      <c r="C77" s="4">
        <v>384</v>
      </c>
      <c r="D77" s="4">
        <f t="shared" si="0"/>
        <v>336</v>
      </c>
    </row>
    <row r="78" spans="1:4" x14ac:dyDescent="0.2">
      <c r="A78" s="1">
        <f>'Filter-old'!C79</f>
        <v>39203</v>
      </c>
      <c r="B78" s="4">
        <v>744</v>
      </c>
      <c r="C78" s="4">
        <v>392</v>
      </c>
      <c r="D78" s="4">
        <f t="shared" si="0"/>
        <v>352</v>
      </c>
    </row>
    <row r="79" spans="1:4" x14ac:dyDescent="0.2">
      <c r="A79" s="1">
        <f>'Filter-old'!C80</f>
        <v>39234</v>
      </c>
      <c r="B79" s="4">
        <v>720</v>
      </c>
      <c r="C79" s="4">
        <v>384</v>
      </c>
      <c r="D79" s="4">
        <f t="shared" ref="D79:D121" si="1">B79-C79</f>
        <v>336</v>
      </c>
    </row>
    <row r="80" spans="1:4" x14ac:dyDescent="0.2">
      <c r="A80" s="1">
        <f>'Filter-old'!C81</f>
        <v>39264</v>
      </c>
      <c r="B80" s="4">
        <v>744</v>
      </c>
      <c r="C80" s="4">
        <v>408</v>
      </c>
      <c r="D80" s="4">
        <f t="shared" si="1"/>
        <v>336</v>
      </c>
    </row>
    <row r="81" spans="1:4" x14ac:dyDescent="0.2">
      <c r="A81" s="1">
        <f>'Filter-old'!C82</f>
        <v>39295</v>
      </c>
      <c r="B81" s="4">
        <v>744</v>
      </c>
      <c r="C81" s="4">
        <v>376</v>
      </c>
      <c r="D81" s="4">
        <f t="shared" si="1"/>
        <v>368</v>
      </c>
    </row>
    <row r="82" spans="1:4" x14ac:dyDescent="0.2">
      <c r="A82" s="1">
        <f>'Filter-old'!C83</f>
        <v>39326</v>
      </c>
      <c r="B82" s="4">
        <v>720</v>
      </c>
      <c r="C82" s="4">
        <v>416</v>
      </c>
      <c r="D82" s="4">
        <f t="shared" si="1"/>
        <v>304</v>
      </c>
    </row>
    <row r="83" spans="1:4" x14ac:dyDescent="0.2">
      <c r="A83" s="1">
        <f>'Filter-old'!C84</f>
        <v>39356</v>
      </c>
      <c r="B83" s="4">
        <v>744</v>
      </c>
      <c r="C83" s="4">
        <v>376</v>
      </c>
      <c r="D83" s="4">
        <f t="shared" si="1"/>
        <v>368</v>
      </c>
    </row>
    <row r="84" spans="1:4" x14ac:dyDescent="0.2">
      <c r="A84" s="1">
        <f>'Filter-old'!C85</f>
        <v>39387</v>
      </c>
      <c r="B84" s="4">
        <v>720</v>
      </c>
      <c r="C84" s="4">
        <v>384</v>
      </c>
      <c r="D84" s="4">
        <f t="shared" si="1"/>
        <v>336</v>
      </c>
    </row>
    <row r="85" spans="1:4" x14ac:dyDescent="0.2">
      <c r="A85" s="1">
        <f>'Filter-old'!C86</f>
        <v>39417</v>
      </c>
      <c r="B85" s="4">
        <v>744</v>
      </c>
      <c r="C85" s="4">
        <v>424</v>
      </c>
      <c r="D85" s="4">
        <f t="shared" si="1"/>
        <v>320</v>
      </c>
    </row>
    <row r="86" spans="1:4" x14ac:dyDescent="0.2">
      <c r="A86" s="1">
        <f>'Filter-old'!C87</f>
        <v>39448</v>
      </c>
      <c r="B86" s="4">
        <v>744</v>
      </c>
      <c r="C86" s="4">
        <v>392</v>
      </c>
      <c r="D86" s="4">
        <f t="shared" si="1"/>
        <v>352</v>
      </c>
    </row>
    <row r="87" spans="1:4" x14ac:dyDescent="0.2">
      <c r="A87" s="1">
        <f>'Filter-old'!C88</f>
        <v>39479</v>
      </c>
      <c r="B87" s="4">
        <v>696</v>
      </c>
      <c r="C87" s="4">
        <v>360</v>
      </c>
      <c r="D87" s="4">
        <f t="shared" si="1"/>
        <v>336</v>
      </c>
    </row>
    <row r="88" spans="1:4" x14ac:dyDescent="0.2">
      <c r="A88" s="1">
        <f>'Filter-old'!C89</f>
        <v>39508</v>
      </c>
      <c r="B88" s="4">
        <v>744</v>
      </c>
      <c r="C88" s="4">
        <v>408</v>
      </c>
      <c r="D88" s="4">
        <f t="shared" si="1"/>
        <v>336</v>
      </c>
    </row>
    <row r="89" spans="1:4" x14ac:dyDescent="0.2">
      <c r="A89" s="1">
        <f>'Filter-old'!C90</f>
        <v>39539</v>
      </c>
      <c r="B89" s="4">
        <v>720</v>
      </c>
      <c r="C89" s="4">
        <v>368</v>
      </c>
      <c r="D89" s="4">
        <f t="shared" si="1"/>
        <v>352</v>
      </c>
    </row>
    <row r="90" spans="1:4" x14ac:dyDescent="0.2">
      <c r="A90" s="1">
        <f>'Filter-old'!C91</f>
        <v>39569</v>
      </c>
      <c r="B90" s="4">
        <v>744</v>
      </c>
      <c r="C90" s="4">
        <v>408</v>
      </c>
      <c r="D90" s="4">
        <f t="shared" si="1"/>
        <v>336</v>
      </c>
    </row>
    <row r="91" spans="1:4" x14ac:dyDescent="0.2">
      <c r="A91" s="1">
        <f>'Filter-old'!C92</f>
        <v>39600</v>
      </c>
      <c r="B91" s="4">
        <v>720</v>
      </c>
      <c r="C91" s="4">
        <v>384</v>
      </c>
      <c r="D91" s="4">
        <f t="shared" si="1"/>
        <v>336</v>
      </c>
    </row>
    <row r="92" spans="1:4" x14ac:dyDescent="0.2">
      <c r="A92" s="1">
        <f>'Filter-old'!C93</f>
        <v>39630</v>
      </c>
      <c r="B92" s="4">
        <v>744</v>
      </c>
      <c r="C92" s="4">
        <v>392</v>
      </c>
      <c r="D92" s="4">
        <f t="shared" si="1"/>
        <v>352</v>
      </c>
    </row>
    <row r="93" spans="1:4" x14ac:dyDescent="0.2">
      <c r="A93" s="1">
        <f>'Filter-old'!C94</f>
        <v>39661</v>
      </c>
      <c r="B93" s="4">
        <v>744</v>
      </c>
      <c r="C93" s="4">
        <v>408</v>
      </c>
      <c r="D93" s="4">
        <f t="shared" si="1"/>
        <v>336</v>
      </c>
    </row>
    <row r="94" spans="1:4" x14ac:dyDescent="0.2">
      <c r="A94" s="1">
        <f>'Filter-old'!C95</f>
        <v>39692</v>
      </c>
      <c r="B94" s="4">
        <v>720</v>
      </c>
      <c r="C94" s="4">
        <v>384</v>
      </c>
      <c r="D94" s="4">
        <f t="shared" si="1"/>
        <v>336</v>
      </c>
    </row>
    <row r="95" spans="1:4" x14ac:dyDescent="0.2">
      <c r="A95" s="1">
        <f>'Filter-old'!C96</f>
        <v>39722</v>
      </c>
      <c r="B95" s="4">
        <v>744</v>
      </c>
      <c r="C95" s="4">
        <v>376</v>
      </c>
      <c r="D95" s="4">
        <f t="shared" si="1"/>
        <v>368</v>
      </c>
    </row>
    <row r="96" spans="1:4" x14ac:dyDescent="0.2">
      <c r="A96" s="1">
        <f>'Filter-old'!C97</f>
        <v>39753</v>
      </c>
      <c r="B96" s="4">
        <v>720</v>
      </c>
      <c r="C96" s="4">
        <v>416</v>
      </c>
      <c r="D96" s="4">
        <f t="shared" si="1"/>
        <v>304</v>
      </c>
    </row>
    <row r="97" spans="1:4" x14ac:dyDescent="0.2">
      <c r="A97" s="1">
        <f>'Filter-old'!C98</f>
        <v>39783</v>
      </c>
      <c r="B97" s="4">
        <v>744</v>
      </c>
      <c r="C97" s="4">
        <v>392</v>
      </c>
      <c r="D97" s="4">
        <f t="shared" si="1"/>
        <v>352</v>
      </c>
    </row>
    <row r="98" spans="1:4" x14ac:dyDescent="0.2">
      <c r="A98" s="1">
        <f>'Filter-old'!C99</f>
        <v>39814</v>
      </c>
      <c r="B98" s="4">
        <v>744</v>
      </c>
      <c r="C98" s="4">
        <v>408</v>
      </c>
      <c r="D98" s="4">
        <f t="shared" si="1"/>
        <v>336</v>
      </c>
    </row>
    <row r="99" spans="1:4" x14ac:dyDescent="0.2">
      <c r="A99" s="1">
        <f>'Filter-old'!C100</f>
        <v>39845</v>
      </c>
      <c r="B99" s="4">
        <v>672</v>
      </c>
      <c r="C99" s="4">
        <v>352</v>
      </c>
      <c r="D99" s="4">
        <f t="shared" si="1"/>
        <v>320</v>
      </c>
    </row>
    <row r="100" spans="1:4" x14ac:dyDescent="0.2">
      <c r="A100" s="1">
        <f>'Filter-old'!C101</f>
        <v>39873</v>
      </c>
      <c r="B100" s="4">
        <v>744</v>
      </c>
      <c r="C100" s="4">
        <v>392</v>
      </c>
      <c r="D100" s="4">
        <f t="shared" si="1"/>
        <v>352</v>
      </c>
    </row>
    <row r="101" spans="1:4" x14ac:dyDescent="0.2">
      <c r="A101" s="1">
        <f>'Filter-old'!C102</f>
        <v>39904</v>
      </c>
      <c r="B101" s="4">
        <v>720</v>
      </c>
      <c r="C101" s="4">
        <v>368</v>
      </c>
      <c r="D101" s="4">
        <f t="shared" si="1"/>
        <v>352</v>
      </c>
    </row>
    <row r="102" spans="1:4" x14ac:dyDescent="0.2">
      <c r="A102" s="1">
        <f>'Filter-old'!C103</f>
        <v>39934</v>
      </c>
      <c r="B102" s="4">
        <v>744</v>
      </c>
      <c r="C102" s="4">
        <v>424</v>
      </c>
      <c r="D102" s="4">
        <f t="shared" si="1"/>
        <v>320</v>
      </c>
    </row>
    <row r="103" spans="1:4" x14ac:dyDescent="0.2">
      <c r="A103" s="1">
        <f>'Filter-old'!C104</f>
        <v>39965</v>
      </c>
      <c r="B103" s="4">
        <v>720</v>
      </c>
      <c r="C103" s="4">
        <v>368</v>
      </c>
      <c r="D103" s="4">
        <f t="shared" si="1"/>
        <v>352</v>
      </c>
    </row>
    <row r="104" spans="1:4" x14ac:dyDescent="0.2">
      <c r="A104" s="1">
        <f>'Filter-old'!C105</f>
        <v>39995</v>
      </c>
      <c r="B104" s="4">
        <v>744</v>
      </c>
      <c r="C104" s="4">
        <v>376</v>
      </c>
      <c r="D104" s="4">
        <f t="shared" si="1"/>
        <v>368</v>
      </c>
    </row>
    <row r="105" spans="1:4" x14ac:dyDescent="0.2">
      <c r="A105" s="1">
        <f>'Filter-old'!C106</f>
        <v>40026</v>
      </c>
      <c r="B105" s="4">
        <v>744</v>
      </c>
      <c r="C105" s="4">
        <v>408</v>
      </c>
      <c r="D105" s="4">
        <f t="shared" si="1"/>
        <v>336</v>
      </c>
    </row>
    <row r="106" spans="1:4" x14ac:dyDescent="0.2">
      <c r="A106" s="1">
        <f>'Filter-old'!C107</f>
        <v>40057</v>
      </c>
      <c r="B106" s="4">
        <v>720</v>
      </c>
      <c r="C106" s="4">
        <v>384</v>
      </c>
      <c r="D106" s="4">
        <f t="shared" si="1"/>
        <v>336</v>
      </c>
    </row>
    <row r="107" spans="1:4" x14ac:dyDescent="0.2">
      <c r="A107" s="1">
        <f>'Filter-old'!C108</f>
        <v>40087</v>
      </c>
      <c r="B107" s="4">
        <v>744</v>
      </c>
      <c r="C107" s="4">
        <v>392</v>
      </c>
      <c r="D107" s="4">
        <f t="shared" si="1"/>
        <v>352</v>
      </c>
    </row>
    <row r="108" spans="1:4" x14ac:dyDescent="0.2">
      <c r="A108" s="1">
        <f>'Filter-old'!C109</f>
        <v>40118</v>
      </c>
      <c r="B108" s="4">
        <v>720</v>
      </c>
      <c r="C108" s="4">
        <v>400</v>
      </c>
      <c r="D108" s="4">
        <f t="shared" si="1"/>
        <v>320</v>
      </c>
    </row>
    <row r="109" spans="1:4" x14ac:dyDescent="0.2">
      <c r="A109" s="1">
        <f>'Filter-old'!C110</f>
        <v>40148</v>
      </c>
      <c r="B109" s="4">
        <v>744</v>
      </c>
      <c r="C109" s="4">
        <v>392</v>
      </c>
      <c r="D109" s="4">
        <f t="shared" si="1"/>
        <v>352</v>
      </c>
    </row>
    <row r="110" spans="1:4" x14ac:dyDescent="0.2">
      <c r="A110" s="1">
        <f>'Filter-old'!C111</f>
        <v>40179</v>
      </c>
      <c r="B110" s="4">
        <v>744</v>
      </c>
      <c r="C110" s="4">
        <v>424</v>
      </c>
      <c r="D110" s="4">
        <f t="shared" si="1"/>
        <v>320</v>
      </c>
    </row>
    <row r="111" spans="1:4" x14ac:dyDescent="0.2">
      <c r="A111" s="1">
        <f>'Filter-old'!C112</f>
        <v>40210</v>
      </c>
      <c r="B111" s="4">
        <v>672</v>
      </c>
      <c r="C111" s="4">
        <v>352</v>
      </c>
      <c r="D111" s="4">
        <f t="shared" si="1"/>
        <v>320</v>
      </c>
    </row>
    <row r="112" spans="1:4" x14ac:dyDescent="0.2">
      <c r="A112" s="1">
        <f>'Filter-old'!C113</f>
        <v>40238</v>
      </c>
      <c r="B112" s="4">
        <v>744</v>
      </c>
      <c r="C112" s="4">
        <v>376</v>
      </c>
      <c r="D112" s="4">
        <f t="shared" si="1"/>
        <v>368</v>
      </c>
    </row>
    <row r="113" spans="1:4" x14ac:dyDescent="0.2">
      <c r="A113" s="1">
        <f>'Filter-old'!C114</f>
        <v>40269</v>
      </c>
      <c r="B113" s="4">
        <v>720</v>
      </c>
      <c r="C113" s="4">
        <v>368</v>
      </c>
      <c r="D113" s="4">
        <f t="shared" si="1"/>
        <v>352</v>
      </c>
    </row>
    <row r="114" spans="1:4" x14ac:dyDescent="0.2">
      <c r="A114" s="1">
        <f>'Filter-old'!C115</f>
        <v>40299</v>
      </c>
      <c r="B114" s="4">
        <v>744</v>
      </c>
      <c r="C114" s="4">
        <v>424</v>
      </c>
      <c r="D114" s="4">
        <f t="shared" si="1"/>
        <v>320</v>
      </c>
    </row>
    <row r="115" spans="1:4" x14ac:dyDescent="0.2">
      <c r="A115" s="1">
        <f>'Filter-old'!C116</f>
        <v>40330</v>
      </c>
      <c r="B115" s="4">
        <v>720</v>
      </c>
      <c r="C115" s="4">
        <v>368</v>
      </c>
      <c r="D115" s="4">
        <f t="shared" si="1"/>
        <v>352</v>
      </c>
    </row>
    <row r="116" spans="1:4" x14ac:dyDescent="0.2">
      <c r="A116" s="1">
        <f>'Filter-old'!C117</f>
        <v>40360</v>
      </c>
      <c r="B116" s="4">
        <v>744</v>
      </c>
      <c r="C116" s="4">
        <v>408</v>
      </c>
      <c r="D116" s="4">
        <f t="shared" si="1"/>
        <v>336</v>
      </c>
    </row>
    <row r="117" spans="1:4" x14ac:dyDescent="0.2">
      <c r="A117" s="1">
        <f>'Filter-old'!C118</f>
        <v>40391</v>
      </c>
      <c r="B117" s="4">
        <v>744</v>
      </c>
      <c r="C117" s="4">
        <v>392</v>
      </c>
      <c r="D117" s="4">
        <f t="shared" si="1"/>
        <v>352</v>
      </c>
    </row>
    <row r="118" spans="1:4" x14ac:dyDescent="0.2">
      <c r="A118" s="1">
        <f>'Filter-old'!C119</f>
        <v>40422</v>
      </c>
      <c r="B118" s="4">
        <v>720</v>
      </c>
      <c r="C118" s="4">
        <v>384</v>
      </c>
      <c r="D118" s="4">
        <f t="shared" si="1"/>
        <v>336</v>
      </c>
    </row>
    <row r="119" spans="1:4" x14ac:dyDescent="0.2">
      <c r="A119" s="1">
        <f>'Filter-old'!C120</f>
        <v>40452</v>
      </c>
      <c r="B119" s="4">
        <v>744</v>
      </c>
      <c r="C119" s="4">
        <v>408</v>
      </c>
      <c r="D119" s="4">
        <f t="shared" si="1"/>
        <v>336</v>
      </c>
    </row>
    <row r="120" spans="1:4" x14ac:dyDescent="0.2">
      <c r="A120" s="1">
        <f>'Filter-old'!C121</f>
        <v>40483</v>
      </c>
      <c r="B120" s="4">
        <v>720</v>
      </c>
      <c r="C120" s="4">
        <v>384</v>
      </c>
      <c r="D120" s="4">
        <f t="shared" si="1"/>
        <v>336</v>
      </c>
    </row>
    <row r="121" spans="1:4" x14ac:dyDescent="0.2">
      <c r="A121" s="1">
        <f>'Filter-old'!C122</f>
        <v>40513</v>
      </c>
      <c r="B121" s="4">
        <v>744</v>
      </c>
      <c r="C121" s="4">
        <v>376</v>
      </c>
      <c r="D121" s="4">
        <f t="shared" si="1"/>
        <v>368</v>
      </c>
    </row>
    <row r="122" spans="1:4" x14ac:dyDescent="0.2">
      <c r="A122" s="1"/>
    </row>
    <row r="123" spans="1:4" x14ac:dyDescent="0.2">
      <c r="A123" s="1"/>
    </row>
    <row r="124" spans="1:4" x14ac:dyDescent="0.2">
      <c r="A124" s="1"/>
    </row>
    <row r="125" spans="1:4" x14ac:dyDescent="0.2">
      <c r="A125" s="1"/>
    </row>
    <row r="126" spans="1:4" x14ac:dyDescent="0.2">
      <c r="A126" s="1"/>
    </row>
    <row r="127" spans="1:4" x14ac:dyDescent="0.2">
      <c r="A127" s="1"/>
    </row>
    <row r="128" spans="1:4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249"/>
  <sheetViews>
    <sheetView workbookViewId="0">
      <selection activeCell="B15" sqref="B15"/>
    </sheetView>
  </sheetViews>
  <sheetFormatPr defaultRowHeight="12.75" x14ac:dyDescent="0.2"/>
  <sheetData>
    <row r="1" spans="1:3" x14ac:dyDescent="0.2">
      <c r="B1" s="21"/>
      <c r="C1" s="21"/>
    </row>
    <row r="2" spans="1:3" x14ac:dyDescent="0.2">
      <c r="A2" s="1">
        <v>36892</v>
      </c>
      <c r="B2" s="21" t="e">
        <f>VLOOKUP($A2,[1]Peak_Forward!$A$5:$AF$128,32)</f>
        <v>#N/A</v>
      </c>
      <c r="C2" s="21" t="e">
        <f>VLOOKUP($A2,[1]Peak_Forward!$A$5:$AF$128,32)</f>
        <v>#N/A</v>
      </c>
    </row>
    <row r="3" spans="1:3" x14ac:dyDescent="0.2">
      <c r="A3" s="1">
        <v>36923</v>
      </c>
      <c r="B3" s="21" t="e">
        <f>VLOOKUP($A3,[1]Peak_Forward!$A$5:$AF$128,32)</f>
        <v>#N/A</v>
      </c>
      <c r="C3" s="21" t="e">
        <f>VLOOKUP($A3,[1]Peak_Forward!$A$5:$AF$128,32)</f>
        <v>#N/A</v>
      </c>
    </row>
    <row r="4" spans="1:3" x14ac:dyDescent="0.2">
      <c r="A4" s="1">
        <v>36951</v>
      </c>
      <c r="B4" s="21" t="e">
        <f>VLOOKUP($A4,[1]Peak_Forward!$A$5:$AF$128,32)</f>
        <v>#N/A</v>
      </c>
      <c r="C4" s="21" t="e">
        <f>VLOOKUP($A4,[1]Peak_Forward!$A$5:$AF$128,32)</f>
        <v>#N/A</v>
      </c>
    </row>
    <row r="5" spans="1:3" x14ac:dyDescent="0.2">
      <c r="A5" s="1">
        <v>36982</v>
      </c>
      <c r="B5" s="21" t="e">
        <f>VLOOKUP($A5,[1]Peak_Forward!$A$5:$AF$128,32)</f>
        <v>#N/A</v>
      </c>
      <c r="C5" s="21" t="e">
        <f>VLOOKUP($A5,[1]Peak_Forward!$A$5:$AF$128,32)</f>
        <v>#N/A</v>
      </c>
    </row>
    <row r="6" spans="1:3" x14ac:dyDescent="0.2">
      <c r="A6" s="1">
        <v>37012</v>
      </c>
      <c r="B6" s="21" t="e">
        <f>VLOOKUP($A6,[1]Peak_Forward!$A$5:$AF$128,32)</f>
        <v>#N/A</v>
      </c>
      <c r="C6" s="21" t="e">
        <f>VLOOKUP($A6,[1]Peak_Forward!$A$5:$AF$128,32)</f>
        <v>#N/A</v>
      </c>
    </row>
    <row r="7" spans="1:3" x14ac:dyDescent="0.2">
      <c r="A7" s="1">
        <v>37043</v>
      </c>
      <c r="B7" s="21">
        <f>B8</f>
        <v>3.1819999999999999</v>
      </c>
      <c r="C7" s="21">
        <f>C8</f>
        <v>3.1819999999999999</v>
      </c>
    </row>
    <row r="8" spans="1:3" x14ac:dyDescent="0.2">
      <c r="A8" s="1">
        <v>37073</v>
      </c>
      <c r="B8" s="21">
        <f>VLOOKUP($A8,[1]Peak_Forward!$A$5:$AG$128,33)</f>
        <v>3.1819999999999999</v>
      </c>
      <c r="C8" s="21">
        <f>VLOOKUP($A8,[1]Peak_Forward!$A$5:$AG$128,33)</f>
        <v>3.1819999999999999</v>
      </c>
    </row>
    <row r="9" spans="1:3" x14ac:dyDescent="0.2">
      <c r="A9" s="1">
        <v>37104</v>
      </c>
      <c r="B9" s="21">
        <f>VLOOKUP($A9,[1]Peak_Forward!$A$5:$AG$128,33)</f>
        <v>3.1669999999999998</v>
      </c>
      <c r="C9" s="21">
        <f>VLOOKUP($A9,[1]Peak_Forward!$A$5:$AG$128,33)</f>
        <v>3.1669999999999998</v>
      </c>
    </row>
    <row r="10" spans="1:3" x14ac:dyDescent="0.2">
      <c r="A10" s="1">
        <v>37135</v>
      </c>
      <c r="B10" s="21">
        <f>VLOOKUP($A10,[1]Peak_Forward!$A$5:$AG$128,33)</f>
        <v>2.2949999999999999</v>
      </c>
      <c r="C10" s="21">
        <f>VLOOKUP($A10,[1]Peak_Forward!$A$5:$AG$128,33)</f>
        <v>2.2949999999999999</v>
      </c>
    </row>
    <row r="11" spans="1:3" x14ac:dyDescent="0.2">
      <c r="A11" s="1">
        <v>37165</v>
      </c>
      <c r="B11" s="21">
        <f>VLOOKUP($A11,[1]Peak_Forward!$A$5:$AG$128,33)</f>
        <v>1.83</v>
      </c>
      <c r="C11" s="21">
        <f>VLOOKUP($A11,[1]Peak_Forward!$A$5:$AG$128,33)</f>
        <v>1.83</v>
      </c>
    </row>
    <row r="12" spans="1:3" x14ac:dyDescent="0.2">
      <c r="A12" s="1">
        <v>37196</v>
      </c>
      <c r="B12" s="21">
        <f>VLOOKUP($A12,[1]Peak_Forward!$A$5:$AG$128,33)</f>
        <v>2.2530000000000001</v>
      </c>
      <c r="C12" s="21">
        <f>VLOOKUP($A12,[1]Peak_Forward!$A$5:$AG$128,33)</f>
        <v>2.2530000000000001</v>
      </c>
    </row>
    <row r="13" spans="1:3" x14ac:dyDescent="0.2">
      <c r="A13" s="1">
        <v>37226</v>
      </c>
      <c r="B13" s="21">
        <f>VLOOKUP($A13,[1]Peak_Forward!$A$5:$AG$128,33)</f>
        <v>2.3159999999999998</v>
      </c>
      <c r="C13" s="21">
        <f>VLOOKUP($A13,[1]Peak_Forward!$A$5:$AG$128,33)</f>
        <v>2.3159999999999998</v>
      </c>
    </row>
    <row r="14" spans="1:3" x14ac:dyDescent="0.2">
      <c r="A14" s="1">
        <v>37257</v>
      </c>
      <c r="B14" s="21">
        <f>VLOOKUP($A14,[1]Peak_Forward!$A$5:$AG$128,33)</f>
        <v>2.4910000000000001</v>
      </c>
      <c r="C14" s="21">
        <f>VLOOKUP($A14,[1]Peak_Forward!$A$5:$AG$128,33)</f>
        <v>2.4910000000000001</v>
      </c>
    </row>
    <row r="15" spans="1:3" x14ac:dyDescent="0.2">
      <c r="A15" s="1">
        <v>37288</v>
      </c>
      <c r="B15" s="21">
        <f>VLOOKUP($A15,[1]Peak_Forward!$A$5:$AG$128,33)</f>
        <v>2.6240000000000001</v>
      </c>
      <c r="C15" s="21">
        <f>VLOOKUP($A15,[1]Peak_Forward!$A$5:$AG$128,33)</f>
        <v>2.6240000000000001</v>
      </c>
    </row>
    <row r="16" spans="1:3" x14ac:dyDescent="0.2">
      <c r="A16" s="1">
        <v>37316</v>
      </c>
      <c r="B16" s="21">
        <f>VLOOKUP($A16,[1]Peak_Forward!$A$5:$AG$128,33)</f>
        <v>2.6309999999999998</v>
      </c>
      <c r="C16" s="21">
        <f>VLOOKUP($A16,[1]Peak_Forward!$A$5:$AG$128,33)</f>
        <v>2.6309999999999998</v>
      </c>
    </row>
    <row r="17" spans="1:3" x14ac:dyDescent="0.2">
      <c r="A17" s="1">
        <v>37347</v>
      </c>
      <c r="B17" s="21">
        <f>VLOOKUP($A17,[1]Peak_Forward!$A$5:$AG$128,33)</f>
        <v>2.6120000000000001</v>
      </c>
      <c r="C17" s="21">
        <f>VLOOKUP($A17,[1]Peak_Forward!$A$5:$AG$128,33)</f>
        <v>2.6120000000000001</v>
      </c>
    </row>
    <row r="18" spans="1:3" x14ac:dyDescent="0.2">
      <c r="A18" s="1">
        <v>37377</v>
      </c>
      <c r="B18" s="21">
        <f>VLOOKUP($A18,[1]Peak_Forward!$A$5:$AG$128,33)</f>
        <v>2.6539999999999999</v>
      </c>
      <c r="C18" s="21">
        <f>VLOOKUP($A18,[1]Peak_Forward!$A$5:$AG$128,33)</f>
        <v>2.6539999999999999</v>
      </c>
    </row>
    <row r="19" spans="1:3" x14ac:dyDescent="0.2">
      <c r="A19" s="1">
        <v>37408</v>
      </c>
      <c r="B19" s="21">
        <f>VLOOKUP($A19,[1]Peak_Forward!$A$5:$AG$128,33)</f>
        <v>2.7040000000000002</v>
      </c>
      <c r="C19" s="21">
        <f>VLOOKUP($A19,[1]Peak_Forward!$A$5:$AG$128,33)</f>
        <v>2.7040000000000002</v>
      </c>
    </row>
    <row r="20" spans="1:3" x14ac:dyDescent="0.2">
      <c r="A20" s="1">
        <v>37438</v>
      </c>
      <c r="B20" s="21">
        <f>VLOOKUP($A20,[1]Peak_Forward!$A$5:$AG$128,33)</f>
        <v>2.7440000000000002</v>
      </c>
      <c r="C20" s="21">
        <f>VLOOKUP($A20,[1]Peak_Forward!$A$5:$AG$128,33)</f>
        <v>2.7440000000000002</v>
      </c>
    </row>
    <row r="21" spans="1:3" x14ac:dyDescent="0.2">
      <c r="A21" s="1">
        <v>37469</v>
      </c>
      <c r="B21" s="21">
        <f>VLOOKUP($A21,[1]Peak_Forward!$A$5:$AG$128,33)</f>
        <v>2.7839999999999998</v>
      </c>
      <c r="C21" s="21">
        <f>VLOOKUP($A21,[1]Peak_Forward!$A$5:$AG$128,33)</f>
        <v>2.7839999999999998</v>
      </c>
    </row>
    <row r="22" spans="1:3" x14ac:dyDescent="0.2">
      <c r="A22" s="1">
        <v>37500</v>
      </c>
      <c r="B22" s="21">
        <f>VLOOKUP($A22,[1]Peak_Forward!$A$5:$AG$128,33)</f>
        <v>2.7789999999999999</v>
      </c>
      <c r="C22" s="21">
        <f>VLOOKUP($A22,[1]Peak_Forward!$A$5:$AG$128,33)</f>
        <v>2.7789999999999999</v>
      </c>
    </row>
    <row r="23" spans="1:3" x14ac:dyDescent="0.2">
      <c r="A23" s="1">
        <v>37530</v>
      </c>
      <c r="B23" s="21">
        <f>VLOOKUP($A23,[1]Peak_Forward!$A$5:$AG$128,33)</f>
        <v>2.7970000000000002</v>
      </c>
      <c r="C23" s="21">
        <f>VLOOKUP($A23,[1]Peak_Forward!$A$5:$AG$128,33)</f>
        <v>2.7970000000000002</v>
      </c>
    </row>
    <row r="24" spans="1:3" x14ac:dyDescent="0.2">
      <c r="A24" s="1">
        <v>37561</v>
      </c>
      <c r="B24" s="21">
        <f>VLOOKUP($A24,[1]Peak_Forward!$A$5:$AG$128,33)</f>
        <v>2.996</v>
      </c>
      <c r="C24" s="21">
        <f>VLOOKUP($A24,[1]Peak_Forward!$A$5:$AG$128,33)</f>
        <v>2.996</v>
      </c>
    </row>
    <row r="25" spans="1:3" x14ac:dyDescent="0.2">
      <c r="A25" s="1">
        <v>37591</v>
      </c>
      <c r="B25" s="21">
        <f>VLOOKUP($A25,[1]Peak_Forward!$A$5:$AG$128,33)</f>
        <v>3.181</v>
      </c>
      <c r="C25" s="21">
        <f>VLOOKUP($A25,[1]Peak_Forward!$A$5:$AG$128,33)</f>
        <v>3.181</v>
      </c>
    </row>
    <row r="26" spans="1:3" x14ac:dyDescent="0.2">
      <c r="A26" s="1">
        <v>37622</v>
      </c>
      <c r="B26" s="21">
        <f>VLOOKUP($A26,[1]Peak_Forward!$A$5:$AG$128,33)</f>
        <v>3.274</v>
      </c>
      <c r="C26" s="21">
        <f>VLOOKUP($A26,[1]Peak_Forward!$A$5:$AG$128,33)</f>
        <v>3.274</v>
      </c>
    </row>
    <row r="27" spans="1:3" x14ac:dyDescent="0.2">
      <c r="A27" s="1">
        <v>37653</v>
      </c>
      <c r="B27" s="21">
        <f>VLOOKUP($A27,[1]Peak_Forward!$A$5:$AG$128,33)</f>
        <v>3.2090000000000001</v>
      </c>
      <c r="C27" s="21">
        <f>VLOOKUP($A27,[1]Peak_Forward!$A$5:$AG$128,33)</f>
        <v>3.2090000000000001</v>
      </c>
    </row>
    <row r="28" spans="1:3" x14ac:dyDescent="0.2">
      <c r="A28" s="1">
        <v>37681</v>
      </c>
      <c r="B28" s="21">
        <f>VLOOKUP($A28,[1]Peak_Forward!$A$5:$AG$128,33)</f>
        <v>3.1190000000000002</v>
      </c>
      <c r="C28" s="21">
        <f>VLOOKUP($A28,[1]Peak_Forward!$A$5:$AG$128,33)</f>
        <v>3.1190000000000002</v>
      </c>
    </row>
    <row r="29" spans="1:3" x14ac:dyDescent="0.2">
      <c r="A29" s="1">
        <v>37712</v>
      </c>
      <c r="B29" s="21">
        <f>VLOOKUP($A29,[1]Peak_Forward!$A$5:$AG$128,33)</f>
        <v>2.9740000000000002</v>
      </c>
      <c r="C29" s="21">
        <f>VLOOKUP($A29,[1]Peak_Forward!$A$5:$AG$128,33)</f>
        <v>2.9740000000000002</v>
      </c>
    </row>
    <row r="30" spans="1:3" x14ac:dyDescent="0.2">
      <c r="A30" s="1">
        <v>37742</v>
      </c>
      <c r="B30" s="21">
        <f>VLOOKUP($A30,[1]Peak_Forward!$A$5:$AG$128,33)</f>
        <v>2.9740000000000002</v>
      </c>
      <c r="C30" s="21">
        <f>VLOOKUP($A30,[1]Peak_Forward!$A$5:$AG$128,33)</f>
        <v>2.9740000000000002</v>
      </c>
    </row>
    <row r="31" spans="1:3" x14ac:dyDescent="0.2">
      <c r="A31" s="1">
        <v>37773</v>
      </c>
      <c r="B31" s="21">
        <f>VLOOKUP($A31,[1]Peak_Forward!$A$5:$AG$128,33)</f>
        <v>3.004</v>
      </c>
      <c r="C31" s="21">
        <f>VLOOKUP($A31,[1]Peak_Forward!$A$5:$AG$128,33)</f>
        <v>3.004</v>
      </c>
    </row>
    <row r="32" spans="1:3" x14ac:dyDescent="0.2">
      <c r="A32" s="1">
        <v>37803</v>
      </c>
      <c r="B32" s="21">
        <f>VLOOKUP($A32,[1]Peak_Forward!$A$5:$AG$128,33)</f>
        <v>3.044</v>
      </c>
      <c r="C32" s="21">
        <f>VLOOKUP($A32,[1]Peak_Forward!$A$5:$AG$128,33)</f>
        <v>3.044</v>
      </c>
    </row>
    <row r="33" spans="1:3" x14ac:dyDescent="0.2">
      <c r="A33" s="1">
        <v>37834</v>
      </c>
      <c r="B33" s="21">
        <f>VLOOKUP($A33,[1]Peak_Forward!$A$5:$AG$128,33)</f>
        <v>3.0790000000000002</v>
      </c>
      <c r="C33" s="21">
        <f>VLOOKUP($A33,[1]Peak_Forward!$A$5:$AG$128,33)</f>
        <v>3.0790000000000002</v>
      </c>
    </row>
    <row r="34" spans="1:3" x14ac:dyDescent="0.2">
      <c r="A34" s="1">
        <v>37865</v>
      </c>
      <c r="B34" s="21">
        <f>VLOOKUP($A34,[1]Peak_Forward!$A$5:$AG$128,33)</f>
        <v>3.0790000000000002</v>
      </c>
      <c r="C34" s="21">
        <f>VLOOKUP($A34,[1]Peak_Forward!$A$5:$AG$128,33)</f>
        <v>3.0790000000000002</v>
      </c>
    </row>
    <row r="35" spans="1:3" x14ac:dyDescent="0.2">
      <c r="A35" s="1">
        <v>37895</v>
      </c>
      <c r="B35" s="21">
        <f>VLOOKUP($A35,[1]Peak_Forward!$A$5:$AG$128,33)</f>
        <v>3.0990000000000002</v>
      </c>
      <c r="C35" s="21">
        <f>VLOOKUP($A35,[1]Peak_Forward!$A$5:$AG$128,33)</f>
        <v>3.0990000000000002</v>
      </c>
    </row>
    <row r="36" spans="1:3" x14ac:dyDescent="0.2">
      <c r="A36" s="1">
        <v>37926</v>
      </c>
      <c r="B36" s="21">
        <f>VLOOKUP($A36,[1]Peak_Forward!$A$5:$AG$128,33)</f>
        <v>3.234</v>
      </c>
      <c r="C36" s="21">
        <f>VLOOKUP($A36,[1]Peak_Forward!$A$5:$AG$128,33)</f>
        <v>3.234</v>
      </c>
    </row>
    <row r="37" spans="1:3" x14ac:dyDescent="0.2">
      <c r="A37" s="1">
        <v>37956</v>
      </c>
      <c r="B37" s="21">
        <f>VLOOKUP($A37,[1]Peak_Forward!$A$5:$AG$128,33)</f>
        <v>3.3690000000000002</v>
      </c>
      <c r="C37" s="21">
        <f>VLOOKUP($A37,[1]Peak_Forward!$A$5:$AG$128,33)</f>
        <v>3.3690000000000002</v>
      </c>
    </row>
    <row r="38" spans="1:3" x14ac:dyDescent="0.2">
      <c r="A38" s="1">
        <v>37987</v>
      </c>
      <c r="B38" s="21">
        <f>VLOOKUP($A38,[1]Peak_Forward!$A$5:$AG$128,33)</f>
        <v>3.4289999999999998</v>
      </c>
      <c r="C38" s="21">
        <f>VLOOKUP($A38,[1]Peak_Forward!$A$5:$AG$128,33)</f>
        <v>3.4289999999999998</v>
      </c>
    </row>
    <row r="39" spans="1:3" x14ac:dyDescent="0.2">
      <c r="A39" s="1">
        <v>38018</v>
      </c>
      <c r="B39" s="21">
        <f>VLOOKUP($A39,[1]Peak_Forward!$A$5:$AG$128,33)</f>
        <v>3.3439999999999999</v>
      </c>
      <c r="C39" s="21">
        <f>VLOOKUP($A39,[1]Peak_Forward!$A$5:$AG$128,33)</f>
        <v>3.3439999999999999</v>
      </c>
    </row>
    <row r="40" spans="1:3" x14ac:dyDescent="0.2">
      <c r="A40" s="1">
        <v>38047</v>
      </c>
      <c r="B40" s="21">
        <f>VLOOKUP($A40,[1]Peak_Forward!$A$5:$AG$128,33)</f>
        <v>3.214</v>
      </c>
      <c r="C40" s="21">
        <f>VLOOKUP($A40,[1]Peak_Forward!$A$5:$AG$128,33)</f>
        <v>3.214</v>
      </c>
    </row>
    <row r="41" spans="1:3" x14ac:dyDescent="0.2">
      <c r="A41" s="1">
        <v>38078</v>
      </c>
      <c r="B41" s="21">
        <f>VLOOKUP($A41,[1]Peak_Forward!$A$5:$AG$128,33)</f>
        <v>3.0289999999999999</v>
      </c>
      <c r="C41" s="21">
        <f>VLOOKUP($A41,[1]Peak_Forward!$A$5:$AG$128,33)</f>
        <v>3.0289999999999999</v>
      </c>
    </row>
    <row r="42" spans="1:3" x14ac:dyDescent="0.2">
      <c r="A42" s="1">
        <v>38108</v>
      </c>
      <c r="B42" s="21">
        <f>VLOOKUP($A42,[1]Peak_Forward!$A$5:$AG$128,33)</f>
        <v>3.024</v>
      </c>
      <c r="C42" s="21">
        <f>VLOOKUP($A42,[1]Peak_Forward!$A$5:$AG$128,33)</f>
        <v>3.024</v>
      </c>
    </row>
    <row r="43" spans="1:3" x14ac:dyDescent="0.2">
      <c r="A43" s="1">
        <v>38139</v>
      </c>
      <c r="B43" s="21">
        <f>VLOOKUP($A43,[1]Peak_Forward!$A$5:$AG$128,33)</f>
        <v>3.0590000000000002</v>
      </c>
      <c r="C43" s="21">
        <f>VLOOKUP($A43,[1]Peak_Forward!$A$5:$AG$128,33)</f>
        <v>3.0590000000000002</v>
      </c>
    </row>
    <row r="44" spans="1:3" x14ac:dyDescent="0.2">
      <c r="A44" s="1">
        <v>38169</v>
      </c>
      <c r="B44" s="21">
        <f>VLOOKUP($A44,[1]Peak_Forward!$A$5:$AG$128,33)</f>
        <v>3.0990000000000002</v>
      </c>
      <c r="C44" s="21">
        <f>VLOOKUP($A44,[1]Peak_Forward!$A$5:$AG$128,33)</f>
        <v>3.0990000000000002</v>
      </c>
    </row>
    <row r="45" spans="1:3" x14ac:dyDescent="0.2">
      <c r="A45" s="1">
        <v>38200</v>
      </c>
      <c r="B45" s="21">
        <f>VLOOKUP($A45,[1]Peak_Forward!$A$5:$AG$128,33)</f>
        <v>3.1389999999999998</v>
      </c>
      <c r="C45" s="21">
        <f>VLOOKUP($A45,[1]Peak_Forward!$A$5:$AG$128,33)</f>
        <v>3.1389999999999998</v>
      </c>
    </row>
    <row r="46" spans="1:3" x14ac:dyDescent="0.2">
      <c r="A46" s="1">
        <v>38231</v>
      </c>
      <c r="B46" s="21">
        <f>VLOOKUP($A46,[1]Peak_Forward!$A$5:$AG$128,33)</f>
        <v>3.1219999999999999</v>
      </c>
      <c r="C46" s="21">
        <f>VLOOKUP($A46,[1]Peak_Forward!$A$5:$AG$128,33)</f>
        <v>3.1219999999999999</v>
      </c>
    </row>
    <row r="47" spans="1:3" x14ac:dyDescent="0.2">
      <c r="A47" s="1">
        <v>38261</v>
      </c>
      <c r="B47" s="21">
        <f>VLOOKUP($A47,[1]Peak_Forward!$A$5:$AG$128,33)</f>
        <v>3.1469999999999998</v>
      </c>
      <c r="C47" s="21">
        <f>VLOOKUP($A47,[1]Peak_Forward!$A$5:$AG$128,33)</f>
        <v>3.1469999999999998</v>
      </c>
    </row>
    <row r="48" spans="1:3" x14ac:dyDescent="0.2">
      <c r="A48" s="1">
        <v>38292</v>
      </c>
      <c r="B48" s="21">
        <f>VLOOKUP($A48,[1]Peak_Forward!$A$5:$AG$128,33)</f>
        <v>3.2989999999999999</v>
      </c>
      <c r="C48" s="21">
        <f>VLOOKUP($A48,[1]Peak_Forward!$A$5:$AG$128,33)</f>
        <v>3.2989999999999999</v>
      </c>
    </row>
    <row r="49" spans="1:3" x14ac:dyDescent="0.2">
      <c r="A49" s="1">
        <v>38322</v>
      </c>
      <c r="B49" s="21">
        <f>VLOOKUP($A49,[1]Peak_Forward!$A$5:$AG$128,33)</f>
        <v>3.4420000000000002</v>
      </c>
      <c r="C49" s="21">
        <f>VLOOKUP($A49,[1]Peak_Forward!$A$5:$AG$128,33)</f>
        <v>3.4420000000000002</v>
      </c>
    </row>
    <row r="50" spans="1:3" x14ac:dyDescent="0.2">
      <c r="A50" s="1">
        <v>38353</v>
      </c>
      <c r="B50" s="21">
        <f>VLOOKUP($A50,[1]Peak_Forward!$A$5:$AG$128,33)</f>
        <v>3.4750000000000001</v>
      </c>
      <c r="C50" s="21">
        <f>VLOOKUP($A50,[1]Peak_Forward!$A$5:$AG$128,33)</f>
        <v>3.4750000000000001</v>
      </c>
    </row>
    <row r="51" spans="1:3" x14ac:dyDescent="0.2">
      <c r="A51" s="1">
        <v>38384</v>
      </c>
      <c r="B51" s="21">
        <f>VLOOKUP($A51,[1]Peak_Forward!$A$5:$AG$128,33)</f>
        <v>3.419</v>
      </c>
      <c r="C51" s="21">
        <f>VLOOKUP($A51,[1]Peak_Forward!$A$5:$AG$128,33)</f>
        <v>3.419</v>
      </c>
    </row>
    <row r="52" spans="1:3" x14ac:dyDescent="0.2">
      <c r="A52" s="1">
        <v>38412</v>
      </c>
      <c r="B52" s="21">
        <f>VLOOKUP($A52,[1]Peak_Forward!$A$5:$AG$128,33)</f>
        <v>3.2890000000000001</v>
      </c>
      <c r="C52" s="21">
        <f>VLOOKUP($A52,[1]Peak_Forward!$A$5:$AG$128,33)</f>
        <v>3.2890000000000001</v>
      </c>
    </row>
    <row r="53" spans="1:3" x14ac:dyDescent="0.2">
      <c r="A53" s="1">
        <v>38443</v>
      </c>
      <c r="B53" s="21">
        <f>VLOOKUP($A53,[1]Peak_Forward!$A$5:$AG$128,33)</f>
        <v>3.1040000000000001</v>
      </c>
      <c r="C53" s="21">
        <f>VLOOKUP($A53,[1]Peak_Forward!$A$5:$AG$128,33)</f>
        <v>3.1040000000000001</v>
      </c>
    </row>
    <row r="54" spans="1:3" x14ac:dyDescent="0.2">
      <c r="A54" s="1">
        <v>38473</v>
      </c>
      <c r="B54" s="21">
        <f>VLOOKUP($A54,[1]Peak_Forward!$A$5:$AG$128,33)</f>
        <v>3.0990000000000002</v>
      </c>
      <c r="C54" s="21">
        <f>VLOOKUP($A54,[1]Peak_Forward!$A$5:$AG$128,33)</f>
        <v>3.0990000000000002</v>
      </c>
    </row>
    <row r="55" spans="1:3" x14ac:dyDescent="0.2">
      <c r="A55" s="1">
        <v>38504</v>
      </c>
      <c r="B55" s="21">
        <f>VLOOKUP($A55,[1]Peak_Forward!$A$5:$AG$128,33)</f>
        <v>3.1339999999999999</v>
      </c>
      <c r="C55" s="21">
        <f>VLOOKUP($A55,[1]Peak_Forward!$A$5:$AG$128,33)</f>
        <v>3.1339999999999999</v>
      </c>
    </row>
    <row r="56" spans="1:3" x14ac:dyDescent="0.2">
      <c r="A56" s="1">
        <v>38534</v>
      </c>
      <c r="B56" s="21">
        <f>VLOOKUP($A56,[1]Peak_Forward!$A$5:$AG$128,33)</f>
        <v>3.1739999999999999</v>
      </c>
      <c r="C56" s="21">
        <f>VLOOKUP($A56,[1]Peak_Forward!$A$5:$AG$128,33)</f>
        <v>3.1739999999999999</v>
      </c>
    </row>
    <row r="57" spans="1:3" x14ac:dyDescent="0.2">
      <c r="A57" s="1">
        <v>38565</v>
      </c>
      <c r="B57" s="21">
        <f>VLOOKUP($A57,[1]Peak_Forward!$A$5:$AG$128,33)</f>
        <v>3.214</v>
      </c>
      <c r="C57" s="21">
        <f>VLOOKUP($A57,[1]Peak_Forward!$A$5:$AG$128,33)</f>
        <v>3.214</v>
      </c>
    </row>
    <row r="58" spans="1:3" x14ac:dyDescent="0.2">
      <c r="A58" s="1">
        <v>38596</v>
      </c>
      <c r="B58" s="21">
        <f>VLOOKUP($A58,[1]Peak_Forward!$A$5:$AG$128,33)</f>
        <v>3.1970000000000001</v>
      </c>
      <c r="C58" s="21">
        <f>VLOOKUP($A58,[1]Peak_Forward!$A$5:$AG$128,33)</f>
        <v>3.1970000000000001</v>
      </c>
    </row>
    <row r="59" spans="1:3" x14ac:dyDescent="0.2">
      <c r="A59" s="1">
        <v>38626</v>
      </c>
      <c r="B59" s="21">
        <f>VLOOKUP($A59,[1]Peak_Forward!$A$5:$AG$128,33)</f>
        <v>3.222</v>
      </c>
      <c r="C59" s="21">
        <f>VLOOKUP($A59,[1]Peak_Forward!$A$5:$AG$128,33)</f>
        <v>3.222</v>
      </c>
    </row>
    <row r="60" spans="1:3" x14ac:dyDescent="0.2">
      <c r="A60" s="1">
        <v>38657</v>
      </c>
      <c r="B60" s="21">
        <f>VLOOKUP($A60,[1]Peak_Forward!$A$5:$AG$128,33)</f>
        <v>3.3740000000000001</v>
      </c>
      <c r="C60" s="21">
        <f>VLOOKUP($A60,[1]Peak_Forward!$A$5:$AG$128,33)</f>
        <v>3.3740000000000001</v>
      </c>
    </row>
    <row r="61" spans="1:3" x14ac:dyDescent="0.2">
      <c r="A61" s="1">
        <v>38687</v>
      </c>
      <c r="B61" s="21">
        <f>VLOOKUP($A61,[1]Peak_Forward!$A$5:$AG$128,33)</f>
        <v>3.5169999999999999</v>
      </c>
      <c r="C61" s="21">
        <f>VLOOKUP($A61,[1]Peak_Forward!$A$5:$AG$128,33)</f>
        <v>3.5169999999999999</v>
      </c>
    </row>
    <row r="62" spans="1:3" x14ac:dyDescent="0.2">
      <c r="A62" s="1">
        <v>38718</v>
      </c>
      <c r="B62" s="21">
        <f>VLOOKUP($A62,[1]Peak_Forward!$A$5:$AG$128,33)</f>
        <v>3.55</v>
      </c>
      <c r="C62" s="21">
        <f>VLOOKUP($A62,[1]Peak_Forward!$A$5:$AG$128,33)</f>
        <v>3.55</v>
      </c>
    </row>
    <row r="63" spans="1:3" x14ac:dyDescent="0.2">
      <c r="A63" s="1">
        <v>38749</v>
      </c>
      <c r="B63" s="21">
        <f>VLOOKUP($A63,[1]Peak_Forward!$A$5:$AG$128,33)</f>
        <v>3.4940000000000002</v>
      </c>
      <c r="C63" s="21">
        <f>VLOOKUP($A63,[1]Peak_Forward!$A$5:$AG$128,33)</f>
        <v>3.4940000000000002</v>
      </c>
    </row>
    <row r="64" spans="1:3" x14ac:dyDescent="0.2">
      <c r="A64" s="1">
        <v>38777</v>
      </c>
      <c r="B64" s="21">
        <f>VLOOKUP($A64,[1]Peak_Forward!$A$5:$AG$128,33)</f>
        <v>3.3639999999999999</v>
      </c>
      <c r="C64" s="21">
        <f>VLOOKUP($A64,[1]Peak_Forward!$A$5:$AG$128,33)</f>
        <v>3.3639999999999999</v>
      </c>
    </row>
    <row r="65" spans="1:3" x14ac:dyDescent="0.2">
      <c r="A65" s="1">
        <v>38808</v>
      </c>
      <c r="B65" s="21">
        <f>VLOOKUP($A65,[1]Peak_Forward!$A$5:$AG$128,33)</f>
        <v>3.1789999999999998</v>
      </c>
      <c r="C65" s="21">
        <f>VLOOKUP($A65,[1]Peak_Forward!$A$5:$AG$128,33)</f>
        <v>3.1789999999999998</v>
      </c>
    </row>
    <row r="66" spans="1:3" x14ac:dyDescent="0.2">
      <c r="A66" s="1">
        <v>38838</v>
      </c>
      <c r="B66" s="21">
        <f>VLOOKUP($A66,[1]Peak_Forward!$A$5:$AG$128,33)</f>
        <v>3.1739999999999999</v>
      </c>
      <c r="C66" s="21">
        <f>VLOOKUP($A66,[1]Peak_Forward!$A$5:$AG$128,33)</f>
        <v>3.1739999999999999</v>
      </c>
    </row>
    <row r="67" spans="1:3" x14ac:dyDescent="0.2">
      <c r="A67" s="1">
        <v>38869</v>
      </c>
      <c r="B67" s="21">
        <f>VLOOKUP($A67,[1]Peak_Forward!$A$5:$AG$128,33)</f>
        <v>3.2090000000000001</v>
      </c>
      <c r="C67" s="21">
        <f>VLOOKUP($A67,[1]Peak_Forward!$A$5:$AG$128,33)</f>
        <v>3.2090000000000001</v>
      </c>
    </row>
    <row r="68" spans="1:3" x14ac:dyDescent="0.2">
      <c r="A68" s="1">
        <v>38899</v>
      </c>
      <c r="B68" s="21">
        <f>VLOOKUP($A68,[1]Peak_Forward!$A$5:$AG$128,33)</f>
        <v>3.2490000000000001</v>
      </c>
      <c r="C68" s="21">
        <f>VLOOKUP($A68,[1]Peak_Forward!$A$5:$AG$128,33)</f>
        <v>3.2490000000000001</v>
      </c>
    </row>
    <row r="69" spans="1:3" x14ac:dyDescent="0.2">
      <c r="A69" s="1">
        <v>38930</v>
      </c>
      <c r="B69" s="21">
        <f>VLOOKUP($A69,[1]Peak_Forward!$A$5:$AG$128,33)</f>
        <v>3.2890000000000001</v>
      </c>
      <c r="C69" s="21">
        <f>VLOOKUP($A69,[1]Peak_Forward!$A$5:$AG$128,33)</f>
        <v>3.2890000000000001</v>
      </c>
    </row>
    <row r="70" spans="1:3" x14ac:dyDescent="0.2">
      <c r="A70" s="1">
        <v>38961</v>
      </c>
      <c r="B70" s="21">
        <f>VLOOKUP($A70,[1]Peak_Forward!$A$5:$AG$128,33)</f>
        <v>3.2719999999999998</v>
      </c>
      <c r="C70" s="21">
        <f>VLOOKUP($A70,[1]Peak_Forward!$A$5:$AG$128,33)</f>
        <v>3.2719999999999998</v>
      </c>
    </row>
    <row r="71" spans="1:3" x14ac:dyDescent="0.2">
      <c r="A71" s="1">
        <v>38991</v>
      </c>
      <c r="B71" s="21">
        <f>VLOOKUP($A71,[1]Peak_Forward!$A$5:$AG$128,33)</f>
        <v>3.2970000000000002</v>
      </c>
      <c r="C71" s="21">
        <f>VLOOKUP($A71,[1]Peak_Forward!$A$5:$AG$128,33)</f>
        <v>3.2970000000000002</v>
      </c>
    </row>
    <row r="72" spans="1:3" x14ac:dyDescent="0.2">
      <c r="A72" s="1">
        <v>39022</v>
      </c>
      <c r="B72" s="21">
        <f>VLOOKUP($A72,[1]Peak_Forward!$A$5:$AG$128,33)</f>
        <v>3.4489999999999998</v>
      </c>
      <c r="C72" s="21">
        <f>VLOOKUP($A72,[1]Peak_Forward!$A$5:$AG$128,33)</f>
        <v>3.4489999999999998</v>
      </c>
    </row>
    <row r="73" spans="1:3" x14ac:dyDescent="0.2">
      <c r="A73" s="1">
        <v>39052</v>
      </c>
      <c r="B73" s="21">
        <f>VLOOKUP($A73,[1]Peak_Forward!$A$5:$AG$128,33)</f>
        <v>3.5920000000000001</v>
      </c>
      <c r="C73" s="21">
        <f>VLOOKUP($A73,[1]Peak_Forward!$A$5:$AG$128,33)</f>
        <v>3.5920000000000001</v>
      </c>
    </row>
    <row r="74" spans="1:3" x14ac:dyDescent="0.2">
      <c r="A74" s="1">
        <v>39083</v>
      </c>
      <c r="B74" s="21">
        <f>VLOOKUP($A74,[1]Peak_Forward!$A$5:$AG$128,33)</f>
        <v>3.625</v>
      </c>
      <c r="C74" s="21">
        <f>VLOOKUP($A74,[1]Peak_Forward!$A$5:$AG$128,33)</f>
        <v>3.625</v>
      </c>
    </row>
    <row r="75" spans="1:3" x14ac:dyDescent="0.2">
      <c r="A75" s="1">
        <v>39114</v>
      </c>
      <c r="B75" s="21">
        <f>VLOOKUP($A75,[1]Peak_Forward!$A$5:$AG$128,33)</f>
        <v>3.569</v>
      </c>
      <c r="C75" s="21">
        <f>VLOOKUP($A75,[1]Peak_Forward!$A$5:$AG$128,33)</f>
        <v>3.569</v>
      </c>
    </row>
    <row r="76" spans="1:3" x14ac:dyDescent="0.2">
      <c r="A76" s="1">
        <v>39142</v>
      </c>
      <c r="B76" s="21">
        <f>VLOOKUP($A76,[1]Peak_Forward!$A$5:$AG$128,33)</f>
        <v>3.4390000000000001</v>
      </c>
      <c r="C76" s="21">
        <f>VLOOKUP($A76,[1]Peak_Forward!$A$5:$AG$128,33)</f>
        <v>3.4390000000000001</v>
      </c>
    </row>
    <row r="77" spans="1:3" x14ac:dyDescent="0.2">
      <c r="A77" s="1">
        <v>39173</v>
      </c>
      <c r="B77" s="21">
        <f>VLOOKUP($A77,[1]Peak_Forward!$A$5:$AG$128,33)</f>
        <v>3.254</v>
      </c>
      <c r="C77" s="21">
        <f>VLOOKUP($A77,[1]Peak_Forward!$A$5:$AG$128,33)</f>
        <v>3.254</v>
      </c>
    </row>
    <row r="78" spans="1:3" x14ac:dyDescent="0.2">
      <c r="A78" s="1">
        <v>39203</v>
      </c>
      <c r="B78" s="21">
        <f>VLOOKUP($A78,[1]Peak_Forward!$A$5:$AG$128,33)</f>
        <v>3.2490000000000001</v>
      </c>
      <c r="C78" s="21">
        <f>VLOOKUP($A78,[1]Peak_Forward!$A$5:$AG$128,33)</f>
        <v>3.2490000000000001</v>
      </c>
    </row>
    <row r="79" spans="1:3" x14ac:dyDescent="0.2">
      <c r="A79" s="1">
        <v>39234</v>
      </c>
      <c r="B79" s="21">
        <f>VLOOKUP($A79,[1]Peak_Forward!$A$5:$AG$128,33)</f>
        <v>3.2839999999999998</v>
      </c>
      <c r="C79" s="21">
        <f>VLOOKUP($A79,[1]Peak_Forward!$A$5:$AG$128,33)</f>
        <v>3.2839999999999998</v>
      </c>
    </row>
    <row r="80" spans="1:3" x14ac:dyDescent="0.2">
      <c r="A80" s="1">
        <v>39264</v>
      </c>
      <c r="B80" s="21">
        <f>VLOOKUP($A80,[1]Peak_Forward!$A$5:$AG$128,33)</f>
        <v>3.3239999999999998</v>
      </c>
      <c r="C80" s="21">
        <f>VLOOKUP($A80,[1]Peak_Forward!$A$5:$AG$128,33)</f>
        <v>3.3239999999999998</v>
      </c>
    </row>
    <row r="81" spans="1:3" x14ac:dyDescent="0.2">
      <c r="A81" s="1">
        <v>39295</v>
      </c>
      <c r="B81" s="21">
        <f>VLOOKUP($A81,[1]Peak_Forward!$A$5:$AG$128,33)</f>
        <v>3.3639999999999999</v>
      </c>
      <c r="C81" s="21">
        <f>VLOOKUP($A81,[1]Peak_Forward!$A$5:$AG$128,33)</f>
        <v>3.3639999999999999</v>
      </c>
    </row>
    <row r="82" spans="1:3" x14ac:dyDescent="0.2">
      <c r="A82" s="1">
        <v>39326</v>
      </c>
      <c r="B82" s="21">
        <f>VLOOKUP($A82,[1]Peak_Forward!$A$5:$AG$128,33)</f>
        <v>3.347</v>
      </c>
      <c r="C82" s="21">
        <f>VLOOKUP($A82,[1]Peak_Forward!$A$5:$AG$128,33)</f>
        <v>3.347</v>
      </c>
    </row>
    <row r="83" spans="1:3" x14ac:dyDescent="0.2">
      <c r="A83" s="1">
        <v>39356</v>
      </c>
      <c r="B83" s="21">
        <f>VLOOKUP($A83,[1]Peak_Forward!$A$5:$AG$128,33)</f>
        <v>3.3719999999999999</v>
      </c>
      <c r="C83" s="21">
        <f>VLOOKUP($A83,[1]Peak_Forward!$A$5:$AG$128,33)</f>
        <v>3.3719999999999999</v>
      </c>
    </row>
    <row r="84" spans="1:3" x14ac:dyDescent="0.2">
      <c r="A84" s="1">
        <v>39387</v>
      </c>
      <c r="B84" s="21">
        <f>VLOOKUP($A84,[1]Peak_Forward!$A$5:$AG$128,33)</f>
        <v>3.524</v>
      </c>
      <c r="C84" s="21">
        <f>VLOOKUP($A84,[1]Peak_Forward!$A$5:$AG$128,33)</f>
        <v>3.524</v>
      </c>
    </row>
    <row r="85" spans="1:3" x14ac:dyDescent="0.2">
      <c r="A85" s="1">
        <v>39417</v>
      </c>
      <c r="B85" s="21">
        <f>VLOOKUP($A85,[1]Peak_Forward!$A$5:$AG$128,33)</f>
        <v>3.6669999999999998</v>
      </c>
      <c r="C85" s="21">
        <f>VLOOKUP($A85,[1]Peak_Forward!$A$5:$AG$128,33)</f>
        <v>3.6669999999999998</v>
      </c>
    </row>
    <row r="86" spans="1:3" x14ac:dyDescent="0.2">
      <c r="A86" s="1">
        <v>39448</v>
      </c>
      <c r="B86" s="21">
        <f>VLOOKUP($A86,[1]Peak_Forward!$A$5:$AG$128,33)</f>
        <v>3.7025000000000001</v>
      </c>
      <c r="C86" s="21">
        <f>VLOOKUP($A86,[1]Peak_Forward!$A$5:$AG$128,33)</f>
        <v>3.7025000000000001</v>
      </c>
    </row>
    <row r="87" spans="1:3" x14ac:dyDescent="0.2">
      <c r="A87" s="1">
        <v>39479</v>
      </c>
      <c r="B87" s="21">
        <f>VLOOKUP($A87,[1]Peak_Forward!$A$5:$AG$128,33)</f>
        <v>3.6465000000000001</v>
      </c>
      <c r="C87" s="21">
        <f>VLOOKUP($A87,[1]Peak_Forward!$A$5:$AG$128,33)</f>
        <v>3.6465000000000001</v>
      </c>
    </row>
    <row r="88" spans="1:3" x14ac:dyDescent="0.2">
      <c r="A88" s="1">
        <v>39508</v>
      </c>
      <c r="B88" s="21">
        <f>VLOOKUP($A88,[1]Peak_Forward!$A$5:$AG$128,33)</f>
        <v>3.5165000000000002</v>
      </c>
      <c r="C88" s="21">
        <f>VLOOKUP($A88,[1]Peak_Forward!$A$5:$AG$128,33)</f>
        <v>3.5165000000000002</v>
      </c>
    </row>
    <row r="89" spans="1:3" x14ac:dyDescent="0.2">
      <c r="A89" s="1">
        <v>39539</v>
      </c>
      <c r="B89" s="21">
        <f>VLOOKUP($A89,[1]Peak_Forward!$A$5:$AG$128,33)</f>
        <v>3.3315000000000001</v>
      </c>
      <c r="C89" s="21">
        <f>VLOOKUP($A89,[1]Peak_Forward!$A$5:$AG$128,33)</f>
        <v>3.3315000000000001</v>
      </c>
    </row>
    <row r="90" spans="1:3" x14ac:dyDescent="0.2">
      <c r="A90" s="1">
        <v>39569</v>
      </c>
      <c r="B90" s="21">
        <f>VLOOKUP($A90,[1]Peak_Forward!$A$5:$AG$128,33)</f>
        <v>3.3264999999999998</v>
      </c>
      <c r="C90" s="21">
        <f>VLOOKUP($A90,[1]Peak_Forward!$A$5:$AG$128,33)</f>
        <v>3.3264999999999998</v>
      </c>
    </row>
    <row r="91" spans="1:3" x14ac:dyDescent="0.2">
      <c r="A91" s="1">
        <v>39600</v>
      </c>
      <c r="B91" s="21">
        <f>VLOOKUP($A91,[1]Peak_Forward!$A$5:$AG$128,33)</f>
        <v>3.3614999999999999</v>
      </c>
      <c r="C91" s="21">
        <f>VLOOKUP($A91,[1]Peak_Forward!$A$5:$AG$128,33)</f>
        <v>3.3614999999999999</v>
      </c>
    </row>
    <row r="92" spans="1:3" x14ac:dyDescent="0.2">
      <c r="A92" s="1">
        <v>39630</v>
      </c>
      <c r="B92" s="21">
        <f>VLOOKUP($A92,[1]Peak_Forward!$A$5:$AG$128,33)</f>
        <v>3.4015</v>
      </c>
      <c r="C92" s="21">
        <f>VLOOKUP($A92,[1]Peak_Forward!$A$5:$AG$128,33)</f>
        <v>3.4015</v>
      </c>
    </row>
    <row r="93" spans="1:3" x14ac:dyDescent="0.2">
      <c r="A93" s="1">
        <v>39661</v>
      </c>
      <c r="B93" s="21">
        <f>VLOOKUP($A93,[1]Peak_Forward!$A$5:$AG$128,33)</f>
        <v>3.4415</v>
      </c>
      <c r="C93" s="21">
        <f>VLOOKUP($A93,[1]Peak_Forward!$A$5:$AG$128,33)</f>
        <v>3.4415</v>
      </c>
    </row>
    <row r="94" spans="1:3" x14ac:dyDescent="0.2">
      <c r="A94" s="1">
        <v>39692</v>
      </c>
      <c r="B94" s="21">
        <f>VLOOKUP($A94,[1]Peak_Forward!$A$5:$AG$128,33)</f>
        <v>3.4245000000000001</v>
      </c>
      <c r="C94" s="21">
        <f>VLOOKUP($A94,[1]Peak_Forward!$A$5:$AG$128,33)</f>
        <v>3.4245000000000001</v>
      </c>
    </row>
    <row r="95" spans="1:3" x14ac:dyDescent="0.2">
      <c r="A95" s="1">
        <v>39722</v>
      </c>
      <c r="B95" s="21">
        <f>VLOOKUP($A95,[1]Peak_Forward!$A$5:$AG$128,33)</f>
        <v>3.4495</v>
      </c>
      <c r="C95" s="21">
        <f>VLOOKUP($A95,[1]Peak_Forward!$A$5:$AG$128,33)</f>
        <v>3.4495</v>
      </c>
    </row>
    <row r="96" spans="1:3" x14ac:dyDescent="0.2">
      <c r="A96" s="1">
        <v>39753</v>
      </c>
      <c r="B96" s="21">
        <f>VLOOKUP($A96,[1]Peak_Forward!$A$5:$AG$128,33)</f>
        <v>3.6015000000000001</v>
      </c>
      <c r="C96" s="21">
        <f>VLOOKUP($A96,[1]Peak_Forward!$A$5:$AG$128,33)</f>
        <v>3.6015000000000001</v>
      </c>
    </row>
    <row r="97" spans="1:3" x14ac:dyDescent="0.2">
      <c r="A97" s="1">
        <v>39783</v>
      </c>
      <c r="B97" s="21">
        <f>VLOOKUP($A97,[1]Peak_Forward!$A$5:$AG$128,33)</f>
        <v>3.7444999999999999</v>
      </c>
      <c r="C97" s="21">
        <f>VLOOKUP($A97,[1]Peak_Forward!$A$5:$AG$128,33)</f>
        <v>3.7444999999999999</v>
      </c>
    </row>
    <row r="98" spans="1:3" x14ac:dyDescent="0.2">
      <c r="A98" s="1">
        <v>39814</v>
      </c>
      <c r="B98" s="21">
        <f>VLOOKUP($A98,[1]Peak_Forward!$A$5:$AG$128,33)</f>
        <v>3.7825000000000002</v>
      </c>
      <c r="C98" s="21">
        <f>VLOOKUP($A98,[1]Peak_Forward!$A$5:$AG$128,33)</f>
        <v>3.7825000000000002</v>
      </c>
    </row>
    <row r="99" spans="1:3" x14ac:dyDescent="0.2">
      <c r="A99" s="1">
        <v>39845</v>
      </c>
      <c r="B99" s="21">
        <f>VLOOKUP($A99,[1]Peak_Forward!$A$5:$AG$128,33)</f>
        <v>3.7265000000000001</v>
      </c>
      <c r="C99" s="21">
        <f>VLOOKUP($A99,[1]Peak_Forward!$A$5:$AG$128,33)</f>
        <v>3.7265000000000001</v>
      </c>
    </row>
    <row r="100" spans="1:3" x14ac:dyDescent="0.2">
      <c r="A100" s="1">
        <v>39873</v>
      </c>
      <c r="B100" s="21">
        <f>VLOOKUP($A100,[1]Peak_Forward!$A$5:$AG$128,33)</f>
        <v>3.5964999999999998</v>
      </c>
      <c r="C100" s="21">
        <f>VLOOKUP($A100,[1]Peak_Forward!$A$5:$AG$128,33)</f>
        <v>3.5964999999999998</v>
      </c>
    </row>
    <row r="101" spans="1:3" x14ac:dyDescent="0.2">
      <c r="A101" s="1">
        <v>39904</v>
      </c>
      <c r="B101" s="21">
        <f>VLOOKUP($A101,[1]Peak_Forward!$A$5:$AG$128,33)</f>
        <v>3.4115000000000002</v>
      </c>
      <c r="C101" s="21">
        <f>VLOOKUP($A101,[1]Peak_Forward!$A$5:$AG$128,33)</f>
        <v>3.4115000000000002</v>
      </c>
    </row>
    <row r="102" spans="1:3" x14ac:dyDescent="0.2">
      <c r="A102" s="1">
        <v>39934</v>
      </c>
      <c r="B102" s="21">
        <f>VLOOKUP($A102,[1]Peak_Forward!$A$5:$AG$128,33)</f>
        <v>3.4064999999999999</v>
      </c>
      <c r="C102" s="21">
        <f>VLOOKUP($A102,[1]Peak_Forward!$A$5:$AG$128,33)</f>
        <v>3.4064999999999999</v>
      </c>
    </row>
    <row r="103" spans="1:3" x14ac:dyDescent="0.2">
      <c r="A103" s="1">
        <v>39965</v>
      </c>
      <c r="B103" s="21">
        <f>VLOOKUP($A103,[1]Peak_Forward!$A$5:$AG$128,33)</f>
        <v>3.4415</v>
      </c>
      <c r="C103" s="21">
        <f>VLOOKUP($A103,[1]Peak_Forward!$A$5:$AG$128,33)</f>
        <v>3.4415</v>
      </c>
    </row>
    <row r="104" spans="1:3" x14ac:dyDescent="0.2">
      <c r="A104" s="1">
        <v>39995</v>
      </c>
      <c r="B104" s="21">
        <f>VLOOKUP($A104,[1]Peak_Forward!$A$5:$AG$128,33)</f>
        <v>3.4815</v>
      </c>
      <c r="C104" s="21">
        <f>VLOOKUP($A104,[1]Peak_Forward!$A$5:$AG$128,33)</f>
        <v>3.4815</v>
      </c>
    </row>
    <row r="105" spans="1:3" x14ac:dyDescent="0.2">
      <c r="A105" s="1">
        <v>40026</v>
      </c>
      <c r="B105" s="21">
        <f>VLOOKUP($A105,[1]Peak_Forward!$A$5:$AG$128,33)</f>
        <v>3.5215000000000001</v>
      </c>
      <c r="C105" s="21">
        <f>VLOOKUP($A105,[1]Peak_Forward!$A$5:$AG$128,33)</f>
        <v>3.5215000000000001</v>
      </c>
    </row>
    <row r="106" spans="1:3" x14ac:dyDescent="0.2">
      <c r="A106" s="1">
        <v>40057</v>
      </c>
      <c r="B106" s="21">
        <f>VLOOKUP($A106,[1]Peak_Forward!$A$5:$AG$128,33)</f>
        <v>3.5045000000000002</v>
      </c>
      <c r="C106" s="21">
        <f>VLOOKUP($A106,[1]Peak_Forward!$A$5:$AG$128,33)</f>
        <v>3.5045000000000002</v>
      </c>
    </row>
    <row r="107" spans="1:3" x14ac:dyDescent="0.2">
      <c r="A107" s="1">
        <v>40087</v>
      </c>
      <c r="B107" s="21">
        <f>VLOOKUP($A107,[1]Peak_Forward!$A$5:$AG$128,33)</f>
        <v>3.5295000000000001</v>
      </c>
      <c r="C107" s="21">
        <f>VLOOKUP($A107,[1]Peak_Forward!$A$5:$AG$128,33)</f>
        <v>3.5295000000000001</v>
      </c>
    </row>
    <row r="108" spans="1:3" x14ac:dyDescent="0.2">
      <c r="A108" s="1">
        <v>40118</v>
      </c>
      <c r="B108" s="21">
        <f>VLOOKUP($A108,[1]Peak_Forward!$A$5:$AG$128,33)</f>
        <v>3.6815000000000002</v>
      </c>
      <c r="C108" s="21">
        <f>VLOOKUP($A108,[1]Peak_Forward!$A$5:$AG$128,33)</f>
        <v>3.6815000000000002</v>
      </c>
    </row>
    <row r="109" spans="1:3" x14ac:dyDescent="0.2">
      <c r="A109" s="1">
        <v>40148</v>
      </c>
      <c r="B109" s="21">
        <f>VLOOKUP($A109,[1]Peak_Forward!$A$5:$AG$128,33)</f>
        <v>3.8245</v>
      </c>
      <c r="C109" s="21">
        <f>VLOOKUP($A109,[1]Peak_Forward!$A$5:$AG$128,33)</f>
        <v>3.8245</v>
      </c>
    </row>
    <row r="110" spans="1:3" x14ac:dyDescent="0.2">
      <c r="A110" s="1">
        <v>40179</v>
      </c>
      <c r="B110" s="21">
        <f>VLOOKUP($A110,[1]Peak_Forward!$A$5:$AG$128,33)</f>
        <v>3.8624999999999998</v>
      </c>
      <c r="C110" s="21">
        <f>VLOOKUP($A110,[1]Peak_Forward!$A$5:$AG$128,33)</f>
        <v>3.8624999999999998</v>
      </c>
    </row>
    <row r="111" spans="1:3" x14ac:dyDescent="0.2">
      <c r="A111" s="1">
        <v>40210</v>
      </c>
      <c r="B111" s="21">
        <f>VLOOKUP($A111,[1]Peak_Forward!$A$5:$AG$128,33)</f>
        <v>3.8065000000000002</v>
      </c>
      <c r="C111" s="21">
        <f>VLOOKUP($A111,[1]Peak_Forward!$A$5:$AG$128,33)</f>
        <v>3.8065000000000002</v>
      </c>
    </row>
    <row r="112" spans="1:3" x14ac:dyDescent="0.2">
      <c r="A112" s="1">
        <v>40238</v>
      </c>
      <c r="B112" s="21">
        <f>VLOOKUP($A112,[1]Peak_Forward!$A$5:$AG$128,33)</f>
        <v>3.6764999999999999</v>
      </c>
      <c r="C112" s="21">
        <f>VLOOKUP($A112,[1]Peak_Forward!$A$5:$AG$128,33)</f>
        <v>3.6764999999999999</v>
      </c>
    </row>
    <row r="113" spans="1:3" x14ac:dyDescent="0.2">
      <c r="A113" s="1">
        <v>40269</v>
      </c>
      <c r="B113" s="21">
        <f>VLOOKUP($A113,[1]Peak_Forward!$A$5:$AG$128,33)</f>
        <v>3.4914999999999998</v>
      </c>
      <c r="C113" s="21">
        <f>VLOOKUP($A113,[1]Peak_Forward!$A$5:$AG$128,33)</f>
        <v>3.4914999999999998</v>
      </c>
    </row>
    <row r="114" spans="1:3" x14ac:dyDescent="0.2">
      <c r="A114" s="1">
        <v>40299</v>
      </c>
      <c r="B114" s="21">
        <f>VLOOKUP($A114,[1]Peak_Forward!$A$5:$AG$128,33)</f>
        <v>3.4864999999999999</v>
      </c>
      <c r="C114" s="21">
        <f>VLOOKUP($A114,[1]Peak_Forward!$A$5:$AG$128,33)</f>
        <v>3.4864999999999999</v>
      </c>
    </row>
    <row r="115" spans="1:3" x14ac:dyDescent="0.2">
      <c r="A115" s="1">
        <v>40330</v>
      </c>
      <c r="B115" s="21">
        <f>VLOOKUP($A115,[1]Peak_Forward!$A$5:$AG$128,33)</f>
        <v>3.5215000000000001</v>
      </c>
      <c r="C115" s="21">
        <f>VLOOKUP($A115,[1]Peak_Forward!$A$5:$AG$128,33)</f>
        <v>3.5215000000000001</v>
      </c>
    </row>
    <row r="116" spans="1:3" x14ac:dyDescent="0.2">
      <c r="A116" s="1">
        <v>40360</v>
      </c>
      <c r="B116" s="21">
        <f>VLOOKUP($A116,[1]Peak_Forward!$A$5:$AG$128,33)</f>
        <v>3.5615000000000001</v>
      </c>
      <c r="C116" s="21">
        <f>VLOOKUP($A116,[1]Peak_Forward!$A$5:$AG$128,33)</f>
        <v>3.5615000000000001</v>
      </c>
    </row>
    <row r="117" spans="1:3" x14ac:dyDescent="0.2">
      <c r="A117" s="1">
        <v>40391</v>
      </c>
      <c r="B117" s="21">
        <f>VLOOKUP($A117,[1]Peak_Forward!$A$5:$AG$128,33)</f>
        <v>3.6015000000000001</v>
      </c>
      <c r="C117" s="21">
        <f>VLOOKUP($A117,[1]Peak_Forward!$A$5:$AG$128,33)</f>
        <v>3.6015000000000001</v>
      </c>
    </row>
    <row r="118" spans="1:3" x14ac:dyDescent="0.2">
      <c r="A118" s="1">
        <v>40422</v>
      </c>
      <c r="B118" s="21">
        <f>VLOOKUP($A118,[1]Peak_Forward!$A$5:$AG$128,33)</f>
        <v>3.5844999999999998</v>
      </c>
      <c r="C118" s="21">
        <f>VLOOKUP($A118,[1]Peak_Forward!$A$5:$AG$128,33)</f>
        <v>3.5844999999999998</v>
      </c>
    </row>
    <row r="119" spans="1:3" x14ac:dyDescent="0.2">
      <c r="A119" s="1">
        <v>40452</v>
      </c>
      <c r="B119" s="21">
        <f>VLOOKUP($A119,[1]Peak_Forward!$A$5:$AG$128,33)</f>
        <v>3.6095000000000002</v>
      </c>
      <c r="C119" s="21">
        <f>VLOOKUP($A119,[1]Peak_Forward!$A$5:$AG$128,33)</f>
        <v>3.6095000000000002</v>
      </c>
    </row>
    <row r="120" spans="1:3" x14ac:dyDescent="0.2">
      <c r="A120" s="1">
        <v>40483</v>
      </c>
      <c r="B120" s="21">
        <f>VLOOKUP($A120,[1]Peak_Forward!$A$5:$AG$128,33)</f>
        <v>3.7614999999999998</v>
      </c>
      <c r="C120" s="21">
        <f>VLOOKUP($A120,[1]Peak_Forward!$A$5:$AG$128,33)</f>
        <v>3.7614999999999998</v>
      </c>
    </row>
    <row r="121" spans="1:3" x14ac:dyDescent="0.2">
      <c r="A121" s="1">
        <v>40513</v>
      </c>
      <c r="B121" s="21">
        <f>VLOOKUP($A121,[1]Peak_Forward!$A$5:$AG$128,33)</f>
        <v>3.9045000000000001</v>
      </c>
      <c r="C121" s="21">
        <f>VLOOKUP($A121,[1]Peak_Forward!$A$5:$AG$128,33)</f>
        <v>3.9045000000000001</v>
      </c>
    </row>
    <row r="122" spans="1:3" x14ac:dyDescent="0.2">
      <c r="A122" s="1">
        <v>0</v>
      </c>
      <c r="B122" s="21" t="e">
        <f>VLOOKUP($A122,[1]Peak_Forward!$A$5:$AG$128,33)</f>
        <v>#N/A</v>
      </c>
      <c r="C122" s="21" t="e">
        <f>VLOOKUP($A122,[1]Peak_Forward!$A$5:$AG$128,33)</f>
        <v>#N/A</v>
      </c>
    </row>
    <row r="123" spans="1:3" x14ac:dyDescent="0.2">
      <c r="A123" s="1">
        <v>0</v>
      </c>
      <c r="B123" s="21" t="e">
        <f>VLOOKUP($A123,[1]Peak_Forward!$A$5:$AG$128,33)</f>
        <v>#N/A</v>
      </c>
      <c r="C123" s="21" t="e">
        <f>VLOOKUP($A123,[1]Peak_Forward!$A$5:$AG$128,33)</f>
        <v>#N/A</v>
      </c>
    </row>
    <row r="124" spans="1:3" x14ac:dyDescent="0.2">
      <c r="A124" s="1">
        <v>36892</v>
      </c>
      <c r="B124" s="21" t="e">
        <f>VLOOKUP($A124,[1]Peak_Forward!$A$5:$AG$128,33)</f>
        <v>#N/A</v>
      </c>
      <c r="C124" s="21" t="e">
        <f>VLOOKUP($A124,[1]Peak_Forward!$A$5:$AG$128,33)</f>
        <v>#N/A</v>
      </c>
    </row>
    <row r="125" spans="1:3" x14ac:dyDescent="0.2">
      <c r="A125" s="1">
        <v>36923</v>
      </c>
      <c r="B125" s="21" t="e">
        <f>VLOOKUP($A125,[1]Peak_Forward!$A$5:$AG$128,33)</f>
        <v>#N/A</v>
      </c>
      <c r="C125" s="21" t="e">
        <f>VLOOKUP($A125,[1]Peak_Forward!$A$5:$AG$128,33)</f>
        <v>#N/A</v>
      </c>
    </row>
    <row r="126" spans="1:3" x14ac:dyDescent="0.2">
      <c r="A126" s="1">
        <v>36951</v>
      </c>
      <c r="B126" s="21" t="e">
        <f>VLOOKUP($A126,[1]Peak_Forward!$A$5:$AG$128,33)</f>
        <v>#N/A</v>
      </c>
      <c r="C126" s="21" t="e">
        <f>VLOOKUP($A126,[1]Peak_Forward!$A$5:$AG$128,33)</f>
        <v>#N/A</v>
      </c>
    </row>
    <row r="127" spans="1:3" x14ac:dyDescent="0.2">
      <c r="A127" s="1">
        <v>36982</v>
      </c>
      <c r="B127" s="21" t="e">
        <f>VLOOKUP($A127,[1]Peak_Forward!$A$5:$AG$128,33)</f>
        <v>#N/A</v>
      </c>
      <c r="C127" s="21" t="e">
        <f>VLOOKUP($A127,[1]Peak_Forward!$A$5:$AG$128,33)</f>
        <v>#N/A</v>
      </c>
    </row>
    <row r="128" spans="1:3" x14ac:dyDescent="0.2">
      <c r="A128" s="1">
        <v>37012</v>
      </c>
      <c r="B128" s="21" t="e">
        <f>VLOOKUP($A128,[1]Peak_Forward!$A$5:$AG$128,33)</f>
        <v>#N/A</v>
      </c>
      <c r="C128" s="21" t="e">
        <f>VLOOKUP($A128,[1]Peak_Forward!$A$5:$AG$128,33)</f>
        <v>#N/A</v>
      </c>
    </row>
    <row r="129" spans="1:3" x14ac:dyDescent="0.2">
      <c r="A129" s="1">
        <v>37043</v>
      </c>
      <c r="B129" s="21" t="e">
        <f>VLOOKUP($A129,[1]Peak_Forward!$A$5:$AG$128,33)</f>
        <v>#N/A</v>
      </c>
      <c r="C129" s="21" t="e">
        <f>VLOOKUP($A129,[1]Peak_Forward!$A$5:$AG$128,33)</f>
        <v>#N/A</v>
      </c>
    </row>
    <row r="130" spans="1:3" x14ac:dyDescent="0.2">
      <c r="A130" s="1">
        <v>37073</v>
      </c>
      <c r="B130" s="21">
        <f>VLOOKUP($A130,[1]Peak_Forward!$A$5:$AG$128,33)</f>
        <v>3.1819999999999999</v>
      </c>
      <c r="C130" s="21">
        <f>VLOOKUP($A130,[1]Peak_Forward!$A$5:$AG$128,33)</f>
        <v>3.1819999999999999</v>
      </c>
    </row>
    <row r="131" spans="1:3" x14ac:dyDescent="0.2">
      <c r="A131" s="1">
        <v>37104</v>
      </c>
      <c r="B131" s="21">
        <f>VLOOKUP($A131,[1]Peak_Forward!$A$5:$AG$128,33)</f>
        <v>3.1669999999999998</v>
      </c>
      <c r="C131" s="21">
        <f>VLOOKUP($A131,[1]Peak_Forward!$A$5:$AG$128,33)</f>
        <v>3.1669999999999998</v>
      </c>
    </row>
    <row r="132" spans="1:3" x14ac:dyDescent="0.2">
      <c r="A132" s="1">
        <v>37135</v>
      </c>
      <c r="B132" s="21">
        <f>VLOOKUP($A132,[1]Peak_Forward!$A$5:$AG$128,33)</f>
        <v>2.2949999999999999</v>
      </c>
      <c r="C132" s="21">
        <f>VLOOKUP($A132,[1]Peak_Forward!$A$5:$AG$128,33)</f>
        <v>2.2949999999999999</v>
      </c>
    </row>
    <row r="133" spans="1:3" x14ac:dyDescent="0.2">
      <c r="A133" s="1">
        <v>37165</v>
      </c>
      <c r="B133" s="21">
        <f>VLOOKUP($A133,[1]Peak_Forward!$A$5:$AG$128,33)</f>
        <v>1.83</v>
      </c>
      <c r="C133" s="21">
        <f>VLOOKUP($A133,[1]Peak_Forward!$A$5:$AG$128,33)</f>
        <v>1.83</v>
      </c>
    </row>
    <row r="134" spans="1:3" x14ac:dyDescent="0.2">
      <c r="A134" s="1">
        <v>37196</v>
      </c>
      <c r="B134" s="21">
        <f>VLOOKUP($A134,[1]Peak_Forward!$A$5:$AG$128,33)</f>
        <v>2.2530000000000001</v>
      </c>
      <c r="C134" s="21">
        <f>VLOOKUP($A134,[1]Peak_Forward!$A$5:$AG$128,33)</f>
        <v>2.2530000000000001</v>
      </c>
    </row>
    <row r="135" spans="1:3" x14ac:dyDescent="0.2">
      <c r="A135" s="1">
        <v>37226</v>
      </c>
      <c r="B135" s="21">
        <f>VLOOKUP($A135,[1]Peak_Forward!$A$5:$AG$128,33)</f>
        <v>2.3159999999999998</v>
      </c>
      <c r="C135" s="21">
        <f>VLOOKUP($A135,[1]Peak_Forward!$A$5:$AG$128,33)</f>
        <v>2.3159999999999998</v>
      </c>
    </row>
    <row r="136" spans="1:3" x14ac:dyDescent="0.2">
      <c r="A136" s="1">
        <v>37257</v>
      </c>
      <c r="B136" s="21">
        <f>VLOOKUP($A136,[1]Peak_Forward!$A$5:$AG$128,33)</f>
        <v>2.4910000000000001</v>
      </c>
      <c r="C136" s="21">
        <f>VLOOKUP($A136,[1]Peak_Forward!$A$5:$AG$128,33)</f>
        <v>2.4910000000000001</v>
      </c>
    </row>
    <row r="137" spans="1:3" x14ac:dyDescent="0.2">
      <c r="A137" s="1">
        <v>37288</v>
      </c>
      <c r="B137" s="21">
        <f>VLOOKUP($A137,[1]Peak_Forward!$A$5:$AG$128,33)</f>
        <v>2.6240000000000001</v>
      </c>
      <c r="C137" s="21">
        <f>VLOOKUP($A137,[1]Peak_Forward!$A$5:$AG$128,33)</f>
        <v>2.6240000000000001</v>
      </c>
    </row>
    <row r="138" spans="1:3" x14ac:dyDescent="0.2">
      <c r="A138" s="1">
        <v>37316</v>
      </c>
      <c r="B138" s="21">
        <f>VLOOKUP($A138,[1]Peak_Forward!$A$5:$AG$128,33)</f>
        <v>2.6309999999999998</v>
      </c>
      <c r="C138" s="21">
        <f>VLOOKUP($A138,[1]Peak_Forward!$A$5:$AG$128,33)</f>
        <v>2.6309999999999998</v>
      </c>
    </row>
    <row r="139" spans="1:3" x14ac:dyDescent="0.2">
      <c r="A139" s="1">
        <v>37347</v>
      </c>
      <c r="B139" s="21">
        <f>VLOOKUP($A139,[1]Peak_Forward!$A$5:$AG$128,33)</f>
        <v>2.6120000000000001</v>
      </c>
      <c r="C139" s="21">
        <f>VLOOKUP($A139,[1]Peak_Forward!$A$5:$AG$128,33)</f>
        <v>2.6120000000000001</v>
      </c>
    </row>
    <row r="140" spans="1:3" x14ac:dyDescent="0.2">
      <c r="A140" s="1">
        <v>37377</v>
      </c>
      <c r="B140" s="21">
        <f>VLOOKUP($A140,[1]Peak_Forward!$A$5:$AG$128,33)</f>
        <v>2.6539999999999999</v>
      </c>
      <c r="C140" s="21">
        <f>VLOOKUP($A140,[1]Peak_Forward!$A$5:$AG$128,33)</f>
        <v>2.6539999999999999</v>
      </c>
    </row>
    <row r="141" spans="1:3" x14ac:dyDescent="0.2">
      <c r="A141" s="1">
        <v>37408</v>
      </c>
      <c r="B141" s="21">
        <f>VLOOKUP($A141,[1]Peak_Forward!$A$5:$AG$128,33)</f>
        <v>2.7040000000000002</v>
      </c>
      <c r="C141" s="21">
        <f>VLOOKUP($A141,[1]Peak_Forward!$A$5:$AG$128,33)</f>
        <v>2.7040000000000002</v>
      </c>
    </row>
    <row r="142" spans="1:3" x14ac:dyDescent="0.2">
      <c r="A142" s="1">
        <v>37438</v>
      </c>
      <c r="B142" s="21">
        <f>VLOOKUP($A142,[1]Peak_Forward!$A$5:$AG$128,33)</f>
        <v>2.7440000000000002</v>
      </c>
      <c r="C142" s="21">
        <f>VLOOKUP($A142,[1]Peak_Forward!$A$5:$AG$128,33)</f>
        <v>2.7440000000000002</v>
      </c>
    </row>
    <row r="143" spans="1:3" x14ac:dyDescent="0.2">
      <c r="A143" s="1">
        <v>37469</v>
      </c>
      <c r="B143" s="21">
        <f>VLOOKUP($A143,[1]Peak_Forward!$A$5:$AG$128,33)</f>
        <v>2.7839999999999998</v>
      </c>
      <c r="C143" s="21">
        <f>VLOOKUP($A143,[1]Peak_Forward!$A$5:$AG$128,33)</f>
        <v>2.7839999999999998</v>
      </c>
    </row>
    <row r="144" spans="1:3" x14ac:dyDescent="0.2">
      <c r="A144" s="1">
        <v>37500</v>
      </c>
      <c r="B144" s="21">
        <f>VLOOKUP($A144,[1]Peak_Forward!$A$5:$AG$128,33)</f>
        <v>2.7789999999999999</v>
      </c>
      <c r="C144" s="21">
        <f>VLOOKUP($A144,[1]Peak_Forward!$A$5:$AG$128,33)</f>
        <v>2.7789999999999999</v>
      </c>
    </row>
    <row r="145" spans="1:3" x14ac:dyDescent="0.2">
      <c r="A145" s="1">
        <v>37530</v>
      </c>
      <c r="B145" s="21">
        <f>VLOOKUP($A145,[1]Peak_Forward!$A$5:$AG$128,33)</f>
        <v>2.7970000000000002</v>
      </c>
      <c r="C145" s="21">
        <f>VLOOKUP($A145,[1]Peak_Forward!$A$5:$AG$128,33)</f>
        <v>2.7970000000000002</v>
      </c>
    </row>
    <row r="146" spans="1:3" x14ac:dyDescent="0.2">
      <c r="A146" s="1">
        <v>37561</v>
      </c>
      <c r="B146" s="21">
        <f>VLOOKUP($A146,[1]Peak_Forward!$A$5:$AG$128,33)</f>
        <v>2.996</v>
      </c>
      <c r="C146" s="21">
        <f>VLOOKUP($A146,[1]Peak_Forward!$A$5:$AG$128,33)</f>
        <v>2.996</v>
      </c>
    </row>
    <row r="147" spans="1:3" x14ac:dyDescent="0.2">
      <c r="A147" s="1">
        <v>37591</v>
      </c>
      <c r="B147" s="21">
        <f>VLOOKUP($A147,[1]Peak_Forward!$A$5:$AG$128,33)</f>
        <v>3.181</v>
      </c>
      <c r="C147" s="21">
        <f>VLOOKUP($A147,[1]Peak_Forward!$A$5:$AG$128,33)</f>
        <v>3.181</v>
      </c>
    </row>
    <row r="148" spans="1:3" x14ac:dyDescent="0.2">
      <c r="A148" s="1">
        <v>37622</v>
      </c>
      <c r="B148" s="21">
        <f>VLOOKUP($A148,[1]Peak_Forward!$A$5:$AG$128,33)</f>
        <v>3.274</v>
      </c>
      <c r="C148" s="21">
        <f>VLOOKUP($A148,[1]Peak_Forward!$A$5:$AG$128,33)</f>
        <v>3.274</v>
      </c>
    </row>
    <row r="149" spans="1:3" x14ac:dyDescent="0.2">
      <c r="A149" s="1">
        <v>37653</v>
      </c>
      <c r="B149" s="21">
        <f>VLOOKUP($A149,[1]Peak_Forward!$A$5:$AG$128,33)</f>
        <v>3.2090000000000001</v>
      </c>
      <c r="C149" s="21">
        <f>VLOOKUP($A149,[1]Peak_Forward!$A$5:$AG$128,33)</f>
        <v>3.2090000000000001</v>
      </c>
    </row>
    <row r="150" spans="1:3" x14ac:dyDescent="0.2">
      <c r="A150" s="1">
        <v>37681</v>
      </c>
      <c r="B150" s="21">
        <f>VLOOKUP($A150,[1]Peak_Forward!$A$5:$AG$128,33)</f>
        <v>3.1190000000000002</v>
      </c>
      <c r="C150" s="21">
        <f>VLOOKUP($A150,[1]Peak_Forward!$A$5:$AG$128,33)</f>
        <v>3.1190000000000002</v>
      </c>
    </row>
    <row r="151" spans="1:3" x14ac:dyDescent="0.2">
      <c r="A151" s="1">
        <v>37712</v>
      </c>
      <c r="B151" s="21">
        <f>VLOOKUP($A151,[1]Peak_Forward!$A$5:$AG$128,33)</f>
        <v>2.9740000000000002</v>
      </c>
      <c r="C151" s="21">
        <f>VLOOKUP($A151,[1]Peak_Forward!$A$5:$AG$128,33)</f>
        <v>2.9740000000000002</v>
      </c>
    </row>
    <row r="152" spans="1:3" x14ac:dyDescent="0.2">
      <c r="A152" s="1">
        <v>37742</v>
      </c>
      <c r="B152" s="21">
        <f>VLOOKUP($A152,[1]Peak_Forward!$A$5:$AG$128,33)</f>
        <v>2.9740000000000002</v>
      </c>
      <c r="C152" s="21">
        <f>VLOOKUP($A152,[1]Peak_Forward!$A$5:$AG$128,33)</f>
        <v>2.9740000000000002</v>
      </c>
    </row>
    <row r="153" spans="1:3" x14ac:dyDescent="0.2">
      <c r="A153" s="1">
        <v>37773</v>
      </c>
      <c r="B153" s="21">
        <f>VLOOKUP($A153,[1]Peak_Forward!$A$5:$AG$128,33)</f>
        <v>3.004</v>
      </c>
      <c r="C153" s="21">
        <f>VLOOKUP($A153,[1]Peak_Forward!$A$5:$AG$128,33)</f>
        <v>3.004</v>
      </c>
    </row>
    <row r="154" spans="1:3" x14ac:dyDescent="0.2">
      <c r="A154" s="1">
        <v>37803</v>
      </c>
      <c r="B154" s="21">
        <f>VLOOKUP($A154,[1]Peak_Forward!$A$5:$AG$128,33)</f>
        <v>3.044</v>
      </c>
      <c r="C154" s="21">
        <f>VLOOKUP($A154,[1]Peak_Forward!$A$5:$AG$128,33)</f>
        <v>3.044</v>
      </c>
    </row>
    <row r="155" spans="1:3" x14ac:dyDescent="0.2">
      <c r="A155" s="1">
        <v>37834</v>
      </c>
      <c r="B155" s="21">
        <f>VLOOKUP($A155,[1]Peak_Forward!$A$5:$AG$128,33)</f>
        <v>3.0790000000000002</v>
      </c>
      <c r="C155" s="21">
        <f>VLOOKUP($A155,[1]Peak_Forward!$A$5:$AG$128,33)</f>
        <v>3.0790000000000002</v>
      </c>
    </row>
    <row r="156" spans="1:3" x14ac:dyDescent="0.2">
      <c r="A156" s="1">
        <v>37865</v>
      </c>
      <c r="B156" s="21">
        <f>VLOOKUP($A156,[1]Peak_Forward!$A$5:$AG$128,33)</f>
        <v>3.0790000000000002</v>
      </c>
      <c r="C156" s="21">
        <f>VLOOKUP($A156,[1]Peak_Forward!$A$5:$AG$128,33)</f>
        <v>3.0790000000000002</v>
      </c>
    </row>
    <row r="157" spans="1:3" x14ac:dyDescent="0.2">
      <c r="A157" s="1">
        <v>37895</v>
      </c>
      <c r="B157" s="21">
        <f>VLOOKUP($A157,[1]Peak_Forward!$A$5:$AG$128,33)</f>
        <v>3.0990000000000002</v>
      </c>
      <c r="C157" s="21">
        <f>VLOOKUP($A157,[1]Peak_Forward!$A$5:$AG$128,33)</f>
        <v>3.0990000000000002</v>
      </c>
    </row>
    <row r="158" spans="1:3" x14ac:dyDescent="0.2">
      <c r="A158" s="1">
        <v>37926</v>
      </c>
      <c r="B158" s="21">
        <f>VLOOKUP($A158,[1]Peak_Forward!$A$5:$AG$128,33)</f>
        <v>3.234</v>
      </c>
      <c r="C158" s="21">
        <f>VLOOKUP($A158,[1]Peak_Forward!$A$5:$AG$128,33)</f>
        <v>3.234</v>
      </c>
    </row>
    <row r="159" spans="1:3" x14ac:dyDescent="0.2">
      <c r="A159" s="1">
        <v>37956</v>
      </c>
      <c r="B159" s="21">
        <f>VLOOKUP($A159,[1]Peak_Forward!$A$5:$AG$128,33)</f>
        <v>3.3690000000000002</v>
      </c>
      <c r="C159" s="21">
        <f>VLOOKUP($A159,[1]Peak_Forward!$A$5:$AG$128,33)</f>
        <v>3.3690000000000002</v>
      </c>
    </row>
    <row r="160" spans="1:3" x14ac:dyDescent="0.2">
      <c r="A160" s="1">
        <v>37987</v>
      </c>
      <c r="B160" s="21">
        <f>VLOOKUP($A160,[1]Peak_Forward!$A$5:$AG$128,33)</f>
        <v>3.4289999999999998</v>
      </c>
      <c r="C160" s="21">
        <f>VLOOKUP($A160,[1]Peak_Forward!$A$5:$AG$128,33)</f>
        <v>3.4289999999999998</v>
      </c>
    </row>
    <row r="161" spans="1:3" x14ac:dyDescent="0.2">
      <c r="A161" s="1">
        <v>38018</v>
      </c>
      <c r="B161" s="21">
        <f>VLOOKUP($A161,[1]Peak_Forward!$A$5:$AG$128,33)</f>
        <v>3.3439999999999999</v>
      </c>
      <c r="C161" s="21">
        <f>VLOOKUP($A161,[1]Peak_Forward!$A$5:$AG$128,33)</f>
        <v>3.3439999999999999</v>
      </c>
    </row>
    <row r="162" spans="1:3" x14ac:dyDescent="0.2">
      <c r="A162" s="1">
        <v>38047</v>
      </c>
      <c r="B162" s="21">
        <f>VLOOKUP($A162,[1]Peak_Forward!$A$5:$AG$128,33)</f>
        <v>3.214</v>
      </c>
      <c r="C162" s="21">
        <f>VLOOKUP($A162,[1]Peak_Forward!$A$5:$AG$128,33)</f>
        <v>3.214</v>
      </c>
    </row>
    <row r="163" spans="1:3" x14ac:dyDescent="0.2">
      <c r="A163" s="1">
        <v>38078</v>
      </c>
      <c r="B163" s="21">
        <f>VLOOKUP($A163,[1]Peak_Forward!$A$5:$AG$128,33)</f>
        <v>3.0289999999999999</v>
      </c>
      <c r="C163" s="21">
        <f>VLOOKUP($A163,[1]Peak_Forward!$A$5:$AG$128,33)</f>
        <v>3.0289999999999999</v>
      </c>
    </row>
    <row r="164" spans="1:3" x14ac:dyDescent="0.2">
      <c r="A164" s="1">
        <v>38108</v>
      </c>
      <c r="B164" s="21">
        <f>VLOOKUP($A164,[1]Peak_Forward!$A$5:$AG$128,33)</f>
        <v>3.024</v>
      </c>
      <c r="C164" s="21">
        <f>VLOOKUP($A164,[1]Peak_Forward!$A$5:$AG$128,33)</f>
        <v>3.024</v>
      </c>
    </row>
    <row r="165" spans="1:3" x14ac:dyDescent="0.2">
      <c r="A165" s="1">
        <v>38139</v>
      </c>
      <c r="B165" s="21">
        <f>VLOOKUP($A165,[1]Peak_Forward!$A$5:$AG$128,33)</f>
        <v>3.0590000000000002</v>
      </c>
      <c r="C165" s="21">
        <f>VLOOKUP($A165,[1]Peak_Forward!$A$5:$AG$128,33)</f>
        <v>3.0590000000000002</v>
      </c>
    </row>
    <row r="166" spans="1:3" x14ac:dyDescent="0.2">
      <c r="A166" s="1">
        <v>38169</v>
      </c>
      <c r="B166" s="21">
        <f>VLOOKUP($A166,[1]Peak_Forward!$A$5:$AG$128,33)</f>
        <v>3.0990000000000002</v>
      </c>
      <c r="C166" s="21">
        <f>VLOOKUP($A166,[1]Peak_Forward!$A$5:$AG$128,33)</f>
        <v>3.0990000000000002</v>
      </c>
    </row>
    <row r="167" spans="1:3" x14ac:dyDescent="0.2">
      <c r="A167" s="1">
        <v>38200</v>
      </c>
      <c r="B167" s="21">
        <f>VLOOKUP($A167,[1]Peak_Forward!$A$5:$AG$128,33)</f>
        <v>3.1389999999999998</v>
      </c>
      <c r="C167" s="21">
        <f>VLOOKUP($A167,[1]Peak_Forward!$A$5:$AG$128,33)</f>
        <v>3.1389999999999998</v>
      </c>
    </row>
    <row r="168" spans="1:3" x14ac:dyDescent="0.2">
      <c r="A168" s="1">
        <v>38231</v>
      </c>
      <c r="B168" s="21">
        <f>VLOOKUP($A168,[1]Peak_Forward!$A$5:$AG$128,33)</f>
        <v>3.1219999999999999</v>
      </c>
      <c r="C168" s="21">
        <f>VLOOKUP($A168,[1]Peak_Forward!$A$5:$AG$128,33)</f>
        <v>3.1219999999999999</v>
      </c>
    </row>
    <row r="169" spans="1:3" x14ac:dyDescent="0.2">
      <c r="A169" s="1">
        <v>38261</v>
      </c>
      <c r="B169" s="21">
        <f>VLOOKUP($A169,[1]Peak_Forward!$A$5:$AG$128,33)</f>
        <v>3.1469999999999998</v>
      </c>
      <c r="C169" s="21">
        <f>VLOOKUP($A169,[1]Peak_Forward!$A$5:$AG$128,33)</f>
        <v>3.1469999999999998</v>
      </c>
    </row>
    <row r="170" spans="1:3" x14ac:dyDescent="0.2">
      <c r="A170" s="1">
        <v>38292</v>
      </c>
      <c r="B170" s="21">
        <f>VLOOKUP($A170,[1]Peak_Forward!$A$5:$AG$128,33)</f>
        <v>3.2989999999999999</v>
      </c>
      <c r="C170" s="21">
        <f>VLOOKUP($A170,[1]Peak_Forward!$A$5:$AG$128,33)</f>
        <v>3.2989999999999999</v>
      </c>
    </row>
    <row r="171" spans="1:3" x14ac:dyDescent="0.2">
      <c r="A171" s="1">
        <v>38322</v>
      </c>
      <c r="B171" s="21">
        <f>VLOOKUP($A171,[1]Peak_Forward!$A$5:$AG$128,33)</f>
        <v>3.4420000000000002</v>
      </c>
      <c r="C171" s="21">
        <f>VLOOKUP($A171,[1]Peak_Forward!$A$5:$AG$128,33)</f>
        <v>3.4420000000000002</v>
      </c>
    </row>
    <row r="172" spans="1:3" x14ac:dyDescent="0.2">
      <c r="A172" s="1">
        <v>38353</v>
      </c>
      <c r="B172" s="21">
        <f>VLOOKUP($A172,[1]Peak_Forward!$A$5:$AG$128,33)</f>
        <v>3.4750000000000001</v>
      </c>
      <c r="C172" s="21">
        <f>VLOOKUP($A172,[1]Peak_Forward!$A$5:$AG$128,33)</f>
        <v>3.4750000000000001</v>
      </c>
    </row>
    <row r="173" spans="1:3" x14ac:dyDescent="0.2">
      <c r="A173" s="1">
        <v>38384</v>
      </c>
      <c r="B173" s="21">
        <f>VLOOKUP($A173,[1]Peak_Forward!$A$5:$AG$128,33)</f>
        <v>3.419</v>
      </c>
      <c r="C173" s="21">
        <f>VLOOKUP($A173,[1]Peak_Forward!$A$5:$AG$128,33)</f>
        <v>3.419</v>
      </c>
    </row>
    <row r="174" spans="1:3" x14ac:dyDescent="0.2">
      <c r="A174" s="1">
        <v>38412</v>
      </c>
      <c r="B174" s="21">
        <f>VLOOKUP($A174,[1]Peak_Forward!$A$5:$AG$128,33)</f>
        <v>3.2890000000000001</v>
      </c>
      <c r="C174" s="21">
        <f>VLOOKUP($A174,[1]Peak_Forward!$A$5:$AG$128,33)</f>
        <v>3.2890000000000001</v>
      </c>
    </row>
    <row r="175" spans="1:3" x14ac:dyDescent="0.2">
      <c r="A175" s="1">
        <v>38443</v>
      </c>
      <c r="B175" s="21">
        <f>VLOOKUP($A175,[1]Peak_Forward!$A$5:$AG$128,33)</f>
        <v>3.1040000000000001</v>
      </c>
      <c r="C175" s="21">
        <f>VLOOKUP($A175,[1]Peak_Forward!$A$5:$AG$128,33)</f>
        <v>3.1040000000000001</v>
      </c>
    </row>
    <row r="176" spans="1:3" x14ac:dyDescent="0.2">
      <c r="A176" s="1">
        <v>38473</v>
      </c>
      <c r="B176" s="21">
        <f>VLOOKUP($A176,[1]Peak_Forward!$A$5:$AG$128,33)</f>
        <v>3.0990000000000002</v>
      </c>
      <c r="C176" s="21">
        <f>VLOOKUP($A176,[1]Peak_Forward!$A$5:$AG$128,33)</f>
        <v>3.0990000000000002</v>
      </c>
    </row>
    <row r="177" spans="1:3" x14ac:dyDescent="0.2">
      <c r="A177" s="1">
        <v>38504</v>
      </c>
      <c r="B177" s="21">
        <f>VLOOKUP($A177,[1]Peak_Forward!$A$5:$AG$128,33)</f>
        <v>3.1339999999999999</v>
      </c>
      <c r="C177" s="21">
        <f>VLOOKUP($A177,[1]Peak_Forward!$A$5:$AG$128,33)</f>
        <v>3.1339999999999999</v>
      </c>
    </row>
    <row r="178" spans="1:3" x14ac:dyDescent="0.2">
      <c r="A178" s="1">
        <v>38534</v>
      </c>
      <c r="B178" s="21">
        <f>VLOOKUP($A178,[1]Peak_Forward!$A$5:$AG$128,33)</f>
        <v>3.1739999999999999</v>
      </c>
      <c r="C178" s="21">
        <f>VLOOKUP($A178,[1]Peak_Forward!$A$5:$AG$128,33)</f>
        <v>3.1739999999999999</v>
      </c>
    </row>
    <row r="179" spans="1:3" x14ac:dyDescent="0.2">
      <c r="A179" s="1">
        <v>38565</v>
      </c>
      <c r="B179" s="21">
        <f>VLOOKUP($A179,[1]Peak_Forward!$A$5:$AG$128,33)</f>
        <v>3.214</v>
      </c>
      <c r="C179" s="21">
        <f>VLOOKUP($A179,[1]Peak_Forward!$A$5:$AG$128,33)</f>
        <v>3.214</v>
      </c>
    </row>
    <row r="180" spans="1:3" x14ac:dyDescent="0.2">
      <c r="A180" s="1">
        <v>38596</v>
      </c>
      <c r="B180" s="21">
        <f>VLOOKUP($A180,[1]Peak_Forward!$A$5:$AG$128,33)</f>
        <v>3.1970000000000001</v>
      </c>
      <c r="C180" s="21">
        <f>VLOOKUP($A180,[1]Peak_Forward!$A$5:$AG$128,33)</f>
        <v>3.1970000000000001</v>
      </c>
    </row>
    <row r="181" spans="1:3" x14ac:dyDescent="0.2">
      <c r="A181" s="1">
        <v>38626</v>
      </c>
      <c r="B181" s="21">
        <f>VLOOKUP($A181,[1]Peak_Forward!$A$5:$AG$128,33)</f>
        <v>3.222</v>
      </c>
      <c r="C181" s="21">
        <f>VLOOKUP($A181,[1]Peak_Forward!$A$5:$AG$128,33)</f>
        <v>3.222</v>
      </c>
    </row>
    <row r="182" spans="1:3" x14ac:dyDescent="0.2">
      <c r="A182" s="1">
        <v>38657</v>
      </c>
      <c r="B182" s="21">
        <f>VLOOKUP($A182,[1]Peak_Forward!$A$5:$AG$128,33)</f>
        <v>3.3740000000000001</v>
      </c>
      <c r="C182" s="21">
        <f>VLOOKUP($A182,[1]Peak_Forward!$A$5:$AG$128,33)</f>
        <v>3.3740000000000001</v>
      </c>
    </row>
    <row r="183" spans="1:3" x14ac:dyDescent="0.2">
      <c r="A183" s="1">
        <v>38687</v>
      </c>
      <c r="B183" s="21">
        <f>VLOOKUP($A183,[1]Peak_Forward!$A$5:$AG$128,33)</f>
        <v>3.5169999999999999</v>
      </c>
      <c r="C183" s="21">
        <f>VLOOKUP($A183,[1]Peak_Forward!$A$5:$AG$128,33)</f>
        <v>3.5169999999999999</v>
      </c>
    </row>
    <row r="184" spans="1:3" x14ac:dyDescent="0.2">
      <c r="A184" s="1">
        <v>38718</v>
      </c>
      <c r="B184" s="21">
        <f>VLOOKUP($A184,[1]Peak_Forward!$A$5:$AG$128,33)</f>
        <v>3.55</v>
      </c>
      <c r="C184" s="21">
        <f>VLOOKUP($A184,[1]Peak_Forward!$A$5:$AG$128,33)</f>
        <v>3.55</v>
      </c>
    </row>
    <row r="185" spans="1:3" x14ac:dyDescent="0.2">
      <c r="A185" s="1">
        <v>38749</v>
      </c>
      <c r="B185" s="21">
        <f>VLOOKUP($A185,[1]Peak_Forward!$A$5:$AG$128,33)</f>
        <v>3.4940000000000002</v>
      </c>
      <c r="C185" s="21">
        <f>VLOOKUP($A185,[1]Peak_Forward!$A$5:$AG$128,33)</f>
        <v>3.4940000000000002</v>
      </c>
    </row>
    <row r="186" spans="1:3" x14ac:dyDescent="0.2">
      <c r="A186" s="1">
        <v>38777</v>
      </c>
      <c r="B186" s="21">
        <f>VLOOKUP($A186,[1]Peak_Forward!$A$5:$AG$128,33)</f>
        <v>3.3639999999999999</v>
      </c>
      <c r="C186" s="21">
        <f>VLOOKUP($A186,[1]Peak_Forward!$A$5:$AG$128,33)</f>
        <v>3.3639999999999999</v>
      </c>
    </row>
    <row r="187" spans="1:3" x14ac:dyDescent="0.2">
      <c r="A187" s="1">
        <v>38808</v>
      </c>
      <c r="B187" s="21">
        <f>VLOOKUP($A187,[1]Peak_Forward!$A$5:$AG$128,33)</f>
        <v>3.1789999999999998</v>
      </c>
      <c r="C187" s="21">
        <f>VLOOKUP($A187,[1]Peak_Forward!$A$5:$AG$128,33)</f>
        <v>3.1789999999999998</v>
      </c>
    </row>
    <row r="188" spans="1:3" x14ac:dyDescent="0.2">
      <c r="A188" s="1">
        <v>38838</v>
      </c>
      <c r="B188" s="21">
        <f>VLOOKUP($A188,[1]Peak_Forward!$A$5:$AG$128,33)</f>
        <v>3.1739999999999999</v>
      </c>
      <c r="C188" s="21">
        <f>VLOOKUP($A188,[1]Peak_Forward!$A$5:$AG$128,33)</f>
        <v>3.1739999999999999</v>
      </c>
    </row>
    <row r="189" spans="1:3" x14ac:dyDescent="0.2">
      <c r="A189" s="1">
        <v>38869</v>
      </c>
      <c r="B189" s="21">
        <f>VLOOKUP($A189,[1]Peak_Forward!$A$5:$AG$128,33)</f>
        <v>3.2090000000000001</v>
      </c>
      <c r="C189" s="21">
        <f>VLOOKUP($A189,[1]Peak_Forward!$A$5:$AG$128,33)</f>
        <v>3.2090000000000001</v>
      </c>
    </row>
    <row r="190" spans="1:3" x14ac:dyDescent="0.2">
      <c r="A190" s="1">
        <v>38899</v>
      </c>
      <c r="B190" s="21">
        <f>VLOOKUP($A190,[1]Peak_Forward!$A$5:$AG$128,33)</f>
        <v>3.2490000000000001</v>
      </c>
      <c r="C190" s="21">
        <f>VLOOKUP($A190,[1]Peak_Forward!$A$5:$AG$128,33)</f>
        <v>3.2490000000000001</v>
      </c>
    </row>
    <row r="191" spans="1:3" x14ac:dyDescent="0.2">
      <c r="A191" s="1">
        <v>38930</v>
      </c>
      <c r="B191" s="21">
        <f>VLOOKUP($A191,[1]Peak_Forward!$A$5:$AG$128,33)</f>
        <v>3.2890000000000001</v>
      </c>
      <c r="C191" s="21">
        <f>VLOOKUP($A191,[1]Peak_Forward!$A$5:$AG$128,33)</f>
        <v>3.2890000000000001</v>
      </c>
    </row>
    <row r="192" spans="1:3" x14ac:dyDescent="0.2">
      <c r="A192" s="1">
        <v>38961</v>
      </c>
      <c r="B192" s="21">
        <f>VLOOKUP($A192,[1]Peak_Forward!$A$5:$AG$128,33)</f>
        <v>3.2719999999999998</v>
      </c>
      <c r="C192" s="21">
        <f>VLOOKUP($A192,[1]Peak_Forward!$A$5:$AG$128,33)</f>
        <v>3.2719999999999998</v>
      </c>
    </row>
    <row r="193" spans="1:3" x14ac:dyDescent="0.2">
      <c r="A193" s="1">
        <v>38991</v>
      </c>
      <c r="B193" s="21">
        <f>VLOOKUP($A193,[1]Peak_Forward!$A$5:$AG$128,33)</f>
        <v>3.2970000000000002</v>
      </c>
      <c r="C193" s="21">
        <f>VLOOKUP($A193,[1]Peak_Forward!$A$5:$AG$128,33)</f>
        <v>3.2970000000000002</v>
      </c>
    </row>
    <row r="194" spans="1:3" x14ac:dyDescent="0.2">
      <c r="A194" s="1">
        <v>39022</v>
      </c>
      <c r="B194" s="21">
        <f>VLOOKUP($A194,[1]Peak_Forward!$A$5:$AG$128,33)</f>
        <v>3.4489999999999998</v>
      </c>
      <c r="C194" s="21">
        <f>VLOOKUP($A194,[1]Peak_Forward!$A$5:$AG$128,33)</f>
        <v>3.4489999999999998</v>
      </c>
    </row>
    <row r="195" spans="1:3" x14ac:dyDescent="0.2">
      <c r="A195" s="1">
        <v>39052</v>
      </c>
      <c r="B195" s="21">
        <f>VLOOKUP($A195,[1]Peak_Forward!$A$5:$AG$128,33)</f>
        <v>3.5920000000000001</v>
      </c>
      <c r="C195" s="21">
        <f>VLOOKUP($A195,[1]Peak_Forward!$A$5:$AG$128,33)</f>
        <v>3.5920000000000001</v>
      </c>
    </row>
    <row r="196" spans="1:3" x14ac:dyDescent="0.2">
      <c r="A196" s="1">
        <v>39083</v>
      </c>
      <c r="B196" s="21">
        <f>VLOOKUP($A196,[1]Peak_Forward!$A$5:$AG$128,33)</f>
        <v>3.625</v>
      </c>
      <c r="C196" s="21">
        <f>VLOOKUP($A196,[1]Peak_Forward!$A$5:$AG$128,33)</f>
        <v>3.625</v>
      </c>
    </row>
    <row r="197" spans="1:3" x14ac:dyDescent="0.2">
      <c r="A197" s="1">
        <v>39114</v>
      </c>
      <c r="B197" s="21">
        <f>VLOOKUP($A197,[1]Peak_Forward!$A$5:$AG$128,33)</f>
        <v>3.569</v>
      </c>
      <c r="C197" s="21">
        <f>VLOOKUP($A197,[1]Peak_Forward!$A$5:$AG$128,33)</f>
        <v>3.569</v>
      </c>
    </row>
    <row r="198" spans="1:3" x14ac:dyDescent="0.2">
      <c r="A198" s="1">
        <v>39142</v>
      </c>
      <c r="B198" s="21">
        <f>VLOOKUP($A198,[1]Peak_Forward!$A$5:$AG$128,33)</f>
        <v>3.4390000000000001</v>
      </c>
      <c r="C198" s="21">
        <f>VLOOKUP($A198,[1]Peak_Forward!$A$5:$AG$128,33)</f>
        <v>3.4390000000000001</v>
      </c>
    </row>
    <row r="199" spans="1:3" x14ac:dyDescent="0.2">
      <c r="A199" s="1">
        <v>39173</v>
      </c>
      <c r="B199" s="21">
        <f>VLOOKUP($A199,[1]Peak_Forward!$A$5:$AG$128,33)</f>
        <v>3.254</v>
      </c>
      <c r="C199" s="21">
        <f>VLOOKUP($A199,[1]Peak_Forward!$A$5:$AG$128,33)</f>
        <v>3.254</v>
      </c>
    </row>
    <row r="200" spans="1:3" x14ac:dyDescent="0.2">
      <c r="A200" s="1">
        <v>39203</v>
      </c>
      <c r="B200" s="21">
        <f>VLOOKUP($A200,[1]Peak_Forward!$A$5:$AG$128,33)</f>
        <v>3.2490000000000001</v>
      </c>
      <c r="C200" s="21">
        <f>VLOOKUP($A200,[1]Peak_Forward!$A$5:$AG$128,33)</f>
        <v>3.2490000000000001</v>
      </c>
    </row>
    <row r="201" spans="1:3" x14ac:dyDescent="0.2">
      <c r="A201" s="1">
        <v>39234</v>
      </c>
      <c r="B201" s="21">
        <f>VLOOKUP($A201,[1]Peak_Forward!$A$5:$AG$128,33)</f>
        <v>3.2839999999999998</v>
      </c>
      <c r="C201" s="21">
        <f>VLOOKUP($A201,[1]Peak_Forward!$A$5:$AG$128,33)</f>
        <v>3.2839999999999998</v>
      </c>
    </row>
    <row r="202" spans="1:3" x14ac:dyDescent="0.2">
      <c r="A202" s="1">
        <v>39264</v>
      </c>
      <c r="B202" s="21">
        <f>VLOOKUP($A202,[1]Peak_Forward!$A$5:$AG$128,33)</f>
        <v>3.3239999999999998</v>
      </c>
      <c r="C202" s="21">
        <f>VLOOKUP($A202,[1]Peak_Forward!$A$5:$AG$128,33)</f>
        <v>3.3239999999999998</v>
      </c>
    </row>
    <row r="203" spans="1:3" x14ac:dyDescent="0.2">
      <c r="A203" s="1">
        <v>39295</v>
      </c>
      <c r="B203" s="21">
        <f>VLOOKUP($A203,[1]Peak_Forward!$A$5:$AG$128,33)</f>
        <v>3.3639999999999999</v>
      </c>
      <c r="C203" s="21">
        <f>VLOOKUP($A203,[1]Peak_Forward!$A$5:$AG$128,33)</f>
        <v>3.3639999999999999</v>
      </c>
    </row>
    <row r="204" spans="1:3" x14ac:dyDescent="0.2">
      <c r="A204" s="1">
        <v>39326</v>
      </c>
      <c r="B204" s="21">
        <f>VLOOKUP($A204,[1]Peak_Forward!$A$5:$AG$128,33)</f>
        <v>3.347</v>
      </c>
      <c r="C204" s="21">
        <f>VLOOKUP($A204,[1]Peak_Forward!$A$5:$AG$128,33)</f>
        <v>3.347</v>
      </c>
    </row>
    <row r="205" spans="1:3" x14ac:dyDescent="0.2">
      <c r="A205" s="1">
        <v>39356</v>
      </c>
      <c r="B205" s="21">
        <f>VLOOKUP($A205,[1]Peak_Forward!$A$5:$AG$128,33)</f>
        <v>3.3719999999999999</v>
      </c>
      <c r="C205" s="21">
        <f>VLOOKUP($A205,[1]Peak_Forward!$A$5:$AG$128,33)</f>
        <v>3.3719999999999999</v>
      </c>
    </row>
    <row r="206" spans="1:3" x14ac:dyDescent="0.2">
      <c r="A206" s="1">
        <v>39387</v>
      </c>
      <c r="B206" s="21">
        <f>VLOOKUP($A206,[1]Peak_Forward!$A$5:$AG$128,33)</f>
        <v>3.524</v>
      </c>
      <c r="C206" s="21">
        <f>VLOOKUP($A206,[1]Peak_Forward!$A$5:$AG$128,33)</f>
        <v>3.524</v>
      </c>
    </row>
    <row r="207" spans="1:3" x14ac:dyDescent="0.2">
      <c r="A207" s="1">
        <v>39417</v>
      </c>
      <c r="B207" s="21">
        <f>VLOOKUP($A207,[1]Peak_Forward!$A$5:$AG$128,33)</f>
        <v>3.6669999999999998</v>
      </c>
      <c r="C207" s="21">
        <f>VLOOKUP($A207,[1]Peak_Forward!$A$5:$AG$128,33)</f>
        <v>3.6669999999999998</v>
      </c>
    </row>
    <row r="208" spans="1:3" x14ac:dyDescent="0.2">
      <c r="A208" s="1">
        <v>39448</v>
      </c>
      <c r="B208" s="21">
        <f>VLOOKUP($A208,[1]Peak_Forward!$A$5:$AG$128,33)</f>
        <v>3.7025000000000001</v>
      </c>
      <c r="C208" s="21">
        <f>VLOOKUP($A208,[1]Peak_Forward!$A$5:$AG$128,33)</f>
        <v>3.7025000000000001</v>
      </c>
    </row>
    <row r="209" spans="1:3" x14ac:dyDescent="0.2">
      <c r="A209" s="1">
        <v>39479</v>
      </c>
      <c r="B209" s="21">
        <f>VLOOKUP($A209,[1]Peak_Forward!$A$5:$AG$128,33)</f>
        <v>3.6465000000000001</v>
      </c>
      <c r="C209" s="21">
        <f>VLOOKUP($A209,[1]Peak_Forward!$A$5:$AG$128,33)</f>
        <v>3.6465000000000001</v>
      </c>
    </row>
    <row r="210" spans="1:3" x14ac:dyDescent="0.2">
      <c r="A210" s="1">
        <v>39508</v>
      </c>
      <c r="B210" s="21">
        <f>VLOOKUP($A210,[1]Peak_Forward!$A$5:$AG$128,33)</f>
        <v>3.5165000000000002</v>
      </c>
      <c r="C210" s="21">
        <f>VLOOKUP($A210,[1]Peak_Forward!$A$5:$AG$128,33)</f>
        <v>3.5165000000000002</v>
      </c>
    </row>
    <row r="211" spans="1:3" x14ac:dyDescent="0.2">
      <c r="A211" s="1">
        <v>39539</v>
      </c>
      <c r="B211" s="21">
        <f>VLOOKUP($A211,[1]Peak_Forward!$A$5:$AG$128,33)</f>
        <v>3.3315000000000001</v>
      </c>
      <c r="C211" s="21">
        <f>VLOOKUP($A211,[1]Peak_Forward!$A$5:$AG$128,33)</f>
        <v>3.3315000000000001</v>
      </c>
    </row>
    <row r="212" spans="1:3" x14ac:dyDescent="0.2">
      <c r="A212" s="1">
        <v>39569</v>
      </c>
      <c r="B212" s="21">
        <f>VLOOKUP($A212,[1]Peak_Forward!$A$5:$AG$128,33)</f>
        <v>3.3264999999999998</v>
      </c>
      <c r="C212" s="21">
        <f>VLOOKUP($A212,[1]Peak_Forward!$A$5:$AG$128,33)</f>
        <v>3.3264999999999998</v>
      </c>
    </row>
    <row r="213" spans="1:3" x14ac:dyDescent="0.2">
      <c r="A213" s="1">
        <v>39600</v>
      </c>
      <c r="B213" s="21">
        <f>VLOOKUP($A213,[1]Peak_Forward!$A$5:$AG$128,33)</f>
        <v>3.3614999999999999</v>
      </c>
      <c r="C213" s="21">
        <f>VLOOKUP($A213,[1]Peak_Forward!$A$5:$AG$128,33)</f>
        <v>3.3614999999999999</v>
      </c>
    </row>
    <row r="214" spans="1:3" x14ac:dyDescent="0.2">
      <c r="A214" s="1">
        <v>39630</v>
      </c>
      <c r="B214" s="21">
        <f>VLOOKUP($A214,[1]Peak_Forward!$A$5:$AG$128,33)</f>
        <v>3.4015</v>
      </c>
      <c r="C214" s="21">
        <f>VLOOKUP($A214,[1]Peak_Forward!$A$5:$AG$128,33)</f>
        <v>3.4015</v>
      </c>
    </row>
    <row r="215" spans="1:3" x14ac:dyDescent="0.2">
      <c r="A215" s="1">
        <v>39661</v>
      </c>
      <c r="B215" s="21">
        <f>VLOOKUP($A215,[1]Peak_Forward!$A$5:$AG$128,33)</f>
        <v>3.4415</v>
      </c>
      <c r="C215" s="21">
        <f>VLOOKUP($A215,[1]Peak_Forward!$A$5:$AG$128,33)</f>
        <v>3.4415</v>
      </c>
    </row>
    <row r="216" spans="1:3" x14ac:dyDescent="0.2">
      <c r="A216" s="1">
        <v>39692</v>
      </c>
      <c r="B216" s="21">
        <f>VLOOKUP($A216,[1]Peak_Forward!$A$5:$AG$128,33)</f>
        <v>3.4245000000000001</v>
      </c>
      <c r="C216" s="21">
        <f>VLOOKUP($A216,[1]Peak_Forward!$A$5:$AG$128,33)</f>
        <v>3.4245000000000001</v>
      </c>
    </row>
    <row r="217" spans="1:3" x14ac:dyDescent="0.2">
      <c r="A217" s="1">
        <v>39722</v>
      </c>
      <c r="B217" s="21">
        <f>VLOOKUP($A217,[1]Peak_Forward!$A$5:$AG$128,33)</f>
        <v>3.4495</v>
      </c>
      <c r="C217" s="21">
        <f>VLOOKUP($A217,[1]Peak_Forward!$A$5:$AG$128,33)</f>
        <v>3.4495</v>
      </c>
    </row>
    <row r="218" spans="1:3" x14ac:dyDescent="0.2">
      <c r="A218" s="1">
        <v>39753</v>
      </c>
      <c r="B218" s="21">
        <f>VLOOKUP($A218,[1]Peak_Forward!$A$5:$AG$128,33)</f>
        <v>3.6015000000000001</v>
      </c>
      <c r="C218" s="21">
        <f>VLOOKUP($A218,[1]Peak_Forward!$A$5:$AG$128,33)</f>
        <v>3.6015000000000001</v>
      </c>
    </row>
    <row r="219" spans="1:3" x14ac:dyDescent="0.2">
      <c r="A219" s="1">
        <v>39783</v>
      </c>
      <c r="B219" s="21">
        <f>VLOOKUP($A219,[1]Peak_Forward!$A$5:$AG$128,33)</f>
        <v>3.7444999999999999</v>
      </c>
      <c r="C219" s="21">
        <f>VLOOKUP($A219,[1]Peak_Forward!$A$5:$AG$128,33)</f>
        <v>3.7444999999999999</v>
      </c>
    </row>
    <row r="220" spans="1:3" x14ac:dyDescent="0.2">
      <c r="A220" s="1">
        <v>39814</v>
      </c>
      <c r="B220" s="21">
        <f>VLOOKUP($A220,[1]Peak_Forward!$A$5:$AG$128,33)</f>
        <v>3.7825000000000002</v>
      </c>
      <c r="C220" s="21">
        <f>VLOOKUP($A220,[1]Peak_Forward!$A$5:$AG$128,33)</f>
        <v>3.7825000000000002</v>
      </c>
    </row>
    <row r="221" spans="1:3" x14ac:dyDescent="0.2">
      <c r="A221" s="1">
        <v>39845</v>
      </c>
      <c r="B221" s="21">
        <f>VLOOKUP($A221,[1]Peak_Forward!$A$5:$AG$128,33)</f>
        <v>3.7265000000000001</v>
      </c>
      <c r="C221" s="21">
        <f>VLOOKUP($A221,[1]Peak_Forward!$A$5:$AG$128,33)</f>
        <v>3.7265000000000001</v>
      </c>
    </row>
    <row r="222" spans="1:3" x14ac:dyDescent="0.2">
      <c r="A222" s="1">
        <v>39873</v>
      </c>
      <c r="B222" s="21">
        <f>VLOOKUP($A222,[1]Peak_Forward!$A$5:$AG$128,33)</f>
        <v>3.5964999999999998</v>
      </c>
      <c r="C222" s="21">
        <f>VLOOKUP($A222,[1]Peak_Forward!$A$5:$AG$128,33)</f>
        <v>3.5964999999999998</v>
      </c>
    </row>
    <row r="223" spans="1:3" x14ac:dyDescent="0.2">
      <c r="A223" s="1">
        <v>39904</v>
      </c>
      <c r="B223" s="21">
        <f>VLOOKUP($A223,[1]Peak_Forward!$A$5:$AG$128,33)</f>
        <v>3.4115000000000002</v>
      </c>
      <c r="C223" s="21">
        <f>VLOOKUP($A223,[1]Peak_Forward!$A$5:$AG$128,33)</f>
        <v>3.4115000000000002</v>
      </c>
    </row>
    <row r="224" spans="1:3" x14ac:dyDescent="0.2">
      <c r="A224" s="1">
        <v>39934</v>
      </c>
      <c r="B224" s="21">
        <f>VLOOKUP($A224,[1]Peak_Forward!$A$5:$AG$128,33)</f>
        <v>3.4064999999999999</v>
      </c>
      <c r="C224" s="21">
        <f>VLOOKUP($A224,[1]Peak_Forward!$A$5:$AG$128,33)</f>
        <v>3.4064999999999999</v>
      </c>
    </row>
    <row r="225" spans="1:3" x14ac:dyDescent="0.2">
      <c r="A225" s="1">
        <v>39965</v>
      </c>
      <c r="B225" s="21">
        <f>VLOOKUP($A225,[1]Peak_Forward!$A$5:$AG$128,33)</f>
        <v>3.4415</v>
      </c>
      <c r="C225" s="21">
        <f>VLOOKUP($A225,[1]Peak_Forward!$A$5:$AG$128,33)</f>
        <v>3.4415</v>
      </c>
    </row>
    <row r="226" spans="1:3" x14ac:dyDescent="0.2">
      <c r="A226" s="1">
        <v>39995</v>
      </c>
      <c r="B226" s="21">
        <f>VLOOKUP($A226,[1]Peak_Forward!$A$5:$AG$128,33)</f>
        <v>3.4815</v>
      </c>
      <c r="C226" s="21">
        <f>VLOOKUP($A226,[1]Peak_Forward!$A$5:$AG$128,33)</f>
        <v>3.4815</v>
      </c>
    </row>
    <row r="227" spans="1:3" x14ac:dyDescent="0.2">
      <c r="A227" s="1">
        <v>40026</v>
      </c>
      <c r="B227" s="21">
        <f>VLOOKUP($A227,[1]Peak_Forward!$A$5:$AG$128,33)</f>
        <v>3.5215000000000001</v>
      </c>
      <c r="C227" s="21">
        <f>VLOOKUP($A227,[1]Peak_Forward!$A$5:$AG$128,33)</f>
        <v>3.5215000000000001</v>
      </c>
    </row>
    <row r="228" spans="1:3" x14ac:dyDescent="0.2">
      <c r="A228" s="1">
        <v>40057</v>
      </c>
      <c r="B228" s="21">
        <f>VLOOKUP($A228,[1]Peak_Forward!$A$5:$AG$128,33)</f>
        <v>3.5045000000000002</v>
      </c>
      <c r="C228" s="21">
        <f>VLOOKUP($A228,[1]Peak_Forward!$A$5:$AG$128,33)</f>
        <v>3.5045000000000002</v>
      </c>
    </row>
    <row r="229" spans="1:3" x14ac:dyDescent="0.2">
      <c r="A229" s="1">
        <v>40087</v>
      </c>
      <c r="B229" s="21">
        <f>VLOOKUP($A229,[1]Peak_Forward!$A$5:$AG$128,33)</f>
        <v>3.5295000000000001</v>
      </c>
      <c r="C229" s="21">
        <f>VLOOKUP($A229,[1]Peak_Forward!$A$5:$AG$128,33)</f>
        <v>3.5295000000000001</v>
      </c>
    </row>
    <row r="230" spans="1:3" x14ac:dyDescent="0.2">
      <c r="A230" s="1">
        <v>40118</v>
      </c>
      <c r="B230" s="21">
        <f>VLOOKUP($A230,[1]Peak_Forward!$A$5:$AG$128,33)</f>
        <v>3.6815000000000002</v>
      </c>
      <c r="C230" s="21">
        <f>VLOOKUP($A230,[1]Peak_Forward!$A$5:$AG$128,33)</f>
        <v>3.6815000000000002</v>
      </c>
    </row>
    <row r="231" spans="1:3" x14ac:dyDescent="0.2">
      <c r="A231" s="1">
        <v>40148</v>
      </c>
      <c r="B231" s="21">
        <f>VLOOKUP($A231,[1]Peak_Forward!$A$5:$AG$128,33)</f>
        <v>3.8245</v>
      </c>
      <c r="C231" s="21">
        <f>VLOOKUP($A231,[1]Peak_Forward!$A$5:$AG$128,33)</f>
        <v>3.8245</v>
      </c>
    </row>
    <row r="232" spans="1:3" x14ac:dyDescent="0.2">
      <c r="A232" s="1">
        <v>40179</v>
      </c>
      <c r="B232" s="21">
        <f>VLOOKUP($A232,[1]Peak_Forward!$A$5:$AG$128,33)</f>
        <v>3.8624999999999998</v>
      </c>
      <c r="C232" s="21">
        <f>VLOOKUP($A232,[1]Peak_Forward!$A$5:$AG$128,33)</f>
        <v>3.8624999999999998</v>
      </c>
    </row>
    <row r="233" spans="1:3" x14ac:dyDescent="0.2">
      <c r="A233" s="1">
        <v>40210</v>
      </c>
      <c r="B233" s="21">
        <f>VLOOKUP($A233,[1]Peak_Forward!$A$5:$AG$128,33)</f>
        <v>3.8065000000000002</v>
      </c>
      <c r="C233" s="21">
        <f>VLOOKUP($A233,[1]Peak_Forward!$A$5:$AG$128,33)</f>
        <v>3.8065000000000002</v>
      </c>
    </row>
    <row r="234" spans="1:3" x14ac:dyDescent="0.2">
      <c r="A234" s="1">
        <v>40238</v>
      </c>
      <c r="B234" s="21">
        <f>VLOOKUP($A234,[1]Peak_Forward!$A$5:$AG$128,33)</f>
        <v>3.6764999999999999</v>
      </c>
      <c r="C234" s="21">
        <f>VLOOKUP($A234,[1]Peak_Forward!$A$5:$AG$128,33)</f>
        <v>3.6764999999999999</v>
      </c>
    </row>
    <row r="235" spans="1:3" x14ac:dyDescent="0.2">
      <c r="A235" s="1">
        <v>40269</v>
      </c>
      <c r="B235" s="21">
        <f>VLOOKUP($A235,[1]Peak_Forward!$A$5:$AG$128,33)</f>
        <v>3.4914999999999998</v>
      </c>
      <c r="C235" s="21">
        <f>VLOOKUP($A235,[1]Peak_Forward!$A$5:$AG$128,33)</f>
        <v>3.4914999999999998</v>
      </c>
    </row>
    <row r="236" spans="1:3" x14ac:dyDescent="0.2">
      <c r="A236" s="1">
        <v>40299</v>
      </c>
      <c r="B236" s="21">
        <f>VLOOKUP($A236,[1]Peak_Forward!$A$5:$AG$128,33)</f>
        <v>3.4864999999999999</v>
      </c>
      <c r="C236" s="21">
        <f>VLOOKUP($A236,[1]Peak_Forward!$A$5:$AG$128,33)</f>
        <v>3.4864999999999999</v>
      </c>
    </row>
    <row r="237" spans="1:3" x14ac:dyDescent="0.2">
      <c r="A237" s="1">
        <v>40330</v>
      </c>
      <c r="B237" s="21">
        <f>VLOOKUP($A237,[1]Peak_Forward!$A$5:$AG$128,33)</f>
        <v>3.5215000000000001</v>
      </c>
      <c r="C237" s="21">
        <f>VLOOKUP($A237,[1]Peak_Forward!$A$5:$AG$128,33)</f>
        <v>3.5215000000000001</v>
      </c>
    </row>
    <row r="238" spans="1:3" x14ac:dyDescent="0.2">
      <c r="A238" s="1">
        <v>40360</v>
      </c>
      <c r="B238" s="21">
        <f>VLOOKUP($A238,[1]Peak_Forward!$A$5:$AG$128,33)</f>
        <v>3.5615000000000001</v>
      </c>
      <c r="C238" s="21">
        <f>VLOOKUP($A238,[1]Peak_Forward!$A$5:$AG$128,33)</f>
        <v>3.5615000000000001</v>
      </c>
    </row>
    <row r="239" spans="1:3" x14ac:dyDescent="0.2">
      <c r="A239" s="1">
        <v>40391</v>
      </c>
      <c r="B239" s="21">
        <f>VLOOKUP($A239,[1]Peak_Forward!$A$5:$AG$128,33)</f>
        <v>3.6015000000000001</v>
      </c>
      <c r="C239" s="21">
        <f>VLOOKUP($A239,[1]Peak_Forward!$A$5:$AG$128,33)</f>
        <v>3.6015000000000001</v>
      </c>
    </row>
    <row r="240" spans="1:3" x14ac:dyDescent="0.2">
      <c r="A240" s="1">
        <v>40422</v>
      </c>
      <c r="B240" s="21">
        <f>VLOOKUP($A240,[1]Peak_Forward!$A$5:$AG$128,33)</f>
        <v>3.5844999999999998</v>
      </c>
      <c r="C240" s="21">
        <f>VLOOKUP($A240,[1]Peak_Forward!$A$5:$AG$128,33)</f>
        <v>3.5844999999999998</v>
      </c>
    </row>
    <row r="241" spans="1:3" x14ac:dyDescent="0.2">
      <c r="A241" s="1">
        <v>40452</v>
      </c>
      <c r="B241" s="21">
        <f>VLOOKUP($A241,[1]Peak_Forward!$A$5:$AG$128,33)</f>
        <v>3.6095000000000002</v>
      </c>
      <c r="C241" s="21">
        <f>VLOOKUP($A241,[1]Peak_Forward!$A$5:$AG$128,33)</f>
        <v>3.6095000000000002</v>
      </c>
    </row>
    <row r="242" spans="1:3" x14ac:dyDescent="0.2">
      <c r="A242" s="1">
        <v>40483</v>
      </c>
      <c r="B242" s="21">
        <f>VLOOKUP($A242,[1]Peak_Forward!$A$5:$AG$128,33)</f>
        <v>3.7614999999999998</v>
      </c>
      <c r="C242" s="21">
        <f>VLOOKUP($A242,[1]Peak_Forward!$A$5:$AG$128,33)</f>
        <v>3.7614999999999998</v>
      </c>
    </row>
    <row r="243" spans="1:3" x14ac:dyDescent="0.2">
      <c r="A243" s="1">
        <v>40513</v>
      </c>
      <c r="B243" s="21">
        <f>VLOOKUP($A243,[1]Peak_Forward!$A$5:$AG$128,33)</f>
        <v>3.9045000000000001</v>
      </c>
      <c r="C243" s="21">
        <f>VLOOKUP($A243,[1]Peak_Forward!$A$5:$AG$128,33)</f>
        <v>3.9045000000000001</v>
      </c>
    </row>
    <row r="244" spans="1:3" x14ac:dyDescent="0.2">
      <c r="A244" s="1"/>
      <c r="B244" s="21"/>
      <c r="C244" s="21"/>
    </row>
    <row r="245" spans="1:3" x14ac:dyDescent="0.2">
      <c r="A245" s="1"/>
      <c r="B245" s="21"/>
      <c r="C245" s="21"/>
    </row>
    <row r="246" spans="1:3" x14ac:dyDescent="0.2">
      <c r="A246" s="1"/>
      <c r="B246" s="21"/>
      <c r="C246" s="21"/>
    </row>
    <row r="247" spans="1:3" x14ac:dyDescent="0.2">
      <c r="A247" s="1"/>
      <c r="B247" s="21"/>
      <c r="C247" s="21"/>
    </row>
    <row r="248" spans="1:3" x14ac:dyDescent="0.2">
      <c r="A248" s="1"/>
      <c r="B248" s="21"/>
      <c r="C248" s="21"/>
    </row>
    <row r="249" spans="1:3" x14ac:dyDescent="0.2">
      <c r="A249" s="1"/>
      <c r="B249" s="21"/>
      <c r="C249" s="21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247"/>
  <sheetViews>
    <sheetView zoomScale="75" workbookViewId="0">
      <selection activeCell="J13" sqref="J13"/>
    </sheetView>
  </sheetViews>
  <sheetFormatPr defaultRowHeight="12.75" x14ac:dyDescent="0.2"/>
  <sheetData>
    <row r="1" spans="1:19" s="5" customFormat="1" x14ac:dyDescent="0.2">
      <c r="A1" s="5" t="s">
        <v>42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24</v>
      </c>
      <c r="P1" s="13" t="s">
        <v>13</v>
      </c>
      <c r="Q1" s="13" t="s">
        <v>14</v>
      </c>
      <c r="R1" s="5" t="s">
        <v>37</v>
      </c>
      <c r="S1" s="5" t="s">
        <v>38</v>
      </c>
    </row>
    <row r="2" spans="1:19" s="5" customFormat="1" x14ac:dyDescent="0.2">
      <c r="A2"/>
      <c r="B2"/>
      <c r="C2" s="1"/>
      <c r="D2"/>
      <c r="E2" s="16">
        <v>8</v>
      </c>
      <c r="F2" s="16">
        <v>8</v>
      </c>
      <c r="G2" s="16">
        <v>15</v>
      </c>
      <c r="H2" s="16">
        <v>9</v>
      </c>
      <c r="I2" s="16">
        <v>11</v>
      </c>
      <c r="J2" s="16">
        <v>16</v>
      </c>
      <c r="K2" s="16">
        <v>2</v>
      </c>
      <c r="L2" s="16">
        <v>7</v>
      </c>
      <c r="M2" s="16">
        <v>3</v>
      </c>
      <c r="N2" s="16">
        <v>12</v>
      </c>
      <c r="O2" s="16">
        <v>17</v>
      </c>
      <c r="P2" s="16">
        <v>10</v>
      </c>
      <c r="Q2" s="16">
        <v>3</v>
      </c>
      <c r="R2" s="11">
        <v>13</v>
      </c>
      <c r="S2" s="11">
        <v>14</v>
      </c>
    </row>
    <row r="3" spans="1:19" s="5" customFormat="1" x14ac:dyDescent="0.2">
      <c r="A3"/>
      <c r="B3"/>
      <c r="C3" s="1"/>
      <c r="D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">
      <c r="C4" s="1">
        <v>36892</v>
      </c>
      <c r="E4" s="17">
        <v>79.86363636363636</v>
      </c>
      <c r="F4" s="17">
        <v>79.86363636363636</v>
      </c>
      <c r="G4" s="17">
        <v>82.102265097878202</v>
      </c>
      <c r="H4" s="17">
        <v>74.056818181818187</v>
      </c>
      <c r="I4" s="17">
        <v>81.13636363636364</v>
      </c>
      <c r="J4" s="17">
        <v>0</v>
      </c>
      <c r="K4" s="17">
        <v>102.04545454545455</v>
      </c>
      <c r="L4" s="17">
        <v>86.727272727272734</v>
      </c>
      <c r="M4" s="17">
        <v>81.681818181818187</v>
      </c>
      <c r="N4" s="17">
        <v>68.295454545454547</v>
      </c>
      <c r="O4" s="17">
        <v>0</v>
      </c>
      <c r="P4" s="17">
        <v>88.409090909090907</v>
      </c>
      <c r="Q4" s="17">
        <v>81.681818181818187</v>
      </c>
      <c r="R4" s="6">
        <v>0</v>
      </c>
      <c r="S4" s="6">
        <v>76.295454545454547</v>
      </c>
    </row>
    <row r="5" spans="1:19" x14ac:dyDescent="0.2">
      <c r="C5" s="1">
        <v>36923</v>
      </c>
      <c r="E5" s="17">
        <v>42.287499809265135</v>
      </c>
      <c r="F5" s="17">
        <v>42.287499809265135</v>
      </c>
      <c r="G5" s="17">
        <v>55.749992752075194</v>
      </c>
      <c r="H5" s="17">
        <v>40.287500000000001</v>
      </c>
      <c r="I5" s="17">
        <v>42.774999999999999</v>
      </c>
      <c r="J5" s="17">
        <v>0</v>
      </c>
      <c r="K5" s="17">
        <v>63.375</v>
      </c>
      <c r="L5" s="17">
        <v>59.2</v>
      </c>
      <c r="M5" s="17">
        <v>43.828000000000003</v>
      </c>
      <c r="N5" s="17">
        <v>61.075000000000003</v>
      </c>
      <c r="O5" s="17">
        <v>0</v>
      </c>
      <c r="P5" s="17">
        <v>47.999000000000009</v>
      </c>
      <c r="Q5" s="17">
        <v>43.828000000000003</v>
      </c>
      <c r="R5" s="6">
        <v>0</v>
      </c>
      <c r="S5" s="6">
        <v>40.424999999999997</v>
      </c>
    </row>
    <row r="6" spans="1:19" x14ac:dyDescent="0.2">
      <c r="C6" s="1">
        <v>36951</v>
      </c>
      <c r="E6" s="17">
        <v>44.863632548939101</v>
      </c>
      <c r="F6" s="17">
        <v>44.863632548939101</v>
      </c>
      <c r="G6" s="17">
        <v>48.999318556352094</v>
      </c>
      <c r="H6" s="17">
        <v>43.863636363636367</v>
      </c>
      <c r="I6" s="17">
        <v>45.5</v>
      </c>
      <c r="J6" s="17">
        <v>47.451459364457563</v>
      </c>
      <c r="K6" s="17">
        <v>51.80681818181818</v>
      </c>
      <c r="L6" s="17">
        <v>57.363636363636367</v>
      </c>
      <c r="M6" s="17">
        <v>46.418182789195669</v>
      </c>
      <c r="N6" s="17">
        <v>48.772727272727273</v>
      </c>
      <c r="O6" s="17">
        <v>48.687823035500266</v>
      </c>
      <c r="P6" s="17">
        <v>50.981817127574594</v>
      </c>
      <c r="Q6" s="17">
        <v>46.418182789195669</v>
      </c>
      <c r="R6" s="6">
        <v>0</v>
      </c>
      <c r="S6" s="6">
        <v>53.772727272727273</v>
      </c>
    </row>
    <row r="7" spans="1:19" x14ac:dyDescent="0.2">
      <c r="C7" s="1">
        <v>36982</v>
      </c>
      <c r="E7" s="17">
        <v>40.5</v>
      </c>
      <c r="F7" s="17">
        <v>40.5</v>
      </c>
      <c r="G7" s="17">
        <v>47.499274662562776</v>
      </c>
      <c r="H7" s="17">
        <v>39.202380952380949</v>
      </c>
      <c r="I7" s="17">
        <v>40.776192329043447</v>
      </c>
      <c r="J7" s="17">
        <v>41.365965343656995</v>
      </c>
      <c r="K7" s="17">
        <v>52.821428571428569</v>
      </c>
      <c r="L7" s="17">
        <v>57.011904761904759</v>
      </c>
      <c r="M7" s="17">
        <v>42.073333551316047</v>
      </c>
      <c r="N7" s="17">
        <v>44.409523555210662</v>
      </c>
      <c r="O7" s="17">
        <v>45.571428571428569</v>
      </c>
      <c r="P7" s="17">
        <v>46.75</v>
      </c>
      <c r="Q7" s="17">
        <v>42.073333551316047</v>
      </c>
      <c r="R7" s="6">
        <v>0</v>
      </c>
      <c r="S7" s="6">
        <v>53.669521876743865</v>
      </c>
    </row>
    <row r="8" spans="1:19" x14ac:dyDescent="0.2">
      <c r="C8" s="1">
        <v>37012</v>
      </c>
      <c r="E8" s="17">
        <v>59.318178697065875</v>
      </c>
      <c r="F8" s="17">
        <v>59.318178697065875</v>
      </c>
      <c r="G8" s="17">
        <v>56.147727272727273</v>
      </c>
      <c r="H8" s="17">
        <v>53.5</v>
      </c>
      <c r="I8" s="17">
        <v>61.068181610107438</v>
      </c>
      <c r="J8" s="17">
        <v>56.906815615567297</v>
      </c>
      <c r="K8" s="17">
        <v>58.295454545454547</v>
      </c>
      <c r="L8" s="17">
        <v>77.63636363636364</v>
      </c>
      <c r="M8" s="17">
        <v>57.318180084228516</v>
      </c>
      <c r="N8" s="17">
        <v>56.420454337380164</v>
      </c>
      <c r="O8" s="17">
        <v>61.577270161021836</v>
      </c>
      <c r="P8" s="17">
        <v>67.424999708695864</v>
      </c>
      <c r="Q8" s="17">
        <v>57.318180084228516</v>
      </c>
      <c r="R8" s="6">
        <v>0</v>
      </c>
      <c r="S8" s="6">
        <v>76.920454337380164</v>
      </c>
    </row>
    <row r="9" spans="1:19" x14ac:dyDescent="0.2">
      <c r="C9" s="1">
        <v>37043</v>
      </c>
      <c r="E9" s="17">
        <v>54.952374957856676</v>
      </c>
      <c r="F9" s="17">
        <v>54.952374957856676</v>
      </c>
      <c r="G9" s="17">
        <v>47.773809523809526</v>
      </c>
      <c r="H9" s="17">
        <v>51.821419852120535</v>
      </c>
      <c r="I9" s="17">
        <v>56.345238095238095</v>
      </c>
      <c r="J9" s="17">
        <v>49.259515853155214</v>
      </c>
      <c r="K9" s="17">
        <v>59.613095238095241</v>
      </c>
      <c r="L9" s="17">
        <v>74.071428571428569</v>
      </c>
      <c r="M9" s="17">
        <v>53.897619047619045</v>
      </c>
      <c r="N9" s="17">
        <v>63</v>
      </c>
      <c r="O9" s="17">
        <v>55.473802657354447</v>
      </c>
      <c r="P9" s="17">
        <v>63.857142857142854</v>
      </c>
      <c r="Q9" s="17">
        <v>53.897619047619045</v>
      </c>
      <c r="R9" s="6">
        <v>70.25</v>
      </c>
      <c r="S9" s="6">
        <v>81.535714285714292</v>
      </c>
    </row>
    <row r="10" spans="1:19" x14ac:dyDescent="0.2">
      <c r="C10" s="1">
        <v>37073</v>
      </c>
      <c r="E10" s="17">
        <v>78.752142857142843</v>
      </c>
      <c r="F10" s="17">
        <v>78.752142857142843</v>
      </c>
      <c r="G10" s="17">
        <v>62.25</v>
      </c>
      <c r="H10" s="17">
        <v>82.226190476190482</v>
      </c>
      <c r="I10" s="17">
        <v>88</v>
      </c>
      <c r="J10" s="17">
        <v>54.230003356933594</v>
      </c>
      <c r="K10" s="17">
        <v>74.5</v>
      </c>
      <c r="L10" s="17">
        <v>106</v>
      </c>
      <c r="M10" s="17">
        <v>83</v>
      </c>
      <c r="N10" s="17">
        <v>97.75</v>
      </c>
      <c r="O10" s="17">
        <v>70.730003356933594</v>
      </c>
      <c r="P10" s="17">
        <v>90.25</v>
      </c>
      <c r="Q10" s="17">
        <v>83</v>
      </c>
      <c r="R10" s="6">
        <v>108.67857142857143</v>
      </c>
      <c r="S10" s="6">
        <v>113.80976190476191</v>
      </c>
    </row>
    <row r="11" spans="1:19" x14ac:dyDescent="0.2">
      <c r="C11" s="1">
        <v>37104</v>
      </c>
      <c r="E11" s="17">
        <v>72.75</v>
      </c>
      <c r="F11" s="17">
        <v>72.75</v>
      </c>
      <c r="G11" s="17">
        <v>61.25</v>
      </c>
      <c r="H11" s="17">
        <v>70.749992370605469</v>
      </c>
      <c r="I11" s="17">
        <v>76.5</v>
      </c>
      <c r="J11" s="17">
        <v>71.499992370605469</v>
      </c>
      <c r="K11" s="17">
        <v>74.5</v>
      </c>
      <c r="L11" s="17">
        <v>106</v>
      </c>
      <c r="M11" s="17">
        <v>73.5</v>
      </c>
      <c r="N11" s="17">
        <v>97.75</v>
      </c>
      <c r="O11" s="17">
        <v>87.999992370605469</v>
      </c>
      <c r="P11" s="17">
        <v>90.25</v>
      </c>
      <c r="Q11" s="17">
        <v>73.5</v>
      </c>
      <c r="R11" s="6">
        <v>109</v>
      </c>
      <c r="S11" s="6">
        <v>114</v>
      </c>
    </row>
    <row r="12" spans="1:19" x14ac:dyDescent="0.2">
      <c r="C12" s="1">
        <v>37135</v>
      </c>
      <c r="E12" s="17">
        <v>36.5</v>
      </c>
      <c r="F12" s="17">
        <v>36.5</v>
      </c>
      <c r="G12" s="17">
        <v>44.250003814697266</v>
      </c>
      <c r="H12" s="17">
        <v>34.749996185302734</v>
      </c>
      <c r="I12" s="17">
        <v>37.5</v>
      </c>
      <c r="J12" s="17">
        <v>34.349994659423828</v>
      </c>
      <c r="K12" s="17">
        <v>50.25</v>
      </c>
      <c r="L12" s="17">
        <v>60</v>
      </c>
      <c r="M12" s="17">
        <v>39.25</v>
      </c>
      <c r="N12" s="17">
        <v>43.25</v>
      </c>
      <c r="O12" s="17">
        <v>44.350002288818359</v>
      </c>
      <c r="P12" s="17">
        <v>42.500003814697266</v>
      </c>
      <c r="Q12" s="17">
        <v>39.25</v>
      </c>
      <c r="R12" s="6">
        <v>47.75</v>
      </c>
      <c r="S12" s="6">
        <v>56.25</v>
      </c>
    </row>
    <row r="13" spans="1:19" x14ac:dyDescent="0.2">
      <c r="C13" s="1">
        <v>37165</v>
      </c>
      <c r="E13" s="17">
        <v>34.598438119888307</v>
      </c>
      <c r="F13" s="17">
        <v>34.598438119888307</v>
      </c>
      <c r="G13" s="17">
        <v>36.449993133544922</v>
      </c>
      <c r="H13" s="17">
        <v>33.209991455078125</v>
      </c>
      <c r="I13" s="17">
        <v>34.75</v>
      </c>
      <c r="J13" s="17">
        <v>30.969993591308594</v>
      </c>
      <c r="K13" s="17">
        <v>50.25</v>
      </c>
      <c r="L13" s="17">
        <v>59</v>
      </c>
      <c r="M13" s="17">
        <v>35.75</v>
      </c>
      <c r="N13" s="17">
        <v>38.25</v>
      </c>
      <c r="O13" s="17">
        <v>36.499992370605469</v>
      </c>
      <c r="P13" s="17">
        <v>36.5</v>
      </c>
      <c r="Q13" s="17">
        <v>35.75</v>
      </c>
      <c r="R13" s="6">
        <v>41.25</v>
      </c>
      <c r="S13" s="6">
        <v>46.25</v>
      </c>
    </row>
    <row r="14" spans="1:19" x14ac:dyDescent="0.2">
      <c r="C14" s="1">
        <v>37196</v>
      </c>
      <c r="E14" s="17">
        <v>33.098438119888307</v>
      </c>
      <c r="F14" s="17">
        <v>33.098438119888307</v>
      </c>
      <c r="G14" s="17">
        <v>32.949989318847656</v>
      </c>
      <c r="H14" s="17">
        <v>31.799991607666016</v>
      </c>
      <c r="I14" s="17">
        <v>34.75</v>
      </c>
      <c r="J14" s="17">
        <v>29.546907424926758</v>
      </c>
      <c r="K14" s="17">
        <v>50.25</v>
      </c>
      <c r="L14" s="17">
        <v>59</v>
      </c>
      <c r="M14" s="17">
        <v>35.75</v>
      </c>
      <c r="N14" s="17">
        <v>38.25</v>
      </c>
      <c r="O14" s="17">
        <v>34.999992370605469</v>
      </c>
      <c r="P14" s="17">
        <v>36.5</v>
      </c>
      <c r="Q14" s="17">
        <v>35.75</v>
      </c>
      <c r="R14" s="6">
        <v>41.25</v>
      </c>
      <c r="S14" s="6">
        <v>46.25</v>
      </c>
    </row>
    <row r="15" spans="1:19" x14ac:dyDescent="0.2">
      <c r="C15" s="1">
        <v>37226</v>
      </c>
      <c r="E15" s="17">
        <v>36.178436136245729</v>
      </c>
      <c r="F15" s="17">
        <v>36.178436136245729</v>
      </c>
      <c r="G15" s="17">
        <v>33.949989318847656</v>
      </c>
      <c r="H15" s="17">
        <v>35.629989624023437</v>
      </c>
      <c r="I15" s="17">
        <v>34.75</v>
      </c>
      <c r="J15" s="17">
        <v>33.382293701171875</v>
      </c>
      <c r="K15" s="17">
        <v>50.25</v>
      </c>
      <c r="L15" s="17">
        <v>59</v>
      </c>
      <c r="M15" s="17">
        <v>35.75</v>
      </c>
      <c r="N15" s="17">
        <v>38.25</v>
      </c>
      <c r="O15" s="17">
        <v>38.079990386962891</v>
      </c>
      <c r="P15" s="17">
        <v>36.5</v>
      </c>
      <c r="Q15" s="17">
        <v>35.75</v>
      </c>
      <c r="R15" s="6">
        <v>41.25</v>
      </c>
      <c r="S15" s="6">
        <v>46.25</v>
      </c>
    </row>
    <row r="16" spans="1:19" x14ac:dyDescent="0.2">
      <c r="C16" s="1">
        <v>37257</v>
      </c>
      <c r="E16" s="17">
        <v>38.035715375627788</v>
      </c>
      <c r="F16" s="17">
        <v>38.035715375627788</v>
      </c>
      <c r="G16" s="17">
        <v>37.119991302490234</v>
      </c>
      <c r="H16" s="17">
        <v>36.035144805908203</v>
      </c>
      <c r="I16" s="17">
        <v>38.004997253417969</v>
      </c>
      <c r="J16" s="17">
        <v>40.803840637207031</v>
      </c>
      <c r="K16" s="17">
        <v>60</v>
      </c>
      <c r="L16" s="17">
        <v>70</v>
      </c>
      <c r="M16" s="17">
        <v>41.75</v>
      </c>
      <c r="N16" s="17">
        <v>40.754997253417969</v>
      </c>
      <c r="O16" s="17">
        <v>37.287143707275391</v>
      </c>
      <c r="P16" s="17">
        <v>38.6</v>
      </c>
      <c r="Q16" s="17">
        <v>41.75</v>
      </c>
      <c r="R16" s="6">
        <v>43.754997253417969</v>
      </c>
      <c r="S16" s="6">
        <v>46.754997253417969</v>
      </c>
    </row>
    <row r="17" spans="3:19" x14ac:dyDescent="0.2">
      <c r="C17" s="1">
        <v>37288</v>
      </c>
      <c r="E17" s="17">
        <v>37.435713086809429</v>
      </c>
      <c r="F17" s="17">
        <v>37.435713086809429</v>
      </c>
      <c r="G17" s="17">
        <v>35.369987487792969</v>
      </c>
      <c r="H17" s="17">
        <v>35.437141418457031</v>
      </c>
      <c r="I17" s="17">
        <v>38.000003814697266</v>
      </c>
      <c r="J17" s="17">
        <v>38.803840637207031</v>
      </c>
      <c r="K17" s="17">
        <v>60</v>
      </c>
      <c r="L17" s="17">
        <v>70</v>
      </c>
      <c r="M17" s="17">
        <v>41.75</v>
      </c>
      <c r="N17" s="17">
        <v>40.750003814697266</v>
      </c>
      <c r="O17" s="17">
        <v>36.687141418457031</v>
      </c>
      <c r="P17" s="17">
        <v>38.6</v>
      </c>
      <c r="Q17" s="17">
        <v>41.75</v>
      </c>
      <c r="R17" s="6">
        <v>43.750003814697266</v>
      </c>
      <c r="S17" s="6">
        <v>46.750003814697266</v>
      </c>
    </row>
    <row r="18" spans="3:19" x14ac:dyDescent="0.2">
      <c r="C18" s="1">
        <v>37316</v>
      </c>
      <c r="E18" s="17">
        <v>34.64767207655796</v>
      </c>
      <c r="F18" s="17">
        <v>34.64767207655796</v>
      </c>
      <c r="G18" s="17">
        <v>34.799991607666016</v>
      </c>
      <c r="H18" s="17">
        <v>34.151042938232422</v>
      </c>
      <c r="I18" s="17">
        <v>35</v>
      </c>
      <c r="J18" s="17">
        <v>34.296916961669922</v>
      </c>
      <c r="K18" s="17">
        <v>46.5</v>
      </c>
      <c r="L18" s="17">
        <v>55</v>
      </c>
      <c r="M18" s="17">
        <v>38.25</v>
      </c>
      <c r="N18" s="17">
        <v>38.75</v>
      </c>
      <c r="O18" s="17">
        <v>32.901039123535156</v>
      </c>
      <c r="P18" s="17">
        <v>35.5</v>
      </c>
      <c r="Q18" s="17">
        <v>38.25</v>
      </c>
      <c r="R18" s="6">
        <v>41.75</v>
      </c>
      <c r="S18" s="6">
        <v>44.75</v>
      </c>
    </row>
    <row r="19" spans="3:19" x14ac:dyDescent="0.2">
      <c r="C19" s="1">
        <v>37347</v>
      </c>
      <c r="E19" s="17">
        <v>34.847676654194679</v>
      </c>
      <c r="F19" s="17">
        <v>34.847676654194679</v>
      </c>
      <c r="G19" s="17">
        <v>34.499988555908203</v>
      </c>
      <c r="H19" s="17">
        <v>34.351043701171875</v>
      </c>
      <c r="I19" s="17">
        <v>35</v>
      </c>
      <c r="J19" s="17">
        <v>31.946914672851563</v>
      </c>
      <c r="K19" s="17">
        <v>46.5</v>
      </c>
      <c r="L19" s="17">
        <v>54</v>
      </c>
      <c r="M19" s="17">
        <v>37.25</v>
      </c>
      <c r="N19" s="17">
        <v>38.75</v>
      </c>
      <c r="O19" s="17">
        <v>33.101043701171875</v>
      </c>
      <c r="P19" s="17">
        <v>35.5</v>
      </c>
      <c r="Q19" s="17">
        <v>37.25</v>
      </c>
      <c r="R19" s="6">
        <v>41.75</v>
      </c>
      <c r="S19" s="6">
        <v>44.75</v>
      </c>
    </row>
    <row r="20" spans="3:19" x14ac:dyDescent="0.2">
      <c r="C20" s="1">
        <v>37377</v>
      </c>
      <c r="E20" s="17">
        <v>39.5</v>
      </c>
      <c r="F20" s="17">
        <v>39.5</v>
      </c>
      <c r="G20" s="17">
        <v>40.150009155273438</v>
      </c>
      <c r="H20" s="17">
        <v>38.249992370605469</v>
      </c>
      <c r="I20" s="17">
        <v>40.25</v>
      </c>
      <c r="J20" s="17">
        <v>34.596916198730469</v>
      </c>
      <c r="K20" s="17">
        <v>46.5</v>
      </c>
      <c r="L20" s="17">
        <v>55</v>
      </c>
      <c r="M20" s="17">
        <v>40.5</v>
      </c>
      <c r="N20" s="17">
        <v>43.25</v>
      </c>
      <c r="O20" s="17">
        <v>40.499996185302734</v>
      </c>
      <c r="P20" s="17">
        <v>40.75</v>
      </c>
      <c r="Q20" s="17">
        <v>40.5</v>
      </c>
      <c r="R20" s="6">
        <v>49.25</v>
      </c>
      <c r="S20" s="6">
        <v>54.25</v>
      </c>
    </row>
    <row r="21" spans="3:19" x14ac:dyDescent="0.2">
      <c r="C21" s="1">
        <v>37408</v>
      </c>
      <c r="E21" s="17">
        <v>49.75</v>
      </c>
      <c r="F21" s="17">
        <v>49.75</v>
      </c>
      <c r="G21" s="17">
        <v>42.249996185302734</v>
      </c>
      <c r="H21" s="17">
        <v>47.5</v>
      </c>
      <c r="I21" s="17">
        <v>50.25</v>
      </c>
      <c r="J21" s="17">
        <v>46.677303314208984</v>
      </c>
      <c r="K21" s="17">
        <v>54.5</v>
      </c>
      <c r="L21" s="17">
        <v>76</v>
      </c>
      <c r="M21" s="17">
        <v>51.25</v>
      </c>
      <c r="N21" s="17">
        <v>55.75</v>
      </c>
      <c r="O21" s="17">
        <v>52.75</v>
      </c>
      <c r="P21" s="17">
        <v>52</v>
      </c>
      <c r="Q21" s="17">
        <v>51.25</v>
      </c>
      <c r="R21" s="6">
        <v>61.75</v>
      </c>
      <c r="S21" s="6">
        <v>66.75</v>
      </c>
    </row>
    <row r="22" spans="3:19" x14ac:dyDescent="0.2">
      <c r="C22" s="1">
        <v>37438</v>
      </c>
      <c r="E22" s="17">
        <v>69.25</v>
      </c>
      <c r="F22" s="17">
        <v>69.25</v>
      </c>
      <c r="G22" s="17">
        <v>51.999992370605469</v>
      </c>
      <c r="H22" s="17">
        <v>67.5</v>
      </c>
      <c r="I22" s="17">
        <v>70.75</v>
      </c>
      <c r="J22" s="17">
        <v>62</v>
      </c>
      <c r="K22" s="17">
        <v>69.25</v>
      </c>
      <c r="L22" s="17">
        <v>100</v>
      </c>
      <c r="M22" s="17">
        <v>70</v>
      </c>
      <c r="N22" s="17">
        <v>78</v>
      </c>
      <c r="O22" s="17">
        <v>71.5</v>
      </c>
      <c r="P22" s="17">
        <v>71</v>
      </c>
      <c r="Q22" s="17">
        <v>70</v>
      </c>
      <c r="R22" s="6">
        <v>90</v>
      </c>
      <c r="S22" s="6">
        <v>100</v>
      </c>
    </row>
    <row r="23" spans="3:19" x14ac:dyDescent="0.2">
      <c r="C23" s="1">
        <v>37469</v>
      </c>
      <c r="E23" s="17">
        <v>69.25</v>
      </c>
      <c r="F23" s="17">
        <v>69.25</v>
      </c>
      <c r="G23" s="17">
        <v>52</v>
      </c>
      <c r="H23" s="17">
        <v>67.5</v>
      </c>
      <c r="I23" s="17">
        <v>70.75</v>
      </c>
      <c r="J23" s="17">
        <v>62</v>
      </c>
      <c r="K23" s="17">
        <v>69.25</v>
      </c>
      <c r="L23" s="17">
        <v>100</v>
      </c>
      <c r="M23" s="17">
        <v>70</v>
      </c>
      <c r="N23" s="17">
        <v>78</v>
      </c>
      <c r="O23" s="17">
        <v>71.5</v>
      </c>
      <c r="P23" s="17">
        <v>71</v>
      </c>
      <c r="Q23" s="17">
        <v>70</v>
      </c>
      <c r="R23" s="6">
        <v>90</v>
      </c>
      <c r="S23" s="6">
        <v>100</v>
      </c>
    </row>
    <row r="24" spans="3:19" x14ac:dyDescent="0.2">
      <c r="C24" s="1">
        <v>37500</v>
      </c>
      <c r="E24" s="17">
        <v>33.5</v>
      </c>
      <c r="F24" s="17">
        <v>33.5</v>
      </c>
      <c r="G24" s="17">
        <v>37.000003814697266</v>
      </c>
      <c r="H24" s="17">
        <v>33.75</v>
      </c>
      <c r="I24" s="17">
        <v>34.25</v>
      </c>
      <c r="J24" s="17">
        <v>32.171913146972656</v>
      </c>
      <c r="K24" s="17">
        <v>45.25</v>
      </c>
      <c r="L24" s="17">
        <v>57</v>
      </c>
      <c r="M24" s="17">
        <v>35.25</v>
      </c>
      <c r="N24" s="17">
        <v>37</v>
      </c>
      <c r="O24" s="17">
        <v>34.500003814697266</v>
      </c>
      <c r="P24" s="17">
        <v>34.75</v>
      </c>
      <c r="Q24" s="17">
        <v>35.25</v>
      </c>
      <c r="R24" s="6">
        <v>42</v>
      </c>
      <c r="S24" s="6">
        <v>47</v>
      </c>
    </row>
    <row r="25" spans="3:19" x14ac:dyDescent="0.2">
      <c r="C25" s="1">
        <v>37530</v>
      </c>
      <c r="E25" s="17">
        <v>32.40312647819519</v>
      </c>
      <c r="F25" s="17">
        <v>32.40312647819519</v>
      </c>
      <c r="G25" s="17">
        <v>34.300003051757812</v>
      </c>
      <c r="H25" s="17">
        <v>30.634994506835938</v>
      </c>
      <c r="I25" s="17">
        <v>33</v>
      </c>
      <c r="J25" s="17">
        <v>33.649997711181641</v>
      </c>
      <c r="K25" s="17">
        <v>44.75</v>
      </c>
      <c r="L25" s="17">
        <v>56</v>
      </c>
      <c r="M25" s="17">
        <v>34.25</v>
      </c>
      <c r="N25" s="17">
        <v>34.75</v>
      </c>
      <c r="O25" s="17">
        <v>31.654998779296875</v>
      </c>
      <c r="P25" s="17">
        <v>33</v>
      </c>
      <c r="Q25" s="17">
        <v>34.25</v>
      </c>
      <c r="R25" s="6">
        <v>37.75</v>
      </c>
      <c r="S25" s="6">
        <v>40.75</v>
      </c>
    </row>
    <row r="26" spans="3:19" x14ac:dyDescent="0.2">
      <c r="C26" s="1">
        <v>37561</v>
      </c>
      <c r="E26" s="17">
        <v>32.503124952316284</v>
      </c>
      <c r="F26" s="17">
        <v>32.503124952316284</v>
      </c>
      <c r="G26" s="17">
        <v>33.999996185302734</v>
      </c>
      <c r="H26" s="17">
        <v>32.904994964599609</v>
      </c>
      <c r="I26" s="17">
        <v>33</v>
      </c>
      <c r="J26" s="17">
        <v>34.446914672851562</v>
      </c>
      <c r="K26" s="17">
        <v>44.75</v>
      </c>
      <c r="L26" s="17">
        <v>56</v>
      </c>
      <c r="M26" s="17">
        <v>34.25</v>
      </c>
      <c r="N26" s="17">
        <v>34.75</v>
      </c>
      <c r="O26" s="17">
        <v>31.754997253417969</v>
      </c>
      <c r="P26" s="17">
        <v>33</v>
      </c>
      <c r="Q26" s="17">
        <v>34.25</v>
      </c>
      <c r="R26" s="6">
        <v>37.75</v>
      </c>
      <c r="S26" s="6">
        <v>40.75</v>
      </c>
    </row>
    <row r="27" spans="3:19" x14ac:dyDescent="0.2">
      <c r="C27" s="1">
        <v>37591</v>
      </c>
      <c r="E27" s="17">
        <v>32.603123426437378</v>
      </c>
      <c r="F27" s="17">
        <v>32.603123426437378</v>
      </c>
      <c r="G27" s="17">
        <v>33.999996185302734</v>
      </c>
      <c r="H27" s="17">
        <v>33.404994964599609</v>
      </c>
      <c r="I27" s="17">
        <v>33</v>
      </c>
      <c r="J27" s="17">
        <v>35.202301025390625</v>
      </c>
      <c r="K27" s="17">
        <v>44.75</v>
      </c>
      <c r="L27" s="17">
        <v>56</v>
      </c>
      <c r="M27" s="17">
        <v>34.25</v>
      </c>
      <c r="N27" s="17">
        <v>34.75</v>
      </c>
      <c r="O27" s="17">
        <v>31.854995727539063</v>
      </c>
      <c r="P27" s="17">
        <v>33</v>
      </c>
      <c r="Q27" s="17">
        <v>34.25</v>
      </c>
      <c r="R27" s="6">
        <v>37.75</v>
      </c>
      <c r="S27" s="6">
        <v>40.75</v>
      </c>
    </row>
    <row r="28" spans="3:19" x14ac:dyDescent="0.2">
      <c r="C28" s="1">
        <v>37622</v>
      </c>
      <c r="E28" s="17">
        <v>35.781435285295757</v>
      </c>
      <c r="F28" s="17">
        <v>35.781435285295757</v>
      </c>
      <c r="G28" s="17">
        <v>39.969999694824217</v>
      </c>
      <c r="H28" s="17">
        <v>34.20086669921875</v>
      </c>
      <c r="I28" s="17">
        <v>34.754997253417969</v>
      </c>
      <c r="J28" s="17">
        <v>46.678840637207031</v>
      </c>
      <c r="K28" s="17">
        <v>53.5</v>
      </c>
      <c r="L28" s="17">
        <v>65</v>
      </c>
      <c r="M28" s="17">
        <v>39</v>
      </c>
      <c r="N28" s="17">
        <v>38.004997253417969</v>
      </c>
      <c r="O28" s="17">
        <v>34.662864685058594</v>
      </c>
      <c r="P28" s="17">
        <v>35</v>
      </c>
      <c r="Q28" s="17">
        <v>39</v>
      </c>
      <c r="R28" s="6">
        <v>39.504997253417969</v>
      </c>
      <c r="S28" s="6">
        <v>41.004997253417969</v>
      </c>
    </row>
    <row r="29" spans="3:19" x14ac:dyDescent="0.2">
      <c r="C29" s="1">
        <v>37653</v>
      </c>
      <c r="E29" s="17">
        <v>35.181432996477398</v>
      </c>
      <c r="F29" s="17">
        <v>35.181432996477398</v>
      </c>
      <c r="G29" s="17">
        <v>38.819994354248045</v>
      </c>
      <c r="H29" s="17">
        <v>35.352863311767578</v>
      </c>
      <c r="I29" s="17">
        <v>34.750003814697266</v>
      </c>
      <c r="J29" s="17">
        <v>44.178840637207031</v>
      </c>
      <c r="K29" s="17">
        <v>53.5</v>
      </c>
      <c r="L29" s="17">
        <v>65</v>
      </c>
      <c r="M29" s="17">
        <v>39</v>
      </c>
      <c r="N29" s="17">
        <v>38.000003814697266</v>
      </c>
      <c r="O29" s="17">
        <v>34.062862396240234</v>
      </c>
      <c r="P29" s="17">
        <v>35</v>
      </c>
      <c r="Q29" s="17">
        <v>39</v>
      </c>
      <c r="R29" s="6">
        <v>39.500003814697266</v>
      </c>
      <c r="S29" s="6">
        <v>41.000003814697266</v>
      </c>
    </row>
    <row r="30" spans="3:19" x14ac:dyDescent="0.2">
      <c r="C30" s="1">
        <v>37681</v>
      </c>
      <c r="E30" s="17">
        <v>32.895177264546241</v>
      </c>
      <c r="F30" s="17">
        <v>32.895177264546241</v>
      </c>
      <c r="G30" s="17">
        <v>33.84999313354492</v>
      </c>
      <c r="H30" s="17">
        <v>32.368545532226563</v>
      </c>
      <c r="I30" s="17">
        <v>33.5</v>
      </c>
      <c r="J30" s="17">
        <v>39.296916961669922</v>
      </c>
      <c r="K30" s="17">
        <v>42</v>
      </c>
      <c r="L30" s="17">
        <v>52</v>
      </c>
      <c r="M30" s="17">
        <v>35</v>
      </c>
      <c r="N30" s="17">
        <v>36.747505187988281</v>
      </c>
      <c r="O30" s="17">
        <v>32.398544311523438</v>
      </c>
      <c r="P30" s="17">
        <v>30.900001525878906</v>
      </c>
      <c r="Q30" s="17">
        <v>35</v>
      </c>
      <c r="R30" s="6">
        <v>38.247505187988281</v>
      </c>
      <c r="S30" s="6">
        <v>39.747505187988281</v>
      </c>
    </row>
    <row r="31" spans="3:19" x14ac:dyDescent="0.2">
      <c r="C31" s="1">
        <v>37712</v>
      </c>
      <c r="E31" s="17">
        <v>33.095178027485694</v>
      </c>
      <c r="F31" s="17">
        <v>33.095178027485694</v>
      </c>
      <c r="G31" s="17">
        <v>32.449991607666014</v>
      </c>
      <c r="H31" s="17">
        <v>32.618545532226563</v>
      </c>
      <c r="I31" s="17">
        <v>33.5</v>
      </c>
      <c r="J31" s="17">
        <v>36.946914672851563</v>
      </c>
      <c r="K31" s="17">
        <v>42</v>
      </c>
      <c r="L31" s="17">
        <v>52</v>
      </c>
      <c r="M31" s="17">
        <v>34</v>
      </c>
      <c r="N31" s="17">
        <v>36.747501373291016</v>
      </c>
      <c r="O31" s="17">
        <v>32.598545074462891</v>
      </c>
      <c r="P31" s="17">
        <v>30.900001525878906</v>
      </c>
      <c r="Q31" s="17">
        <v>34</v>
      </c>
      <c r="R31" s="6">
        <v>38.247501373291016</v>
      </c>
      <c r="S31" s="6">
        <v>39.747501373291016</v>
      </c>
    </row>
    <row r="32" spans="3:19" x14ac:dyDescent="0.2">
      <c r="C32" s="1">
        <v>37742</v>
      </c>
      <c r="E32" s="17">
        <v>38.753570556640625</v>
      </c>
      <c r="F32" s="17">
        <v>38.753570556640625</v>
      </c>
      <c r="G32" s="17">
        <v>37.400009155273437</v>
      </c>
      <c r="H32" s="17">
        <v>36.503566741943359</v>
      </c>
      <c r="I32" s="17">
        <v>36</v>
      </c>
      <c r="J32" s="17">
        <v>39.896915435791016</v>
      </c>
      <c r="K32" s="17">
        <v>42</v>
      </c>
      <c r="L32" s="17">
        <v>53</v>
      </c>
      <c r="M32" s="17">
        <v>38.5</v>
      </c>
      <c r="N32" s="17">
        <v>40.25</v>
      </c>
      <c r="O32" s="17">
        <v>40.503566741943359</v>
      </c>
      <c r="P32" s="17">
        <v>36.25</v>
      </c>
      <c r="Q32" s="17">
        <v>38.5</v>
      </c>
      <c r="R32" s="6">
        <v>43.25</v>
      </c>
      <c r="S32" s="6">
        <v>45.75</v>
      </c>
    </row>
    <row r="33" spans="3:19" x14ac:dyDescent="0.2">
      <c r="C33" s="1">
        <v>37773</v>
      </c>
      <c r="E33" s="17">
        <v>45.002857208251953</v>
      </c>
      <c r="F33" s="17">
        <v>45.002857208251953</v>
      </c>
      <c r="G33" s="17">
        <v>38.499996185302734</v>
      </c>
      <c r="H33" s="17">
        <v>42.252857208251953</v>
      </c>
      <c r="I33" s="17">
        <v>46.25</v>
      </c>
      <c r="J33" s="17">
        <v>37.732303619384766</v>
      </c>
      <c r="K33" s="17">
        <v>49</v>
      </c>
      <c r="L33" s="17">
        <v>71</v>
      </c>
      <c r="M33" s="17">
        <v>48.5</v>
      </c>
      <c r="N33" s="17">
        <v>50</v>
      </c>
      <c r="O33" s="17">
        <v>47.752857208251953</v>
      </c>
      <c r="P33" s="17">
        <v>47.25</v>
      </c>
      <c r="Q33" s="17">
        <v>48.5</v>
      </c>
      <c r="R33" s="6">
        <v>53</v>
      </c>
      <c r="S33" s="6">
        <v>55.5</v>
      </c>
    </row>
    <row r="34" spans="3:19" x14ac:dyDescent="0.2">
      <c r="C34" s="1">
        <v>37803</v>
      </c>
      <c r="E34" s="17">
        <v>58.747146606445313</v>
      </c>
      <c r="F34" s="17">
        <v>58.747146606445313</v>
      </c>
      <c r="G34" s="17">
        <v>47.749992370605469</v>
      </c>
      <c r="H34" s="17">
        <v>57.497146606445313</v>
      </c>
      <c r="I34" s="17">
        <v>61.5</v>
      </c>
      <c r="J34" s="17">
        <v>48.375</v>
      </c>
      <c r="K34" s="17">
        <v>61.75</v>
      </c>
      <c r="L34" s="17">
        <v>97</v>
      </c>
      <c r="M34" s="17">
        <v>63.5</v>
      </c>
      <c r="N34" s="17">
        <v>69</v>
      </c>
      <c r="O34" s="17">
        <v>61.997146606445313</v>
      </c>
      <c r="P34" s="17">
        <v>64.75</v>
      </c>
      <c r="Q34" s="17">
        <v>63.5</v>
      </c>
      <c r="R34" s="6">
        <v>75</v>
      </c>
      <c r="S34" s="6">
        <v>80</v>
      </c>
    </row>
    <row r="35" spans="3:19" x14ac:dyDescent="0.2">
      <c r="C35" s="1">
        <v>37834</v>
      </c>
      <c r="E35" s="17">
        <v>58.747146606445313</v>
      </c>
      <c r="F35" s="17">
        <v>58.747146606445313</v>
      </c>
      <c r="G35" s="17">
        <v>47.75</v>
      </c>
      <c r="H35" s="17">
        <v>57.497146606445313</v>
      </c>
      <c r="I35" s="17">
        <v>61.5</v>
      </c>
      <c r="J35" s="17">
        <v>48.375</v>
      </c>
      <c r="K35" s="17">
        <v>61.75</v>
      </c>
      <c r="L35" s="17">
        <v>97.49</v>
      </c>
      <c r="M35" s="17">
        <v>63.5</v>
      </c>
      <c r="N35" s="17">
        <v>69</v>
      </c>
      <c r="O35" s="17">
        <v>61.997146606445313</v>
      </c>
      <c r="P35" s="17">
        <v>64.75</v>
      </c>
      <c r="Q35" s="17">
        <v>63.5</v>
      </c>
      <c r="R35" s="6">
        <v>75</v>
      </c>
      <c r="S35" s="6">
        <v>80</v>
      </c>
    </row>
    <row r="36" spans="3:19" x14ac:dyDescent="0.2">
      <c r="C36" s="1">
        <v>37865</v>
      </c>
      <c r="E36" s="17">
        <v>32.752140045166016</v>
      </c>
      <c r="F36" s="17">
        <v>32.752140045166016</v>
      </c>
      <c r="G36" s="17">
        <v>34.250003814697266</v>
      </c>
      <c r="H36" s="17">
        <v>30.752143859863281</v>
      </c>
      <c r="I36" s="17">
        <v>32.5</v>
      </c>
      <c r="J36" s="17">
        <v>33.121913909912109</v>
      </c>
      <c r="K36" s="17">
        <v>39.75</v>
      </c>
      <c r="L36" s="17">
        <v>54.49</v>
      </c>
      <c r="M36" s="17">
        <v>34.5</v>
      </c>
      <c r="N36" s="17">
        <v>34</v>
      </c>
      <c r="O36" s="17">
        <v>35.252143859863281</v>
      </c>
      <c r="P36" s="17">
        <v>30.25</v>
      </c>
      <c r="Q36" s="17">
        <v>34.5</v>
      </c>
      <c r="R36" s="6">
        <v>36.5</v>
      </c>
      <c r="S36" s="6">
        <v>39</v>
      </c>
    </row>
    <row r="37" spans="3:19" x14ac:dyDescent="0.2">
      <c r="C37" s="1">
        <v>37895</v>
      </c>
      <c r="E37" s="17">
        <v>31.652062177658081</v>
      </c>
      <c r="F37" s="17">
        <v>31.652062177658081</v>
      </c>
      <c r="G37" s="17">
        <v>31.550003051757813</v>
      </c>
      <c r="H37" s="17">
        <v>28.843929290771484</v>
      </c>
      <c r="I37" s="17">
        <v>31.75</v>
      </c>
      <c r="J37" s="17">
        <v>38.904998779296875</v>
      </c>
      <c r="K37" s="17">
        <v>40.5</v>
      </c>
      <c r="L37" s="17">
        <v>53.49</v>
      </c>
      <c r="M37" s="17">
        <v>33</v>
      </c>
      <c r="N37" s="17">
        <v>32.25</v>
      </c>
      <c r="O37" s="17">
        <v>31.653934478759766</v>
      </c>
      <c r="P37" s="17">
        <v>29.75</v>
      </c>
      <c r="Q37" s="17">
        <v>33</v>
      </c>
      <c r="R37" s="6">
        <v>33.75</v>
      </c>
      <c r="S37" s="6">
        <v>35.25</v>
      </c>
    </row>
    <row r="38" spans="3:19" x14ac:dyDescent="0.2">
      <c r="C38" s="1">
        <v>37926</v>
      </c>
      <c r="E38" s="17">
        <v>31.752060651779175</v>
      </c>
      <c r="F38" s="17">
        <v>31.752060651779175</v>
      </c>
      <c r="G38" s="17">
        <v>31.249996185302734</v>
      </c>
      <c r="H38" s="17">
        <v>32.343929290771484</v>
      </c>
      <c r="I38" s="17">
        <v>31.25</v>
      </c>
      <c r="J38" s="17">
        <v>39.701915740966797</v>
      </c>
      <c r="K38" s="17">
        <v>40.5</v>
      </c>
      <c r="L38" s="17">
        <v>53.49</v>
      </c>
      <c r="M38" s="17">
        <v>33</v>
      </c>
      <c r="N38" s="17">
        <v>32.25</v>
      </c>
      <c r="O38" s="17">
        <v>31.753932952880859</v>
      </c>
      <c r="P38" s="17">
        <v>29.75</v>
      </c>
      <c r="Q38" s="17">
        <v>33</v>
      </c>
      <c r="R38" s="6">
        <v>33.75</v>
      </c>
      <c r="S38" s="6">
        <v>35.25</v>
      </c>
    </row>
    <row r="39" spans="3:19" x14ac:dyDescent="0.2">
      <c r="C39" s="1">
        <v>37956</v>
      </c>
      <c r="E39" s="17">
        <v>31.852059125900269</v>
      </c>
      <c r="F39" s="17">
        <v>31.852059125900269</v>
      </c>
      <c r="G39" s="17">
        <v>32.249996185302734</v>
      </c>
      <c r="H39" s="17">
        <v>32.843929290771484</v>
      </c>
      <c r="I39" s="17">
        <v>31.5</v>
      </c>
      <c r="J39" s="17">
        <v>40.457302093505859</v>
      </c>
      <c r="K39" s="17">
        <v>40.5</v>
      </c>
      <c r="L39" s="17">
        <v>53.49</v>
      </c>
      <c r="M39" s="17">
        <v>33</v>
      </c>
      <c r="N39" s="17">
        <v>32.25</v>
      </c>
      <c r="O39" s="17">
        <v>31.853931427001953</v>
      </c>
      <c r="P39" s="17">
        <v>29.75</v>
      </c>
      <c r="Q39" s="17">
        <v>33</v>
      </c>
      <c r="R39" s="6">
        <v>33.75</v>
      </c>
      <c r="S39" s="6">
        <v>35.25</v>
      </c>
    </row>
    <row r="40" spans="3:19" x14ac:dyDescent="0.2">
      <c r="C40" s="1">
        <v>37987</v>
      </c>
      <c r="E40" s="17">
        <v>38.281435285295757</v>
      </c>
      <c r="F40" s="17">
        <v>38.281435285295757</v>
      </c>
      <c r="G40" s="17">
        <v>38.469999694824217</v>
      </c>
      <c r="H40" s="17">
        <v>38.730865478515625</v>
      </c>
      <c r="I40" s="17">
        <v>35.254997253417969</v>
      </c>
      <c r="J40" s="17">
        <v>48.298839569091797</v>
      </c>
      <c r="K40" s="17">
        <v>51.1</v>
      </c>
      <c r="L40" s="17">
        <v>65.05</v>
      </c>
      <c r="M40" s="17">
        <v>38.25</v>
      </c>
      <c r="N40" s="17">
        <v>35.004997253417969</v>
      </c>
      <c r="O40" s="17">
        <v>37.782863616943359</v>
      </c>
      <c r="P40" s="17">
        <v>36.75</v>
      </c>
      <c r="Q40" s="17">
        <v>38.25</v>
      </c>
      <c r="R40" s="6">
        <v>36.504997253417969</v>
      </c>
      <c r="S40" s="6">
        <v>38.004997253417969</v>
      </c>
    </row>
    <row r="41" spans="3:19" x14ac:dyDescent="0.2">
      <c r="C41" s="1">
        <v>38018</v>
      </c>
      <c r="E41" s="17">
        <v>37.431432996477398</v>
      </c>
      <c r="F41" s="17">
        <v>37.431432996477398</v>
      </c>
      <c r="G41" s="17">
        <v>37.319994354248045</v>
      </c>
      <c r="H41" s="17">
        <v>39.382862091064453</v>
      </c>
      <c r="I41" s="17">
        <v>35.000003814697266</v>
      </c>
      <c r="J41" s="17">
        <v>46.298839569091797</v>
      </c>
      <c r="K41" s="17">
        <v>51.1</v>
      </c>
      <c r="L41" s="17">
        <v>65.05</v>
      </c>
      <c r="M41" s="17">
        <v>38.25</v>
      </c>
      <c r="N41" s="17">
        <v>35.000003814697266</v>
      </c>
      <c r="O41" s="17">
        <v>36.932861328125</v>
      </c>
      <c r="P41" s="17">
        <v>35.75</v>
      </c>
      <c r="Q41" s="17">
        <v>38.25</v>
      </c>
      <c r="R41" s="6">
        <v>36.500003814697266</v>
      </c>
      <c r="S41" s="6">
        <v>38.000003814697266</v>
      </c>
    </row>
    <row r="42" spans="3:19" x14ac:dyDescent="0.2">
      <c r="C42" s="1">
        <v>38047</v>
      </c>
      <c r="E42" s="17">
        <v>32.395177264546241</v>
      </c>
      <c r="F42" s="17">
        <v>32.395177264546241</v>
      </c>
      <c r="G42" s="17">
        <v>33.34999313354492</v>
      </c>
      <c r="H42" s="17">
        <v>32.348545074462891</v>
      </c>
      <c r="I42" s="17">
        <v>30.5</v>
      </c>
      <c r="J42" s="17">
        <v>40.046916961669922</v>
      </c>
      <c r="K42" s="17">
        <v>40.200000000000003</v>
      </c>
      <c r="L42" s="17">
        <v>52.05</v>
      </c>
      <c r="M42" s="17">
        <v>34.25</v>
      </c>
      <c r="N42" s="17">
        <v>33</v>
      </c>
      <c r="O42" s="17">
        <v>31.648544311523437</v>
      </c>
      <c r="P42" s="17">
        <v>29.650001525878906</v>
      </c>
      <c r="Q42" s="17">
        <v>34.25</v>
      </c>
      <c r="R42" s="6">
        <v>34.5</v>
      </c>
      <c r="S42" s="6">
        <v>36</v>
      </c>
    </row>
    <row r="43" spans="3:19" x14ac:dyDescent="0.2">
      <c r="C43" s="1">
        <v>38078</v>
      </c>
      <c r="E43" s="17">
        <v>32.845178027485694</v>
      </c>
      <c r="F43" s="17">
        <v>32.845178027485694</v>
      </c>
      <c r="G43" s="17">
        <v>31.949991607666014</v>
      </c>
      <c r="H43" s="17">
        <v>32.348545074462891</v>
      </c>
      <c r="I43" s="17">
        <v>29.75</v>
      </c>
      <c r="J43" s="17">
        <v>37.946914672851563</v>
      </c>
      <c r="K43" s="17">
        <v>40.200000000000003</v>
      </c>
      <c r="L43" s="17">
        <v>52.05</v>
      </c>
      <c r="M43" s="17">
        <v>33.25</v>
      </c>
      <c r="N43" s="17">
        <v>33</v>
      </c>
      <c r="O43" s="17">
        <v>32.098545074462891</v>
      </c>
      <c r="P43" s="17">
        <v>30.100002288818359</v>
      </c>
      <c r="Q43" s="17">
        <v>33.25</v>
      </c>
      <c r="R43" s="6">
        <v>34.5</v>
      </c>
      <c r="S43" s="6">
        <v>36</v>
      </c>
    </row>
    <row r="44" spans="3:19" x14ac:dyDescent="0.2">
      <c r="C44" s="1">
        <v>38108</v>
      </c>
      <c r="E44" s="17">
        <v>39.003570556640625</v>
      </c>
      <c r="F44" s="17">
        <v>39.003570556640625</v>
      </c>
      <c r="G44" s="17">
        <v>35.900009155273438</v>
      </c>
      <c r="H44" s="17">
        <v>33.053565979003906</v>
      </c>
      <c r="I44" s="17">
        <v>32.5</v>
      </c>
      <c r="J44" s="17">
        <v>39.956916809082031</v>
      </c>
      <c r="K44" s="17">
        <v>40.200000000000003</v>
      </c>
      <c r="L44" s="17">
        <v>53.05</v>
      </c>
      <c r="M44" s="17">
        <v>38.25</v>
      </c>
      <c r="N44" s="17">
        <v>38.5</v>
      </c>
      <c r="O44" s="17">
        <v>40.766067504882813</v>
      </c>
      <c r="P44" s="17">
        <v>36</v>
      </c>
      <c r="Q44" s="17">
        <v>38.25</v>
      </c>
      <c r="R44" s="6">
        <v>41.5</v>
      </c>
      <c r="S44" s="6">
        <v>44</v>
      </c>
    </row>
    <row r="45" spans="3:19" x14ac:dyDescent="0.2">
      <c r="C45" s="1">
        <v>38139</v>
      </c>
      <c r="E45" s="17">
        <v>42.252857208251953</v>
      </c>
      <c r="F45" s="17">
        <v>42.252857208251953</v>
      </c>
      <c r="G45" s="17">
        <v>35.999996185302734</v>
      </c>
      <c r="H45" s="17">
        <v>35.002857208251953</v>
      </c>
      <c r="I45" s="17">
        <v>43.75</v>
      </c>
      <c r="J45" s="17">
        <v>34.082302093505859</v>
      </c>
      <c r="K45" s="17">
        <v>47.1</v>
      </c>
      <c r="L45" s="17">
        <v>71.05</v>
      </c>
      <c r="M45" s="17">
        <v>49.25</v>
      </c>
      <c r="N45" s="17">
        <v>47</v>
      </c>
      <c r="O45" s="17">
        <v>46.352855682373047</v>
      </c>
      <c r="P45" s="17">
        <v>43.75</v>
      </c>
      <c r="Q45" s="17">
        <v>49.25</v>
      </c>
      <c r="R45" s="6">
        <v>50</v>
      </c>
      <c r="S45" s="6">
        <v>52.5</v>
      </c>
    </row>
    <row r="46" spans="3:19" x14ac:dyDescent="0.2">
      <c r="C46" s="1">
        <v>38169</v>
      </c>
      <c r="E46" s="17">
        <v>53.847146606445314</v>
      </c>
      <c r="F46" s="17">
        <v>53.847146606445314</v>
      </c>
      <c r="G46" s="17">
        <v>46.249992370605469</v>
      </c>
      <c r="H46" s="17">
        <v>46.997146606445313</v>
      </c>
      <c r="I46" s="17">
        <v>58.875</v>
      </c>
      <c r="J46" s="17">
        <v>41.375</v>
      </c>
      <c r="K46" s="17">
        <v>58.85</v>
      </c>
      <c r="L46" s="17">
        <v>97.05</v>
      </c>
      <c r="M46" s="17">
        <v>61.75</v>
      </c>
      <c r="N46" s="17">
        <v>65.995002746582031</v>
      </c>
      <c r="O46" s="17">
        <v>55.397148132324219</v>
      </c>
      <c r="P46" s="17">
        <v>60.75</v>
      </c>
      <c r="Q46" s="17">
        <v>61.75</v>
      </c>
      <c r="R46" s="6">
        <v>71.995002746582031</v>
      </c>
      <c r="S46" s="6">
        <v>76.995002746582031</v>
      </c>
    </row>
    <row r="47" spans="3:19" x14ac:dyDescent="0.2">
      <c r="C47" s="1">
        <v>38200</v>
      </c>
      <c r="E47" s="17">
        <v>53.847146606445314</v>
      </c>
      <c r="F47" s="17">
        <v>53.847146606445314</v>
      </c>
      <c r="G47" s="17">
        <v>46.25</v>
      </c>
      <c r="H47" s="17">
        <v>46.997146606445313</v>
      </c>
      <c r="I47" s="17">
        <v>58.75</v>
      </c>
      <c r="J47" s="17">
        <v>41.375</v>
      </c>
      <c r="K47" s="17">
        <v>58.85</v>
      </c>
      <c r="L47" s="17">
        <v>97.54</v>
      </c>
      <c r="M47" s="17">
        <v>61.75</v>
      </c>
      <c r="N47" s="17">
        <v>66</v>
      </c>
      <c r="O47" s="17">
        <v>55.397148132324219</v>
      </c>
      <c r="P47" s="17">
        <v>60.75</v>
      </c>
      <c r="Q47" s="17">
        <v>61.75</v>
      </c>
      <c r="R47" s="6">
        <v>72</v>
      </c>
      <c r="S47" s="6">
        <v>77</v>
      </c>
    </row>
    <row r="48" spans="3:19" x14ac:dyDescent="0.2">
      <c r="C48" s="1">
        <v>38231</v>
      </c>
      <c r="E48" s="17">
        <v>33.402140045166014</v>
      </c>
      <c r="F48" s="17">
        <v>33.402140045166014</v>
      </c>
      <c r="G48" s="17">
        <v>33.750003814697266</v>
      </c>
      <c r="H48" s="17">
        <v>27.602143859863283</v>
      </c>
      <c r="I48" s="17">
        <v>34</v>
      </c>
      <c r="J48" s="17">
        <v>33.461913909912113</v>
      </c>
      <c r="K48" s="17">
        <v>37.85</v>
      </c>
      <c r="L48" s="17">
        <v>54.54</v>
      </c>
      <c r="M48" s="17">
        <v>33.75</v>
      </c>
      <c r="N48" s="17">
        <v>33.75</v>
      </c>
      <c r="O48" s="17">
        <v>35.764644622802734</v>
      </c>
      <c r="P48" s="17">
        <v>30.400001525878906</v>
      </c>
      <c r="Q48" s="17">
        <v>33.75</v>
      </c>
      <c r="R48" s="6">
        <v>36.25</v>
      </c>
      <c r="S48" s="6">
        <v>38.75</v>
      </c>
    </row>
    <row r="49" spans="3:19" x14ac:dyDescent="0.2">
      <c r="C49" s="1">
        <v>38261</v>
      </c>
      <c r="E49" s="17">
        <v>32.402062177658081</v>
      </c>
      <c r="F49" s="17">
        <v>32.402062177658081</v>
      </c>
      <c r="G49" s="17">
        <v>30.800003051757813</v>
      </c>
      <c r="H49" s="17">
        <v>31.593929290771484</v>
      </c>
      <c r="I49" s="17">
        <v>32.375</v>
      </c>
      <c r="J49" s="17">
        <v>39.154998779296875</v>
      </c>
      <c r="K49" s="17">
        <v>39.1</v>
      </c>
      <c r="L49" s="17">
        <v>53.54</v>
      </c>
      <c r="M49" s="17">
        <v>32.75</v>
      </c>
      <c r="N49" s="17">
        <v>32.004998931884764</v>
      </c>
      <c r="O49" s="17">
        <v>32.153934478759766</v>
      </c>
      <c r="P49" s="17">
        <v>29.5</v>
      </c>
      <c r="Q49" s="17">
        <v>32.75</v>
      </c>
      <c r="R49" s="6">
        <v>33.504998931884764</v>
      </c>
      <c r="S49" s="6">
        <v>35.004998931884764</v>
      </c>
    </row>
    <row r="50" spans="3:19" x14ac:dyDescent="0.2">
      <c r="C50" s="1">
        <v>38292</v>
      </c>
      <c r="E50" s="17">
        <v>32.502060651779175</v>
      </c>
      <c r="F50" s="17">
        <v>32.502060651779175</v>
      </c>
      <c r="G50" s="17">
        <v>30.499996185302734</v>
      </c>
      <c r="H50" s="17">
        <v>35.093929290771484</v>
      </c>
      <c r="I50" s="17">
        <v>32.25</v>
      </c>
      <c r="J50" s="17">
        <v>39.951915740966797</v>
      </c>
      <c r="K50" s="17">
        <v>39.1</v>
      </c>
      <c r="L50" s="17">
        <v>53.54</v>
      </c>
      <c r="M50" s="17">
        <v>32.75</v>
      </c>
      <c r="N50" s="17">
        <v>32</v>
      </c>
      <c r="O50" s="17">
        <v>32.253932952880859</v>
      </c>
      <c r="P50" s="17">
        <v>29.5</v>
      </c>
      <c r="Q50" s="17">
        <v>32.75</v>
      </c>
      <c r="R50" s="6">
        <v>33.5</v>
      </c>
      <c r="S50" s="6">
        <v>35</v>
      </c>
    </row>
    <row r="51" spans="3:19" x14ac:dyDescent="0.2">
      <c r="C51" s="1">
        <v>38322</v>
      </c>
      <c r="E51" s="17">
        <v>32.602059125900269</v>
      </c>
      <c r="F51" s="17">
        <v>32.602059125900269</v>
      </c>
      <c r="G51" s="17">
        <v>31.499996185302734</v>
      </c>
      <c r="H51" s="17">
        <v>35.593929290771484</v>
      </c>
      <c r="I51" s="17">
        <v>32.125</v>
      </c>
      <c r="J51" s="17">
        <v>40.707302093505859</v>
      </c>
      <c r="K51" s="17">
        <v>39.1</v>
      </c>
      <c r="L51" s="17">
        <v>53.54</v>
      </c>
      <c r="M51" s="17">
        <v>32.75</v>
      </c>
      <c r="N51" s="17">
        <v>32.004998931884764</v>
      </c>
      <c r="O51" s="17">
        <v>32.353931427001953</v>
      </c>
      <c r="P51" s="17">
        <v>29.5</v>
      </c>
      <c r="Q51" s="17">
        <v>32.75</v>
      </c>
      <c r="R51" s="6">
        <v>33.504998931884764</v>
      </c>
      <c r="S51" s="6">
        <v>35.004998931884764</v>
      </c>
    </row>
    <row r="52" spans="3:19" x14ac:dyDescent="0.2">
      <c r="C52" s="1">
        <v>38353</v>
      </c>
      <c r="E52" s="17">
        <v>38.381435285295758</v>
      </c>
      <c r="F52" s="17">
        <v>38.381435285295758</v>
      </c>
      <c r="G52" s="17">
        <v>37.969999694824217</v>
      </c>
      <c r="H52" s="17">
        <v>39.230865478515625</v>
      </c>
      <c r="I52" s="17">
        <v>38.754997253417969</v>
      </c>
      <c r="J52" s="17">
        <v>48.798839569091797</v>
      </c>
      <c r="K52" s="17">
        <v>50.6</v>
      </c>
      <c r="L52" s="17">
        <v>65.05</v>
      </c>
      <c r="M52" s="17">
        <v>38</v>
      </c>
      <c r="N52" s="17">
        <v>40.600717163085939</v>
      </c>
      <c r="O52" s="17">
        <v>37.882863616943361</v>
      </c>
      <c r="P52" s="17">
        <v>35.150001525878906</v>
      </c>
      <c r="Q52" s="17">
        <v>38</v>
      </c>
      <c r="R52" s="6">
        <v>42.100717163085939</v>
      </c>
      <c r="S52" s="6">
        <v>43.600717163085939</v>
      </c>
    </row>
    <row r="53" spans="3:19" x14ac:dyDescent="0.2">
      <c r="C53" s="1">
        <v>38384</v>
      </c>
      <c r="E53" s="17">
        <v>38.031432996477399</v>
      </c>
      <c r="F53" s="17">
        <v>38.031432996477399</v>
      </c>
      <c r="G53" s="17">
        <v>36.819994354248045</v>
      </c>
      <c r="H53" s="17">
        <v>39.882862091064453</v>
      </c>
      <c r="I53" s="17">
        <v>38.687862396240234</v>
      </c>
      <c r="J53" s="17">
        <v>46.798839569091797</v>
      </c>
      <c r="K53" s="17">
        <v>50.6</v>
      </c>
      <c r="L53" s="17">
        <v>65.05</v>
      </c>
      <c r="M53" s="17">
        <v>38</v>
      </c>
      <c r="N53" s="17">
        <v>40.845723724365236</v>
      </c>
      <c r="O53" s="17">
        <v>37.532861328125001</v>
      </c>
      <c r="P53" s="17">
        <v>39.437862396240234</v>
      </c>
      <c r="Q53" s="17">
        <v>38</v>
      </c>
      <c r="R53" s="6">
        <v>42.345723724365236</v>
      </c>
      <c r="S53" s="6">
        <v>43.845723724365236</v>
      </c>
    </row>
    <row r="54" spans="3:19" x14ac:dyDescent="0.2">
      <c r="C54" s="1">
        <v>38412</v>
      </c>
      <c r="E54" s="17">
        <v>32.995177264546243</v>
      </c>
      <c r="F54" s="17">
        <v>32.995177264546243</v>
      </c>
      <c r="G54" s="17">
        <v>33.34999313354492</v>
      </c>
      <c r="H54" s="17">
        <v>32.848545074462891</v>
      </c>
      <c r="I54" s="17">
        <v>32.348499298095703</v>
      </c>
      <c r="J54" s="17">
        <v>40.296916961669922</v>
      </c>
      <c r="K54" s="17">
        <v>39.700000000000003</v>
      </c>
      <c r="L54" s="17">
        <v>52.05</v>
      </c>
      <c r="M54" s="17">
        <v>34</v>
      </c>
      <c r="N54" s="17">
        <v>36.597505187988283</v>
      </c>
      <c r="O54" s="17">
        <v>32.248544311523439</v>
      </c>
      <c r="P54" s="17">
        <v>30.848499298095703</v>
      </c>
      <c r="Q54" s="17">
        <v>34</v>
      </c>
      <c r="R54" s="6">
        <v>38.097505187988283</v>
      </c>
      <c r="S54" s="6">
        <v>39.597505187988283</v>
      </c>
    </row>
    <row r="55" spans="3:19" x14ac:dyDescent="0.2">
      <c r="C55" s="1">
        <v>38443</v>
      </c>
      <c r="E55" s="17">
        <v>33.445178027485696</v>
      </c>
      <c r="F55" s="17">
        <v>33.445178027485696</v>
      </c>
      <c r="G55" s="17">
        <v>31.949991607666014</v>
      </c>
      <c r="H55" s="17">
        <v>32.848545074462891</v>
      </c>
      <c r="I55" s="17">
        <v>32.448543548583984</v>
      </c>
      <c r="J55" s="17">
        <v>38.196914672851562</v>
      </c>
      <c r="K55" s="17">
        <v>39.700000000000003</v>
      </c>
      <c r="L55" s="17">
        <v>52.05</v>
      </c>
      <c r="M55" s="17">
        <v>33.5</v>
      </c>
      <c r="N55" s="17">
        <v>36.847501373291017</v>
      </c>
      <c r="O55" s="17">
        <v>32.698545074462892</v>
      </c>
      <c r="P55" s="17">
        <v>32.048545837402344</v>
      </c>
      <c r="Q55" s="17">
        <v>33.5</v>
      </c>
      <c r="R55" s="6">
        <v>38.347501373291017</v>
      </c>
      <c r="S55" s="6">
        <v>39.847501373291017</v>
      </c>
    </row>
    <row r="56" spans="3:19" x14ac:dyDescent="0.2">
      <c r="C56" s="1">
        <v>38473</v>
      </c>
      <c r="E56" s="17">
        <v>39.603570556640626</v>
      </c>
      <c r="F56" s="17">
        <v>39.603570556640626</v>
      </c>
      <c r="G56" s="17">
        <v>35.400009155273438</v>
      </c>
      <c r="H56" s="17">
        <v>33.553565979003906</v>
      </c>
      <c r="I56" s="17">
        <v>33.853565216064453</v>
      </c>
      <c r="J56" s="17">
        <v>40.466916809082029</v>
      </c>
      <c r="K56" s="17">
        <v>39.700000000000003</v>
      </c>
      <c r="L56" s="17">
        <v>53.05</v>
      </c>
      <c r="M56" s="17">
        <v>38</v>
      </c>
      <c r="N56" s="17">
        <v>41.853570556640626</v>
      </c>
      <c r="O56" s="17">
        <v>41.328565216064455</v>
      </c>
      <c r="P56" s="17">
        <v>33.453567504882812</v>
      </c>
      <c r="Q56" s="17">
        <v>38</v>
      </c>
      <c r="R56" s="6">
        <v>44.853570556640626</v>
      </c>
      <c r="S56" s="6">
        <v>47.353570556640626</v>
      </c>
    </row>
    <row r="57" spans="3:19" x14ac:dyDescent="0.2">
      <c r="C57" s="1">
        <v>38504</v>
      </c>
      <c r="E57" s="17">
        <v>39.352857208251955</v>
      </c>
      <c r="F57" s="17">
        <v>39.352857208251955</v>
      </c>
      <c r="G57" s="17">
        <v>35.499996185302734</v>
      </c>
      <c r="H57" s="17">
        <v>33.002857208251953</v>
      </c>
      <c r="I57" s="17">
        <v>39.352855682373047</v>
      </c>
      <c r="J57" s="17">
        <v>32.197302093505861</v>
      </c>
      <c r="K57" s="17">
        <v>46.6</v>
      </c>
      <c r="L57" s="17">
        <v>71.05</v>
      </c>
      <c r="M57" s="17">
        <v>49</v>
      </c>
      <c r="N57" s="17">
        <v>45.352857208251955</v>
      </c>
      <c r="O57" s="17">
        <v>44.590356445312501</v>
      </c>
      <c r="P57" s="17">
        <v>39.452857971191406</v>
      </c>
      <c r="Q57" s="17">
        <v>49</v>
      </c>
      <c r="R57" s="6">
        <v>48.352857208251955</v>
      </c>
      <c r="S57" s="6">
        <v>50.852857208251955</v>
      </c>
    </row>
    <row r="58" spans="3:19" x14ac:dyDescent="0.2">
      <c r="C58" s="1">
        <v>38534</v>
      </c>
      <c r="E58" s="17">
        <v>51.447146606445315</v>
      </c>
      <c r="F58" s="17">
        <v>51.447146606445315</v>
      </c>
      <c r="G58" s="17">
        <v>46.249992370605469</v>
      </c>
      <c r="H58" s="17">
        <v>43.997146606445312</v>
      </c>
      <c r="I58" s="17">
        <v>56.122146606445313</v>
      </c>
      <c r="J58" s="17">
        <v>39.695</v>
      </c>
      <c r="K58" s="17">
        <v>58.35</v>
      </c>
      <c r="L58" s="17">
        <v>97.05</v>
      </c>
      <c r="M58" s="17">
        <v>63</v>
      </c>
      <c r="N58" s="17">
        <v>61.447146606445315</v>
      </c>
      <c r="O58" s="17">
        <v>54.872149658203128</v>
      </c>
      <c r="P58" s="17">
        <v>58.597145080566406</v>
      </c>
      <c r="Q58" s="17">
        <v>63</v>
      </c>
      <c r="R58" s="6">
        <v>67.447146606445315</v>
      </c>
      <c r="S58" s="6">
        <v>72.447146606445315</v>
      </c>
    </row>
    <row r="59" spans="3:19" x14ac:dyDescent="0.2">
      <c r="C59" s="1">
        <v>38565</v>
      </c>
      <c r="E59" s="17">
        <v>51.447146606445315</v>
      </c>
      <c r="F59" s="17">
        <v>51.447146606445315</v>
      </c>
      <c r="G59" s="17">
        <v>46.25</v>
      </c>
      <c r="H59" s="17">
        <v>43.997146606445312</v>
      </c>
      <c r="I59" s="17">
        <v>55.997146606445313</v>
      </c>
      <c r="J59" s="17">
        <v>39.695</v>
      </c>
      <c r="K59" s="17">
        <v>58.35</v>
      </c>
      <c r="L59" s="17">
        <v>97.54</v>
      </c>
      <c r="M59" s="17">
        <v>63</v>
      </c>
      <c r="N59" s="17">
        <v>61.447146606445315</v>
      </c>
      <c r="O59" s="17">
        <v>52.372149658203128</v>
      </c>
      <c r="P59" s="17">
        <v>58.847145080566406</v>
      </c>
      <c r="Q59" s="17">
        <v>63</v>
      </c>
      <c r="R59" s="6">
        <v>67.447146606445315</v>
      </c>
      <c r="S59" s="6">
        <v>72.447146606445315</v>
      </c>
    </row>
    <row r="60" spans="3:19" x14ac:dyDescent="0.2">
      <c r="C60" s="1">
        <v>38596</v>
      </c>
      <c r="E60" s="17">
        <v>34.002140045166016</v>
      </c>
      <c r="F60" s="17">
        <v>34.002140045166016</v>
      </c>
      <c r="G60" s="17">
        <v>33.250003814697266</v>
      </c>
      <c r="H60" s="17">
        <v>28.102143859863283</v>
      </c>
      <c r="I60" s="17">
        <v>33.502143859863281</v>
      </c>
      <c r="J60" s="17">
        <v>33.971913909912111</v>
      </c>
      <c r="K60" s="17">
        <v>37.35</v>
      </c>
      <c r="L60" s="17">
        <v>54.54</v>
      </c>
      <c r="M60" s="17">
        <v>33.5</v>
      </c>
      <c r="N60" s="17">
        <v>37.002140045166016</v>
      </c>
      <c r="O60" s="17">
        <v>33.827144622802734</v>
      </c>
      <c r="P60" s="17">
        <v>32.352142333984375</v>
      </c>
      <c r="Q60" s="17">
        <v>33.5</v>
      </c>
      <c r="R60" s="6">
        <v>39.502140045166016</v>
      </c>
      <c r="S60" s="6">
        <v>42.002140045166016</v>
      </c>
    </row>
    <row r="61" spans="3:19" x14ac:dyDescent="0.2">
      <c r="C61" s="1">
        <v>38626</v>
      </c>
      <c r="E61" s="17">
        <v>33.002062177658082</v>
      </c>
      <c r="F61" s="17">
        <v>33.002062177658082</v>
      </c>
      <c r="G61" s="17">
        <v>30.300003051757812</v>
      </c>
      <c r="H61" s="17">
        <v>32.093929290771484</v>
      </c>
      <c r="I61" s="17">
        <v>32.378932952880859</v>
      </c>
      <c r="J61" s="17">
        <v>39.404998779296875</v>
      </c>
      <c r="K61" s="17">
        <v>38.6</v>
      </c>
      <c r="L61" s="17">
        <v>53.54</v>
      </c>
      <c r="M61" s="17">
        <v>32.75</v>
      </c>
      <c r="N61" s="17">
        <v>34.848935699462892</v>
      </c>
      <c r="O61" s="17">
        <v>32.753934478759767</v>
      </c>
      <c r="P61" s="17">
        <v>30.103935241699219</v>
      </c>
      <c r="Q61" s="17">
        <v>32.75</v>
      </c>
      <c r="R61" s="6">
        <v>36.348935699462892</v>
      </c>
      <c r="S61" s="6">
        <v>37.848935699462892</v>
      </c>
    </row>
    <row r="62" spans="3:19" x14ac:dyDescent="0.2">
      <c r="C62" s="1">
        <v>38657</v>
      </c>
      <c r="E62" s="17">
        <v>33.102060651779176</v>
      </c>
      <c r="F62" s="17">
        <v>33.102060651779176</v>
      </c>
      <c r="G62" s="17">
        <v>29.999996185302734</v>
      </c>
      <c r="H62" s="17">
        <v>35.593929290771484</v>
      </c>
      <c r="I62" s="17">
        <v>32.353931427001953</v>
      </c>
      <c r="J62" s="17">
        <v>40.201915740966797</v>
      </c>
      <c r="K62" s="17">
        <v>38.6</v>
      </c>
      <c r="L62" s="17">
        <v>53.54</v>
      </c>
      <c r="M62" s="17">
        <v>32.75</v>
      </c>
      <c r="N62" s="17">
        <v>34.848935699462892</v>
      </c>
      <c r="O62" s="17">
        <v>32.853932952880861</v>
      </c>
      <c r="P62" s="17">
        <v>30.203933715820313</v>
      </c>
      <c r="Q62" s="17">
        <v>32.75</v>
      </c>
      <c r="R62" s="6">
        <v>36.348935699462892</v>
      </c>
      <c r="S62" s="6">
        <v>37.848935699462892</v>
      </c>
    </row>
    <row r="63" spans="3:19" x14ac:dyDescent="0.2">
      <c r="C63" s="1">
        <v>38687</v>
      </c>
      <c r="E63" s="17">
        <v>33.20205912590027</v>
      </c>
      <c r="F63" s="17">
        <v>33.20205912590027</v>
      </c>
      <c r="G63" s="17">
        <v>30.999996185302734</v>
      </c>
      <c r="H63" s="17">
        <v>36.093929290771484</v>
      </c>
      <c r="I63" s="17">
        <v>32.328929901123047</v>
      </c>
      <c r="J63" s="17">
        <v>40.957302093505859</v>
      </c>
      <c r="K63" s="17">
        <v>38.6</v>
      </c>
      <c r="L63" s="17">
        <v>53.54</v>
      </c>
      <c r="M63" s="17">
        <v>32.75</v>
      </c>
      <c r="N63" s="17">
        <v>34.848935699462892</v>
      </c>
      <c r="O63" s="17">
        <v>32.953931427001955</v>
      </c>
      <c r="P63" s="17">
        <v>30.303932189941406</v>
      </c>
      <c r="Q63" s="17">
        <v>32.75</v>
      </c>
      <c r="R63" s="6">
        <v>36.348935699462892</v>
      </c>
      <c r="S63" s="6">
        <v>37.848935699462892</v>
      </c>
    </row>
    <row r="64" spans="3:19" x14ac:dyDescent="0.2">
      <c r="C64" s="1">
        <v>38718</v>
      </c>
      <c r="E64" s="17">
        <v>39.531435285295757</v>
      </c>
      <c r="F64" s="17">
        <v>39.531435285295757</v>
      </c>
      <c r="G64" s="17">
        <v>37.969999694824217</v>
      </c>
      <c r="H64" s="17">
        <v>40.230865478515625</v>
      </c>
      <c r="I64" s="17">
        <v>38.532863616943359</v>
      </c>
      <c r="J64" s="17">
        <v>49.298839569091797</v>
      </c>
      <c r="K64" s="17">
        <v>50.1</v>
      </c>
      <c r="L64" s="17">
        <v>65.55</v>
      </c>
      <c r="M64" s="17">
        <v>38</v>
      </c>
      <c r="N64" s="17">
        <v>41.750717163085938</v>
      </c>
      <c r="O64" s="17">
        <v>39.032863616943359</v>
      </c>
      <c r="P64" s="17">
        <v>39.382862091064453</v>
      </c>
      <c r="Q64" s="17">
        <v>38</v>
      </c>
      <c r="R64" s="6">
        <v>43.250717163085937</v>
      </c>
      <c r="S64" s="6">
        <v>44.750717163085938</v>
      </c>
    </row>
    <row r="65" spans="3:19" x14ac:dyDescent="0.2">
      <c r="C65" s="1">
        <v>38749</v>
      </c>
      <c r="E65" s="17">
        <v>39.181432996477398</v>
      </c>
      <c r="F65" s="17">
        <v>39.181432996477398</v>
      </c>
      <c r="G65" s="17">
        <v>36.819994354248045</v>
      </c>
      <c r="H65" s="17">
        <v>40.882862091064453</v>
      </c>
      <c r="I65" s="17">
        <v>37.932861328125</v>
      </c>
      <c r="J65" s="17">
        <v>47.298839569091797</v>
      </c>
      <c r="K65" s="17">
        <v>50.1</v>
      </c>
      <c r="L65" s="17">
        <v>65.55</v>
      </c>
      <c r="M65" s="17">
        <v>38</v>
      </c>
      <c r="N65" s="17">
        <v>41.995723724365234</v>
      </c>
      <c r="O65" s="17">
        <v>38.682861328125</v>
      </c>
      <c r="P65" s="17">
        <v>39.032859802246094</v>
      </c>
      <c r="Q65" s="17">
        <v>38</v>
      </c>
      <c r="R65" s="6">
        <v>43.495723724365234</v>
      </c>
      <c r="S65" s="6">
        <v>44.995723724365234</v>
      </c>
    </row>
    <row r="66" spans="3:19" x14ac:dyDescent="0.2">
      <c r="C66" s="1">
        <v>38777</v>
      </c>
      <c r="E66" s="17">
        <v>34.145177264546241</v>
      </c>
      <c r="F66" s="17">
        <v>34.145177264546241</v>
      </c>
      <c r="G66" s="17">
        <v>33.34999313354492</v>
      </c>
      <c r="H66" s="17">
        <v>33.848545074462891</v>
      </c>
      <c r="I66" s="17">
        <v>33.898544311523438</v>
      </c>
      <c r="J66" s="17">
        <v>40.546916961669922</v>
      </c>
      <c r="K66" s="17">
        <v>39.200000000000003</v>
      </c>
      <c r="L66" s="17">
        <v>52.55</v>
      </c>
      <c r="M66" s="17">
        <v>33</v>
      </c>
      <c r="N66" s="17">
        <v>37.747505187988281</v>
      </c>
      <c r="O66" s="17">
        <v>33.398544311523438</v>
      </c>
      <c r="P66" s="17">
        <v>33.748542785644531</v>
      </c>
      <c r="Q66" s="17">
        <v>33</v>
      </c>
      <c r="R66" s="6">
        <v>39.247505187988281</v>
      </c>
      <c r="S66" s="6">
        <v>40.747505187988281</v>
      </c>
    </row>
    <row r="67" spans="3:19" x14ac:dyDescent="0.2">
      <c r="C67" s="1">
        <v>38808</v>
      </c>
      <c r="E67" s="17">
        <v>34.595178027485694</v>
      </c>
      <c r="F67" s="17">
        <v>34.595178027485694</v>
      </c>
      <c r="G67" s="17">
        <v>31.949991607666014</v>
      </c>
      <c r="H67" s="17">
        <v>33.848545074462891</v>
      </c>
      <c r="I67" s="17">
        <v>33.598545074462891</v>
      </c>
      <c r="J67" s="17">
        <v>38.446914672851562</v>
      </c>
      <c r="K67" s="17">
        <v>39.200000000000003</v>
      </c>
      <c r="L67" s="17">
        <v>52.55</v>
      </c>
      <c r="M67" s="17">
        <v>32.5</v>
      </c>
      <c r="N67" s="17">
        <v>37.997501373291016</v>
      </c>
      <c r="O67" s="17">
        <v>33.848545074462891</v>
      </c>
      <c r="P67" s="17">
        <v>34.198543548583984</v>
      </c>
      <c r="Q67" s="17">
        <v>32.5</v>
      </c>
      <c r="R67" s="6">
        <v>39.497501373291016</v>
      </c>
      <c r="S67" s="6">
        <v>40.997501373291016</v>
      </c>
    </row>
    <row r="68" spans="3:19" x14ac:dyDescent="0.2">
      <c r="C68" s="1">
        <v>38838</v>
      </c>
      <c r="E68" s="17">
        <v>40.753570556640625</v>
      </c>
      <c r="F68" s="17">
        <v>40.753570556640625</v>
      </c>
      <c r="G68" s="17">
        <v>35.400009155273438</v>
      </c>
      <c r="H68" s="17">
        <v>34.553565979003906</v>
      </c>
      <c r="I68" s="17">
        <v>35.003566741943359</v>
      </c>
      <c r="J68" s="17">
        <v>41.444416809082028</v>
      </c>
      <c r="K68" s="17">
        <v>39.200000000000003</v>
      </c>
      <c r="L68" s="17">
        <v>53.55</v>
      </c>
      <c r="M68" s="17">
        <v>36.75</v>
      </c>
      <c r="N68" s="17">
        <v>43.003570556640625</v>
      </c>
      <c r="O68" s="17">
        <v>42.403568267822266</v>
      </c>
      <c r="P68" s="17">
        <v>35.103565216064453</v>
      </c>
      <c r="Q68" s="17">
        <v>36.75</v>
      </c>
      <c r="R68" s="6">
        <v>46.003570556640625</v>
      </c>
      <c r="S68" s="6">
        <v>48.503570556640625</v>
      </c>
    </row>
    <row r="69" spans="3:19" x14ac:dyDescent="0.2">
      <c r="C69" s="1">
        <v>38869</v>
      </c>
      <c r="E69" s="17">
        <v>38.252857208251953</v>
      </c>
      <c r="F69" s="17">
        <v>38.252857208251953</v>
      </c>
      <c r="G69" s="17">
        <v>35.499996185302734</v>
      </c>
      <c r="H69" s="17">
        <v>32.502857208251953</v>
      </c>
      <c r="I69" s="17">
        <v>38.252857208251953</v>
      </c>
      <c r="J69" s="17">
        <v>31.482302093505862</v>
      </c>
      <c r="K69" s="17">
        <v>46.1</v>
      </c>
      <c r="L69" s="17">
        <v>71.55</v>
      </c>
      <c r="M69" s="17">
        <v>48</v>
      </c>
      <c r="N69" s="17">
        <v>44.252857208251953</v>
      </c>
      <c r="O69" s="17">
        <v>44.102855682373047</v>
      </c>
      <c r="P69" s="17">
        <v>39.352855682373047</v>
      </c>
      <c r="Q69" s="17">
        <v>48</v>
      </c>
      <c r="R69" s="6">
        <v>47.252857208251953</v>
      </c>
      <c r="S69" s="6">
        <v>49.752857208251953</v>
      </c>
    </row>
    <row r="70" spans="3:19" x14ac:dyDescent="0.2">
      <c r="C70" s="1">
        <v>38899</v>
      </c>
      <c r="E70" s="17">
        <v>50.847146606445314</v>
      </c>
      <c r="F70" s="17">
        <v>50.847146606445314</v>
      </c>
      <c r="G70" s="17">
        <v>45.249992370605469</v>
      </c>
      <c r="H70" s="17">
        <v>41.497146606445313</v>
      </c>
      <c r="I70" s="17">
        <v>55.522148132324219</v>
      </c>
      <c r="J70" s="17">
        <v>39.274999999999999</v>
      </c>
      <c r="K70" s="17">
        <v>57.85</v>
      </c>
      <c r="L70" s="17">
        <v>97.55</v>
      </c>
      <c r="M70" s="17">
        <v>61</v>
      </c>
      <c r="N70" s="17">
        <v>60.847146606445314</v>
      </c>
      <c r="O70" s="17">
        <v>54.147149658203126</v>
      </c>
      <c r="P70" s="17">
        <v>58.997146606445313</v>
      </c>
      <c r="Q70" s="17">
        <v>61</v>
      </c>
      <c r="R70" s="6">
        <v>66.847146606445307</v>
      </c>
      <c r="S70" s="6">
        <v>71.847146606445307</v>
      </c>
    </row>
    <row r="71" spans="3:19" x14ac:dyDescent="0.2">
      <c r="C71" s="1">
        <v>38930</v>
      </c>
      <c r="E71" s="17">
        <v>50.847146606445314</v>
      </c>
      <c r="F71" s="17">
        <v>50.847146606445314</v>
      </c>
      <c r="G71" s="17">
        <v>45.25</v>
      </c>
      <c r="H71" s="17">
        <v>41.497146606445313</v>
      </c>
      <c r="I71" s="17">
        <v>55.397148132324219</v>
      </c>
      <c r="J71" s="17">
        <v>39.274999999999999</v>
      </c>
      <c r="K71" s="17">
        <v>57.85</v>
      </c>
      <c r="L71" s="17">
        <v>98.04</v>
      </c>
      <c r="M71" s="17">
        <v>61</v>
      </c>
      <c r="N71" s="17">
        <v>60.847146606445314</v>
      </c>
      <c r="O71" s="17">
        <v>54.147149658203126</v>
      </c>
      <c r="P71" s="17">
        <v>58.997146606445313</v>
      </c>
      <c r="Q71" s="17">
        <v>61</v>
      </c>
      <c r="R71" s="6">
        <v>66.847146606445307</v>
      </c>
      <c r="S71" s="6">
        <v>71.847146606445307</v>
      </c>
    </row>
    <row r="72" spans="3:19" x14ac:dyDescent="0.2">
      <c r="C72" s="1">
        <v>38961</v>
      </c>
      <c r="E72" s="17">
        <v>35.152140045166014</v>
      </c>
      <c r="F72" s="17">
        <v>35.152140045166014</v>
      </c>
      <c r="G72" s="17">
        <v>33.250003814697266</v>
      </c>
      <c r="H72" s="17">
        <v>29.102143859863283</v>
      </c>
      <c r="I72" s="17">
        <v>34.652145385742187</v>
      </c>
      <c r="J72" s="17">
        <v>34.94941390991211</v>
      </c>
      <c r="K72" s="17">
        <v>36.85</v>
      </c>
      <c r="L72" s="17">
        <v>55.04</v>
      </c>
      <c r="M72" s="17">
        <v>33.25</v>
      </c>
      <c r="N72" s="17">
        <v>38.152140045166014</v>
      </c>
      <c r="O72" s="17">
        <v>37.40214385986328</v>
      </c>
      <c r="P72" s="17">
        <v>34.252143859863281</v>
      </c>
      <c r="Q72" s="17">
        <v>33.25</v>
      </c>
      <c r="R72" s="6">
        <v>40.652140045166014</v>
      </c>
      <c r="S72" s="6">
        <v>43.152140045166014</v>
      </c>
    </row>
    <row r="73" spans="3:19" x14ac:dyDescent="0.2">
      <c r="C73" s="1">
        <v>38991</v>
      </c>
      <c r="E73" s="17">
        <v>34.152062177658081</v>
      </c>
      <c r="F73" s="17">
        <v>34.152062177658081</v>
      </c>
      <c r="G73" s="17">
        <v>30.300003051757812</v>
      </c>
      <c r="H73" s="17">
        <v>33.093929290771484</v>
      </c>
      <c r="I73" s="17">
        <v>33.528934478759766</v>
      </c>
      <c r="J73" s="17">
        <v>39.654998779296875</v>
      </c>
      <c r="K73" s="17">
        <v>38.1</v>
      </c>
      <c r="L73" s="17">
        <v>54.04</v>
      </c>
      <c r="M73" s="17">
        <v>32.5</v>
      </c>
      <c r="N73" s="17">
        <v>35.998935699462891</v>
      </c>
      <c r="O73" s="17">
        <v>33.903934478759766</v>
      </c>
      <c r="P73" s="17">
        <v>32.003932952880859</v>
      </c>
      <c r="Q73" s="17">
        <v>32.5</v>
      </c>
      <c r="R73" s="6">
        <v>37.498935699462891</v>
      </c>
      <c r="S73" s="6">
        <v>38.998935699462891</v>
      </c>
    </row>
    <row r="74" spans="3:19" x14ac:dyDescent="0.2">
      <c r="C74" s="1">
        <v>39022</v>
      </c>
      <c r="E74" s="17">
        <v>34.252060651779175</v>
      </c>
      <c r="F74" s="17">
        <v>34.252060651779175</v>
      </c>
      <c r="G74" s="17">
        <v>29.999996185302734</v>
      </c>
      <c r="H74" s="17">
        <v>36.593929290771484</v>
      </c>
      <c r="I74" s="17">
        <v>33.503932952880859</v>
      </c>
      <c r="J74" s="17">
        <v>40.451915740966797</v>
      </c>
      <c r="K74" s="17">
        <v>38.1</v>
      </c>
      <c r="L74" s="17">
        <v>54.04</v>
      </c>
      <c r="M74" s="17">
        <v>32.5</v>
      </c>
      <c r="N74" s="17">
        <v>35.998935699462891</v>
      </c>
      <c r="O74" s="17">
        <v>34.003932952880859</v>
      </c>
      <c r="P74" s="17">
        <v>32.103931427001953</v>
      </c>
      <c r="Q74" s="17">
        <v>32.5</v>
      </c>
      <c r="R74" s="6">
        <v>37.498935699462891</v>
      </c>
      <c r="S74" s="6">
        <v>38.998935699462891</v>
      </c>
    </row>
    <row r="75" spans="3:19" x14ac:dyDescent="0.2">
      <c r="C75" s="1">
        <v>39052</v>
      </c>
      <c r="E75" s="17">
        <v>34.352059125900269</v>
      </c>
      <c r="F75" s="17">
        <v>34.352059125900269</v>
      </c>
      <c r="G75" s="17">
        <v>30.999996185302734</v>
      </c>
      <c r="H75" s="17">
        <v>37.093929290771484</v>
      </c>
      <c r="I75" s="17">
        <v>33.478931427001953</v>
      </c>
      <c r="J75" s="17">
        <v>41.207302093505859</v>
      </c>
      <c r="K75" s="17">
        <v>38.1</v>
      </c>
      <c r="L75" s="17">
        <v>54.04</v>
      </c>
      <c r="M75" s="17">
        <v>32.5</v>
      </c>
      <c r="N75" s="17">
        <v>35.998935699462891</v>
      </c>
      <c r="O75" s="17">
        <v>34.103931427001953</v>
      </c>
      <c r="P75" s="17">
        <v>32.203929901123047</v>
      </c>
      <c r="Q75" s="17">
        <v>32.5</v>
      </c>
      <c r="R75" s="6">
        <v>37.498935699462891</v>
      </c>
      <c r="S75" s="6">
        <v>38.998935699462891</v>
      </c>
    </row>
    <row r="76" spans="3:19" x14ac:dyDescent="0.2">
      <c r="C76" s="1">
        <v>39083</v>
      </c>
      <c r="E76" s="17">
        <v>39.781435285295757</v>
      </c>
      <c r="F76" s="17">
        <v>39.781435285295757</v>
      </c>
      <c r="G76" s="17">
        <v>38.969999694824217</v>
      </c>
      <c r="H76" s="17">
        <v>41.480865478515625</v>
      </c>
      <c r="I76" s="17">
        <v>38.907863616943359</v>
      </c>
      <c r="J76" s="17">
        <v>49.798839569091797</v>
      </c>
      <c r="K76" s="17">
        <v>50.1</v>
      </c>
      <c r="L76" s="17">
        <v>66.55</v>
      </c>
      <c r="M76" s="17">
        <v>37.5</v>
      </c>
      <c r="N76" s="17">
        <v>42.000717163085938</v>
      </c>
      <c r="O76" s="17">
        <v>39.282863616943359</v>
      </c>
      <c r="P76" s="17">
        <v>39.382862091064453</v>
      </c>
      <c r="Q76" s="17">
        <v>37.5</v>
      </c>
      <c r="R76" s="6">
        <v>43.500717163085937</v>
      </c>
      <c r="S76" s="6">
        <v>45.000717163085938</v>
      </c>
    </row>
    <row r="77" spans="3:19" x14ac:dyDescent="0.2">
      <c r="C77" s="1">
        <v>39114</v>
      </c>
      <c r="E77" s="17">
        <v>39.431432996477398</v>
      </c>
      <c r="F77" s="17">
        <v>39.431432996477398</v>
      </c>
      <c r="G77" s="17">
        <v>37.819994354248045</v>
      </c>
      <c r="H77" s="17">
        <v>42.132862091064453</v>
      </c>
      <c r="I77" s="17">
        <v>38.432861328125</v>
      </c>
      <c r="J77" s="17">
        <v>47.798839569091797</v>
      </c>
      <c r="K77" s="17">
        <v>50.1</v>
      </c>
      <c r="L77" s="17">
        <v>66.55</v>
      </c>
      <c r="M77" s="17">
        <v>37.5</v>
      </c>
      <c r="N77" s="17">
        <v>42.245723724365234</v>
      </c>
      <c r="O77" s="17">
        <v>38.932861328125</v>
      </c>
      <c r="P77" s="17">
        <v>39.032859802246094</v>
      </c>
      <c r="Q77" s="17">
        <v>37.5</v>
      </c>
      <c r="R77" s="6">
        <v>43.745723724365234</v>
      </c>
      <c r="S77" s="6">
        <v>45.245723724365234</v>
      </c>
    </row>
    <row r="78" spans="3:19" x14ac:dyDescent="0.2">
      <c r="C78" s="1">
        <v>39142</v>
      </c>
      <c r="E78" s="17">
        <v>34.395177264546241</v>
      </c>
      <c r="F78" s="17">
        <v>34.395177264546241</v>
      </c>
      <c r="G78" s="17">
        <v>34.34999313354492</v>
      </c>
      <c r="H78" s="17">
        <v>35.098545074462891</v>
      </c>
      <c r="I78" s="17">
        <v>34.523544311523438</v>
      </c>
      <c r="J78" s="17">
        <v>40.796916961669922</v>
      </c>
      <c r="K78" s="17">
        <v>39.200000000000003</v>
      </c>
      <c r="L78" s="17">
        <v>53.55</v>
      </c>
      <c r="M78" s="17">
        <v>33.25</v>
      </c>
      <c r="N78" s="17">
        <v>37.997505187988281</v>
      </c>
      <c r="O78" s="17">
        <v>33.648544311523437</v>
      </c>
      <c r="P78" s="17">
        <v>33.748542785644531</v>
      </c>
      <c r="Q78" s="17">
        <v>33.25</v>
      </c>
      <c r="R78" s="6">
        <v>39.497505187988281</v>
      </c>
      <c r="S78" s="6">
        <v>40.997505187988281</v>
      </c>
    </row>
    <row r="79" spans="3:19" x14ac:dyDescent="0.2">
      <c r="C79" s="1">
        <v>39173</v>
      </c>
      <c r="E79" s="17">
        <v>34.845178027485694</v>
      </c>
      <c r="F79" s="17">
        <v>34.845178027485694</v>
      </c>
      <c r="G79" s="17">
        <v>32.949991607666014</v>
      </c>
      <c r="H79" s="17">
        <v>35.098545074462891</v>
      </c>
      <c r="I79" s="17">
        <v>34.598545074462891</v>
      </c>
      <c r="J79" s="17">
        <v>38.696914672851562</v>
      </c>
      <c r="K79" s="17">
        <v>39.200000000000003</v>
      </c>
      <c r="L79" s="17">
        <v>53.55</v>
      </c>
      <c r="M79" s="17">
        <v>33.25</v>
      </c>
      <c r="N79" s="17">
        <v>38.247501373291016</v>
      </c>
      <c r="O79" s="17">
        <v>34.098545074462891</v>
      </c>
      <c r="P79" s="17">
        <v>34.198543548583984</v>
      </c>
      <c r="Q79" s="17">
        <v>33.25</v>
      </c>
      <c r="R79" s="6">
        <v>39.747501373291016</v>
      </c>
      <c r="S79" s="6">
        <v>41.247501373291016</v>
      </c>
    </row>
    <row r="80" spans="3:19" x14ac:dyDescent="0.2">
      <c r="C80" s="1">
        <v>39203</v>
      </c>
      <c r="E80" s="17">
        <v>41.003570556640625</v>
      </c>
      <c r="F80" s="17">
        <v>41.003570556640625</v>
      </c>
      <c r="G80" s="17">
        <v>36.400009155273438</v>
      </c>
      <c r="H80" s="17">
        <v>35.803565979003906</v>
      </c>
      <c r="I80" s="17">
        <v>36.003566741943359</v>
      </c>
      <c r="J80" s="17">
        <v>41.656916809082027</v>
      </c>
      <c r="K80" s="17">
        <v>39.200000000000003</v>
      </c>
      <c r="L80" s="17">
        <v>54.55</v>
      </c>
      <c r="M80" s="17">
        <v>36.75</v>
      </c>
      <c r="N80" s="17">
        <v>43.253570556640625</v>
      </c>
      <c r="O80" s="17">
        <v>42.578567504882813</v>
      </c>
      <c r="P80" s="17">
        <v>35.103565216064453</v>
      </c>
      <c r="Q80" s="17">
        <v>36.75</v>
      </c>
      <c r="R80" s="6">
        <v>46.253570556640625</v>
      </c>
      <c r="S80" s="6">
        <v>48.753570556640625</v>
      </c>
    </row>
    <row r="81" spans="3:19" x14ac:dyDescent="0.2">
      <c r="C81" s="1">
        <v>39234</v>
      </c>
      <c r="E81" s="17">
        <v>38.502857208251953</v>
      </c>
      <c r="F81" s="17">
        <v>38.502857208251953</v>
      </c>
      <c r="G81" s="17">
        <v>36.499996185302734</v>
      </c>
      <c r="H81" s="17">
        <v>33.252857208251953</v>
      </c>
      <c r="I81" s="17">
        <v>38.752857208251953</v>
      </c>
      <c r="J81" s="17">
        <v>31.644802093505863</v>
      </c>
      <c r="K81" s="17">
        <v>46.1</v>
      </c>
      <c r="L81" s="17">
        <v>72.55</v>
      </c>
      <c r="M81" s="17">
        <v>47.5</v>
      </c>
      <c r="N81" s="17">
        <v>44.502857208251953</v>
      </c>
      <c r="O81" s="17">
        <v>44.1778564453125</v>
      </c>
      <c r="P81" s="17">
        <v>39.602855682373047</v>
      </c>
      <c r="Q81" s="17">
        <v>47.5</v>
      </c>
      <c r="R81" s="6">
        <v>47.502857208251953</v>
      </c>
      <c r="S81" s="6">
        <v>50.002857208251953</v>
      </c>
    </row>
    <row r="82" spans="3:19" x14ac:dyDescent="0.2">
      <c r="C82" s="1">
        <v>39264</v>
      </c>
      <c r="E82" s="17">
        <v>51.097146606445314</v>
      </c>
      <c r="F82" s="17">
        <v>51.097146606445314</v>
      </c>
      <c r="G82" s="17">
        <v>45.249992370605469</v>
      </c>
      <c r="H82" s="17">
        <v>40.247146606445313</v>
      </c>
      <c r="I82" s="17">
        <v>55.834648132324219</v>
      </c>
      <c r="J82" s="17">
        <v>39.450000000000003</v>
      </c>
      <c r="K82" s="17">
        <v>57.85</v>
      </c>
      <c r="L82" s="17">
        <v>98.55</v>
      </c>
      <c r="M82" s="17">
        <v>61</v>
      </c>
      <c r="N82" s="17">
        <v>61.097146606445314</v>
      </c>
      <c r="O82" s="17">
        <v>54.24714813232422</v>
      </c>
      <c r="P82" s="17">
        <v>58.372146606445313</v>
      </c>
      <c r="Q82" s="17">
        <v>61</v>
      </c>
      <c r="R82" s="6">
        <v>67.097146606445307</v>
      </c>
      <c r="S82" s="6">
        <v>72.097146606445307</v>
      </c>
    </row>
    <row r="83" spans="3:19" x14ac:dyDescent="0.2">
      <c r="C83" s="1">
        <v>39295</v>
      </c>
      <c r="E83" s="17">
        <v>51.097146606445314</v>
      </c>
      <c r="F83" s="17">
        <v>51.097146606445314</v>
      </c>
      <c r="G83" s="17">
        <v>45.25</v>
      </c>
      <c r="H83" s="17">
        <v>40.247146606445313</v>
      </c>
      <c r="I83" s="17">
        <v>55.772148132324219</v>
      </c>
      <c r="J83" s="17">
        <v>39.450000000000003</v>
      </c>
      <c r="K83" s="17">
        <v>57.85</v>
      </c>
      <c r="L83" s="17">
        <v>99.04</v>
      </c>
      <c r="M83" s="17">
        <v>61</v>
      </c>
      <c r="N83" s="17">
        <v>61.097146606445314</v>
      </c>
      <c r="O83" s="17">
        <v>54.24714813232422</v>
      </c>
      <c r="P83" s="17">
        <v>58.372146606445313</v>
      </c>
      <c r="Q83" s="17">
        <v>61</v>
      </c>
      <c r="R83" s="6">
        <v>67.097146606445307</v>
      </c>
      <c r="S83" s="6">
        <v>72.097146606445307</v>
      </c>
    </row>
    <row r="84" spans="3:19" x14ac:dyDescent="0.2">
      <c r="C84" s="1">
        <v>39326</v>
      </c>
      <c r="E84" s="17">
        <v>35.402140045166014</v>
      </c>
      <c r="F84" s="17">
        <v>35.402140045166014</v>
      </c>
      <c r="G84" s="17">
        <v>34.250003814697266</v>
      </c>
      <c r="H84" s="17">
        <v>30.352143859863283</v>
      </c>
      <c r="I84" s="17">
        <v>35.027145385742187</v>
      </c>
      <c r="J84" s="17">
        <v>35.161913909912109</v>
      </c>
      <c r="K84" s="17">
        <v>36.85</v>
      </c>
      <c r="L84" s="17">
        <v>56.04</v>
      </c>
      <c r="M84" s="17">
        <v>33.25</v>
      </c>
      <c r="N84" s="17">
        <v>38.402140045166014</v>
      </c>
      <c r="O84" s="17">
        <v>37.577143096923827</v>
      </c>
      <c r="P84" s="17">
        <v>34.252143859863281</v>
      </c>
      <c r="Q84" s="17">
        <v>33.25</v>
      </c>
      <c r="R84" s="6">
        <v>40.902140045166014</v>
      </c>
      <c r="S84" s="6">
        <v>43.402140045166014</v>
      </c>
    </row>
    <row r="85" spans="3:19" x14ac:dyDescent="0.2">
      <c r="C85" s="1">
        <v>39356</v>
      </c>
      <c r="E85" s="17">
        <v>34.402062177658081</v>
      </c>
      <c r="F85" s="17">
        <v>34.402062177658081</v>
      </c>
      <c r="G85" s="17">
        <v>31.300003051757813</v>
      </c>
      <c r="H85" s="17">
        <v>34.343929290771484</v>
      </c>
      <c r="I85" s="17">
        <v>33.841434478759766</v>
      </c>
      <c r="J85" s="17">
        <v>39.904998779296875</v>
      </c>
      <c r="K85" s="17">
        <v>38.1</v>
      </c>
      <c r="L85" s="17">
        <v>55.04</v>
      </c>
      <c r="M85" s="17">
        <v>32.5</v>
      </c>
      <c r="N85" s="17">
        <v>36.248935699462891</v>
      </c>
      <c r="O85" s="17">
        <v>34.153934478759766</v>
      </c>
      <c r="P85" s="17">
        <v>32.003932952880859</v>
      </c>
      <c r="Q85" s="17">
        <v>32.5</v>
      </c>
      <c r="R85" s="6">
        <v>37.748935699462891</v>
      </c>
      <c r="S85" s="6">
        <v>39.248935699462891</v>
      </c>
    </row>
    <row r="86" spans="3:19" x14ac:dyDescent="0.2">
      <c r="C86" s="1">
        <v>39387</v>
      </c>
      <c r="E86" s="17">
        <v>34.502060651779175</v>
      </c>
      <c r="F86" s="17">
        <v>34.502060651779175</v>
      </c>
      <c r="G86" s="17">
        <v>30.999996185302734</v>
      </c>
      <c r="H86" s="17">
        <v>37.843929290771484</v>
      </c>
      <c r="I86" s="17">
        <v>33.878932952880859</v>
      </c>
      <c r="J86" s="17">
        <v>40.701915740966797</v>
      </c>
      <c r="K86" s="17">
        <v>38.1</v>
      </c>
      <c r="L86" s="17">
        <v>55.04</v>
      </c>
      <c r="M86" s="17">
        <v>32.5</v>
      </c>
      <c r="N86" s="17">
        <v>36.248935699462891</v>
      </c>
      <c r="O86" s="17">
        <v>34.253932952880859</v>
      </c>
      <c r="P86" s="17">
        <v>32.103931427001953</v>
      </c>
      <c r="Q86" s="17">
        <v>32.5</v>
      </c>
      <c r="R86" s="6">
        <v>37.748935699462891</v>
      </c>
      <c r="S86" s="6">
        <v>39.248935699462891</v>
      </c>
    </row>
    <row r="87" spans="3:19" x14ac:dyDescent="0.2">
      <c r="C87" s="1">
        <v>39417</v>
      </c>
      <c r="E87" s="17">
        <v>34.602059125900269</v>
      </c>
      <c r="F87" s="17">
        <v>34.602059125900269</v>
      </c>
      <c r="G87" s="17">
        <v>31.999996185302734</v>
      </c>
      <c r="H87" s="17">
        <v>38.343929290771484</v>
      </c>
      <c r="I87" s="17">
        <v>33.916431427001953</v>
      </c>
      <c r="J87" s="17">
        <v>41.457302093505859</v>
      </c>
      <c r="K87" s="17">
        <v>38.1</v>
      </c>
      <c r="L87" s="17">
        <v>55.04</v>
      </c>
      <c r="M87" s="17">
        <v>32.5</v>
      </c>
      <c r="N87" s="17">
        <v>36.248935699462891</v>
      </c>
      <c r="O87" s="17">
        <v>34.353931427001953</v>
      </c>
      <c r="P87" s="17">
        <v>32.203929901123047</v>
      </c>
      <c r="Q87" s="17">
        <v>32.5</v>
      </c>
      <c r="R87" s="6">
        <v>37.748935699462891</v>
      </c>
      <c r="S87" s="6">
        <v>39.248935699462891</v>
      </c>
    </row>
    <row r="88" spans="3:19" x14ac:dyDescent="0.2">
      <c r="C88" s="1">
        <v>39448</v>
      </c>
      <c r="E88" s="17">
        <v>40.031435285295757</v>
      </c>
      <c r="F88" s="17">
        <v>40.031435285295757</v>
      </c>
      <c r="G88" s="17">
        <v>39.969999694824217</v>
      </c>
      <c r="H88" s="17">
        <v>42.230865478515625</v>
      </c>
      <c r="I88" s="17">
        <v>39.157863616943359</v>
      </c>
      <c r="J88" s="17">
        <v>50.298839569091797</v>
      </c>
      <c r="K88" s="17">
        <v>50.6</v>
      </c>
      <c r="L88" s="17">
        <v>67.55</v>
      </c>
      <c r="M88" s="17">
        <v>38</v>
      </c>
      <c r="N88" s="17">
        <v>42.250717163085938</v>
      </c>
      <c r="O88" s="17">
        <v>39.532863616943359</v>
      </c>
      <c r="P88" s="17">
        <v>39.632862091064453</v>
      </c>
      <c r="Q88" s="17">
        <v>38</v>
      </c>
      <c r="R88" s="6">
        <v>43.750717163085937</v>
      </c>
      <c r="S88" s="6">
        <v>45.250717163085937</v>
      </c>
    </row>
    <row r="89" spans="3:19" x14ac:dyDescent="0.2">
      <c r="C89" s="1">
        <v>39479</v>
      </c>
      <c r="E89" s="17">
        <v>39.681432996477398</v>
      </c>
      <c r="F89" s="17">
        <v>39.681432996477398</v>
      </c>
      <c r="G89" s="17">
        <v>38.819994354248045</v>
      </c>
      <c r="H89" s="17">
        <v>42.882862091064453</v>
      </c>
      <c r="I89" s="17">
        <v>38.682861328125</v>
      </c>
      <c r="J89" s="17">
        <v>48.298839569091797</v>
      </c>
      <c r="K89" s="17">
        <v>50.6</v>
      </c>
      <c r="L89" s="17">
        <v>67.55</v>
      </c>
      <c r="M89" s="17">
        <v>38</v>
      </c>
      <c r="N89" s="17">
        <v>42.495723724365234</v>
      </c>
      <c r="O89" s="17">
        <v>39.182861328125</v>
      </c>
      <c r="P89" s="17">
        <v>39.282859802246094</v>
      </c>
      <c r="Q89" s="17">
        <v>38</v>
      </c>
      <c r="R89" s="6">
        <v>43.995723724365234</v>
      </c>
      <c r="S89" s="6">
        <v>45.495723724365234</v>
      </c>
    </row>
    <row r="90" spans="3:19" x14ac:dyDescent="0.2">
      <c r="C90" s="1">
        <v>39508</v>
      </c>
      <c r="E90" s="17">
        <v>34.645177264546241</v>
      </c>
      <c r="F90" s="17">
        <v>34.645177264546241</v>
      </c>
      <c r="G90" s="17">
        <v>35.34999313354492</v>
      </c>
      <c r="H90" s="17">
        <v>35.848545074462891</v>
      </c>
      <c r="I90" s="17">
        <v>34.773544311523437</v>
      </c>
      <c r="J90" s="17">
        <v>41.046916961669922</v>
      </c>
      <c r="K90" s="17">
        <v>39.700000000000003</v>
      </c>
      <c r="L90" s="17">
        <v>54.55</v>
      </c>
      <c r="M90" s="17">
        <v>34.5</v>
      </c>
      <c r="N90" s="17">
        <v>38.247505187988281</v>
      </c>
      <c r="O90" s="17">
        <v>33.898544311523438</v>
      </c>
      <c r="P90" s="17">
        <v>33.998542785644531</v>
      </c>
      <c r="Q90" s="17">
        <v>34.5</v>
      </c>
      <c r="R90" s="6">
        <v>39.747505187988281</v>
      </c>
      <c r="S90" s="6">
        <v>41.247505187988281</v>
      </c>
    </row>
    <row r="91" spans="3:19" x14ac:dyDescent="0.2">
      <c r="C91" s="1">
        <v>39539</v>
      </c>
      <c r="E91" s="17">
        <v>35.095178027485694</v>
      </c>
      <c r="F91" s="17">
        <v>35.095178027485694</v>
      </c>
      <c r="G91" s="17">
        <v>33.949991607666014</v>
      </c>
      <c r="H91" s="17">
        <v>35.848545074462891</v>
      </c>
      <c r="I91" s="17">
        <v>34.848545074462891</v>
      </c>
      <c r="J91" s="17">
        <v>38.946914672851563</v>
      </c>
      <c r="K91" s="17">
        <v>39.700000000000003</v>
      </c>
      <c r="L91" s="17">
        <v>54.55</v>
      </c>
      <c r="M91" s="17">
        <v>34</v>
      </c>
      <c r="N91" s="17">
        <v>38.497501373291016</v>
      </c>
      <c r="O91" s="17">
        <v>34.348545074462891</v>
      </c>
      <c r="P91" s="17">
        <v>34.448543548583984</v>
      </c>
      <c r="Q91" s="17">
        <v>34</v>
      </c>
      <c r="R91" s="6">
        <v>39.997501373291016</v>
      </c>
      <c r="S91" s="6">
        <v>41.497501373291016</v>
      </c>
    </row>
    <row r="92" spans="3:19" x14ac:dyDescent="0.2">
      <c r="C92" s="1">
        <v>39569</v>
      </c>
      <c r="E92" s="17">
        <v>41.253570556640625</v>
      </c>
      <c r="F92" s="17">
        <v>41.253570556640625</v>
      </c>
      <c r="G92" s="17">
        <v>37.400009155273437</v>
      </c>
      <c r="H92" s="17">
        <v>36.553565979003906</v>
      </c>
      <c r="I92" s="17">
        <v>36.253566741943359</v>
      </c>
      <c r="J92" s="17">
        <v>41.869416809082026</v>
      </c>
      <c r="K92" s="17">
        <v>39.700000000000003</v>
      </c>
      <c r="L92" s="17">
        <v>55.55</v>
      </c>
      <c r="M92" s="17">
        <v>37</v>
      </c>
      <c r="N92" s="17">
        <v>43.503570556640625</v>
      </c>
      <c r="O92" s="17">
        <v>42.753566741943359</v>
      </c>
      <c r="P92" s="17">
        <v>35.353565216064453</v>
      </c>
      <c r="Q92" s="17">
        <v>37</v>
      </c>
      <c r="R92" s="6">
        <v>46.503570556640625</v>
      </c>
      <c r="S92" s="6">
        <v>49.003570556640625</v>
      </c>
    </row>
    <row r="93" spans="3:19" x14ac:dyDescent="0.2">
      <c r="C93" s="1">
        <v>39600</v>
      </c>
      <c r="E93" s="17">
        <v>39.002857208251953</v>
      </c>
      <c r="F93" s="17">
        <v>39.002857208251953</v>
      </c>
      <c r="G93" s="17">
        <v>37.499996185302734</v>
      </c>
      <c r="H93" s="17">
        <v>33.502857208251953</v>
      </c>
      <c r="I93" s="17">
        <v>39.252857208251953</v>
      </c>
      <c r="J93" s="17">
        <v>31.969802093505862</v>
      </c>
      <c r="K93" s="17">
        <v>46.6</v>
      </c>
      <c r="L93" s="17">
        <v>73.55</v>
      </c>
      <c r="M93" s="17">
        <v>47.5</v>
      </c>
      <c r="N93" s="17">
        <v>45.002857208251953</v>
      </c>
      <c r="O93" s="17">
        <v>44.415355682373047</v>
      </c>
      <c r="P93" s="17">
        <v>40.102855682373047</v>
      </c>
      <c r="Q93" s="17">
        <v>47.5</v>
      </c>
      <c r="R93" s="6">
        <v>48.002857208251953</v>
      </c>
      <c r="S93" s="6">
        <v>50.502857208251953</v>
      </c>
    </row>
    <row r="94" spans="3:19" x14ac:dyDescent="0.2">
      <c r="C94" s="1">
        <v>39630</v>
      </c>
      <c r="E94" s="17">
        <v>51.597146606445314</v>
      </c>
      <c r="F94" s="17">
        <v>51.597146606445314</v>
      </c>
      <c r="G94" s="17">
        <v>45.249992370605469</v>
      </c>
      <c r="H94" s="17">
        <v>38.497146606445313</v>
      </c>
      <c r="I94" s="17">
        <v>56.334648132324219</v>
      </c>
      <c r="J94" s="17">
        <v>39.799999999999997</v>
      </c>
      <c r="K94" s="17">
        <v>58.35</v>
      </c>
      <c r="L94" s="17">
        <v>99.55</v>
      </c>
      <c r="M94" s="17">
        <v>61</v>
      </c>
      <c r="N94" s="17">
        <v>61.597146606445314</v>
      </c>
      <c r="O94" s="17">
        <v>54.522149658203126</v>
      </c>
      <c r="P94" s="17">
        <v>58.872146606445313</v>
      </c>
      <c r="Q94" s="17">
        <v>61</v>
      </c>
      <c r="R94" s="6">
        <v>67.597146606445307</v>
      </c>
      <c r="S94" s="6">
        <v>72.597146606445307</v>
      </c>
    </row>
    <row r="95" spans="3:19" x14ac:dyDescent="0.2">
      <c r="C95" s="1">
        <v>39661</v>
      </c>
      <c r="E95" s="17">
        <v>51.597146606445314</v>
      </c>
      <c r="F95" s="17">
        <v>51.597146606445314</v>
      </c>
      <c r="G95" s="17">
        <v>45.25</v>
      </c>
      <c r="H95" s="17">
        <v>38.497146606445313</v>
      </c>
      <c r="I95" s="17">
        <v>56.272148132324219</v>
      </c>
      <c r="J95" s="17">
        <v>39.799999999999997</v>
      </c>
      <c r="K95" s="17">
        <v>58.35</v>
      </c>
      <c r="L95" s="17">
        <v>100.04</v>
      </c>
      <c r="M95" s="17">
        <v>61</v>
      </c>
      <c r="N95" s="17">
        <v>61.597146606445314</v>
      </c>
      <c r="O95" s="17">
        <v>54.522149658203126</v>
      </c>
      <c r="P95" s="17">
        <v>58.872146606445313</v>
      </c>
      <c r="Q95" s="17">
        <v>61</v>
      </c>
      <c r="R95" s="6">
        <v>67.597146606445307</v>
      </c>
      <c r="S95" s="6">
        <v>72.597146606445307</v>
      </c>
    </row>
    <row r="96" spans="3:19" x14ac:dyDescent="0.2">
      <c r="C96" s="1">
        <v>39692</v>
      </c>
      <c r="E96" s="17">
        <v>35.652140045166014</v>
      </c>
      <c r="F96" s="17">
        <v>35.652140045166014</v>
      </c>
      <c r="G96" s="17">
        <v>35.250003814697266</v>
      </c>
      <c r="H96" s="17">
        <v>31.102143859863283</v>
      </c>
      <c r="I96" s="17">
        <v>35.277145385742187</v>
      </c>
      <c r="J96" s="17">
        <v>35.374413909912107</v>
      </c>
      <c r="K96" s="17">
        <v>37.35</v>
      </c>
      <c r="L96" s="17">
        <v>57.04</v>
      </c>
      <c r="M96" s="17">
        <v>33.25</v>
      </c>
      <c r="N96" s="17">
        <v>38.652140045166014</v>
      </c>
      <c r="O96" s="17">
        <v>37.752142333984374</v>
      </c>
      <c r="P96" s="17">
        <v>34.502143859863281</v>
      </c>
      <c r="Q96" s="17">
        <v>33.25</v>
      </c>
      <c r="R96" s="6">
        <v>41.152140045166014</v>
      </c>
      <c r="S96" s="6">
        <v>43.652140045166014</v>
      </c>
    </row>
    <row r="97" spans="3:19" x14ac:dyDescent="0.2">
      <c r="C97" s="1">
        <v>39722</v>
      </c>
      <c r="E97" s="17">
        <v>34.652062177658081</v>
      </c>
      <c r="F97" s="17">
        <v>34.652062177658081</v>
      </c>
      <c r="G97" s="17">
        <v>32.300003051757812</v>
      </c>
      <c r="H97" s="17">
        <v>35.093929290771484</v>
      </c>
      <c r="I97" s="17">
        <v>34.091434478759766</v>
      </c>
      <c r="J97" s="17">
        <v>40.154998779296875</v>
      </c>
      <c r="K97" s="17">
        <v>38.6</v>
      </c>
      <c r="L97" s="17">
        <v>56.04</v>
      </c>
      <c r="M97" s="17">
        <v>32.5</v>
      </c>
      <c r="N97" s="17">
        <v>36.498935699462891</v>
      </c>
      <c r="O97" s="17">
        <v>34.403934478759766</v>
      </c>
      <c r="P97" s="17">
        <v>32.253932952880859</v>
      </c>
      <c r="Q97" s="17">
        <v>32.5</v>
      </c>
      <c r="R97" s="6">
        <v>37.998935699462891</v>
      </c>
      <c r="S97" s="6">
        <v>39.498935699462891</v>
      </c>
    </row>
    <row r="98" spans="3:19" x14ac:dyDescent="0.2">
      <c r="C98" s="1">
        <v>39753</v>
      </c>
      <c r="E98" s="17">
        <v>34.752060651779175</v>
      </c>
      <c r="F98" s="17">
        <v>34.752060651779175</v>
      </c>
      <c r="G98" s="17">
        <v>31.999996185302734</v>
      </c>
      <c r="H98" s="17">
        <v>38.593929290771484</v>
      </c>
      <c r="I98" s="17">
        <v>34.128932952880859</v>
      </c>
      <c r="J98" s="17">
        <v>40.951915740966797</v>
      </c>
      <c r="K98" s="17">
        <v>38.6</v>
      </c>
      <c r="L98" s="17">
        <v>56.04</v>
      </c>
      <c r="M98" s="17">
        <v>32.5</v>
      </c>
      <c r="N98" s="17">
        <v>36.498935699462891</v>
      </c>
      <c r="O98" s="17">
        <v>34.503932952880859</v>
      </c>
      <c r="P98" s="17">
        <v>32.353931427001953</v>
      </c>
      <c r="Q98" s="17">
        <v>32.5</v>
      </c>
      <c r="R98" s="6">
        <v>37.998935699462891</v>
      </c>
      <c r="S98" s="6">
        <v>39.498935699462891</v>
      </c>
    </row>
    <row r="99" spans="3:19" x14ac:dyDescent="0.2">
      <c r="C99" s="1">
        <v>39783</v>
      </c>
      <c r="E99" s="17">
        <v>34.852059125900269</v>
      </c>
      <c r="F99" s="17">
        <v>34.852059125900269</v>
      </c>
      <c r="G99" s="17">
        <v>32.999996185302734</v>
      </c>
      <c r="H99" s="17">
        <v>39.093929290771484</v>
      </c>
      <c r="I99" s="17">
        <v>34.166431427001953</v>
      </c>
      <c r="J99" s="17">
        <v>41.707302093505859</v>
      </c>
      <c r="K99" s="17">
        <v>38.6</v>
      </c>
      <c r="L99" s="17">
        <v>56.04</v>
      </c>
      <c r="M99" s="17">
        <v>32.5</v>
      </c>
      <c r="N99" s="17">
        <v>36.498935699462891</v>
      </c>
      <c r="O99" s="17">
        <v>34.603931427001953</v>
      </c>
      <c r="P99" s="17">
        <v>32.453929901123047</v>
      </c>
      <c r="Q99" s="17">
        <v>32.5</v>
      </c>
      <c r="R99" s="6">
        <v>37.998935699462891</v>
      </c>
      <c r="S99" s="6">
        <v>39.498935699462891</v>
      </c>
    </row>
    <row r="100" spans="3:19" x14ac:dyDescent="0.2">
      <c r="C100" s="1">
        <v>39814</v>
      </c>
      <c r="E100" s="17">
        <v>40.031435285295757</v>
      </c>
      <c r="F100" s="17">
        <v>40.031435285295757</v>
      </c>
      <c r="G100" s="17">
        <v>40.469999694824217</v>
      </c>
      <c r="H100" s="17">
        <v>42.730865478515625</v>
      </c>
      <c r="I100" s="17">
        <v>39.157863616943359</v>
      </c>
      <c r="J100" s="17">
        <v>50.798839569091797</v>
      </c>
      <c r="K100" s="17">
        <v>51.1</v>
      </c>
      <c r="L100" s="17">
        <v>68.150000000000006</v>
      </c>
      <c r="M100" s="17">
        <v>38</v>
      </c>
      <c r="N100" s="17">
        <v>42.250717163085938</v>
      </c>
      <c r="O100" s="17">
        <v>39.532863616943359</v>
      </c>
      <c r="P100" s="17">
        <v>40.132862091064453</v>
      </c>
      <c r="Q100" s="17">
        <v>38</v>
      </c>
      <c r="R100" s="6">
        <v>43.750717163085937</v>
      </c>
      <c r="S100" s="6">
        <v>45.250717163085937</v>
      </c>
    </row>
    <row r="101" spans="3:19" x14ac:dyDescent="0.2">
      <c r="C101" s="1">
        <v>39845</v>
      </c>
      <c r="E101" s="17">
        <v>39.681432996477398</v>
      </c>
      <c r="F101" s="17">
        <v>39.681432996477398</v>
      </c>
      <c r="G101" s="17">
        <v>39.319994354248045</v>
      </c>
      <c r="H101" s="17">
        <v>43.382862091064453</v>
      </c>
      <c r="I101" s="17">
        <v>38.682861328125</v>
      </c>
      <c r="J101" s="17">
        <v>48.798839569091797</v>
      </c>
      <c r="K101" s="17">
        <v>51.1</v>
      </c>
      <c r="L101" s="17">
        <v>68.150000000000006</v>
      </c>
      <c r="M101" s="17">
        <v>38</v>
      </c>
      <c r="N101" s="17">
        <v>42.495723724365234</v>
      </c>
      <c r="O101" s="17">
        <v>39.182861328125</v>
      </c>
      <c r="P101" s="17">
        <v>39.782859802246094</v>
      </c>
      <c r="Q101" s="17">
        <v>38</v>
      </c>
      <c r="R101" s="6">
        <v>43.995723724365234</v>
      </c>
      <c r="S101" s="6">
        <v>45.495723724365234</v>
      </c>
    </row>
    <row r="102" spans="3:19" x14ac:dyDescent="0.2">
      <c r="C102" s="1">
        <v>39873</v>
      </c>
      <c r="E102" s="17">
        <v>34.645177264546241</v>
      </c>
      <c r="F102" s="17">
        <v>34.645177264546241</v>
      </c>
      <c r="G102" s="17">
        <v>35.84999313354492</v>
      </c>
      <c r="H102" s="17">
        <v>36.348545074462891</v>
      </c>
      <c r="I102" s="17">
        <v>34.773544311523437</v>
      </c>
      <c r="J102" s="17">
        <v>41.296916961669922</v>
      </c>
      <c r="K102" s="17">
        <v>40.200000000000003</v>
      </c>
      <c r="L102" s="17">
        <v>55.15</v>
      </c>
      <c r="M102" s="17">
        <v>33.5</v>
      </c>
      <c r="N102" s="17">
        <v>38.247505187988281</v>
      </c>
      <c r="O102" s="17">
        <v>33.898544311523438</v>
      </c>
      <c r="P102" s="17">
        <v>34.498542785644531</v>
      </c>
      <c r="Q102" s="17">
        <v>33.5</v>
      </c>
      <c r="R102" s="6">
        <v>39.747505187988281</v>
      </c>
      <c r="S102" s="6">
        <v>41.247505187988281</v>
      </c>
    </row>
    <row r="103" spans="3:19" x14ac:dyDescent="0.2">
      <c r="C103" s="1">
        <v>39904</v>
      </c>
      <c r="E103" s="17">
        <v>35.095178027485694</v>
      </c>
      <c r="F103" s="17">
        <v>35.095178027485694</v>
      </c>
      <c r="G103" s="17">
        <v>34.449991607666014</v>
      </c>
      <c r="H103" s="17">
        <v>36.348545074462891</v>
      </c>
      <c r="I103" s="17">
        <v>34.848545074462891</v>
      </c>
      <c r="J103" s="17">
        <v>39.196914672851563</v>
      </c>
      <c r="K103" s="17">
        <v>40.200000000000003</v>
      </c>
      <c r="L103" s="17">
        <v>55.15</v>
      </c>
      <c r="M103" s="17">
        <v>33</v>
      </c>
      <c r="N103" s="17">
        <v>38.497501373291016</v>
      </c>
      <c r="O103" s="17">
        <v>34.348545074462891</v>
      </c>
      <c r="P103" s="17">
        <v>34.948543548583984</v>
      </c>
      <c r="Q103" s="17">
        <v>33</v>
      </c>
      <c r="R103" s="6">
        <v>39.997501373291016</v>
      </c>
      <c r="S103" s="6">
        <v>41.497501373291016</v>
      </c>
    </row>
    <row r="104" spans="3:19" x14ac:dyDescent="0.2">
      <c r="C104" s="1">
        <v>39934</v>
      </c>
      <c r="E104" s="17">
        <v>41.253570556640625</v>
      </c>
      <c r="F104" s="17">
        <v>41.253570556640625</v>
      </c>
      <c r="G104" s="17">
        <v>37.900009155273438</v>
      </c>
      <c r="H104" s="17">
        <v>37.053565979003906</v>
      </c>
      <c r="I104" s="17">
        <v>36.253566741943359</v>
      </c>
      <c r="J104" s="17">
        <v>41.869416809082026</v>
      </c>
      <c r="K104" s="17">
        <v>40.200000000000003</v>
      </c>
      <c r="L104" s="17">
        <v>56.15</v>
      </c>
      <c r="M104" s="17">
        <v>37</v>
      </c>
      <c r="N104" s="17">
        <v>43.503570556640625</v>
      </c>
      <c r="O104" s="17">
        <v>42.678565979003906</v>
      </c>
      <c r="P104" s="17">
        <v>35.853565216064453</v>
      </c>
      <c r="Q104" s="17">
        <v>37</v>
      </c>
      <c r="R104" s="6">
        <v>46.503570556640625</v>
      </c>
      <c r="S104" s="6">
        <v>49.003570556640625</v>
      </c>
    </row>
    <row r="105" spans="3:19" x14ac:dyDescent="0.2">
      <c r="C105" s="1">
        <v>39965</v>
      </c>
      <c r="E105" s="17">
        <v>39.502857208251953</v>
      </c>
      <c r="F105" s="17">
        <v>39.502857208251953</v>
      </c>
      <c r="G105" s="17">
        <v>37.999996185302734</v>
      </c>
      <c r="H105" s="17">
        <v>34.502857208251953</v>
      </c>
      <c r="I105" s="17">
        <v>39.752857208251953</v>
      </c>
      <c r="J105" s="17">
        <v>32.294802093505865</v>
      </c>
      <c r="K105" s="17">
        <v>47.1</v>
      </c>
      <c r="L105" s="17">
        <v>74.150000000000006</v>
      </c>
      <c r="M105" s="17">
        <v>49</v>
      </c>
      <c r="N105" s="17">
        <v>45.502857208251953</v>
      </c>
      <c r="O105" s="17">
        <v>44.565357208251953</v>
      </c>
      <c r="P105" s="17">
        <v>41.102855682373047</v>
      </c>
      <c r="Q105" s="17">
        <v>49</v>
      </c>
      <c r="R105" s="6">
        <v>48.502857208251953</v>
      </c>
      <c r="S105" s="6">
        <v>51.002857208251953</v>
      </c>
    </row>
    <row r="106" spans="3:19" x14ac:dyDescent="0.2">
      <c r="C106" s="1">
        <v>39995</v>
      </c>
      <c r="E106" s="17">
        <v>53.097146606445314</v>
      </c>
      <c r="F106" s="17">
        <v>53.097146606445314</v>
      </c>
      <c r="G106" s="17">
        <v>45.749992370605469</v>
      </c>
      <c r="H106" s="17">
        <v>40.497146606445313</v>
      </c>
      <c r="I106" s="17">
        <v>57.834648132324219</v>
      </c>
      <c r="J106" s="17">
        <v>40.85</v>
      </c>
      <c r="K106" s="17">
        <v>58.85</v>
      </c>
      <c r="L106" s="17">
        <v>100.15</v>
      </c>
      <c r="M106" s="17">
        <v>63</v>
      </c>
      <c r="N106" s="17">
        <v>63.097146606445314</v>
      </c>
      <c r="O106" s="17">
        <v>55.422143554687501</v>
      </c>
      <c r="P106" s="17">
        <v>60.872146606445313</v>
      </c>
      <c r="Q106" s="17">
        <v>63</v>
      </c>
      <c r="R106" s="6">
        <v>69.097146606445307</v>
      </c>
      <c r="S106" s="6">
        <v>74.097146606445307</v>
      </c>
    </row>
    <row r="107" spans="3:19" x14ac:dyDescent="0.2">
      <c r="C107" s="1">
        <v>40026</v>
      </c>
      <c r="E107" s="17">
        <v>53.097146606445314</v>
      </c>
      <c r="F107" s="17">
        <v>53.097146606445314</v>
      </c>
      <c r="G107" s="17">
        <v>45.75</v>
      </c>
      <c r="H107" s="17">
        <v>40.497146606445313</v>
      </c>
      <c r="I107" s="17">
        <v>57.772148132324219</v>
      </c>
      <c r="J107" s="17">
        <v>40.85</v>
      </c>
      <c r="K107" s="17">
        <v>58.85</v>
      </c>
      <c r="L107" s="17">
        <v>100.64</v>
      </c>
      <c r="M107" s="17">
        <v>63</v>
      </c>
      <c r="N107" s="17">
        <v>63.097146606445314</v>
      </c>
      <c r="O107" s="17">
        <v>55.422143554687501</v>
      </c>
      <c r="P107" s="17">
        <v>60.872146606445313</v>
      </c>
      <c r="Q107" s="17">
        <v>63</v>
      </c>
      <c r="R107" s="6">
        <v>69.097146606445307</v>
      </c>
      <c r="S107" s="6">
        <v>74.097146606445307</v>
      </c>
    </row>
    <row r="108" spans="3:19" x14ac:dyDescent="0.2">
      <c r="C108" s="1">
        <v>40057</v>
      </c>
      <c r="E108" s="17">
        <v>35.652140045166014</v>
      </c>
      <c r="F108" s="17">
        <v>35.652140045166014</v>
      </c>
      <c r="G108" s="17">
        <v>35.750003814697266</v>
      </c>
      <c r="H108" s="17">
        <v>31.602143859863283</v>
      </c>
      <c r="I108" s="17">
        <v>35.277145385742187</v>
      </c>
      <c r="J108" s="17">
        <v>35.374413909912107</v>
      </c>
      <c r="K108" s="17">
        <v>37.85</v>
      </c>
      <c r="L108" s="17">
        <v>57.64</v>
      </c>
      <c r="M108" s="17">
        <v>33.5</v>
      </c>
      <c r="N108" s="17">
        <v>38.652140045166014</v>
      </c>
      <c r="O108" s="17">
        <v>37.677145385742186</v>
      </c>
      <c r="P108" s="17">
        <v>35.002143859863281</v>
      </c>
      <c r="Q108" s="17">
        <v>33.5</v>
      </c>
      <c r="R108" s="6">
        <v>41.152140045166014</v>
      </c>
      <c r="S108" s="6">
        <v>43.652140045166014</v>
      </c>
    </row>
    <row r="109" spans="3:19" x14ac:dyDescent="0.2">
      <c r="C109" s="1">
        <v>40087</v>
      </c>
      <c r="E109" s="17">
        <v>34.652062177658081</v>
      </c>
      <c r="F109" s="17">
        <v>34.652062177658081</v>
      </c>
      <c r="G109" s="17">
        <v>32.800003051757813</v>
      </c>
      <c r="H109" s="17">
        <v>35.593929290771484</v>
      </c>
      <c r="I109" s="17">
        <v>34.091434478759766</v>
      </c>
      <c r="J109" s="17">
        <v>40.404998779296875</v>
      </c>
      <c r="K109" s="17">
        <v>39.1</v>
      </c>
      <c r="L109" s="17">
        <v>56.64</v>
      </c>
      <c r="M109" s="17">
        <v>32</v>
      </c>
      <c r="N109" s="17">
        <v>36.498935699462891</v>
      </c>
      <c r="O109" s="17">
        <v>34.403934478759766</v>
      </c>
      <c r="P109" s="17">
        <v>32.753932952880859</v>
      </c>
      <c r="Q109" s="17">
        <v>32</v>
      </c>
      <c r="R109" s="6">
        <v>37.998935699462891</v>
      </c>
      <c r="S109" s="6">
        <v>39.498935699462891</v>
      </c>
    </row>
    <row r="110" spans="3:19" x14ac:dyDescent="0.2">
      <c r="C110" s="1">
        <v>40118</v>
      </c>
      <c r="E110" s="17">
        <v>34.752060651779175</v>
      </c>
      <c r="F110" s="17">
        <v>34.752060651779175</v>
      </c>
      <c r="G110" s="17">
        <v>32.499996185302734</v>
      </c>
      <c r="H110" s="17">
        <v>39.093929290771484</v>
      </c>
      <c r="I110" s="17">
        <v>34.128932952880859</v>
      </c>
      <c r="J110" s="17">
        <v>41.201915740966797</v>
      </c>
      <c r="K110" s="17">
        <v>39.1</v>
      </c>
      <c r="L110" s="17">
        <v>56.64</v>
      </c>
      <c r="M110" s="17">
        <v>32</v>
      </c>
      <c r="N110" s="17">
        <v>36.498935699462891</v>
      </c>
      <c r="O110" s="17">
        <v>34.503932952880859</v>
      </c>
      <c r="P110" s="17">
        <v>32.853931427001953</v>
      </c>
      <c r="Q110" s="17">
        <v>32</v>
      </c>
      <c r="R110" s="6">
        <v>37.998935699462891</v>
      </c>
      <c r="S110" s="6">
        <v>39.498935699462891</v>
      </c>
    </row>
    <row r="111" spans="3:19" x14ac:dyDescent="0.2">
      <c r="C111" s="1">
        <v>40148</v>
      </c>
      <c r="E111" s="17">
        <v>34.852059125900269</v>
      </c>
      <c r="F111" s="17">
        <v>34.852059125900269</v>
      </c>
      <c r="G111" s="17">
        <v>33.499996185302734</v>
      </c>
      <c r="H111" s="17">
        <v>39.593929290771484</v>
      </c>
      <c r="I111" s="17">
        <v>34.166431427001953</v>
      </c>
      <c r="J111" s="17">
        <v>41.957302093505859</v>
      </c>
      <c r="K111" s="17">
        <v>39.1</v>
      </c>
      <c r="L111" s="17">
        <v>56.64</v>
      </c>
      <c r="M111" s="17">
        <v>32</v>
      </c>
      <c r="N111" s="17">
        <v>36.498935699462891</v>
      </c>
      <c r="O111" s="17">
        <v>34.603931427001953</v>
      </c>
      <c r="P111" s="17">
        <v>32.953929901123047</v>
      </c>
      <c r="Q111" s="17">
        <v>32</v>
      </c>
      <c r="R111" s="6">
        <v>37.998935699462891</v>
      </c>
      <c r="S111" s="6">
        <v>39.498935699462891</v>
      </c>
    </row>
    <row r="112" spans="3:19" x14ac:dyDescent="0.2">
      <c r="C112" s="1">
        <v>40179</v>
      </c>
      <c r="E112" s="17">
        <v>40.281435285295757</v>
      </c>
      <c r="F112" s="17">
        <v>40.281435285295757</v>
      </c>
      <c r="G112" s="17">
        <v>40.969999694824217</v>
      </c>
      <c r="H112" s="17">
        <v>43.230865478515625</v>
      </c>
      <c r="I112" s="17">
        <v>39.407863616943359</v>
      </c>
      <c r="J112" s="17">
        <v>51.298839569091797</v>
      </c>
      <c r="K112" s="17">
        <v>51.6</v>
      </c>
      <c r="L112" s="17">
        <v>68.849999999999994</v>
      </c>
      <c r="M112" s="17">
        <v>38.25</v>
      </c>
      <c r="N112" s="17">
        <v>42.500717163085938</v>
      </c>
      <c r="O112" s="17">
        <v>39.782863616943359</v>
      </c>
      <c r="P112" s="17">
        <v>39.882862091064453</v>
      </c>
      <c r="Q112" s="17">
        <v>38.25</v>
      </c>
      <c r="R112" s="6">
        <v>44.000717163085938</v>
      </c>
      <c r="S112" s="6">
        <v>45.500717163085937</v>
      </c>
    </row>
    <row r="113" spans="1:19" x14ac:dyDescent="0.2">
      <c r="C113" s="1">
        <v>40210</v>
      </c>
      <c r="E113" s="17">
        <v>39.931432996477398</v>
      </c>
      <c r="F113" s="17">
        <v>39.931432996477398</v>
      </c>
      <c r="G113" s="17">
        <v>39.819994354248045</v>
      </c>
      <c r="H113" s="17">
        <v>43.882862091064453</v>
      </c>
      <c r="I113" s="17">
        <v>38.932861328125</v>
      </c>
      <c r="J113" s="17">
        <v>49.298839569091797</v>
      </c>
      <c r="K113" s="17">
        <v>51.6</v>
      </c>
      <c r="L113" s="17">
        <v>68.849999999999994</v>
      </c>
      <c r="M113" s="17">
        <v>38.25</v>
      </c>
      <c r="N113" s="17">
        <v>42.745723724365234</v>
      </c>
      <c r="O113" s="17">
        <v>39.432861328125</v>
      </c>
      <c r="P113" s="17">
        <v>39.532859802246094</v>
      </c>
      <c r="Q113" s="17">
        <v>38.25</v>
      </c>
      <c r="R113" s="6">
        <v>44.245723724365234</v>
      </c>
      <c r="S113" s="6">
        <v>45.745723724365234</v>
      </c>
    </row>
    <row r="114" spans="1:19" x14ac:dyDescent="0.2">
      <c r="C114" s="1">
        <v>40238</v>
      </c>
      <c r="E114" s="17">
        <v>34.895177264546241</v>
      </c>
      <c r="F114" s="17">
        <v>34.895177264546241</v>
      </c>
      <c r="G114" s="17">
        <v>36.34999313354492</v>
      </c>
      <c r="H114" s="17">
        <v>36.848545074462891</v>
      </c>
      <c r="I114" s="17">
        <v>35.023544311523438</v>
      </c>
      <c r="J114" s="17">
        <v>41.546916961669922</v>
      </c>
      <c r="K114" s="17">
        <v>40.700000000000003</v>
      </c>
      <c r="L114" s="17">
        <v>55.85</v>
      </c>
      <c r="M114" s="17">
        <v>34</v>
      </c>
      <c r="N114" s="17">
        <v>38.497505187988281</v>
      </c>
      <c r="O114" s="17">
        <v>34.148544311523438</v>
      </c>
      <c r="P114" s="17">
        <v>34.248542785644531</v>
      </c>
      <c r="Q114" s="17">
        <v>34</v>
      </c>
      <c r="R114" s="6">
        <v>39.997505187988281</v>
      </c>
      <c r="S114" s="6">
        <v>41.497505187988281</v>
      </c>
    </row>
    <row r="115" spans="1:19" x14ac:dyDescent="0.2">
      <c r="C115" s="1">
        <v>40269</v>
      </c>
      <c r="E115" s="17">
        <v>35.345178027485694</v>
      </c>
      <c r="F115" s="17">
        <v>35.345178027485694</v>
      </c>
      <c r="G115" s="17">
        <v>34.949991607666014</v>
      </c>
      <c r="H115" s="17">
        <v>36.848545074462891</v>
      </c>
      <c r="I115" s="17">
        <v>35.098545074462891</v>
      </c>
      <c r="J115" s="17">
        <v>39.446914672851563</v>
      </c>
      <c r="K115" s="17">
        <v>40.700000000000003</v>
      </c>
      <c r="L115" s="17">
        <v>55.85</v>
      </c>
      <c r="M115" s="17">
        <v>33</v>
      </c>
      <c r="N115" s="17">
        <v>38.747501373291016</v>
      </c>
      <c r="O115" s="17">
        <v>34.598545074462891</v>
      </c>
      <c r="P115" s="17">
        <v>34.698543548583984</v>
      </c>
      <c r="Q115" s="17">
        <v>33</v>
      </c>
      <c r="R115" s="6">
        <v>40.247501373291016</v>
      </c>
      <c r="S115" s="6">
        <v>41.747501373291016</v>
      </c>
    </row>
    <row r="116" spans="1:19" x14ac:dyDescent="0.2">
      <c r="C116" s="1">
        <v>40299</v>
      </c>
      <c r="E116" s="17">
        <v>41.503570556640625</v>
      </c>
      <c r="F116" s="17">
        <v>41.503570556640625</v>
      </c>
      <c r="G116" s="17">
        <v>38.400009155273438</v>
      </c>
      <c r="H116" s="17">
        <v>37.553565979003906</v>
      </c>
      <c r="I116" s="17">
        <v>36.503566741943359</v>
      </c>
      <c r="J116" s="17">
        <v>42.081916809082024</v>
      </c>
      <c r="K116" s="17">
        <v>40.700000000000003</v>
      </c>
      <c r="L116" s="17">
        <v>56.85</v>
      </c>
      <c r="M116" s="17">
        <v>37</v>
      </c>
      <c r="N116" s="17">
        <v>43.753570556640625</v>
      </c>
      <c r="O116" s="17">
        <v>42.853565216064453</v>
      </c>
      <c r="P116" s="17">
        <v>35.603565216064453</v>
      </c>
      <c r="Q116" s="17">
        <v>37</v>
      </c>
      <c r="R116" s="6">
        <v>46.753570556640625</v>
      </c>
      <c r="S116" s="6">
        <v>49.253570556640625</v>
      </c>
    </row>
    <row r="117" spans="1:19" x14ac:dyDescent="0.2">
      <c r="C117" s="1">
        <v>40330</v>
      </c>
      <c r="E117" s="17">
        <v>40.252857208251953</v>
      </c>
      <c r="F117" s="17">
        <v>40.252857208251953</v>
      </c>
      <c r="G117" s="17">
        <v>39.249996185302734</v>
      </c>
      <c r="H117" s="17">
        <v>35.502857208251953</v>
      </c>
      <c r="I117" s="17">
        <v>40.502857208251953</v>
      </c>
      <c r="J117" s="17">
        <v>32.782302093505862</v>
      </c>
      <c r="K117" s="17">
        <v>47.6</v>
      </c>
      <c r="L117" s="17">
        <v>74.849999999999994</v>
      </c>
      <c r="M117" s="17">
        <v>49</v>
      </c>
      <c r="N117" s="17">
        <v>46.252857208251953</v>
      </c>
      <c r="O117" s="17">
        <v>44.965358734130859</v>
      </c>
      <c r="P117" s="17">
        <v>41.352855682373047</v>
      </c>
      <c r="Q117" s="17">
        <v>49</v>
      </c>
      <c r="R117" s="6">
        <v>49.252857208251953</v>
      </c>
      <c r="S117" s="6">
        <v>51.752857208251953</v>
      </c>
    </row>
    <row r="118" spans="1:19" x14ac:dyDescent="0.2">
      <c r="C118" s="1">
        <v>40360</v>
      </c>
      <c r="E118" s="17">
        <v>54.847146606445314</v>
      </c>
      <c r="F118" s="17">
        <v>54.847146606445314</v>
      </c>
      <c r="G118" s="17">
        <v>47.749992370605469</v>
      </c>
      <c r="H118" s="17">
        <v>42.497146606445313</v>
      </c>
      <c r="I118" s="17">
        <v>59.584648132324219</v>
      </c>
      <c r="J118" s="17">
        <v>42.075000000000003</v>
      </c>
      <c r="K118" s="17">
        <v>59.35</v>
      </c>
      <c r="L118" s="17">
        <v>100.85</v>
      </c>
      <c r="M118" s="17">
        <v>63</v>
      </c>
      <c r="N118" s="17">
        <v>64.847146606445307</v>
      </c>
      <c r="O118" s="17">
        <v>56.572145080566408</v>
      </c>
      <c r="P118" s="17">
        <v>62.122146606445313</v>
      </c>
      <c r="Q118" s="17">
        <v>63</v>
      </c>
      <c r="R118" s="6">
        <v>70.847146606445307</v>
      </c>
      <c r="S118" s="6">
        <v>75.847146606445307</v>
      </c>
    </row>
    <row r="119" spans="1:19" x14ac:dyDescent="0.2">
      <c r="C119" s="1">
        <v>40391</v>
      </c>
      <c r="E119" s="17">
        <v>54.847146606445314</v>
      </c>
      <c r="F119" s="17">
        <v>54.847146606445314</v>
      </c>
      <c r="G119" s="17">
        <v>47.75</v>
      </c>
      <c r="H119" s="17">
        <v>42.497146606445313</v>
      </c>
      <c r="I119" s="17">
        <v>59.522148132324219</v>
      </c>
      <c r="J119" s="17">
        <v>42.075000000000003</v>
      </c>
      <c r="K119" s="17">
        <v>59.35</v>
      </c>
      <c r="L119" s="17">
        <v>101.34</v>
      </c>
      <c r="M119" s="17">
        <v>63</v>
      </c>
      <c r="N119" s="17">
        <v>64.847146606445307</v>
      </c>
      <c r="O119" s="17">
        <v>56.572145080566408</v>
      </c>
      <c r="P119" s="17">
        <v>62.122146606445313</v>
      </c>
      <c r="Q119" s="17">
        <v>63</v>
      </c>
      <c r="R119" s="6">
        <v>70.847146606445307</v>
      </c>
      <c r="S119" s="6">
        <v>75.847146606445307</v>
      </c>
    </row>
    <row r="120" spans="1:19" x14ac:dyDescent="0.2">
      <c r="C120" s="1">
        <v>40422</v>
      </c>
      <c r="E120" s="17">
        <v>35.902140045166014</v>
      </c>
      <c r="F120" s="17">
        <v>35.902140045166014</v>
      </c>
      <c r="G120" s="17">
        <v>36.250003814697266</v>
      </c>
      <c r="H120" s="17">
        <v>32.102143859863283</v>
      </c>
      <c r="I120" s="17">
        <v>35.527145385742187</v>
      </c>
      <c r="J120" s="17">
        <v>35.586913909912106</v>
      </c>
      <c r="K120" s="17">
        <v>38.35</v>
      </c>
      <c r="L120" s="17">
        <v>58.34</v>
      </c>
      <c r="M120" s="17">
        <v>33.5</v>
      </c>
      <c r="N120" s="17">
        <v>38.902140045166014</v>
      </c>
      <c r="O120" s="17">
        <v>37.852144622802733</v>
      </c>
      <c r="P120" s="17">
        <v>34.752143859863281</v>
      </c>
      <c r="Q120" s="17">
        <v>33.5</v>
      </c>
      <c r="R120" s="6">
        <v>41.402140045166014</v>
      </c>
      <c r="S120" s="6">
        <v>43.902140045166014</v>
      </c>
    </row>
    <row r="121" spans="1:19" x14ac:dyDescent="0.2">
      <c r="C121" s="1">
        <v>40452</v>
      </c>
      <c r="E121" s="17">
        <v>34.902062177658081</v>
      </c>
      <c r="F121" s="17">
        <v>34.902062177658081</v>
      </c>
      <c r="G121" s="17">
        <v>33.150003051757814</v>
      </c>
      <c r="H121" s="17">
        <v>36.093929290771484</v>
      </c>
      <c r="I121" s="17">
        <v>34.341434478759766</v>
      </c>
      <c r="J121" s="17">
        <v>40.654998779296875</v>
      </c>
      <c r="K121" s="17">
        <v>39.6</v>
      </c>
      <c r="L121" s="17">
        <v>57.34</v>
      </c>
      <c r="M121" s="17">
        <v>32</v>
      </c>
      <c r="N121" s="17">
        <v>36.748935699462891</v>
      </c>
      <c r="O121" s="17">
        <v>34.653934478759766</v>
      </c>
      <c r="P121" s="17">
        <v>32.503932952880859</v>
      </c>
      <c r="Q121" s="17">
        <v>32</v>
      </c>
      <c r="R121" s="6">
        <v>38.248935699462891</v>
      </c>
      <c r="S121" s="6">
        <v>39.748935699462891</v>
      </c>
    </row>
    <row r="122" spans="1:19" x14ac:dyDescent="0.2">
      <c r="C122" s="1">
        <v>40483</v>
      </c>
      <c r="E122" s="17">
        <v>35.002060651779175</v>
      </c>
      <c r="F122" s="17">
        <v>35.002060651779175</v>
      </c>
      <c r="G122" s="17">
        <v>32.849996185302736</v>
      </c>
      <c r="H122" s="17">
        <v>39.593929290771484</v>
      </c>
      <c r="I122" s="17">
        <v>34.378932952880859</v>
      </c>
      <c r="J122" s="17">
        <v>41.451915740966797</v>
      </c>
      <c r="K122" s="17">
        <v>39.6</v>
      </c>
      <c r="L122" s="17">
        <v>57.34</v>
      </c>
      <c r="M122" s="17">
        <v>32</v>
      </c>
      <c r="N122" s="17">
        <v>36.748935699462891</v>
      </c>
      <c r="O122" s="17">
        <v>34.753932952880859</v>
      </c>
      <c r="P122" s="17">
        <v>32.603931427001953</v>
      </c>
      <c r="Q122" s="17">
        <v>32</v>
      </c>
      <c r="R122" s="6">
        <v>38.248935699462891</v>
      </c>
      <c r="S122" s="6">
        <v>39.748935699462891</v>
      </c>
    </row>
    <row r="123" spans="1:19" x14ac:dyDescent="0.2">
      <c r="C123" s="1">
        <v>40513</v>
      </c>
      <c r="E123" s="17">
        <v>35.102059125900269</v>
      </c>
      <c r="F123" s="17">
        <v>35.102059125900269</v>
      </c>
      <c r="G123" s="17">
        <v>33.849996185302736</v>
      </c>
      <c r="H123" s="17">
        <v>40.093929290771484</v>
      </c>
      <c r="I123" s="17">
        <v>34.416431427001953</v>
      </c>
      <c r="J123" s="17">
        <v>42.207302093505859</v>
      </c>
      <c r="K123" s="17">
        <v>39.6</v>
      </c>
      <c r="L123" s="17">
        <v>57.34</v>
      </c>
      <c r="M123" s="17">
        <v>32</v>
      </c>
      <c r="N123" s="17">
        <v>36.748935699462891</v>
      </c>
      <c r="O123" s="17">
        <v>34.853931427001953</v>
      </c>
      <c r="P123" s="17">
        <v>32.703929901123047</v>
      </c>
      <c r="Q123" s="17">
        <v>32</v>
      </c>
      <c r="R123" s="6">
        <v>38.248935699462891</v>
      </c>
      <c r="S123" s="6">
        <v>39.748935699462891</v>
      </c>
    </row>
    <row r="125" spans="1:19" x14ac:dyDescent="0.2">
      <c r="A125" s="5" t="s">
        <v>42</v>
      </c>
      <c r="B125" s="5"/>
      <c r="C125" s="5"/>
      <c r="D125" s="5"/>
      <c r="E125" s="13" t="str">
        <f>'Filter-old'!E$1</f>
        <v>CINERGY</v>
      </c>
      <c r="F125" s="13" t="str">
        <f>'Filter-old'!F$1</f>
        <v>Manitoba</v>
      </c>
      <c r="G125" s="13" t="str">
        <f>'Filter-old'!G$1</f>
        <v>ERCOT</v>
      </c>
      <c r="H125" s="13" t="str">
        <f>'Filter-old'!H$1</f>
        <v>INTO COMED</v>
      </c>
      <c r="I125" s="13" t="str">
        <f>'Filter-old'!I$1</f>
        <v>INTO TVA</v>
      </c>
      <c r="J125" s="13" t="str">
        <f>'Filter-old'!J$1</f>
        <v>MAPP</v>
      </c>
      <c r="K125" s="13" t="str">
        <f>'Filter-old'!K$1</f>
        <v>NEPOOL</v>
      </c>
      <c r="L125" s="13" t="str">
        <f>'Filter-old'!L$1</f>
        <v>INTO AEP</v>
      </c>
      <c r="M125" s="13" t="str">
        <f>'Filter-old'!M$1</f>
        <v>NY Zone A</v>
      </c>
      <c r="N125" s="13" t="str">
        <f>'Filter-old'!O$1</f>
        <v>SOCO</v>
      </c>
      <c r="O125" s="13" t="str">
        <f>'Filter-old'!P$1</f>
        <v>NSP</v>
      </c>
      <c r="P125" s="13" t="str">
        <f>'Filter-old'!Q$1</f>
        <v>SPP</v>
      </c>
      <c r="Q125" s="13" t="str">
        <f>'Filter-old'!R$1</f>
        <v>WESTERN HUB</v>
      </c>
      <c r="R125" s="5" t="s">
        <v>37</v>
      </c>
      <c r="S125" s="5" t="s">
        <v>38</v>
      </c>
    </row>
    <row r="126" spans="1:19" x14ac:dyDescent="0.2">
      <c r="C126" s="1"/>
      <c r="E126" s="16">
        <v>8</v>
      </c>
      <c r="F126" s="16">
        <f>E126</f>
        <v>8</v>
      </c>
      <c r="G126" s="16">
        <v>15</v>
      </c>
      <c r="H126" s="16">
        <v>9</v>
      </c>
      <c r="I126" s="16">
        <v>11</v>
      </c>
      <c r="J126" s="16">
        <v>16</v>
      </c>
      <c r="K126" s="16">
        <v>2</v>
      </c>
      <c r="L126" s="16">
        <v>7</v>
      </c>
      <c r="M126" s="16">
        <v>3</v>
      </c>
      <c r="N126" s="16">
        <v>12</v>
      </c>
      <c r="O126" s="16">
        <v>17</v>
      </c>
      <c r="P126" s="16">
        <v>10</v>
      </c>
      <c r="Q126" s="16">
        <v>3</v>
      </c>
      <c r="R126" s="11">
        <v>13</v>
      </c>
      <c r="S126" s="11">
        <v>14</v>
      </c>
    </row>
    <row r="127" spans="1:19" x14ac:dyDescent="0.2">
      <c r="C127" s="1"/>
      <c r="E127" s="7" t="s">
        <v>33</v>
      </c>
      <c r="F127" s="7" t="str">
        <f>E127</f>
        <v>Cinergy</v>
      </c>
      <c r="G127" s="7" t="s">
        <v>5</v>
      </c>
      <c r="H127" s="7" t="s">
        <v>34</v>
      </c>
      <c r="I127" s="7" t="s">
        <v>36</v>
      </c>
      <c r="J127" s="7" t="s">
        <v>8</v>
      </c>
      <c r="K127" s="7" t="s">
        <v>9</v>
      </c>
      <c r="L127" s="7" t="s">
        <v>32</v>
      </c>
      <c r="M127" s="7" t="s">
        <v>31</v>
      </c>
      <c r="N127" s="7" t="s">
        <v>12</v>
      </c>
      <c r="O127" s="7" t="s">
        <v>39</v>
      </c>
      <c r="P127" s="7" t="s">
        <v>35</v>
      </c>
      <c r="Q127" s="7" t="s">
        <v>31</v>
      </c>
      <c r="R127" s="7" t="s">
        <v>37</v>
      </c>
      <c r="S127" s="7" t="s">
        <v>38</v>
      </c>
    </row>
    <row r="128" spans="1:19" x14ac:dyDescent="0.2">
      <c r="C128" s="1">
        <f>'Filter-old'!C3</f>
        <v>36892</v>
      </c>
      <c r="E128" s="17" t="e">
        <f>VLOOKUP($C128,[1]Peak_Forward!$A$6:$Q$128,'price-old'!E$2,FALSE)</f>
        <v>#N/A</v>
      </c>
      <c r="F128" s="17" t="e">
        <f>VLOOKUP($C128,[1]Peak_Forward!$A$6:$Q$128,'price-old'!F$2,FALSE)</f>
        <v>#N/A</v>
      </c>
      <c r="G128" s="17" t="e">
        <f>VLOOKUP($C128,[1]Peak_Forward!$A$6:$Q$128,'price-old'!G$2,FALSE)</f>
        <v>#N/A</v>
      </c>
      <c r="H128" s="17" t="e">
        <f>VLOOKUP($C128,[1]Peak_Forward!$A$6:$Q$128,'price-old'!H$2,FALSE)</f>
        <v>#N/A</v>
      </c>
      <c r="I128" s="17" t="e">
        <f>VLOOKUP($C128,[1]Peak_Forward!$A$6:$Q$128,'price-old'!I$2,FALSE)</f>
        <v>#N/A</v>
      </c>
      <c r="J128" s="17" t="e">
        <f>VLOOKUP($C128,[1]Peak_Forward!$A$6:$Q$128,'price-old'!J$2,FALSE)</f>
        <v>#N/A</v>
      </c>
      <c r="K128" s="17" t="e">
        <f>VLOOKUP($C128,[1]Peak_Forward!$A$6:$Q$128,'price-old'!K$2,FALSE)</f>
        <v>#N/A</v>
      </c>
      <c r="L128" s="17" t="e">
        <f>VLOOKUP($C128,[1]Peak_Forward!$A$6:$Q$128,'price-old'!L$2,FALSE)</f>
        <v>#N/A</v>
      </c>
      <c r="M128" s="17" t="e">
        <f>VLOOKUP($C128,[1]Peak_Forward!$A$6:$Q$128,'price-old'!M$2,FALSE)</f>
        <v>#N/A</v>
      </c>
      <c r="N128" s="17" t="e">
        <f>VLOOKUP($C128,[1]Peak_Forward!$A$6:$Q$128,'price-old'!N$2,FALSE)</f>
        <v>#N/A</v>
      </c>
      <c r="O128" s="17" t="e">
        <f>VLOOKUP($C128,[1]Peak_Forward!$A$6:$Q$128,'price-old'!O$2,FALSE)</f>
        <v>#N/A</v>
      </c>
      <c r="P128" s="17" t="e">
        <f>VLOOKUP($C128,[1]Peak_Forward!$A$6:$Q$128,'price-old'!P$2,FALSE)</f>
        <v>#N/A</v>
      </c>
      <c r="Q128" s="17" t="e">
        <f>VLOOKUP($C128,[1]Peak_Forward!$A$6:$Q$128,'price-old'!Q$2,FALSE)</f>
        <v>#N/A</v>
      </c>
      <c r="R128" s="6" t="e">
        <f>VLOOKUP($C128,[1]Peak_Forward!$A$6:$Q$128,'price-old'!R$2,FALSE)</f>
        <v>#N/A</v>
      </c>
      <c r="S128" s="6" t="e">
        <f>VLOOKUP($C128,[1]Peak_Forward!$A$6:$Q$128,'price-old'!S$2,FALSE)</f>
        <v>#N/A</v>
      </c>
    </row>
    <row r="129" spans="3:19" x14ac:dyDescent="0.2">
      <c r="C129" s="1">
        <f>'Filter-old'!C4</f>
        <v>36923</v>
      </c>
      <c r="E129" s="17" t="e">
        <f>VLOOKUP($C129,[1]Peak_Forward!$A$6:$Q$128,'price-old'!E$2,FALSE)</f>
        <v>#N/A</v>
      </c>
      <c r="F129" s="17" t="e">
        <f>VLOOKUP($C129,[1]Peak_Forward!$A$6:$Q$128,'price-old'!F$2,FALSE)</f>
        <v>#N/A</v>
      </c>
      <c r="G129" s="17" t="e">
        <f>VLOOKUP($C129,[1]Peak_Forward!$A$6:$Q$128,'price-old'!G$2,FALSE)</f>
        <v>#N/A</v>
      </c>
      <c r="H129" s="17" t="e">
        <f>VLOOKUP($C129,[1]Peak_Forward!$A$6:$Q$128,'price-old'!H$2,FALSE)</f>
        <v>#N/A</v>
      </c>
      <c r="I129" s="17" t="e">
        <f>VLOOKUP($C129,[1]Peak_Forward!$A$6:$Q$128,'price-old'!I$2,FALSE)</f>
        <v>#N/A</v>
      </c>
      <c r="J129" s="17" t="e">
        <f>VLOOKUP($C129,[1]Peak_Forward!$A$6:$Q$128,'price-old'!J$2,FALSE)</f>
        <v>#N/A</v>
      </c>
      <c r="K129" s="17" t="e">
        <f>VLOOKUP($C129,[1]Peak_Forward!$A$6:$Q$128,'price-old'!K$2,FALSE)</f>
        <v>#N/A</v>
      </c>
      <c r="L129" s="17" t="e">
        <f>VLOOKUP($C129,[1]Peak_Forward!$A$6:$Q$128,'price-old'!L$2,FALSE)</f>
        <v>#N/A</v>
      </c>
      <c r="M129" s="17" t="e">
        <f>VLOOKUP($C129,[1]Peak_Forward!$A$6:$Q$128,'price-old'!M$2,FALSE)</f>
        <v>#N/A</v>
      </c>
      <c r="N129" s="17" t="e">
        <f>VLOOKUP($C129,[1]Peak_Forward!$A$6:$Q$128,'price-old'!N$2,FALSE)</f>
        <v>#N/A</v>
      </c>
      <c r="O129" s="17" t="e">
        <f>VLOOKUP($C129,[1]Peak_Forward!$A$6:$Q$128,'price-old'!O$2,FALSE)</f>
        <v>#N/A</v>
      </c>
      <c r="P129" s="17" t="e">
        <f>VLOOKUP($C129,[1]Peak_Forward!$A$6:$Q$128,'price-old'!P$2,FALSE)</f>
        <v>#N/A</v>
      </c>
      <c r="Q129" s="17" t="e">
        <f>VLOOKUP($C129,[1]Peak_Forward!$A$6:$Q$128,'price-old'!Q$2,FALSE)</f>
        <v>#N/A</v>
      </c>
      <c r="R129" s="6" t="e">
        <f>VLOOKUP($C129,[1]Peak_Forward!$A$6:$Q$128,'price-old'!R$2,FALSE)</f>
        <v>#N/A</v>
      </c>
      <c r="S129" s="6" t="e">
        <f>VLOOKUP($C129,[1]Peak_Forward!$A$6:$Q$128,'price-old'!S$2,FALSE)</f>
        <v>#N/A</v>
      </c>
    </row>
    <row r="130" spans="3:19" x14ac:dyDescent="0.2">
      <c r="C130" s="1">
        <f>'Filter-old'!C5</f>
        <v>36951</v>
      </c>
      <c r="E130" s="17" t="e">
        <f>VLOOKUP($C130,[1]Peak_Forward!$A$6:$Q$128,'price-old'!E$2,FALSE)</f>
        <v>#N/A</v>
      </c>
      <c r="F130" s="17" t="e">
        <f>VLOOKUP($C130,[1]Peak_Forward!$A$6:$Q$128,'price-old'!F$2,FALSE)</f>
        <v>#N/A</v>
      </c>
      <c r="G130" s="17" t="e">
        <f>VLOOKUP($C130,[1]Peak_Forward!$A$6:$Q$128,'price-old'!G$2,FALSE)</f>
        <v>#N/A</v>
      </c>
      <c r="H130" s="17" t="e">
        <f>VLOOKUP($C130,[1]Peak_Forward!$A$6:$Q$128,'price-old'!H$2,FALSE)</f>
        <v>#N/A</v>
      </c>
      <c r="I130" s="17" t="e">
        <f>VLOOKUP($C130,[1]Peak_Forward!$A$6:$Q$128,'price-old'!I$2,FALSE)</f>
        <v>#N/A</v>
      </c>
      <c r="J130" s="17" t="e">
        <f>VLOOKUP($C130,[1]Peak_Forward!$A$6:$Q$128,'price-old'!J$2,FALSE)</f>
        <v>#N/A</v>
      </c>
      <c r="K130" s="17" t="e">
        <f>VLOOKUP($C130,[1]Peak_Forward!$A$6:$Q$128,'price-old'!K$2,FALSE)</f>
        <v>#N/A</v>
      </c>
      <c r="L130" s="17" t="e">
        <f>VLOOKUP($C130,[1]Peak_Forward!$A$6:$Q$128,'price-old'!L$2,FALSE)</f>
        <v>#N/A</v>
      </c>
      <c r="M130" s="17" t="e">
        <f>VLOOKUP($C130,[1]Peak_Forward!$A$6:$Q$128,'price-old'!M$2,FALSE)</f>
        <v>#N/A</v>
      </c>
      <c r="N130" s="17" t="e">
        <f>VLOOKUP($C130,[1]Peak_Forward!$A$6:$Q$128,'price-old'!N$2,FALSE)</f>
        <v>#N/A</v>
      </c>
      <c r="O130" s="17" t="e">
        <f>VLOOKUP($C130,[1]Peak_Forward!$A$6:$Q$128,'price-old'!O$2,FALSE)</f>
        <v>#N/A</v>
      </c>
      <c r="P130" s="17" t="e">
        <f>VLOOKUP($C130,[1]Peak_Forward!$A$6:$Q$128,'price-old'!P$2,FALSE)</f>
        <v>#N/A</v>
      </c>
      <c r="Q130" s="17" t="e">
        <f>VLOOKUP($C130,[1]Peak_Forward!$A$6:$Q$128,'price-old'!Q$2,FALSE)</f>
        <v>#N/A</v>
      </c>
      <c r="R130" s="6" t="e">
        <f>VLOOKUP($C130,[1]Peak_Forward!$A$6:$Q$128,'price-old'!R$2,FALSE)</f>
        <v>#N/A</v>
      </c>
      <c r="S130" s="6" t="e">
        <f>VLOOKUP($C130,[1]Peak_Forward!$A$6:$Q$128,'price-old'!S$2,FALSE)</f>
        <v>#N/A</v>
      </c>
    </row>
    <row r="131" spans="3:19" x14ac:dyDescent="0.2">
      <c r="C131" s="1">
        <f>'Filter-old'!C6</f>
        <v>36982</v>
      </c>
      <c r="E131" s="17" t="e">
        <f>VLOOKUP($C131,[1]Peak_Forward!$A$6:$Q$128,'price-old'!E$2,FALSE)</f>
        <v>#N/A</v>
      </c>
      <c r="F131" s="17" t="e">
        <f>VLOOKUP($C131,[1]Peak_Forward!$A$6:$Q$128,'price-old'!F$2,FALSE)</f>
        <v>#N/A</v>
      </c>
      <c r="G131" s="17" t="e">
        <f>VLOOKUP($C131,[1]Peak_Forward!$A$6:$Q$128,'price-old'!G$2,FALSE)</f>
        <v>#N/A</v>
      </c>
      <c r="H131" s="17" t="e">
        <f>VLOOKUP($C131,[1]Peak_Forward!$A$6:$Q$128,'price-old'!H$2,FALSE)</f>
        <v>#N/A</v>
      </c>
      <c r="I131" s="17" t="e">
        <f>VLOOKUP($C131,[1]Peak_Forward!$A$6:$Q$128,'price-old'!I$2,FALSE)</f>
        <v>#N/A</v>
      </c>
      <c r="J131" s="17" t="e">
        <f>VLOOKUP($C131,[1]Peak_Forward!$A$6:$Q$128,'price-old'!J$2,FALSE)</f>
        <v>#N/A</v>
      </c>
      <c r="K131" s="17" t="e">
        <f>VLOOKUP($C131,[1]Peak_Forward!$A$6:$Q$128,'price-old'!K$2,FALSE)</f>
        <v>#N/A</v>
      </c>
      <c r="L131" s="17" t="e">
        <f>VLOOKUP($C131,[1]Peak_Forward!$A$6:$Q$128,'price-old'!L$2,FALSE)</f>
        <v>#N/A</v>
      </c>
      <c r="M131" s="17" t="e">
        <f>VLOOKUP($C131,[1]Peak_Forward!$A$6:$Q$128,'price-old'!M$2,FALSE)</f>
        <v>#N/A</v>
      </c>
      <c r="N131" s="17" t="e">
        <f>VLOOKUP($C131,[1]Peak_Forward!$A$6:$Q$128,'price-old'!N$2,FALSE)</f>
        <v>#N/A</v>
      </c>
      <c r="O131" s="17" t="e">
        <f>VLOOKUP($C131,[1]Peak_Forward!$A$6:$Q$128,'price-old'!O$2,FALSE)</f>
        <v>#N/A</v>
      </c>
      <c r="P131" s="17" t="e">
        <f>VLOOKUP($C131,[1]Peak_Forward!$A$6:$Q$128,'price-old'!P$2,FALSE)</f>
        <v>#N/A</v>
      </c>
      <c r="Q131" s="17" t="e">
        <f>VLOOKUP($C131,[1]Peak_Forward!$A$6:$Q$128,'price-old'!Q$2,FALSE)</f>
        <v>#N/A</v>
      </c>
      <c r="R131" s="6" t="e">
        <f>VLOOKUP($C131,[1]Peak_Forward!$A$6:$Q$128,'price-old'!R$2,FALSE)</f>
        <v>#N/A</v>
      </c>
      <c r="S131" s="6" t="e">
        <f>VLOOKUP($C131,[1]Peak_Forward!$A$6:$Q$128,'price-old'!S$2,FALSE)</f>
        <v>#N/A</v>
      </c>
    </row>
    <row r="132" spans="3:19" x14ac:dyDescent="0.2">
      <c r="C132" s="1">
        <f>'Filter-old'!C7</f>
        <v>37012</v>
      </c>
      <c r="E132" s="17" t="e">
        <f>VLOOKUP($C132,[1]Peak_Forward!$A$6:$Q$128,'price-old'!E$2,FALSE)</f>
        <v>#N/A</v>
      </c>
      <c r="F132" s="17" t="e">
        <f>VLOOKUP($C132,[1]Peak_Forward!$A$6:$Q$128,'price-old'!F$2,FALSE)</f>
        <v>#N/A</v>
      </c>
      <c r="G132" s="17" t="e">
        <f>VLOOKUP($C132,[1]Peak_Forward!$A$6:$Q$128,'price-old'!G$2,FALSE)</f>
        <v>#N/A</v>
      </c>
      <c r="H132" s="17" t="e">
        <f>VLOOKUP($C132,[1]Peak_Forward!$A$6:$Q$128,'price-old'!H$2,FALSE)</f>
        <v>#N/A</v>
      </c>
      <c r="I132" s="17" t="e">
        <f>VLOOKUP($C132,[1]Peak_Forward!$A$6:$Q$128,'price-old'!I$2,FALSE)</f>
        <v>#N/A</v>
      </c>
      <c r="J132" s="17" t="e">
        <f>VLOOKUP($C132,[1]Peak_Forward!$A$6:$Q$128,'price-old'!J$2,FALSE)</f>
        <v>#N/A</v>
      </c>
      <c r="K132" s="17" t="e">
        <f>VLOOKUP($C132,[1]Peak_Forward!$A$6:$Q$128,'price-old'!K$2,FALSE)</f>
        <v>#N/A</v>
      </c>
      <c r="L132" s="17" t="e">
        <f>VLOOKUP($C132,[1]Peak_Forward!$A$6:$Q$128,'price-old'!L$2,FALSE)</f>
        <v>#N/A</v>
      </c>
      <c r="M132" s="17" t="e">
        <f>VLOOKUP($C132,[1]Peak_Forward!$A$6:$Q$128,'price-old'!M$2,FALSE)</f>
        <v>#N/A</v>
      </c>
      <c r="N132" s="17" t="e">
        <f>VLOOKUP($C132,[1]Peak_Forward!$A$6:$Q$128,'price-old'!N$2,FALSE)</f>
        <v>#N/A</v>
      </c>
      <c r="O132" s="17" t="e">
        <f>VLOOKUP($C132,[1]Peak_Forward!$A$6:$Q$128,'price-old'!O$2,FALSE)</f>
        <v>#N/A</v>
      </c>
      <c r="P132" s="17" t="e">
        <f>VLOOKUP($C132,[1]Peak_Forward!$A$6:$Q$128,'price-old'!P$2,FALSE)</f>
        <v>#N/A</v>
      </c>
      <c r="Q132" s="17" t="e">
        <f>VLOOKUP($C132,[1]Peak_Forward!$A$6:$Q$128,'price-old'!Q$2,FALSE)</f>
        <v>#N/A</v>
      </c>
      <c r="R132" s="6" t="e">
        <f>VLOOKUP($C132,[1]Peak_Forward!$A$6:$Q$128,'price-old'!R$2,FALSE)</f>
        <v>#N/A</v>
      </c>
      <c r="S132" s="6" t="e">
        <f>VLOOKUP($C132,[1]Peak_Forward!$A$6:$Q$128,'price-old'!S$2,FALSE)</f>
        <v>#N/A</v>
      </c>
    </row>
    <row r="133" spans="3:19" x14ac:dyDescent="0.2">
      <c r="C133" s="1">
        <f>'Filter-old'!C8</f>
        <v>37043</v>
      </c>
      <c r="E133" s="17" t="e">
        <f>VLOOKUP($C133,[1]Peak_Forward!$A$6:$Q$128,'price-old'!E$2,FALSE)</f>
        <v>#N/A</v>
      </c>
      <c r="F133" s="17" t="e">
        <f>VLOOKUP($C133,[1]Peak_Forward!$A$6:$Q$128,'price-old'!F$2,FALSE)</f>
        <v>#N/A</v>
      </c>
      <c r="G133" s="17" t="e">
        <f>VLOOKUP($C133,[1]Peak_Forward!$A$6:$Q$128,'price-old'!G$2,FALSE)</f>
        <v>#N/A</v>
      </c>
      <c r="H133" s="17" t="e">
        <f>VLOOKUP($C133,[1]Peak_Forward!$A$6:$Q$128,'price-old'!H$2,FALSE)</f>
        <v>#N/A</v>
      </c>
      <c r="I133" s="17" t="e">
        <f>VLOOKUP($C133,[1]Peak_Forward!$A$6:$Q$128,'price-old'!I$2,FALSE)</f>
        <v>#N/A</v>
      </c>
      <c r="J133" s="17" t="e">
        <f>VLOOKUP($C133,[1]Peak_Forward!$A$6:$Q$128,'price-old'!J$2,FALSE)</f>
        <v>#N/A</v>
      </c>
      <c r="K133" s="17" t="e">
        <f>VLOOKUP($C133,[1]Peak_Forward!$A$6:$Q$128,'price-old'!K$2,FALSE)</f>
        <v>#N/A</v>
      </c>
      <c r="L133" s="17" t="e">
        <f>VLOOKUP($C133,[1]Peak_Forward!$A$6:$Q$128,'price-old'!L$2,FALSE)</f>
        <v>#N/A</v>
      </c>
      <c r="M133" s="17" t="e">
        <f>VLOOKUP($C133,[1]Peak_Forward!$A$6:$Q$128,'price-old'!M$2,FALSE)</f>
        <v>#N/A</v>
      </c>
      <c r="N133" s="17" t="e">
        <f>VLOOKUP($C133,[1]Peak_Forward!$A$6:$Q$128,'price-old'!N$2,FALSE)</f>
        <v>#N/A</v>
      </c>
      <c r="O133" s="17" t="e">
        <f>VLOOKUP($C133,[1]Peak_Forward!$A$6:$Q$128,'price-old'!O$2,FALSE)</f>
        <v>#N/A</v>
      </c>
      <c r="P133" s="17" t="e">
        <f>VLOOKUP($C133,[1]Peak_Forward!$A$6:$Q$128,'price-old'!P$2,FALSE)</f>
        <v>#N/A</v>
      </c>
      <c r="Q133" s="17" t="e">
        <f>VLOOKUP($C133,[1]Peak_Forward!$A$6:$Q$128,'price-old'!Q$2,FALSE)</f>
        <v>#N/A</v>
      </c>
      <c r="R133" s="6" t="e">
        <f>VLOOKUP($C133,[1]Peak_Forward!$A$6:$Q$128,'price-old'!R$2,FALSE)</f>
        <v>#N/A</v>
      </c>
      <c r="S133" s="6" t="e">
        <f>VLOOKUP($C133,[1]Peak_Forward!$A$6:$Q$128,'price-old'!S$2,FALSE)</f>
        <v>#N/A</v>
      </c>
    </row>
    <row r="134" spans="3:19" x14ac:dyDescent="0.2">
      <c r="C134" s="1">
        <f>'Filter-old'!C9</f>
        <v>37073</v>
      </c>
      <c r="E134" s="17" t="e">
        <f>VLOOKUP($C134,[1]Peak_Forward!$A$6:$Q$128,'price-old'!E$2,FALSE)</f>
        <v>#N/A</v>
      </c>
      <c r="F134" s="17" t="e">
        <f>VLOOKUP($C134,[1]Peak_Forward!$A$6:$Q$128,'price-old'!F$2,FALSE)</f>
        <v>#N/A</v>
      </c>
      <c r="G134" s="17" t="e">
        <f>VLOOKUP($C134,[1]Peak_Forward!$A$6:$Q$128,'price-old'!G$2,FALSE)</f>
        <v>#N/A</v>
      </c>
      <c r="H134" s="17" t="e">
        <f>VLOOKUP($C134,[1]Peak_Forward!$A$6:$Q$128,'price-old'!H$2,FALSE)</f>
        <v>#N/A</v>
      </c>
      <c r="I134" s="17" t="e">
        <f>VLOOKUP($C134,[1]Peak_Forward!$A$6:$Q$128,'price-old'!I$2,FALSE)</f>
        <v>#N/A</v>
      </c>
      <c r="J134" s="17" t="e">
        <f>VLOOKUP($C134,[1]Peak_Forward!$A$6:$Q$128,'price-old'!J$2,FALSE)</f>
        <v>#N/A</v>
      </c>
      <c r="K134" s="17" t="e">
        <f>VLOOKUP($C134,[1]Peak_Forward!$A$6:$Q$128,'price-old'!K$2,FALSE)</f>
        <v>#N/A</v>
      </c>
      <c r="L134" s="17" t="e">
        <f>VLOOKUP($C134,[1]Peak_Forward!$A$6:$Q$128,'price-old'!L$2,FALSE)</f>
        <v>#N/A</v>
      </c>
      <c r="M134" s="17" t="e">
        <f>VLOOKUP($C134,[1]Peak_Forward!$A$6:$Q$128,'price-old'!M$2,FALSE)</f>
        <v>#N/A</v>
      </c>
      <c r="N134" s="17" t="e">
        <f>VLOOKUP($C134,[1]Peak_Forward!$A$6:$Q$128,'price-old'!N$2,FALSE)</f>
        <v>#N/A</v>
      </c>
      <c r="O134" s="17" t="e">
        <f>VLOOKUP($C134,[1]Peak_Forward!$A$6:$Q$128,'price-old'!O$2,FALSE)</f>
        <v>#N/A</v>
      </c>
      <c r="P134" s="17" t="e">
        <f>VLOOKUP($C134,[1]Peak_Forward!$A$6:$Q$128,'price-old'!P$2,FALSE)</f>
        <v>#N/A</v>
      </c>
      <c r="Q134" s="17" t="e">
        <f>VLOOKUP($C134,[1]Peak_Forward!$A$6:$Q$128,'price-old'!Q$2,FALSE)</f>
        <v>#N/A</v>
      </c>
      <c r="R134" s="6" t="e">
        <f>VLOOKUP($C134,[1]Peak_Forward!$A$6:$Q$128,'price-old'!R$2,FALSE)</f>
        <v>#N/A</v>
      </c>
      <c r="S134" s="6" t="e">
        <f>VLOOKUP($C134,[1]Peak_Forward!$A$6:$Q$128,'price-old'!S$2,FALSE)</f>
        <v>#N/A</v>
      </c>
    </row>
    <row r="135" spans="3:19" x14ac:dyDescent="0.2">
      <c r="C135" s="1">
        <f>'Filter-old'!C10</f>
        <v>37104</v>
      </c>
      <c r="E135" s="17">
        <f>VLOOKUP($C135,[1]Peak_Forward!$A$6:$Q$128,'price-old'!E$2,FALSE)</f>
        <v>52.665218353271499</v>
      </c>
      <c r="F135" s="17">
        <f>VLOOKUP($C135,[1]Peak_Forward!$A$6:$Q$128,'price-old'!F$2,FALSE)</f>
        <v>52.665218353271499</v>
      </c>
      <c r="G135" s="17">
        <f>VLOOKUP($C135,[1]Peak_Forward!$A$6:$Q$128,'price-old'!G$2,FALSE)</f>
        <v>50.086956024169901</v>
      </c>
      <c r="H135" s="17">
        <f>VLOOKUP($C135,[1]Peak_Forward!$A$6:$Q$128,'price-old'!H$2,FALSE)</f>
        <v>55.665218353271499</v>
      </c>
      <c r="I135" s="17">
        <f>VLOOKUP($C135,[1]Peak_Forward!$A$6:$Q$128,'price-old'!I$2,FALSE)</f>
        <v>61.343044281005902</v>
      </c>
      <c r="J135" s="17">
        <f>VLOOKUP($C135,[1]Peak_Forward!$A$6:$Q$128,'price-old'!J$2,FALSE)</f>
        <v>53.967391967773402</v>
      </c>
      <c r="K135" s="17">
        <f>VLOOKUP($C135,[1]Peak_Forward!$A$6:$Q$128,'price-old'!K$2,FALSE)</f>
        <v>65.760871887207003</v>
      </c>
      <c r="L135" s="17">
        <f>VLOOKUP($C135,[1]Peak_Forward!$A$6:$Q$128,'price-old'!L$2,FALSE)</f>
        <v>65.969566345214801</v>
      </c>
      <c r="M135" s="17">
        <f>VLOOKUP($C135,[1]Peak_Forward!$A$6:$Q$128,'price-old'!M$2,FALSE)</f>
        <v>65.760871887207003</v>
      </c>
      <c r="N135" s="17">
        <f>VLOOKUP($C135,[1]Peak_Forward!$A$6:$Q$128,'price-old'!N$2,FALSE)</f>
        <v>65.232170104980497</v>
      </c>
      <c r="O135" s="17">
        <f>VLOOKUP($C135,[1]Peak_Forward!$A$6:$Q$128,'price-old'!O$2,FALSE)</f>
        <v>50.493488311767599</v>
      </c>
      <c r="P135" s="17">
        <f>VLOOKUP($C135,[1]Peak_Forward!$A$6:$Q$128,'price-old'!P$2,FALSE)</f>
        <v>47.630435943603501</v>
      </c>
      <c r="Q135" s="17">
        <f>VLOOKUP($C135,[1]Peak_Forward!$A$6:$Q$128,'price-old'!Q$2,FALSE)</f>
        <v>65.760871887207003</v>
      </c>
      <c r="R135" s="6">
        <f>VLOOKUP($C135,[1]Peak_Forward!$A$6:$Q$128,'price-old'!R$2,FALSE)</f>
        <v>51.967391967773402</v>
      </c>
      <c r="S135" s="6">
        <f>VLOOKUP($C135,[1]Peak_Forward!$A$6:$Q$128,'price-old'!S$2,FALSE)</f>
        <v>52.397830963134801</v>
      </c>
    </row>
    <row r="136" spans="3:19" x14ac:dyDescent="0.2">
      <c r="C136" s="1">
        <f>'Filter-old'!C11</f>
        <v>37135</v>
      </c>
      <c r="E136" s="17">
        <f>VLOOKUP($C136,[1]Peak_Forward!$A$6:$Q$128,'price-old'!E$2,FALSE)</f>
        <v>34.771579742431598</v>
      </c>
      <c r="F136" s="17">
        <f>VLOOKUP($C136,[1]Peak_Forward!$A$6:$Q$128,'price-old'!F$2,FALSE)</f>
        <v>34.771579742431598</v>
      </c>
      <c r="G136" s="17">
        <f>VLOOKUP($C136,[1]Peak_Forward!$A$6:$Q$128,'price-old'!G$2,FALSE)</f>
        <v>27.921056747436499</v>
      </c>
      <c r="H136" s="17">
        <f>VLOOKUP($C136,[1]Peak_Forward!$A$6:$Q$128,'price-old'!H$2,FALSE)</f>
        <v>35.771579742431598</v>
      </c>
      <c r="I136" s="17">
        <f>VLOOKUP($C136,[1]Peak_Forward!$A$6:$Q$128,'price-old'!I$2,FALSE)</f>
        <v>41.789474487304702</v>
      </c>
      <c r="J136" s="17">
        <f>VLOOKUP($C136,[1]Peak_Forward!$A$6:$Q$128,'price-old'!J$2,FALSE)</f>
        <v>30.7234210968018</v>
      </c>
      <c r="K136" s="17">
        <f>VLOOKUP($C136,[1]Peak_Forward!$A$6:$Q$128,'price-old'!K$2,FALSE)</f>
        <v>40.434211730957003</v>
      </c>
      <c r="L136" s="17">
        <f>VLOOKUP($C136,[1]Peak_Forward!$A$6:$Q$128,'price-old'!L$2,FALSE)</f>
        <v>39.271579742431598</v>
      </c>
      <c r="M136" s="17">
        <f>VLOOKUP($C136,[1]Peak_Forward!$A$6:$Q$128,'price-old'!M$2,FALSE)</f>
        <v>40.434211730957003</v>
      </c>
      <c r="N136" s="17">
        <f>VLOOKUP($C136,[1]Peak_Forward!$A$6:$Q$128,'price-old'!N$2,FALSE)</f>
        <v>47.026317596435497</v>
      </c>
      <c r="O136" s="17">
        <f>VLOOKUP($C136,[1]Peak_Forward!$A$6:$Q$128,'price-old'!O$2,FALSE)</f>
        <v>29.7107830047607</v>
      </c>
      <c r="P136" s="17">
        <f>VLOOKUP($C136,[1]Peak_Forward!$A$6:$Q$128,'price-old'!P$2,FALSE)</f>
        <v>35.736843109130902</v>
      </c>
      <c r="Q136" s="17">
        <f>VLOOKUP($C136,[1]Peak_Forward!$A$6:$Q$128,'price-old'!Q$2,FALSE)</f>
        <v>40.434211730957003</v>
      </c>
      <c r="R136" s="6">
        <f>VLOOKUP($C136,[1]Peak_Forward!$A$6:$Q$128,'price-old'!R$2,FALSE)</f>
        <v>28.7234210968018</v>
      </c>
      <c r="S136" s="6">
        <f>VLOOKUP($C136,[1]Peak_Forward!$A$6:$Q$128,'price-old'!S$2,FALSE)</f>
        <v>27.197626113891602</v>
      </c>
    </row>
    <row r="137" spans="3:19" x14ac:dyDescent="0.2">
      <c r="C137" s="1">
        <f>'Filter-old'!C12</f>
        <v>37165</v>
      </c>
      <c r="E137" s="17">
        <f>VLOOKUP($C137,[1]Peak_Forward!$A$6:$Q$128,'price-old'!E$2,FALSE)</f>
        <v>25.9608764648438</v>
      </c>
      <c r="F137" s="17">
        <f>VLOOKUP($C137,[1]Peak_Forward!$A$6:$Q$128,'price-old'!F$2,FALSE)</f>
        <v>25.9608764648438</v>
      </c>
      <c r="G137" s="17">
        <f>VLOOKUP($C137,[1]Peak_Forward!$A$6:$Q$128,'price-old'!G$2,FALSE)</f>
        <v>18.9763374328613</v>
      </c>
      <c r="H137" s="17">
        <f>VLOOKUP($C137,[1]Peak_Forward!$A$6:$Q$128,'price-old'!H$2,FALSE)</f>
        <v>26.9608764648438</v>
      </c>
      <c r="I137" s="17">
        <f>VLOOKUP($C137,[1]Peak_Forward!$A$6:$Q$128,'price-old'!I$2,FALSE)</f>
        <v>33.793479919433601</v>
      </c>
      <c r="J137" s="17">
        <f>VLOOKUP($C137,[1]Peak_Forward!$A$6:$Q$128,'price-old'!J$2,FALSE)</f>
        <v>19.973474502563501</v>
      </c>
      <c r="K137" s="17">
        <f>VLOOKUP($C137,[1]Peak_Forward!$A$6:$Q$128,'price-old'!K$2,FALSE)</f>
        <v>36.380428314208999</v>
      </c>
      <c r="L137" s="17">
        <f>VLOOKUP($C137,[1]Peak_Forward!$A$6:$Q$128,'price-old'!L$2,FALSE)</f>
        <v>30.460878372192401</v>
      </c>
      <c r="M137" s="17">
        <f>VLOOKUP($C137,[1]Peak_Forward!$A$6:$Q$128,'price-old'!M$2,FALSE)</f>
        <v>36.380428314208999</v>
      </c>
      <c r="N137" s="17">
        <f>VLOOKUP($C137,[1]Peak_Forward!$A$6:$Q$128,'price-old'!N$2,FALSE)</f>
        <v>35.586956024169901</v>
      </c>
      <c r="O137" s="17">
        <f>VLOOKUP($C137,[1]Peak_Forward!$A$6:$Q$128,'price-old'!O$2,FALSE)</f>
        <v>19.620872497558601</v>
      </c>
      <c r="P137" s="17">
        <f>VLOOKUP($C137,[1]Peak_Forward!$A$6:$Q$128,'price-old'!P$2,FALSE)</f>
        <v>29.973913192748999</v>
      </c>
      <c r="Q137" s="17">
        <f>VLOOKUP($C137,[1]Peak_Forward!$A$6:$Q$128,'price-old'!Q$2,FALSE)</f>
        <v>36.380428314208999</v>
      </c>
      <c r="R137" s="6">
        <f>VLOOKUP($C137,[1]Peak_Forward!$A$6:$Q$128,'price-old'!R$2,FALSE)</f>
        <v>19.973474502563501</v>
      </c>
      <c r="S137" s="6">
        <f>VLOOKUP($C137,[1]Peak_Forward!$A$6:$Q$128,'price-old'!S$2,FALSE)</f>
        <v>19.635217666626001</v>
      </c>
    </row>
    <row r="138" spans="3:19" x14ac:dyDescent="0.2">
      <c r="C138" s="1">
        <f>'Filter-old'!C13</f>
        <v>37196</v>
      </c>
      <c r="E138" s="17">
        <f>VLOOKUP($C138,[1]Peak_Forward!$A$6:$Q$128,'price-old'!E$2,FALSE)</f>
        <v>0</v>
      </c>
      <c r="F138" s="17">
        <f>VLOOKUP($C138,[1]Peak_Forward!$A$6:$Q$128,'price-old'!F$2,FALSE)</f>
        <v>0</v>
      </c>
      <c r="G138" s="17">
        <f>VLOOKUP($C138,[1]Peak_Forward!$A$6:$Q$128,'price-old'!G$2,FALSE)</f>
        <v>0</v>
      </c>
      <c r="H138" s="17">
        <f>VLOOKUP($C138,[1]Peak_Forward!$A$6:$Q$128,'price-old'!H$2,FALSE)</f>
        <v>0</v>
      </c>
      <c r="I138" s="17">
        <f>VLOOKUP($C138,[1]Peak_Forward!$A$6:$Q$128,'price-old'!I$2,FALSE)</f>
        <v>0</v>
      </c>
      <c r="J138" s="17">
        <f>VLOOKUP($C138,[1]Peak_Forward!$A$6:$Q$128,'price-old'!J$2,FALSE)</f>
        <v>0</v>
      </c>
      <c r="K138" s="17">
        <f>VLOOKUP($C138,[1]Peak_Forward!$A$6:$Q$128,'price-old'!K$2,FALSE)</f>
        <v>0</v>
      </c>
      <c r="L138" s="17">
        <f>VLOOKUP($C138,[1]Peak_Forward!$A$6:$Q$128,'price-old'!L$2,FALSE)</f>
        <v>0</v>
      </c>
      <c r="M138" s="17">
        <f>VLOOKUP($C138,[1]Peak_Forward!$A$6:$Q$128,'price-old'!M$2,FALSE)</f>
        <v>0</v>
      </c>
      <c r="N138" s="17">
        <f>VLOOKUP($C138,[1]Peak_Forward!$A$6:$Q$128,'price-old'!N$2,FALSE)</f>
        <v>0</v>
      </c>
      <c r="O138" s="17">
        <f>VLOOKUP($C138,[1]Peak_Forward!$A$6:$Q$128,'price-old'!O$2,FALSE)</f>
        <v>0</v>
      </c>
      <c r="P138" s="17">
        <f>VLOOKUP($C138,[1]Peak_Forward!$A$6:$Q$128,'price-old'!P$2,FALSE)</f>
        <v>0</v>
      </c>
      <c r="Q138" s="17">
        <f>VLOOKUP($C138,[1]Peak_Forward!$A$6:$Q$128,'price-old'!Q$2,FALSE)</f>
        <v>0</v>
      </c>
      <c r="R138" s="6">
        <f>VLOOKUP($C138,[1]Peak_Forward!$A$6:$Q$128,'price-old'!R$2,FALSE)</f>
        <v>0</v>
      </c>
      <c r="S138" s="6">
        <f>VLOOKUP($C138,[1]Peak_Forward!$A$6:$Q$128,'price-old'!S$2,FALSE)</f>
        <v>0</v>
      </c>
    </row>
    <row r="139" spans="3:19" x14ac:dyDescent="0.2">
      <c r="C139" s="1">
        <f>'Filter-old'!C14</f>
        <v>37226</v>
      </c>
      <c r="E139" s="17">
        <f>VLOOKUP($C139,[1]Peak_Forward!$A$6:$Q$128,'price-old'!E$2,FALSE)</f>
        <v>29.361111111111111</v>
      </c>
      <c r="F139" s="17">
        <f>VLOOKUP($C139,[1]Peak_Forward!$A$6:$Q$128,'price-old'!F$2,FALSE)</f>
        <v>29.361111111111111</v>
      </c>
      <c r="G139" s="17">
        <f>VLOOKUP($C139,[1]Peak_Forward!$A$6:$Q$128,'price-old'!G$2,FALSE)</f>
        <v>22.041666666666668</v>
      </c>
      <c r="H139" s="17">
        <f>VLOOKUP($C139,[1]Peak_Forward!$A$6:$Q$128,'price-old'!H$2,FALSE)</f>
        <v>29.361111111111111</v>
      </c>
      <c r="I139" s="17">
        <f>VLOOKUP($C139,[1]Peak_Forward!$A$6:$Q$128,'price-old'!I$2,FALSE)</f>
        <v>32.5</v>
      </c>
      <c r="J139" s="17">
        <f>VLOOKUP($C139,[1]Peak_Forward!$A$6:$Q$128,'price-old'!J$2,FALSE)</f>
        <v>22.191666666666674</v>
      </c>
      <c r="K139" s="17">
        <f>VLOOKUP($C139,[1]Peak_Forward!$A$6:$Q$128,'price-old'!K$2,FALSE)</f>
        <v>29.763888888888889</v>
      </c>
      <c r="L139" s="17">
        <f>VLOOKUP($C139,[1]Peak_Forward!$A$6:$Q$128,'price-old'!L$2,FALSE)</f>
        <v>29.361111111111111</v>
      </c>
      <c r="M139" s="17">
        <f>VLOOKUP($C139,[1]Peak_Forward!$A$6:$Q$128,'price-old'!M$2,FALSE)</f>
        <v>33.513888888888886</v>
      </c>
      <c r="N139" s="17">
        <f>VLOOKUP($C139,[1]Peak_Forward!$A$6:$Q$128,'price-old'!N$2,FALSE)</f>
        <v>33.777777777777779</v>
      </c>
      <c r="O139" s="17">
        <f>VLOOKUP($C139,[1]Peak_Forward!$A$6:$Q$128,'price-old'!O$2,FALSE)</f>
        <v>23.091666666666665</v>
      </c>
      <c r="P139" s="17">
        <f>VLOOKUP($C139,[1]Peak_Forward!$A$6:$Q$128,'price-old'!P$2,FALSE)</f>
        <v>26.216666666666658</v>
      </c>
      <c r="Q139" s="17">
        <f>VLOOKUP($C139,[1]Peak_Forward!$A$6:$Q$128,'price-old'!Q$2,FALSE)</f>
        <v>33.513888888888886</v>
      </c>
      <c r="R139" s="6">
        <f>VLOOKUP($C139,[1]Peak_Forward!$A$6:$Q$128,'price-old'!R$2,FALSE)</f>
        <v>22.191666666666674</v>
      </c>
      <c r="S139" s="6">
        <f>VLOOKUP($C139,[1]Peak_Forward!$A$6:$Q$128,'price-old'!S$2,FALSE)</f>
        <v>21.911111111111115</v>
      </c>
    </row>
    <row r="140" spans="3:19" x14ac:dyDescent="0.2">
      <c r="C140" s="1">
        <f>'Filter-old'!C15</f>
        <v>37257</v>
      </c>
      <c r="E140" s="17">
        <f>VLOOKUP($C140,[1]Peak_Forward!$A$6:$Q$128,'price-old'!E$2,FALSE)</f>
        <v>29.318181991577099</v>
      </c>
      <c r="F140" s="17">
        <f>VLOOKUP($C140,[1]Peak_Forward!$A$6:$Q$128,'price-old'!F$2,FALSE)</f>
        <v>29.318181991577099</v>
      </c>
      <c r="G140" s="17">
        <f>VLOOKUP($C140,[1]Peak_Forward!$A$6:$Q$128,'price-old'!G$2,FALSE)</f>
        <v>25.141141891479499</v>
      </c>
      <c r="H140" s="17">
        <f>VLOOKUP($C140,[1]Peak_Forward!$A$6:$Q$128,'price-old'!H$2,FALSE)</f>
        <v>30.181818008422901</v>
      </c>
      <c r="I140" s="17">
        <f>VLOOKUP($C140,[1]Peak_Forward!$A$6:$Q$128,'price-old'!I$2,FALSE)</f>
        <v>36.5</v>
      </c>
      <c r="J140" s="17">
        <f>VLOOKUP($C140,[1]Peak_Forward!$A$6:$Q$128,'price-old'!J$2,FALSE)</f>
        <v>25.605688095092798</v>
      </c>
      <c r="K140" s="17">
        <f>VLOOKUP($C140,[1]Peak_Forward!$A$6:$Q$128,'price-old'!K$2,FALSE)</f>
        <v>36.7501831054688</v>
      </c>
      <c r="L140" s="17">
        <f>VLOOKUP($C140,[1]Peak_Forward!$A$6:$Q$128,'price-old'!L$2,FALSE)</f>
        <v>33.204544067382798</v>
      </c>
      <c r="M140" s="17">
        <f>VLOOKUP($C140,[1]Peak_Forward!$A$6:$Q$128,'price-old'!M$2,FALSE)</f>
        <v>37.261547088622997</v>
      </c>
      <c r="N140" s="17">
        <f>VLOOKUP($C140,[1]Peak_Forward!$A$6:$Q$128,'price-old'!N$2,FALSE)</f>
        <v>41.75</v>
      </c>
      <c r="O140" s="17">
        <f>VLOOKUP($C140,[1]Peak_Forward!$A$6:$Q$128,'price-old'!O$2,FALSE)</f>
        <v>26.505681991577099</v>
      </c>
      <c r="P140" s="17">
        <f>VLOOKUP($C140,[1]Peak_Forward!$A$6:$Q$128,'price-old'!P$2,FALSE)</f>
        <v>29.25</v>
      </c>
      <c r="Q140" s="17">
        <f>VLOOKUP($C140,[1]Peak_Forward!$A$6:$Q$128,'price-old'!Q$2,FALSE)</f>
        <v>37.261547088622997</v>
      </c>
      <c r="R140" s="6">
        <f>VLOOKUP($C140,[1]Peak_Forward!$A$6:$Q$128,'price-old'!R$2,FALSE)</f>
        <v>25.605688095092798</v>
      </c>
      <c r="S140" s="6">
        <f>VLOOKUP($C140,[1]Peak_Forward!$A$6:$Q$128,'price-old'!S$2,FALSE)</f>
        <v>22.875682830810501</v>
      </c>
    </row>
    <row r="141" spans="3:19" x14ac:dyDescent="0.2">
      <c r="C141" s="1">
        <f>'Filter-old'!C16</f>
        <v>37288</v>
      </c>
      <c r="E141" s="17">
        <f>VLOOKUP($C141,[1]Peak_Forward!$A$6:$Q$128,'price-old'!E$2,FALSE)</f>
        <v>29</v>
      </c>
      <c r="F141" s="17">
        <f>VLOOKUP($C141,[1]Peak_Forward!$A$6:$Q$128,'price-old'!F$2,FALSE)</f>
        <v>29</v>
      </c>
      <c r="G141" s="17">
        <f>VLOOKUP($C141,[1]Peak_Forward!$A$6:$Q$128,'price-old'!G$2,FALSE)</f>
        <v>25.57</v>
      </c>
      <c r="H141" s="17">
        <f>VLOOKUP($C141,[1]Peak_Forward!$A$6:$Q$128,'price-old'!H$2,FALSE)</f>
        <v>30.5</v>
      </c>
      <c r="I141" s="17">
        <f>VLOOKUP($C141,[1]Peak_Forward!$A$6:$Q$128,'price-old'!I$2,FALSE)</f>
        <v>36.5</v>
      </c>
      <c r="J141" s="17">
        <f>VLOOKUP($C141,[1]Peak_Forward!$A$6:$Q$128,'price-old'!J$2,FALSE)</f>
        <v>26</v>
      </c>
      <c r="K141" s="17">
        <f>VLOOKUP($C141,[1]Peak_Forward!$A$6:$Q$128,'price-old'!K$2,FALSE)</f>
        <v>36.75</v>
      </c>
      <c r="L141" s="17">
        <f>VLOOKUP($C141,[1]Peak_Forward!$A$6:$Q$128,'price-old'!L$2,FALSE)</f>
        <v>34.5</v>
      </c>
      <c r="M141" s="17">
        <f>VLOOKUP($C141,[1]Peak_Forward!$A$6:$Q$128,'price-old'!M$2,FALSE)</f>
        <v>36.75</v>
      </c>
      <c r="N141" s="17">
        <f>VLOOKUP($C141,[1]Peak_Forward!$A$6:$Q$128,'price-old'!N$2,FALSE)</f>
        <v>43</v>
      </c>
      <c r="O141" s="17">
        <f>VLOOKUP($C141,[1]Peak_Forward!$A$6:$Q$128,'price-old'!O$2,FALSE)</f>
        <v>29.45</v>
      </c>
      <c r="P141" s="17">
        <f>VLOOKUP($C141,[1]Peak_Forward!$A$6:$Q$128,'price-old'!P$2,FALSE)</f>
        <v>29.25</v>
      </c>
      <c r="Q141" s="17">
        <f>VLOOKUP($C141,[1]Peak_Forward!$A$6:$Q$128,'price-old'!Q$2,FALSE)</f>
        <v>36.75</v>
      </c>
      <c r="R141" s="6">
        <f>VLOOKUP($C141,[1]Peak_Forward!$A$6:$Q$128,'price-old'!R$2,FALSE)</f>
        <v>25.95</v>
      </c>
      <c r="S141" s="6">
        <f>VLOOKUP($C141,[1]Peak_Forward!$A$6:$Q$128,'price-old'!S$2,FALSE)</f>
        <v>23.22</v>
      </c>
    </row>
    <row r="142" spans="3:19" x14ac:dyDescent="0.2">
      <c r="C142" s="1">
        <f>'Filter-old'!C17</f>
        <v>37316</v>
      </c>
      <c r="E142" s="17">
        <f>VLOOKUP($C142,[1]Peak_Forward!$A$6:$Q$128,'price-old'!E$2,FALSE)</f>
        <v>27.65</v>
      </c>
      <c r="F142" s="17">
        <f>VLOOKUP($C142,[1]Peak_Forward!$A$6:$Q$128,'price-old'!F$2,FALSE)</f>
        <v>27.65</v>
      </c>
      <c r="G142" s="17">
        <f>VLOOKUP($C142,[1]Peak_Forward!$A$6:$Q$128,'price-old'!G$2,FALSE)</f>
        <v>23.98</v>
      </c>
      <c r="H142" s="17">
        <f>VLOOKUP($C142,[1]Peak_Forward!$A$6:$Q$128,'price-old'!H$2,FALSE)</f>
        <v>28.9</v>
      </c>
      <c r="I142" s="17">
        <f>VLOOKUP($C142,[1]Peak_Forward!$A$6:$Q$128,'price-old'!I$2,FALSE)</f>
        <v>35</v>
      </c>
      <c r="J142" s="17">
        <f>VLOOKUP($C142,[1]Peak_Forward!$A$6:$Q$128,'price-old'!J$2,FALSE)</f>
        <v>24.83</v>
      </c>
      <c r="K142" s="17">
        <f>VLOOKUP($C142,[1]Peak_Forward!$A$6:$Q$128,'price-old'!K$2,FALSE)</f>
        <v>33</v>
      </c>
      <c r="L142" s="17">
        <f>VLOOKUP($C142,[1]Peak_Forward!$A$6:$Q$128,'price-old'!L$2,FALSE)</f>
        <v>33.4</v>
      </c>
      <c r="M142" s="17">
        <f>VLOOKUP($C142,[1]Peak_Forward!$A$6:$Q$128,'price-old'!M$2,FALSE)</f>
        <v>33</v>
      </c>
      <c r="N142" s="17">
        <f>VLOOKUP($C142,[1]Peak_Forward!$A$6:$Q$128,'price-old'!N$2,FALSE)</f>
        <v>37.5</v>
      </c>
      <c r="O142" s="17">
        <f>VLOOKUP($C142,[1]Peak_Forward!$A$6:$Q$128,'price-old'!O$2,FALSE)</f>
        <v>25.33</v>
      </c>
      <c r="P142" s="17">
        <f>VLOOKUP($C142,[1]Peak_Forward!$A$6:$Q$128,'price-old'!P$2,FALSE)</f>
        <v>27</v>
      </c>
      <c r="Q142" s="17">
        <f>VLOOKUP($C142,[1]Peak_Forward!$A$6:$Q$128,'price-old'!Q$2,FALSE)</f>
        <v>33</v>
      </c>
      <c r="R142" s="6">
        <f>VLOOKUP($C142,[1]Peak_Forward!$A$6:$Q$128,'price-old'!R$2,FALSE)</f>
        <v>24.58</v>
      </c>
      <c r="S142" s="6">
        <f>VLOOKUP($C142,[1]Peak_Forward!$A$6:$Q$128,'price-old'!S$2,FALSE)</f>
        <v>23.08</v>
      </c>
    </row>
    <row r="143" spans="3:19" x14ac:dyDescent="0.2">
      <c r="C143" s="1">
        <f>'Filter-old'!C18</f>
        <v>37347</v>
      </c>
      <c r="E143" s="17">
        <f>VLOOKUP($C143,[1]Peak_Forward!$A$6:$Q$128,'price-old'!E$2,FALSE)</f>
        <v>27.65</v>
      </c>
      <c r="F143" s="17">
        <f>VLOOKUP($C143,[1]Peak_Forward!$A$6:$Q$128,'price-old'!F$2,FALSE)</f>
        <v>27.65</v>
      </c>
      <c r="G143" s="17">
        <f>VLOOKUP($C143,[1]Peak_Forward!$A$6:$Q$128,'price-old'!G$2,FALSE)</f>
        <v>24.43</v>
      </c>
      <c r="H143" s="17">
        <f>VLOOKUP($C143,[1]Peak_Forward!$A$6:$Q$128,'price-old'!H$2,FALSE)</f>
        <v>28.9</v>
      </c>
      <c r="I143" s="17">
        <f>VLOOKUP($C143,[1]Peak_Forward!$A$6:$Q$128,'price-old'!I$2,FALSE)</f>
        <v>35</v>
      </c>
      <c r="J143" s="17">
        <f>VLOOKUP($C143,[1]Peak_Forward!$A$6:$Q$128,'price-old'!J$2,FALSE)</f>
        <v>25.28</v>
      </c>
      <c r="K143" s="17">
        <f>VLOOKUP($C143,[1]Peak_Forward!$A$6:$Q$128,'price-old'!K$2,FALSE)</f>
        <v>33</v>
      </c>
      <c r="L143" s="17">
        <f>VLOOKUP($C143,[1]Peak_Forward!$A$6:$Q$128,'price-old'!L$2,FALSE)</f>
        <v>33.4</v>
      </c>
      <c r="M143" s="17">
        <f>VLOOKUP($C143,[1]Peak_Forward!$A$6:$Q$128,'price-old'!M$2,FALSE)</f>
        <v>33</v>
      </c>
      <c r="N143" s="17">
        <f>VLOOKUP($C143,[1]Peak_Forward!$A$6:$Q$128,'price-old'!N$2,FALSE)</f>
        <v>37.5</v>
      </c>
      <c r="O143" s="17">
        <f>VLOOKUP($C143,[1]Peak_Forward!$A$6:$Q$128,'price-old'!O$2,FALSE)</f>
        <v>25.78</v>
      </c>
      <c r="P143" s="17">
        <f>VLOOKUP($C143,[1]Peak_Forward!$A$6:$Q$128,'price-old'!P$2,FALSE)</f>
        <v>27</v>
      </c>
      <c r="Q143" s="17">
        <f>VLOOKUP($C143,[1]Peak_Forward!$A$6:$Q$128,'price-old'!Q$2,FALSE)</f>
        <v>33</v>
      </c>
      <c r="R143" s="6">
        <f>VLOOKUP($C143,[1]Peak_Forward!$A$6:$Q$128,'price-old'!R$2,FALSE)</f>
        <v>25.03</v>
      </c>
      <c r="S143" s="6">
        <f>VLOOKUP($C143,[1]Peak_Forward!$A$6:$Q$128,'price-old'!S$2,FALSE)</f>
        <v>23.53</v>
      </c>
    </row>
    <row r="144" spans="3:19" x14ac:dyDescent="0.2">
      <c r="C144" s="1">
        <f>'Filter-old'!C19</f>
        <v>37377</v>
      </c>
      <c r="E144" s="17">
        <f>VLOOKUP($C144,[1]Peak_Forward!$A$6:$Q$128,'price-old'!E$2,FALSE)</f>
        <v>30.5</v>
      </c>
      <c r="F144" s="17">
        <f>VLOOKUP($C144,[1]Peak_Forward!$A$6:$Q$128,'price-old'!F$2,FALSE)</f>
        <v>30.5</v>
      </c>
      <c r="G144" s="17">
        <f>VLOOKUP($C144,[1]Peak_Forward!$A$6:$Q$128,'price-old'!G$2,FALSE)</f>
        <v>26.51</v>
      </c>
      <c r="H144" s="17">
        <f>VLOOKUP($C144,[1]Peak_Forward!$A$6:$Q$128,'price-old'!H$2,FALSE)</f>
        <v>32</v>
      </c>
      <c r="I144" s="17">
        <f>VLOOKUP($C144,[1]Peak_Forward!$A$6:$Q$128,'price-old'!I$2,FALSE)</f>
        <v>36.25</v>
      </c>
      <c r="J144" s="17">
        <f>VLOOKUP($C144,[1]Peak_Forward!$A$6:$Q$128,'price-old'!J$2,FALSE)</f>
        <v>27.4</v>
      </c>
      <c r="K144" s="17">
        <f>VLOOKUP($C144,[1]Peak_Forward!$A$6:$Q$128,'price-old'!K$2,FALSE)</f>
        <v>33.75</v>
      </c>
      <c r="L144" s="17">
        <f>VLOOKUP($C144,[1]Peak_Forward!$A$6:$Q$128,'price-old'!L$2,FALSE)</f>
        <v>36.5</v>
      </c>
      <c r="M144" s="17">
        <f>VLOOKUP($C144,[1]Peak_Forward!$A$6:$Q$128,'price-old'!M$2,FALSE)</f>
        <v>33.75</v>
      </c>
      <c r="N144" s="17">
        <f>VLOOKUP($C144,[1]Peak_Forward!$A$6:$Q$128,'price-old'!N$2,FALSE)</f>
        <v>41</v>
      </c>
      <c r="O144" s="17">
        <f>VLOOKUP($C144,[1]Peak_Forward!$A$6:$Q$128,'price-old'!O$2,FALSE)</f>
        <v>26.9</v>
      </c>
      <c r="P144" s="17">
        <f>VLOOKUP($C144,[1]Peak_Forward!$A$6:$Q$128,'price-old'!P$2,FALSE)</f>
        <v>29</v>
      </c>
      <c r="Q144" s="17">
        <f>VLOOKUP($C144,[1]Peak_Forward!$A$6:$Q$128,'price-old'!Q$2,FALSE)</f>
        <v>33.75</v>
      </c>
      <c r="R144" s="6">
        <f>VLOOKUP($C144,[1]Peak_Forward!$A$6:$Q$128,'price-old'!R$2,FALSE)</f>
        <v>27.15</v>
      </c>
      <c r="S144" s="6">
        <f>VLOOKUP($C144,[1]Peak_Forward!$A$6:$Q$128,'price-old'!S$2,FALSE)</f>
        <v>24.52</v>
      </c>
    </row>
    <row r="145" spans="3:19" x14ac:dyDescent="0.2">
      <c r="C145" s="1">
        <f>'Filter-old'!C20</f>
        <v>37408</v>
      </c>
      <c r="E145" s="17">
        <f>VLOOKUP($C145,[1]Peak_Forward!$A$6:$Q$128,'price-old'!E$2,FALSE)</f>
        <v>40.25</v>
      </c>
      <c r="F145" s="17">
        <f>VLOOKUP($C145,[1]Peak_Forward!$A$6:$Q$128,'price-old'!F$2,FALSE)</f>
        <v>40.25</v>
      </c>
      <c r="G145" s="17">
        <f>VLOOKUP($C145,[1]Peak_Forward!$A$6:$Q$128,'price-old'!G$2,FALSE)</f>
        <v>34.31</v>
      </c>
      <c r="H145" s="17">
        <f>VLOOKUP($C145,[1]Peak_Forward!$A$6:$Q$128,'price-old'!H$2,FALSE)</f>
        <v>43.75</v>
      </c>
      <c r="I145" s="17">
        <f>VLOOKUP($C145,[1]Peak_Forward!$A$6:$Q$128,'price-old'!I$2,FALSE)</f>
        <v>43.5</v>
      </c>
      <c r="J145" s="17">
        <f>VLOOKUP($C145,[1]Peak_Forward!$A$6:$Q$128,'price-old'!J$2,FALSE)</f>
        <v>36.049999999999997</v>
      </c>
      <c r="K145" s="17">
        <f>VLOOKUP($C145,[1]Peak_Forward!$A$6:$Q$128,'price-old'!K$2,FALSE)</f>
        <v>40.75</v>
      </c>
      <c r="L145" s="17">
        <f>VLOOKUP($C145,[1]Peak_Forward!$A$6:$Q$128,'price-old'!L$2,FALSE)</f>
        <v>51.25</v>
      </c>
      <c r="M145" s="17">
        <f>VLOOKUP($C145,[1]Peak_Forward!$A$6:$Q$128,'price-old'!M$2,FALSE)</f>
        <v>40.75</v>
      </c>
      <c r="N145" s="17">
        <f>VLOOKUP($C145,[1]Peak_Forward!$A$6:$Q$128,'price-old'!N$2,FALSE)</f>
        <v>51</v>
      </c>
      <c r="O145" s="17">
        <f>VLOOKUP($C145,[1]Peak_Forward!$A$6:$Q$128,'price-old'!O$2,FALSE)</f>
        <v>38.630000000000003</v>
      </c>
      <c r="P145" s="17">
        <f>VLOOKUP($C145,[1]Peak_Forward!$A$6:$Q$128,'price-old'!P$2,FALSE)</f>
        <v>39.5</v>
      </c>
      <c r="Q145" s="17">
        <f>VLOOKUP($C145,[1]Peak_Forward!$A$6:$Q$128,'price-old'!Q$2,FALSE)</f>
        <v>40.75</v>
      </c>
      <c r="R145" s="6">
        <f>VLOOKUP($C145,[1]Peak_Forward!$A$6:$Q$128,'price-old'!R$2,FALSE)</f>
        <v>36</v>
      </c>
      <c r="S145" s="6">
        <f>VLOOKUP($C145,[1]Peak_Forward!$A$6:$Q$128,'price-old'!S$2,FALSE)</f>
        <v>33.119999999999997</v>
      </c>
    </row>
    <row r="146" spans="3:19" x14ac:dyDescent="0.2">
      <c r="C146" s="1">
        <f>'Filter-old'!C21</f>
        <v>37438</v>
      </c>
      <c r="E146" s="17">
        <f>VLOOKUP($C146,[1]Peak_Forward!$A$6:$Q$128,'price-old'!E$2,FALSE)</f>
        <v>52.5</v>
      </c>
      <c r="F146" s="17">
        <f>VLOOKUP($C146,[1]Peak_Forward!$A$6:$Q$128,'price-old'!F$2,FALSE)</f>
        <v>52.5</v>
      </c>
      <c r="G146" s="17">
        <f>VLOOKUP($C146,[1]Peak_Forward!$A$6:$Q$128,'price-old'!G$2,FALSE)</f>
        <v>45.024999999999999</v>
      </c>
      <c r="H146" s="17">
        <f>VLOOKUP($C146,[1]Peak_Forward!$A$6:$Q$128,'price-old'!H$2,FALSE)</f>
        <v>56</v>
      </c>
      <c r="I146" s="17">
        <f>VLOOKUP($C146,[1]Peak_Forward!$A$6:$Q$128,'price-old'!I$2,FALSE)</f>
        <v>61.75</v>
      </c>
      <c r="J146" s="17">
        <f>VLOOKUP($C146,[1]Peak_Forward!$A$6:$Q$128,'price-old'!J$2,FALSE)</f>
        <v>46.125</v>
      </c>
      <c r="K146" s="17">
        <f>VLOOKUP($C146,[1]Peak_Forward!$A$6:$Q$128,'price-old'!K$2,FALSE)</f>
        <v>51.75</v>
      </c>
      <c r="L146" s="17">
        <f>VLOOKUP($C146,[1]Peak_Forward!$A$6:$Q$128,'price-old'!L$2,FALSE)</f>
        <v>76</v>
      </c>
      <c r="M146" s="17">
        <f>VLOOKUP($C146,[1]Peak_Forward!$A$6:$Q$128,'price-old'!M$2,FALSE)</f>
        <v>51.75</v>
      </c>
      <c r="N146" s="17">
        <f>VLOOKUP($C146,[1]Peak_Forward!$A$6:$Q$128,'price-old'!N$2,FALSE)</f>
        <v>70</v>
      </c>
      <c r="O146" s="17">
        <f>VLOOKUP($C146,[1]Peak_Forward!$A$6:$Q$128,'price-old'!O$2,FALSE)</f>
        <v>50.375</v>
      </c>
      <c r="P146" s="17">
        <f>VLOOKUP($C146,[1]Peak_Forward!$A$6:$Q$128,'price-old'!P$2,FALSE)</f>
        <v>48.5</v>
      </c>
      <c r="Q146" s="17">
        <f>VLOOKUP($C146,[1]Peak_Forward!$A$6:$Q$128,'price-old'!Q$2,FALSE)</f>
        <v>51.75</v>
      </c>
      <c r="R146" s="6">
        <f>VLOOKUP($C146,[1]Peak_Forward!$A$6:$Q$128,'price-old'!R$2,FALSE)</f>
        <v>46.125</v>
      </c>
      <c r="S146" s="6">
        <f>VLOOKUP($C146,[1]Peak_Forward!$A$6:$Q$128,'price-old'!S$2,FALSE)</f>
        <v>42.75</v>
      </c>
    </row>
    <row r="147" spans="3:19" x14ac:dyDescent="0.2">
      <c r="C147" s="1">
        <f>'Filter-old'!C22</f>
        <v>37469</v>
      </c>
      <c r="E147" s="17">
        <f>VLOOKUP($C147,[1]Peak_Forward!$A$6:$Q$128,'price-old'!E$2,FALSE)</f>
        <v>52.5</v>
      </c>
      <c r="F147" s="17">
        <f>VLOOKUP($C147,[1]Peak_Forward!$A$6:$Q$128,'price-old'!F$2,FALSE)</f>
        <v>52.5</v>
      </c>
      <c r="G147" s="17">
        <f>VLOOKUP($C147,[1]Peak_Forward!$A$6:$Q$128,'price-old'!G$2,FALSE)</f>
        <v>45.024999999999999</v>
      </c>
      <c r="H147" s="17">
        <f>VLOOKUP($C147,[1]Peak_Forward!$A$6:$Q$128,'price-old'!H$2,FALSE)</f>
        <v>56</v>
      </c>
      <c r="I147" s="17">
        <f>VLOOKUP($C147,[1]Peak_Forward!$A$6:$Q$128,'price-old'!I$2,FALSE)</f>
        <v>61.75</v>
      </c>
      <c r="J147" s="17">
        <f>VLOOKUP($C147,[1]Peak_Forward!$A$6:$Q$128,'price-old'!J$2,FALSE)</f>
        <v>46.125</v>
      </c>
      <c r="K147" s="17">
        <f>VLOOKUP($C147,[1]Peak_Forward!$A$6:$Q$128,'price-old'!K$2,FALSE)</f>
        <v>51.75</v>
      </c>
      <c r="L147" s="17">
        <f>VLOOKUP($C147,[1]Peak_Forward!$A$6:$Q$128,'price-old'!L$2,FALSE)</f>
        <v>76</v>
      </c>
      <c r="M147" s="17">
        <f>VLOOKUP($C147,[1]Peak_Forward!$A$6:$Q$128,'price-old'!M$2,FALSE)</f>
        <v>51.75</v>
      </c>
      <c r="N147" s="17">
        <f>VLOOKUP($C147,[1]Peak_Forward!$A$6:$Q$128,'price-old'!N$2,FALSE)</f>
        <v>70</v>
      </c>
      <c r="O147" s="17">
        <f>VLOOKUP($C147,[1]Peak_Forward!$A$6:$Q$128,'price-old'!O$2,FALSE)</f>
        <v>50.375</v>
      </c>
      <c r="P147" s="17">
        <f>VLOOKUP($C147,[1]Peak_Forward!$A$6:$Q$128,'price-old'!P$2,FALSE)</f>
        <v>48.5</v>
      </c>
      <c r="Q147" s="17">
        <f>VLOOKUP($C147,[1]Peak_Forward!$A$6:$Q$128,'price-old'!Q$2,FALSE)</f>
        <v>51.75</v>
      </c>
      <c r="R147" s="6">
        <f>VLOOKUP($C147,[1]Peak_Forward!$A$6:$Q$128,'price-old'!R$2,FALSE)</f>
        <v>46.125</v>
      </c>
      <c r="S147" s="6">
        <f>VLOOKUP($C147,[1]Peak_Forward!$A$6:$Q$128,'price-old'!S$2,FALSE)</f>
        <v>42.75</v>
      </c>
    </row>
    <row r="148" spans="3:19" x14ac:dyDescent="0.2">
      <c r="C148" s="1">
        <f>'Filter-old'!C23</f>
        <v>37500</v>
      </c>
      <c r="E148" s="17">
        <f>VLOOKUP($C148,[1]Peak_Forward!$A$6:$Q$128,'price-old'!E$2,FALSE)</f>
        <v>27.5</v>
      </c>
      <c r="F148" s="17">
        <f>VLOOKUP($C148,[1]Peak_Forward!$A$6:$Q$128,'price-old'!F$2,FALSE)</f>
        <v>27.5</v>
      </c>
      <c r="G148" s="17">
        <f>VLOOKUP($C148,[1]Peak_Forward!$A$6:$Q$128,'price-old'!G$2,FALSE)</f>
        <v>24.46</v>
      </c>
      <c r="H148" s="17">
        <f>VLOOKUP($C148,[1]Peak_Forward!$A$6:$Q$128,'price-old'!H$2,FALSE)</f>
        <v>29</v>
      </c>
      <c r="I148" s="17">
        <f>VLOOKUP($C148,[1]Peak_Forward!$A$6:$Q$128,'price-old'!I$2,FALSE)</f>
        <v>34.5</v>
      </c>
      <c r="J148" s="17">
        <f>VLOOKUP($C148,[1]Peak_Forward!$A$6:$Q$128,'price-old'!J$2,FALSE)</f>
        <v>25.2</v>
      </c>
      <c r="K148" s="17">
        <f>VLOOKUP($C148,[1]Peak_Forward!$A$6:$Q$128,'price-old'!K$2,FALSE)</f>
        <v>33</v>
      </c>
      <c r="L148" s="17">
        <f>VLOOKUP($C148,[1]Peak_Forward!$A$6:$Q$128,'price-old'!L$2,FALSE)</f>
        <v>30.5</v>
      </c>
      <c r="M148" s="17">
        <f>VLOOKUP($C148,[1]Peak_Forward!$A$6:$Q$128,'price-old'!M$2,FALSE)</f>
        <v>33</v>
      </c>
      <c r="N148" s="17">
        <f>VLOOKUP($C148,[1]Peak_Forward!$A$6:$Q$128,'price-old'!N$2,FALSE)</f>
        <v>40</v>
      </c>
      <c r="O148" s="17">
        <f>VLOOKUP($C148,[1]Peak_Forward!$A$6:$Q$128,'price-old'!O$2,FALSE)</f>
        <v>25.15</v>
      </c>
      <c r="P148" s="17">
        <f>VLOOKUP($C148,[1]Peak_Forward!$A$6:$Q$128,'price-old'!P$2,FALSE)</f>
        <v>27.25</v>
      </c>
      <c r="Q148" s="17">
        <f>VLOOKUP($C148,[1]Peak_Forward!$A$6:$Q$128,'price-old'!Q$2,FALSE)</f>
        <v>33</v>
      </c>
      <c r="R148" s="6">
        <f>VLOOKUP($C148,[1]Peak_Forward!$A$6:$Q$128,'price-old'!R$2,FALSE)</f>
        <v>25.15</v>
      </c>
      <c r="S148" s="6">
        <f>VLOOKUP($C148,[1]Peak_Forward!$A$6:$Q$128,'price-old'!S$2,FALSE)</f>
        <v>23.274999999999999</v>
      </c>
    </row>
    <row r="149" spans="3:19" x14ac:dyDescent="0.2">
      <c r="C149" s="1">
        <f>'Filter-old'!C24</f>
        <v>37530</v>
      </c>
      <c r="E149" s="17">
        <f>VLOOKUP($C149,[1]Peak_Forward!$A$6:$Q$128,'price-old'!E$2,FALSE)</f>
        <v>27.25</v>
      </c>
      <c r="F149" s="17">
        <f>VLOOKUP($C149,[1]Peak_Forward!$A$6:$Q$128,'price-old'!F$2,FALSE)</f>
        <v>27.25</v>
      </c>
      <c r="G149" s="17">
        <f>VLOOKUP($C149,[1]Peak_Forward!$A$6:$Q$128,'price-old'!G$2,FALSE)</f>
        <v>24.06</v>
      </c>
      <c r="H149" s="17">
        <f>VLOOKUP($C149,[1]Peak_Forward!$A$6:$Q$128,'price-old'!H$2,FALSE)</f>
        <v>28.75</v>
      </c>
      <c r="I149" s="17">
        <f>VLOOKUP($C149,[1]Peak_Forward!$A$6:$Q$128,'price-old'!I$2,FALSE)</f>
        <v>34.5</v>
      </c>
      <c r="J149" s="17">
        <f>VLOOKUP($C149,[1]Peak_Forward!$A$6:$Q$128,'price-old'!J$2,FALSE)</f>
        <v>25.25</v>
      </c>
      <c r="K149" s="17">
        <f>VLOOKUP($C149,[1]Peak_Forward!$A$6:$Q$128,'price-old'!K$2,FALSE)</f>
        <v>33</v>
      </c>
      <c r="L149" s="17">
        <f>VLOOKUP($C149,[1]Peak_Forward!$A$6:$Q$128,'price-old'!L$2,FALSE)</f>
        <v>31.25</v>
      </c>
      <c r="M149" s="17">
        <f>VLOOKUP($C149,[1]Peak_Forward!$A$6:$Q$128,'price-old'!M$2,FALSE)</f>
        <v>33</v>
      </c>
      <c r="N149" s="17">
        <f>VLOOKUP($C149,[1]Peak_Forward!$A$6:$Q$128,'price-old'!N$2,FALSE)</f>
        <v>39.5</v>
      </c>
      <c r="O149" s="17">
        <f>VLOOKUP($C149,[1]Peak_Forward!$A$6:$Q$128,'price-old'!O$2,FALSE)</f>
        <v>25.75</v>
      </c>
      <c r="P149" s="17">
        <f>VLOOKUP($C149,[1]Peak_Forward!$A$6:$Q$128,'price-old'!P$2,FALSE)</f>
        <v>27.25</v>
      </c>
      <c r="Q149" s="17">
        <f>VLOOKUP($C149,[1]Peak_Forward!$A$6:$Q$128,'price-old'!Q$2,FALSE)</f>
        <v>33</v>
      </c>
      <c r="R149" s="6">
        <f>VLOOKUP($C149,[1]Peak_Forward!$A$6:$Q$128,'price-old'!R$2,FALSE)</f>
        <v>25</v>
      </c>
      <c r="S149" s="6">
        <f>VLOOKUP($C149,[1]Peak_Forward!$A$6:$Q$128,'price-old'!S$2,FALSE)</f>
        <v>23.125</v>
      </c>
    </row>
    <row r="150" spans="3:19" x14ac:dyDescent="0.2">
      <c r="C150" s="1">
        <f>'Filter-old'!C25</f>
        <v>37561</v>
      </c>
      <c r="E150" s="17">
        <f>VLOOKUP($C150,[1]Peak_Forward!$A$6:$Q$128,'price-old'!E$2,FALSE)</f>
        <v>27.25</v>
      </c>
      <c r="F150" s="17">
        <f>VLOOKUP($C150,[1]Peak_Forward!$A$6:$Q$128,'price-old'!F$2,FALSE)</f>
        <v>27.25</v>
      </c>
      <c r="G150" s="17">
        <f>VLOOKUP($C150,[1]Peak_Forward!$A$6:$Q$128,'price-old'!G$2,FALSE)</f>
        <v>24.26</v>
      </c>
      <c r="H150" s="17">
        <f>VLOOKUP($C150,[1]Peak_Forward!$A$6:$Q$128,'price-old'!H$2,FALSE)</f>
        <v>28.75</v>
      </c>
      <c r="I150" s="17">
        <f>VLOOKUP($C150,[1]Peak_Forward!$A$6:$Q$128,'price-old'!I$2,FALSE)</f>
        <v>34.5</v>
      </c>
      <c r="J150" s="17">
        <f>VLOOKUP($C150,[1]Peak_Forward!$A$6:$Q$128,'price-old'!J$2,FALSE)</f>
        <v>25.45</v>
      </c>
      <c r="K150" s="17">
        <f>VLOOKUP($C150,[1]Peak_Forward!$A$6:$Q$128,'price-old'!K$2,FALSE)</f>
        <v>33</v>
      </c>
      <c r="L150" s="17">
        <f>VLOOKUP($C150,[1]Peak_Forward!$A$6:$Q$128,'price-old'!L$2,FALSE)</f>
        <v>31.25</v>
      </c>
      <c r="M150" s="17">
        <f>VLOOKUP($C150,[1]Peak_Forward!$A$6:$Q$128,'price-old'!M$2,FALSE)</f>
        <v>33</v>
      </c>
      <c r="N150" s="17">
        <f>VLOOKUP($C150,[1]Peak_Forward!$A$6:$Q$128,'price-old'!N$2,FALSE)</f>
        <v>39.5</v>
      </c>
      <c r="O150" s="17">
        <f>VLOOKUP($C150,[1]Peak_Forward!$A$6:$Q$128,'price-old'!O$2,FALSE)</f>
        <v>25.95</v>
      </c>
      <c r="P150" s="17">
        <f>VLOOKUP($C150,[1]Peak_Forward!$A$6:$Q$128,'price-old'!P$2,FALSE)</f>
        <v>27.25</v>
      </c>
      <c r="Q150" s="17">
        <f>VLOOKUP($C150,[1]Peak_Forward!$A$6:$Q$128,'price-old'!Q$2,FALSE)</f>
        <v>33</v>
      </c>
      <c r="R150" s="6">
        <f>VLOOKUP($C150,[1]Peak_Forward!$A$6:$Q$128,'price-old'!R$2,FALSE)</f>
        <v>25.2</v>
      </c>
      <c r="S150" s="6">
        <f>VLOOKUP($C150,[1]Peak_Forward!$A$6:$Q$128,'price-old'!S$2,FALSE)</f>
        <v>23.324999999999999</v>
      </c>
    </row>
    <row r="151" spans="3:19" x14ac:dyDescent="0.2">
      <c r="C151" s="1">
        <f>'Filter-old'!C26</f>
        <v>37591</v>
      </c>
      <c r="E151" s="17">
        <f>VLOOKUP($C151,[1]Peak_Forward!$A$6:$Q$128,'price-old'!E$2,FALSE)</f>
        <v>27.25</v>
      </c>
      <c r="F151" s="17">
        <f>VLOOKUP($C151,[1]Peak_Forward!$A$6:$Q$128,'price-old'!F$2,FALSE)</f>
        <v>27.25</v>
      </c>
      <c r="G151" s="17">
        <f>VLOOKUP($C151,[1]Peak_Forward!$A$6:$Q$128,'price-old'!G$2,FALSE)</f>
        <v>24.46</v>
      </c>
      <c r="H151" s="17">
        <f>VLOOKUP($C151,[1]Peak_Forward!$A$6:$Q$128,'price-old'!H$2,FALSE)</f>
        <v>28.75</v>
      </c>
      <c r="I151" s="17">
        <f>VLOOKUP($C151,[1]Peak_Forward!$A$6:$Q$128,'price-old'!I$2,FALSE)</f>
        <v>34.5</v>
      </c>
      <c r="J151" s="17">
        <f>VLOOKUP($C151,[1]Peak_Forward!$A$6:$Q$128,'price-old'!J$2,FALSE)</f>
        <v>25.65</v>
      </c>
      <c r="K151" s="17">
        <f>VLOOKUP($C151,[1]Peak_Forward!$A$6:$Q$128,'price-old'!K$2,FALSE)</f>
        <v>33</v>
      </c>
      <c r="L151" s="17">
        <f>VLOOKUP($C151,[1]Peak_Forward!$A$6:$Q$128,'price-old'!L$2,FALSE)</f>
        <v>31.25</v>
      </c>
      <c r="M151" s="17">
        <f>VLOOKUP($C151,[1]Peak_Forward!$A$6:$Q$128,'price-old'!M$2,FALSE)</f>
        <v>33</v>
      </c>
      <c r="N151" s="17">
        <f>VLOOKUP($C151,[1]Peak_Forward!$A$6:$Q$128,'price-old'!N$2,FALSE)</f>
        <v>39.5</v>
      </c>
      <c r="O151" s="17">
        <f>VLOOKUP($C151,[1]Peak_Forward!$A$6:$Q$128,'price-old'!O$2,FALSE)</f>
        <v>26.15</v>
      </c>
      <c r="P151" s="17">
        <f>VLOOKUP($C151,[1]Peak_Forward!$A$6:$Q$128,'price-old'!P$2,FALSE)</f>
        <v>27.25</v>
      </c>
      <c r="Q151" s="17">
        <f>VLOOKUP($C151,[1]Peak_Forward!$A$6:$Q$128,'price-old'!Q$2,FALSE)</f>
        <v>33</v>
      </c>
      <c r="R151" s="6">
        <f>VLOOKUP($C151,[1]Peak_Forward!$A$6:$Q$128,'price-old'!R$2,FALSE)</f>
        <v>25.4</v>
      </c>
      <c r="S151" s="6">
        <f>VLOOKUP($C151,[1]Peak_Forward!$A$6:$Q$128,'price-old'!S$2,FALSE)</f>
        <v>23.524999999999999</v>
      </c>
    </row>
    <row r="152" spans="3:19" x14ac:dyDescent="0.2">
      <c r="C152" s="1">
        <f>'Filter-old'!C27</f>
        <v>37622</v>
      </c>
      <c r="E152" s="17">
        <f>VLOOKUP($C152,[1]Peak_Forward!$A$6:$Q$128,'price-old'!E$2,FALSE)</f>
        <v>31</v>
      </c>
      <c r="F152" s="17">
        <f>VLOOKUP($C152,[1]Peak_Forward!$A$6:$Q$128,'price-old'!F$2,FALSE)</f>
        <v>31</v>
      </c>
      <c r="G152" s="17">
        <f>VLOOKUP($C152,[1]Peak_Forward!$A$6:$Q$128,'price-old'!G$2,FALSE)</f>
        <v>27.98</v>
      </c>
      <c r="H152" s="17">
        <f>VLOOKUP($C152,[1]Peak_Forward!$A$6:$Q$128,'price-old'!H$2,FALSE)</f>
        <v>32.5</v>
      </c>
      <c r="I152" s="17">
        <f>VLOOKUP($C152,[1]Peak_Forward!$A$6:$Q$128,'price-old'!I$2,FALSE)</f>
        <v>38.5</v>
      </c>
      <c r="J152" s="17">
        <f>VLOOKUP($C152,[1]Peak_Forward!$A$6:$Q$128,'price-old'!J$2,FALSE)</f>
        <v>28.98</v>
      </c>
      <c r="K152" s="17">
        <f>VLOOKUP($C152,[1]Peak_Forward!$A$6:$Q$128,'price-old'!K$2,FALSE)</f>
        <v>37.75</v>
      </c>
      <c r="L152" s="17">
        <f>VLOOKUP($C152,[1]Peak_Forward!$A$6:$Q$128,'price-old'!L$2,FALSE)</f>
        <v>36.5</v>
      </c>
      <c r="M152" s="17">
        <f>VLOOKUP($C152,[1]Peak_Forward!$A$6:$Q$128,'price-old'!M$2,FALSE)</f>
        <v>37.75</v>
      </c>
      <c r="N152" s="17">
        <f>VLOOKUP($C152,[1]Peak_Forward!$A$6:$Q$128,'price-old'!N$2,FALSE)</f>
        <v>44</v>
      </c>
      <c r="O152" s="17">
        <f>VLOOKUP($C152,[1]Peak_Forward!$A$6:$Q$128,'price-old'!O$2,FALSE)</f>
        <v>29.15</v>
      </c>
      <c r="P152" s="17">
        <f>VLOOKUP($C152,[1]Peak_Forward!$A$6:$Q$128,'price-old'!P$2,FALSE)</f>
        <v>30.75</v>
      </c>
      <c r="Q152" s="17">
        <f>VLOOKUP($C152,[1]Peak_Forward!$A$6:$Q$128,'price-old'!Q$2,FALSE)</f>
        <v>37.75</v>
      </c>
      <c r="R152" s="6">
        <f>VLOOKUP($C152,[1]Peak_Forward!$A$6:$Q$128,'price-old'!R$2,FALSE)</f>
        <v>28.48</v>
      </c>
      <c r="S152" s="6">
        <f>VLOOKUP($C152,[1]Peak_Forward!$A$6:$Q$128,'price-old'!S$2,FALSE)</f>
        <v>26.03</v>
      </c>
    </row>
    <row r="153" spans="3:19" x14ac:dyDescent="0.2">
      <c r="C153" s="1">
        <f>'Filter-old'!C28</f>
        <v>37653</v>
      </c>
      <c r="E153" s="17">
        <f>VLOOKUP($C153,[1]Peak_Forward!$A$6:$Q$128,'price-old'!E$2,FALSE)</f>
        <v>31</v>
      </c>
      <c r="F153" s="17">
        <f>VLOOKUP($C153,[1]Peak_Forward!$A$6:$Q$128,'price-old'!F$2,FALSE)</f>
        <v>31</v>
      </c>
      <c r="G153" s="17">
        <f>VLOOKUP($C153,[1]Peak_Forward!$A$6:$Q$128,'price-old'!G$2,FALSE)</f>
        <v>27.38</v>
      </c>
      <c r="H153" s="17">
        <f>VLOOKUP($C153,[1]Peak_Forward!$A$6:$Q$128,'price-old'!H$2,FALSE)</f>
        <v>32.5</v>
      </c>
      <c r="I153" s="17">
        <f>VLOOKUP($C153,[1]Peak_Forward!$A$6:$Q$128,'price-old'!I$2,FALSE)</f>
        <v>38.5</v>
      </c>
      <c r="J153" s="17">
        <f>VLOOKUP($C153,[1]Peak_Forward!$A$6:$Q$128,'price-old'!J$2,FALSE)</f>
        <v>28.38</v>
      </c>
      <c r="K153" s="17">
        <f>VLOOKUP($C153,[1]Peak_Forward!$A$6:$Q$128,'price-old'!K$2,FALSE)</f>
        <v>37.75</v>
      </c>
      <c r="L153" s="17">
        <f>VLOOKUP($C153,[1]Peak_Forward!$A$6:$Q$128,'price-old'!L$2,FALSE)</f>
        <v>36.5</v>
      </c>
      <c r="M153" s="17">
        <f>VLOOKUP($C153,[1]Peak_Forward!$A$6:$Q$128,'price-old'!M$2,FALSE)</f>
        <v>37.75</v>
      </c>
      <c r="N153" s="17">
        <f>VLOOKUP($C153,[1]Peak_Forward!$A$6:$Q$128,'price-old'!N$2,FALSE)</f>
        <v>44</v>
      </c>
      <c r="O153" s="17">
        <f>VLOOKUP($C153,[1]Peak_Forward!$A$6:$Q$128,'price-old'!O$2,FALSE)</f>
        <v>30.3</v>
      </c>
      <c r="P153" s="17">
        <f>VLOOKUP($C153,[1]Peak_Forward!$A$6:$Q$128,'price-old'!P$2,FALSE)</f>
        <v>30.75</v>
      </c>
      <c r="Q153" s="17">
        <f>VLOOKUP($C153,[1]Peak_Forward!$A$6:$Q$128,'price-old'!Q$2,FALSE)</f>
        <v>37.75</v>
      </c>
      <c r="R153" s="6">
        <f>VLOOKUP($C153,[1]Peak_Forward!$A$6:$Q$128,'price-old'!R$2,FALSE)</f>
        <v>27.88</v>
      </c>
      <c r="S153" s="6">
        <f>VLOOKUP($C153,[1]Peak_Forward!$A$6:$Q$128,'price-old'!S$2,FALSE)</f>
        <v>25.43</v>
      </c>
    </row>
    <row r="154" spans="3:19" x14ac:dyDescent="0.2">
      <c r="C154" s="1">
        <f>'Filter-old'!C29</f>
        <v>37681</v>
      </c>
      <c r="E154" s="17">
        <f>VLOOKUP($C154,[1]Peak_Forward!$A$6:$Q$128,'price-old'!E$2,FALSE)</f>
        <v>29.5</v>
      </c>
      <c r="F154" s="17">
        <f>VLOOKUP($C154,[1]Peak_Forward!$A$6:$Q$128,'price-old'!F$2,FALSE)</f>
        <v>29.5</v>
      </c>
      <c r="G154" s="17">
        <f>VLOOKUP($C154,[1]Peak_Forward!$A$6:$Q$128,'price-old'!G$2,FALSE)</f>
        <v>27.1</v>
      </c>
      <c r="H154" s="17">
        <f>VLOOKUP($C154,[1]Peak_Forward!$A$6:$Q$128,'price-old'!H$2,FALSE)</f>
        <v>31</v>
      </c>
      <c r="I154" s="17">
        <f>VLOOKUP($C154,[1]Peak_Forward!$A$6:$Q$128,'price-old'!I$2,FALSE)</f>
        <v>36.5</v>
      </c>
      <c r="J154" s="17">
        <f>VLOOKUP($C154,[1]Peak_Forward!$A$6:$Q$128,'price-old'!J$2,FALSE)</f>
        <v>28.35</v>
      </c>
      <c r="K154" s="17">
        <f>VLOOKUP($C154,[1]Peak_Forward!$A$6:$Q$128,'price-old'!K$2,FALSE)</f>
        <v>33.5</v>
      </c>
      <c r="L154" s="17">
        <f>VLOOKUP($C154,[1]Peak_Forward!$A$6:$Q$128,'price-old'!L$2,FALSE)</f>
        <v>33</v>
      </c>
      <c r="M154" s="17">
        <f>VLOOKUP($C154,[1]Peak_Forward!$A$6:$Q$128,'price-old'!M$2,FALSE)</f>
        <v>33.5</v>
      </c>
      <c r="N154" s="17">
        <f>VLOOKUP($C154,[1]Peak_Forward!$A$6:$Q$128,'price-old'!N$2,FALSE)</f>
        <v>39</v>
      </c>
      <c r="O154" s="17">
        <f>VLOOKUP($C154,[1]Peak_Forward!$A$6:$Q$128,'price-old'!O$2,FALSE)</f>
        <v>29.57</v>
      </c>
      <c r="P154" s="17">
        <f>VLOOKUP($C154,[1]Peak_Forward!$A$6:$Q$128,'price-old'!P$2,FALSE)</f>
        <v>28.5</v>
      </c>
      <c r="Q154" s="17">
        <f>VLOOKUP($C154,[1]Peak_Forward!$A$6:$Q$128,'price-old'!Q$2,FALSE)</f>
        <v>33.5</v>
      </c>
      <c r="R154" s="6">
        <f>VLOOKUP($C154,[1]Peak_Forward!$A$6:$Q$128,'price-old'!R$2,FALSE)</f>
        <v>27.6</v>
      </c>
      <c r="S154" s="6">
        <f>VLOOKUP($C154,[1]Peak_Forward!$A$6:$Q$128,'price-old'!S$2,FALSE)</f>
        <v>26.35</v>
      </c>
    </row>
    <row r="155" spans="3:19" x14ac:dyDescent="0.2">
      <c r="C155" s="1">
        <f>'Filter-old'!C30</f>
        <v>37712</v>
      </c>
      <c r="E155" s="17">
        <f>VLOOKUP($C155,[1]Peak_Forward!$A$6:$Q$128,'price-old'!E$2,FALSE)</f>
        <v>29.5</v>
      </c>
      <c r="F155" s="17">
        <f>VLOOKUP($C155,[1]Peak_Forward!$A$6:$Q$128,'price-old'!F$2,FALSE)</f>
        <v>29.5</v>
      </c>
      <c r="G155" s="17">
        <f>VLOOKUP($C155,[1]Peak_Forward!$A$6:$Q$128,'price-old'!G$2,FALSE)</f>
        <v>27.3</v>
      </c>
      <c r="H155" s="17">
        <f>VLOOKUP($C155,[1]Peak_Forward!$A$6:$Q$128,'price-old'!H$2,FALSE)</f>
        <v>31</v>
      </c>
      <c r="I155" s="17">
        <f>VLOOKUP($C155,[1]Peak_Forward!$A$6:$Q$128,'price-old'!I$2,FALSE)</f>
        <v>36.5</v>
      </c>
      <c r="J155" s="17">
        <f>VLOOKUP($C155,[1]Peak_Forward!$A$6:$Q$128,'price-old'!J$2,FALSE)</f>
        <v>28.55</v>
      </c>
      <c r="K155" s="17">
        <f>VLOOKUP($C155,[1]Peak_Forward!$A$6:$Q$128,'price-old'!K$2,FALSE)</f>
        <v>33.5</v>
      </c>
      <c r="L155" s="17">
        <f>VLOOKUP($C155,[1]Peak_Forward!$A$6:$Q$128,'price-old'!L$2,FALSE)</f>
        <v>33</v>
      </c>
      <c r="M155" s="17">
        <f>VLOOKUP($C155,[1]Peak_Forward!$A$6:$Q$128,'price-old'!M$2,FALSE)</f>
        <v>33.5</v>
      </c>
      <c r="N155" s="17">
        <f>VLOOKUP($C155,[1]Peak_Forward!$A$6:$Q$128,'price-old'!N$2,FALSE)</f>
        <v>39</v>
      </c>
      <c r="O155" s="17">
        <f>VLOOKUP($C155,[1]Peak_Forward!$A$6:$Q$128,'price-old'!O$2,FALSE)</f>
        <v>29.82</v>
      </c>
      <c r="P155" s="17">
        <f>VLOOKUP($C155,[1]Peak_Forward!$A$6:$Q$128,'price-old'!P$2,FALSE)</f>
        <v>28.5</v>
      </c>
      <c r="Q155" s="17">
        <f>VLOOKUP($C155,[1]Peak_Forward!$A$6:$Q$128,'price-old'!Q$2,FALSE)</f>
        <v>33.5</v>
      </c>
      <c r="R155" s="6">
        <f>VLOOKUP($C155,[1]Peak_Forward!$A$6:$Q$128,'price-old'!R$2,FALSE)</f>
        <v>27.8</v>
      </c>
      <c r="S155" s="6">
        <f>VLOOKUP($C155,[1]Peak_Forward!$A$6:$Q$128,'price-old'!S$2,FALSE)</f>
        <v>26.55</v>
      </c>
    </row>
    <row r="156" spans="3:19" x14ac:dyDescent="0.2">
      <c r="C156" s="1">
        <f>'Filter-old'!C31</f>
        <v>37742</v>
      </c>
      <c r="E156" s="17">
        <f>VLOOKUP($C156,[1]Peak_Forward!$A$6:$Q$128,'price-old'!E$2,FALSE)</f>
        <v>30.75</v>
      </c>
      <c r="F156" s="17">
        <f>VLOOKUP($C156,[1]Peak_Forward!$A$6:$Q$128,'price-old'!F$2,FALSE)</f>
        <v>30.75</v>
      </c>
      <c r="G156" s="17">
        <f>VLOOKUP($C156,[1]Peak_Forward!$A$6:$Q$128,'price-old'!G$2,FALSE)</f>
        <v>27.274999999999999</v>
      </c>
      <c r="H156" s="17">
        <f>VLOOKUP($C156,[1]Peak_Forward!$A$6:$Q$128,'price-old'!H$2,FALSE)</f>
        <v>32.25</v>
      </c>
      <c r="I156" s="17">
        <f>VLOOKUP($C156,[1]Peak_Forward!$A$6:$Q$128,'price-old'!I$2,FALSE)</f>
        <v>37</v>
      </c>
      <c r="J156" s="17">
        <f>VLOOKUP($C156,[1]Peak_Forward!$A$6:$Q$128,'price-old'!J$2,FALSE)</f>
        <v>29.274999999999999</v>
      </c>
      <c r="K156" s="17">
        <f>VLOOKUP($C156,[1]Peak_Forward!$A$6:$Q$128,'price-old'!K$2,FALSE)</f>
        <v>34</v>
      </c>
      <c r="L156" s="17">
        <f>VLOOKUP($C156,[1]Peak_Forward!$A$6:$Q$128,'price-old'!L$2,FALSE)</f>
        <v>36.75</v>
      </c>
      <c r="M156" s="17">
        <f>VLOOKUP($C156,[1]Peak_Forward!$A$6:$Q$128,'price-old'!M$2,FALSE)</f>
        <v>34</v>
      </c>
      <c r="N156" s="17">
        <f>VLOOKUP($C156,[1]Peak_Forward!$A$6:$Q$128,'price-old'!N$2,FALSE)</f>
        <v>43</v>
      </c>
      <c r="O156" s="17">
        <f>VLOOKUP($C156,[1]Peak_Forward!$A$6:$Q$128,'price-old'!O$2,FALSE)</f>
        <v>28.774999999999999</v>
      </c>
      <c r="P156" s="17">
        <f>VLOOKUP($C156,[1]Peak_Forward!$A$6:$Q$128,'price-old'!P$2,FALSE)</f>
        <v>30</v>
      </c>
      <c r="Q156" s="17">
        <f>VLOOKUP($C156,[1]Peak_Forward!$A$6:$Q$128,'price-old'!Q$2,FALSE)</f>
        <v>34</v>
      </c>
      <c r="R156" s="6">
        <f>VLOOKUP($C156,[1]Peak_Forward!$A$6:$Q$128,'price-old'!R$2,FALSE)</f>
        <v>28.274999999999999</v>
      </c>
      <c r="S156" s="6">
        <f>VLOOKUP($C156,[1]Peak_Forward!$A$6:$Q$128,'price-old'!S$2,FALSE)</f>
        <v>25.524999999999999</v>
      </c>
    </row>
    <row r="157" spans="3:19" x14ac:dyDescent="0.2">
      <c r="C157" s="1">
        <f>'Filter-old'!C32</f>
        <v>37773</v>
      </c>
      <c r="E157" s="17">
        <f>VLOOKUP($C157,[1]Peak_Forward!$A$6:$Q$128,'price-old'!E$2,FALSE)</f>
        <v>40.75</v>
      </c>
      <c r="F157" s="17">
        <f>VLOOKUP($C157,[1]Peak_Forward!$A$6:$Q$128,'price-old'!F$2,FALSE)</f>
        <v>40.75</v>
      </c>
      <c r="G157" s="17">
        <f>VLOOKUP($C157,[1]Peak_Forward!$A$6:$Q$128,'price-old'!G$2,FALSE)</f>
        <v>35.045000000000002</v>
      </c>
      <c r="H157" s="17">
        <f>VLOOKUP($C157,[1]Peak_Forward!$A$6:$Q$128,'price-old'!H$2,FALSE)</f>
        <v>44.25</v>
      </c>
      <c r="I157" s="17">
        <f>VLOOKUP($C157,[1]Peak_Forward!$A$6:$Q$128,'price-old'!I$2,FALSE)</f>
        <v>45</v>
      </c>
      <c r="J157" s="17">
        <f>VLOOKUP($C157,[1]Peak_Forward!$A$6:$Q$128,'price-old'!J$2,FALSE)</f>
        <v>37.795000000000002</v>
      </c>
      <c r="K157" s="17">
        <f>VLOOKUP($C157,[1]Peak_Forward!$A$6:$Q$128,'price-old'!K$2,FALSE)</f>
        <v>37.75</v>
      </c>
      <c r="L157" s="17">
        <f>VLOOKUP($C157,[1]Peak_Forward!$A$6:$Q$128,'price-old'!L$2,FALSE)</f>
        <v>52.25</v>
      </c>
      <c r="M157" s="17">
        <f>VLOOKUP($C157,[1]Peak_Forward!$A$6:$Q$128,'price-old'!M$2,FALSE)</f>
        <v>37.75</v>
      </c>
      <c r="N157" s="17">
        <f>VLOOKUP($C157,[1]Peak_Forward!$A$6:$Q$128,'price-old'!N$2,FALSE)</f>
        <v>53</v>
      </c>
      <c r="O157" s="17">
        <f>VLOOKUP($C157,[1]Peak_Forward!$A$6:$Q$128,'price-old'!O$2,FALSE)</f>
        <v>35.295000000000002</v>
      </c>
      <c r="P157" s="17">
        <f>VLOOKUP($C157,[1]Peak_Forward!$A$6:$Q$128,'price-old'!P$2,FALSE)</f>
        <v>39</v>
      </c>
      <c r="Q157" s="17">
        <f>VLOOKUP($C157,[1]Peak_Forward!$A$6:$Q$128,'price-old'!Q$2,FALSE)</f>
        <v>37.75</v>
      </c>
      <c r="R157" s="6">
        <f>VLOOKUP($C157,[1]Peak_Forward!$A$6:$Q$128,'price-old'!R$2,FALSE)</f>
        <v>36.295000000000002</v>
      </c>
      <c r="S157" s="6">
        <f>VLOOKUP($C157,[1]Peak_Forward!$A$6:$Q$128,'price-old'!S$2,FALSE)</f>
        <v>34.145000000000003</v>
      </c>
    </row>
    <row r="158" spans="3:19" x14ac:dyDescent="0.2">
      <c r="C158" s="1">
        <f>'Filter-old'!C33</f>
        <v>37803</v>
      </c>
      <c r="E158" s="17">
        <f>VLOOKUP($C158,[1]Peak_Forward!$A$6:$Q$128,'price-old'!E$2,FALSE)</f>
        <v>50.5</v>
      </c>
      <c r="F158" s="17">
        <f>VLOOKUP($C158,[1]Peak_Forward!$A$6:$Q$128,'price-old'!F$2,FALSE)</f>
        <v>50.5</v>
      </c>
      <c r="G158" s="17">
        <f>VLOOKUP($C158,[1]Peak_Forward!$A$6:$Q$128,'price-old'!G$2,FALSE)</f>
        <v>46.18</v>
      </c>
      <c r="H158" s="17">
        <f>VLOOKUP($C158,[1]Peak_Forward!$A$6:$Q$128,'price-old'!H$2,FALSE)</f>
        <v>54</v>
      </c>
      <c r="I158" s="17">
        <f>VLOOKUP($C158,[1]Peak_Forward!$A$6:$Q$128,'price-old'!I$2,FALSE)</f>
        <v>65</v>
      </c>
      <c r="J158" s="17">
        <f>VLOOKUP($C158,[1]Peak_Forward!$A$6:$Q$128,'price-old'!J$2,FALSE)</f>
        <v>49.43</v>
      </c>
      <c r="K158" s="17">
        <f>VLOOKUP($C158,[1]Peak_Forward!$A$6:$Q$128,'price-old'!K$2,FALSE)</f>
        <v>46.75</v>
      </c>
      <c r="L158" s="17">
        <f>VLOOKUP($C158,[1]Peak_Forward!$A$6:$Q$128,'price-old'!L$2,FALSE)</f>
        <v>68</v>
      </c>
      <c r="M158" s="17">
        <f>VLOOKUP($C158,[1]Peak_Forward!$A$6:$Q$128,'price-old'!M$2,FALSE)</f>
        <v>46.75</v>
      </c>
      <c r="N158" s="17">
        <f>VLOOKUP($C158,[1]Peak_Forward!$A$6:$Q$128,'price-old'!N$2,FALSE)</f>
        <v>74</v>
      </c>
      <c r="O158" s="17">
        <f>VLOOKUP($C158,[1]Peak_Forward!$A$6:$Q$128,'price-old'!O$2,FALSE)</f>
        <v>45.93</v>
      </c>
      <c r="P158" s="17">
        <f>VLOOKUP($C158,[1]Peak_Forward!$A$6:$Q$128,'price-old'!P$2,FALSE)</f>
        <v>50.5</v>
      </c>
      <c r="Q158" s="17">
        <f>VLOOKUP($C158,[1]Peak_Forward!$A$6:$Q$128,'price-old'!Q$2,FALSE)</f>
        <v>46.75</v>
      </c>
      <c r="R158" s="6">
        <f>VLOOKUP($C158,[1]Peak_Forward!$A$6:$Q$128,'price-old'!R$2,FALSE)</f>
        <v>46.93</v>
      </c>
      <c r="S158" s="6">
        <f>VLOOKUP($C158,[1]Peak_Forward!$A$6:$Q$128,'price-old'!S$2,FALSE)</f>
        <v>44.33</v>
      </c>
    </row>
    <row r="159" spans="3:19" x14ac:dyDescent="0.2">
      <c r="C159" s="1">
        <f>'Filter-old'!C34</f>
        <v>37834</v>
      </c>
      <c r="E159" s="17">
        <f>VLOOKUP($C159,[1]Peak_Forward!$A$6:$Q$128,'price-old'!E$2,FALSE)</f>
        <v>50.5</v>
      </c>
      <c r="F159" s="17">
        <f>VLOOKUP($C159,[1]Peak_Forward!$A$6:$Q$128,'price-old'!F$2,FALSE)</f>
        <v>50.5</v>
      </c>
      <c r="G159" s="17">
        <f>VLOOKUP($C159,[1]Peak_Forward!$A$6:$Q$128,'price-old'!G$2,FALSE)</f>
        <v>46.27</v>
      </c>
      <c r="H159" s="17">
        <f>VLOOKUP($C159,[1]Peak_Forward!$A$6:$Q$128,'price-old'!H$2,FALSE)</f>
        <v>54</v>
      </c>
      <c r="I159" s="17">
        <f>VLOOKUP($C159,[1]Peak_Forward!$A$6:$Q$128,'price-old'!I$2,FALSE)</f>
        <v>65</v>
      </c>
      <c r="J159" s="17">
        <f>VLOOKUP($C159,[1]Peak_Forward!$A$6:$Q$128,'price-old'!J$2,FALSE)</f>
        <v>49.52</v>
      </c>
      <c r="K159" s="17">
        <f>VLOOKUP($C159,[1]Peak_Forward!$A$6:$Q$128,'price-old'!K$2,FALSE)</f>
        <v>46.75</v>
      </c>
      <c r="L159" s="17">
        <f>VLOOKUP($C159,[1]Peak_Forward!$A$6:$Q$128,'price-old'!L$2,FALSE)</f>
        <v>68</v>
      </c>
      <c r="M159" s="17">
        <f>VLOOKUP($C159,[1]Peak_Forward!$A$6:$Q$128,'price-old'!M$2,FALSE)</f>
        <v>46.75</v>
      </c>
      <c r="N159" s="17">
        <f>VLOOKUP($C159,[1]Peak_Forward!$A$6:$Q$128,'price-old'!N$2,FALSE)</f>
        <v>74</v>
      </c>
      <c r="O159" s="17">
        <f>VLOOKUP($C159,[1]Peak_Forward!$A$6:$Q$128,'price-old'!O$2,FALSE)</f>
        <v>46.02</v>
      </c>
      <c r="P159" s="17">
        <f>VLOOKUP($C159,[1]Peak_Forward!$A$6:$Q$128,'price-old'!P$2,FALSE)</f>
        <v>50.5</v>
      </c>
      <c r="Q159" s="17">
        <f>VLOOKUP($C159,[1]Peak_Forward!$A$6:$Q$128,'price-old'!Q$2,FALSE)</f>
        <v>46.75</v>
      </c>
      <c r="R159" s="6">
        <f>VLOOKUP($C159,[1]Peak_Forward!$A$6:$Q$128,'price-old'!R$2,FALSE)</f>
        <v>47.02</v>
      </c>
      <c r="S159" s="6">
        <f>VLOOKUP($C159,[1]Peak_Forward!$A$6:$Q$128,'price-old'!S$2,FALSE)</f>
        <v>44.42</v>
      </c>
    </row>
    <row r="160" spans="3:19" x14ac:dyDescent="0.2">
      <c r="C160" s="1">
        <f>'Filter-old'!C35</f>
        <v>37865</v>
      </c>
      <c r="E160" s="17">
        <f>VLOOKUP($C160,[1]Peak_Forward!$A$6:$Q$128,'price-old'!E$2,FALSE)</f>
        <v>29.25</v>
      </c>
      <c r="F160" s="17">
        <f>VLOOKUP($C160,[1]Peak_Forward!$A$6:$Q$128,'price-old'!F$2,FALSE)</f>
        <v>29.25</v>
      </c>
      <c r="G160" s="17">
        <f>VLOOKUP($C160,[1]Peak_Forward!$A$6:$Q$128,'price-old'!G$2,FALSE)</f>
        <v>25.9</v>
      </c>
      <c r="H160" s="17">
        <f>VLOOKUP($C160,[1]Peak_Forward!$A$6:$Q$128,'price-old'!H$2,FALSE)</f>
        <v>30.75</v>
      </c>
      <c r="I160" s="17">
        <f>VLOOKUP($C160,[1]Peak_Forward!$A$6:$Q$128,'price-old'!I$2,FALSE)</f>
        <v>36.5</v>
      </c>
      <c r="J160" s="17">
        <f>VLOOKUP($C160,[1]Peak_Forward!$A$6:$Q$128,'price-old'!J$2,FALSE)</f>
        <v>27.9</v>
      </c>
      <c r="K160" s="17">
        <f>VLOOKUP($C160,[1]Peak_Forward!$A$6:$Q$128,'price-old'!K$2,FALSE)</f>
        <v>33</v>
      </c>
      <c r="L160" s="17">
        <f>VLOOKUP($C160,[1]Peak_Forward!$A$6:$Q$128,'price-old'!L$2,FALSE)</f>
        <v>31.75</v>
      </c>
      <c r="M160" s="17">
        <f>VLOOKUP($C160,[1]Peak_Forward!$A$6:$Q$128,'price-old'!M$2,FALSE)</f>
        <v>33</v>
      </c>
      <c r="N160" s="17">
        <f>VLOOKUP($C160,[1]Peak_Forward!$A$6:$Q$128,'price-old'!N$2,FALSE)</f>
        <v>40</v>
      </c>
      <c r="O160" s="17">
        <f>VLOOKUP($C160,[1]Peak_Forward!$A$6:$Q$128,'price-old'!O$2,FALSE)</f>
        <v>26.4</v>
      </c>
      <c r="P160" s="17">
        <f>VLOOKUP($C160,[1]Peak_Forward!$A$6:$Q$128,'price-old'!P$2,FALSE)</f>
        <v>28.5</v>
      </c>
      <c r="Q160" s="17">
        <f>VLOOKUP($C160,[1]Peak_Forward!$A$6:$Q$128,'price-old'!Q$2,FALSE)</f>
        <v>33</v>
      </c>
      <c r="R160" s="6">
        <f>VLOOKUP($C160,[1]Peak_Forward!$A$6:$Q$128,'price-old'!R$2,FALSE)</f>
        <v>26.4</v>
      </c>
      <c r="S160" s="6">
        <f>VLOOKUP($C160,[1]Peak_Forward!$A$6:$Q$128,'price-old'!S$2,FALSE)</f>
        <v>25.25</v>
      </c>
    </row>
    <row r="161" spans="3:19" x14ac:dyDescent="0.2">
      <c r="C161" s="1">
        <f>'Filter-old'!C36</f>
        <v>37895</v>
      </c>
      <c r="E161" s="17">
        <f>VLOOKUP($C161,[1]Peak_Forward!$A$6:$Q$128,'price-old'!E$2,FALSE)</f>
        <v>29.25</v>
      </c>
      <c r="F161" s="17">
        <f>VLOOKUP($C161,[1]Peak_Forward!$A$6:$Q$128,'price-old'!F$2,FALSE)</f>
        <v>29.25</v>
      </c>
      <c r="G161" s="17">
        <f>VLOOKUP($C161,[1]Peak_Forward!$A$6:$Q$128,'price-old'!G$2,FALSE)</f>
        <v>26.4</v>
      </c>
      <c r="H161" s="17">
        <f>VLOOKUP($C161,[1]Peak_Forward!$A$6:$Q$128,'price-old'!H$2,FALSE)</f>
        <v>30.75</v>
      </c>
      <c r="I161" s="17">
        <f>VLOOKUP($C161,[1]Peak_Forward!$A$6:$Q$128,'price-old'!I$2,FALSE)</f>
        <v>36.5</v>
      </c>
      <c r="J161" s="17">
        <f>VLOOKUP($C161,[1]Peak_Forward!$A$6:$Q$128,'price-old'!J$2,FALSE)</f>
        <v>27.15</v>
      </c>
      <c r="K161" s="17">
        <f>VLOOKUP($C161,[1]Peak_Forward!$A$6:$Q$128,'price-old'!K$2,FALSE)</f>
        <v>34.25</v>
      </c>
      <c r="L161" s="17">
        <f>VLOOKUP($C161,[1]Peak_Forward!$A$6:$Q$128,'price-old'!L$2,FALSE)</f>
        <v>32.25</v>
      </c>
      <c r="M161" s="17">
        <f>VLOOKUP($C161,[1]Peak_Forward!$A$6:$Q$128,'price-old'!M$2,FALSE)</f>
        <v>34.25</v>
      </c>
      <c r="N161" s="17">
        <f>VLOOKUP($C161,[1]Peak_Forward!$A$6:$Q$128,'price-old'!N$2,FALSE)</f>
        <v>40</v>
      </c>
      <c r="O161" s="17">
        <f>VLOOKUP($C161,[1]Peak_Forward!$A$6:$Q$128,'price-old'!O$2,FALSE)</f>
        <v>26.34</v>
      </c>
      <c r="P161" s="17">
        <f>VLOOKUP($C161,[1]Peak_Forward!$A$6:$Q$128,'price-old'!P$2,FALSE)</f>
        <v>28.5</v>
      </c>
      <c r="Q161" s="17">
        <f>VLOOKUP($C161,[1]Peak_Forward!$A$6:$Q$128,'price-old'!Q$2,FALSE)</f>
        <v>34.25</v>
      </c>
      <c r="R161" s="6">
        <f>VLOOKUP($C161,[1]Peak_Forward!$A$6:$Q$128,'price-old'!R$2,FALSE)</f>
        <v>27.15</v>
      </c>
      <c r="S161" s="6">
        <f>VLOOKUP($C161,[1]Peak_Forward!$A$6:$Q$128,'price-old'!S$2,FALSE)</f>
        <v>26.1</v>
      </c>
    </row>
    <row r="162" spans="3:19" x14ac:dyDescent="0.2">
      <c r="C162" s="1">
        <f>'Filter-old'!C37</f>
        <v>37926</v>
      </c>
      <c r="E162" s="17">
        <f>VLOOKUP($C162,[1]Peak_Forward!$A$6:$Q$128,'price-old'!E$2,FALSE)</f>
        <v>29.25</v>
      </c>
      <c r="F162" s="17">
        <f>VLOOKUP($C162,[1]Peak_Forward!$A$6:$Q$128,'price-old'!F$2,FALSE)</f>
        <v>29.25</v>
      </c>
      <c r="G162" s="17">
        <f>VLOOKUP($C162,[1]Peak_Forward!$A$6:$Q$128,'price-old'!G$2,FALSE)</f>
        <v>26.5</v>
      </c>
      <c r="H162" s="17">
        <f>VLOOKUP($C162,[1]Peak_Forward!$A$6:$Q$128,'price-old'!H$2,FALSE)</f>
        <v>30.75</v>
      </c>
      <c r="I162" s="17">
        <f>VLOOKUP($C162,[1]Peak_Forward!$A$6:$Q$128,'price-old'!I$2,FALSE)</f>
        <v>36.5</v>
      </c>
      <c r="J162" s="17">
        <f>VLOOKUP($C162,[1]Peak_Forward!$A$6:$Q$128,'price-old'!J$2,FALSE)</f>
        <v>27.25</v>
      </c>
      <c r="K162" s="17">
        <f>VLOOKUP($C162,[1]Peak_Forward!$A$6:$Q$128,'price-old'!K$2,FALSE)</f>
        <v>34.25</v>
      </c>
      <c r="L162" s="17">
        <f>VLOOKUP($C162,[1]Peak_Forward!$A$6:$Q$128,'price-old'!L$2,FALSE)</f>
        <v>32.25</v>
      </c>
      <c r="M162" s="17">
        <f>VLOOKUP($C162,[1]Peak_Forward!$A$6:$Q$128,'price-old'!M$2,FALSE)</f>
        <v>34.25</v>
      </c>
      <c r="N162" s="17">
        <f>VLOOKUP($C162,[1]Peak_Forward!$A$6:$Q$128,'price-old'!N$2,FALSE)</f>
        <v>40</v>
      </c>
      <c r="O162" s="17">
        <f>VLOOKUP($C162,[1]Peak_Forward!$A$6:$Q$128,'price-old'!O$2,FALSE)</f>
        <v>29.84</v>
      </c>
      <c r="P162" s="17">
        <f>VLOOKUP($C162,[1]Peak_Forward!$A$6:$Q$128,'price-old'!P$2,FALSE)</f>
        <v>28.5</v>
      </c>
      <c r="Q162" s="17">
        <f>VLOOKUP($C162,[1]Peak_Forward!$A$6:$Q$128,'price-old'!Q$2,FALSE)</f>
        <v>34.25</v>
      </c>
      <c r="R162" s="6">
        <f>VLOOKUP($C162,[1]Peak_Forward!$A$6:$Q$128,'price-old'!R$2,FALSE)</f>
        <v>27.25</v>
      </c>
      <c r="S162" s="6">
        <f>VLOOKUP($C162,[1]Peak_Forward!$A$6:$Q$128,'price-old'!S$2,FALSE)</f>
        <v>26.2</v>
      </c>
    </row>
    <row r="163" spans="3:19" x14ac:dyDescent="0.2">
      <c r="C163" s="1">
        <f>'Filter-old'!C38</f>
        <v>37956</v>
      </c>
      <c r="E163" s="17">
        <f>VLOOKUP($C163,[1]Peak_Forward!$A$6:$Q$128,'price-old'!E$2,FALSE)</f>
        <v>29.25</v>
      </c>
      <c r="F163" s="17">
        <f>VLOOKUP($C163,[1]Peak_Forward!$A$6:$Q$128,'price-old'!F$2,FALSE)</f>
        <v>29.25</v>
      </c>
      <c r="G163" s="17">
        <f>VLOOKUP($C163,[1]Peak_Forward!$A$6:$Q$128,'price-old'!G$2,FALSE)</f>
        <v>26.6</v>
      </c>
      <c r="H163" s="17">
        <f>VLOOKUP($C163,[1]Peak_Forward!$A$6:$Q$128,'price-old'!H$2,FALSE)</f>
        <v>30.75</v>
      </c>
      <c r="I163" s="17">
        <f>VLOOKUP($C163,[1]Peak_Forward!$A$6:$Q$128,'price-old'!I$2,FALSE)</f>
        <v>36.5</v>
      </c>
      <c r="J163" s="17">
        <f>VLOOKUP($C163,[1]Peak_Forward!$A$6:$Q$128,'price-old'!J$2,FALSE)</f>
        <v>27.35</v>
      </c>
      <c r="K163" s="17">
        <f>VLOOKUP($C163,[1]Peak_Forward!$A$6:$Q$128,'price-old'!K$2,FALSE)</f>
        <v>34.25</v>
      </c>
      <c r="L163" s="17">
        <f>VLOOKUP($C163,[1]Peak_Forward!$A$6:$Q$128,'price-old'!L$2,FALSE)</f>
        <v>32.25</v>
      </c>
      <c r="M163" s="17">
        <f>VLOOKUP($C163,[1]Peak_Forward!$A$6:$Q$128,'price-old'!M$2,FALSE)</f>
        <v>34.25</v>
      </c>
      <c r="N163" s="17">
        <f>VLOOKUP($C163,[1]Peak_Forward!$A$6:$Q$128,'price-old'!N$2,FALSE)</f>
        <v>40</v>
      </c>
      <c r="O163" s="17">
        <f>VLOOKUP($C163,[1]Peak_Forward!$A$6:$Q$128,'price-old'!O$2,FALSE)</f>
        <v>30.34</v>
      </c>
      <c r="P163" s="17">
        <f>VLOOKUP($C163,[1]Peak_Forward!$A$6:$Q$128,'price-old'!P$2,FALSE)</f>
        <v>28.5</v>
      </c>
      <c r="Q163" s="17">
        <f>VLOOKUP($C163,[1]Peak_Forward!$A$6:$Q$128,'price-old'!Q$2,FALSE)</f>
        <v>34.25</v>
      </c>
      <c r="R163" s="6">
        <f>VLOOKUP($C163,[1]Peak_Forward!$A$6:$Q$128,'price-old'!R$2,FALSE)</f>
        <v>27.35</v>
      </c>
      <c r="S163" s="6">
        <f>VLOOKUP($C163,[1]Peak_Forward!$A$6:$Q$128,'price-old'!S$2,FALSE)</f>
        <v>26.3</v>
      </c>
    </row>
    <row r="164" spans="3:19" x14ac:dyDescent="0.2">
      <c r="C164" s="1">
        <f>'Filter-old'!C39</f>
        <v>37987</v>
      </c>
      <c r="E164" s="17">
        <f>VLOOKUP($C164,[1]Peak_Forward!$A$6:$Q$128,'price-old'!E$2,FALSE)</f>
        <v>31</v>
      </c>
      <c r="F164" s="17">
        <f>VLOOKUP($C164,[1]Peak_Forward!$A$6:$Q$128,'price-old'!F$2,FALSE)</f>
        <v>31</v>
      </c>
      <c r="G164" s="17">
        <f>VLOOKUP($C164,[1]Peak_Forward!$A$6:$Q$128,'price-old'!G$2,FALSE)</f>
        <v>28.37</v>
      </c>
      <c r="H164" s="17">
        <f>VLOOKUP($C164,[1]Peak_Forward!$A$6:$Q$128,'price-old'!H$2,FALSE)</f>
        <v>33</v>
      </c>
      <c r="I164" s="17">
        <f>VLOOKUP($C164,[1]Peak_Forward!$A$6:$Q$128,'price-old'!I$2,FALSE)</f>
        <v>40</v>
      </c>
      <c r="J164" s="17">
        <f>VLOOKUP($C164,[1]Peak_Forward!$A$6:$Q$128,'price-old'!J$2,FALSE)</f>
        <v>29.37</v>
      </c>
      <c r="K164" s="17">
        <f>VLOOKUP($C164,[1]Peak_Forward!$A$6:$Q$128,'price-old'!K$2,FALSE)</f>
        <v>40</v>
      </c>
      <c r="L164" s="17">
        <f>VLOOKUP($C164,[1]Peak_Forward!$A$6:$Q$128,'price-old'!L$2,FALSE)</f>
        <v>37.5</v>
      </c>
      <c r="M164" s="17">
        <f>VLOOKUP($C164,[1]Peak_Forward!$A$6:$Q$128,'price-old'!M$2,FALSE)</f>
        <v>40</v>
      </c>
      <c r="N164" s="17">
        <f>VLOOKUP($C164,[1]Peak_Forward!$A$6:$Q$128,'price-old'!N$2,FALSE)</f>
        <v>45</v>
      </c>
      <c r="O164" s="17">
        <f>VLOOKUP($C164,[1]Peak_Forward!$A$6:$Q$128,'price-old'!O$2,FALSE)</f>
        <v>31.82</v>
      </c>
      <c r="P164" s="17">
        <f>VLOOKUP($C164,[1]Peak_Forward!$A$6:$Q$128,'price-old'!P$2,FALSE)</f>
        <v>31.5</v>
      </c>
      <c r="Q164" s="17">
        <f>VLOOKUP($C164,[1]Peak_Forward!$A$6:$Q$128,'price-old'!Q$2,FALSE)</f>
        <v>40</v>
      </c>
      <c r="R164" s="6">
        <f>VLOOKUP($C164,[1]Peak_Forward!$A$6:$Q$128,'price-old'!R$2,FALSE)</f>
        <v>28.87</v>
      </c>
      <c r="S164" s="6">
        <f>VLOOKUP($C164,[1]Peak_Forward!$A$6:$Q$128,'price-old'!S$2,FALSE)</f>
        <v>27.32</v>
      </c>
    </row>
    <row r="165" spans="3:19" x14ac:dyDescent="0.2">
      <c r="C165" s="1">
        <f>'Filter-old'!C40</f>
        <v>38018</v>
      </c>
      <c r="E165" s="17">
        <f>VLOOKUP($C165,[1]Peak_Forward!$A$6:$Q$128,'price-old'!E$2,FALSE)</f>
        <v>31</v>
      </c>
      <c r="F165" s="17">
        <f>VLOOKUP($C165,[1]Peak_Forward!$A$6:$Q$128,'price-old'!F$2,FALSE)</f>
        <v>31</v>
      </c>
      <c r="G165" s="17">
        <f>VLOOKUP($C165,[1]Peak_Forward!$A$6:$Q$128,'price-old'!G$2,FALSE)</f>
        <v>28.02</v>
      </c>
      <c r="H165" s="17">
        <f>VLOOKUP($C165,[1]Peak_Forward!$A$6:$Q$128,'price-old'!H$2,FALSE)</f>
        <v>33</v>
      </c>
      <c r="I165" s="17">
        <f>VLOOKUP($C165,[1]Peak_Forward!$A$6:$Q$128,'price-old'!I$2,FALSE)</f>
        <v>40</v>
      </c>
      <c r="J165" s="17">
        <f>VLOOKUP($C165,[1]Peak_Forward!$A$6:$Q$128,'price-old'!J$2,FALSE)</f>
        <v>29.02</v>
      </c>
      <c r="K165" s="17">
        <f>VLOOKUP($C165,[1]Peak_Forward!$A$6:$Q$128,'price-old'!K$2,FALSE)</f>
        <v>40</v>
      </c>
      <c r="L165" s="17">
        <f>VLOOKUP($C165,[1]Peak_Forward!$A$6:$Q$128,'price-old'!L$2,FALSE)</f>
        <v>37.5</v>
      </c>
      <c r="M165" s="17">
        <f>VLOOKUP($C165,[1]Peak_Forward!$A$6:$Q$128,'price-old'!M$2,FALSE)</f>
        <v>40</v>
      </c>
      <c r="N165" s="17">
        <f>VLOOKUP($C165,[1]Peak_Forward!$A$6:$Q$128,'price-old'!N$2,FALSE)</f>
        <v>45</v>
      </c>
      <c r="O165" s="17">
        <f>VLOOKUP($C165,[1]Peak_Forward!$A$6:$Q$128,'price-old'!O$2,FALSE)</f>
        <v>32.97</v>
      </c>
      <c r="P165" s="17">
        <f>VLOOKUP($C165,[1]Peak_Forward!$A$6:$Q$128,'price-old'!P$2,FALSE)</f>
        <v>31.5</v>
      </c>
      <c r="Q165" s="17">
        <f>VLOOKUP($C165,[1]Peak_Forward!$A$6:$Q$128,'price-old'!Q$2,FALSE)</f>
        <v>40</v>
      </c>
      <c r="R165" s="6">
        <f>VLOOKUP($C165,[1]Peak_Forward!$A$6:$Q$128,'price-old'!R$2,FALSE)</f>
        <v>28.52</v>
      </c>
      <c r="S165" s="6">
        <f>VLOOKUP($C165,[1]Peak_Forward!$A$6:$Q$128,'price-old'!S$2,FALSE)</f>
        <v>26.97</v>
      </c>
    </row>
    <row r="166" spans="3:19" x14ac:dyDescent="0.2">
      <c r="C166" s="1">
        <f>'Filter-old'!C41</f>
        <v>38047</v>
      </c>
      <c r="E166" s="17">
        <f>VLOOKUP($C166,[1]Peak_Forward!$A$6:$Q$128,'price-old'!E$2,FALSE)</f>
        <v>29.25</v>
      </c>
      <c r="F166" s="17">
        <f>VLOOKUP($C166,[1]Peak_Forward!$A$6:$Q$128,'price-old'!F$2,FALSE)</f>
        <v>29.25</v>
      </c>
      <c r="G166" s="17">
        <f>VLOOKUP($C166,[1]Peak_Forward!$A$6:$Q$128,'price-old'!G$2,FALSE)</f>
        <v>27.73</v>
      </c>
      <c r="H166" s="17">
        <f>VLOOKUP($C166,[1]Peak_Forward!$A$6:$Q$128,'price-old'!H$2,FALSE)</f>
        <v>31.25</v>
      </c>
      <c r="I166" s="17">
        <f>VLOOKUP($C166,[1]Peak_Forward!$A$6:$Q$128,'price-old'!I$2,FALSE)</f>
        <v>37</v>
      </c>
      <c r="J166" s="17">
        <f>VLOOKUP($C166,[1]Peak_Forward!$A$6:$Q$128,'price-old'!J$2,FALSE)</f>
        <v>28.98</v>
      </c>
      <c r="K166" s="17">
        <f>VLOOKUP($C166,[1]Peak_Forward!$A$6:$Q$128,'price-old'!K$2,FALSE)</f>
        <v>33.5</v>
      </c>
      <c r="L166" s="17">
        <f>VLOOKUP($C166,[1]Peak_Forward!$A$6:$Q$128,'price-old'!L$2,FALSE)</f>
        <v>32.75</v>
      </c>
      <c r="M166" s="17">
        <f>VLOOKUP($C166,[1]Peak_Forward!$A$6:$Q$128,'price-old'!M$2,FALSE)</f>
        <v>33.5</v>
      </c>
      <c r="N166" s="17">
        <f>VLOOKUP($C166,[1]Peak_Forward!$A$6:$Q$128,'price-old'!N$2,FALSE)</f>
        <v>40</v>
      </c>
      <c r="O166" s="17">
        <f>VLOOKUP($C166,[1]Peak_Forward!$A$6:$Q$128,'price-old'!O$2,FALSE)</f>
        <v>30.93</v>
      </c>
      <c r="P166" s="17">
        <f>VLOOKUP($C166,[1]Peak_Forward!$A$6:$Q$128,'price-old'!P$2,FALSE)</f>
        <v>29.5</v>
      </c>
      <c r="Q166" s="17">
        <f>VLOOKUP($C166,[1]Peak_Forward!$A$6:$Q$128,'price-old'!Q$2,FALSE)</f>
        <v>33.5</v>
      </c>
      <c r="R166" s="6">
        <f>VLOOKUP($C166,[1]Peak_Forward!$A$6:$Q$128,'price-old'!R$2,FALSE)</f>
        <v>28.23</v>
      </c>
      <c r="S166" s="6">
        <f>VLOOKUP($C166,[1]Peak_Forward!$A$6:$Q$128,'price-old'!S$2,FALSE)</f>
        <v>26.68</v>
      </c>
    </row>
    <row r="167" spans="3:19" x14ac:dyDescent="0.2">
      <c r="C167" s="1">
        <f>'Filter-old'!C42</f>
        <v>38078</v>
      </c>
      <c r="E167" s="17">
        <f>VLOOKUP($C167,[1]Peak_Forward!$A$6:$Q$128,'price-old'!E$2,FALSE)</f>
        <v>29.25</v>
      </c>
      <c r="F167" s="17">
        <f>VLOOKUP($C167,[1]Peak_Forward!$A$6:$Q$128,'price-old'!F$2,FALSE)</f>
        <v>29.25</v>
      </c>
      <c r="G167" s="17">
        <f>VLOOKUP($C167,[1]Peak_Forward!$A$6:$Q$128,'price-old'!G$2,FALSE)</f>
        <v>28.17</v>
      </c>
      <c r="H167" s="17">
        <f>VLOOKUP($C167,[1]Peak_Forward!$A$6:$Q$128,'price-old'!H$2,FALSE)</f>
        <v>31.25</v>
      </c>
      <c r="I167" s="17">
        <f>VLOOKUP($C167,[1]Peak_Forward!$A$6:$Q$128,'price-old'!I$2,FALSE)</f>
        <v>37</v>
      </c>
      <c r="J167" s="17">
        <f>VLOOKUP($C167,[1]Peak_Forward!$A$6:$Q$128,'price-old'!J$2,FALSE)</f>
        <v>29.42</v>
      </c>
      <c r="K167" s="17">
        <f>VLOOKUP($C167,[1]Peak_Forward!$A$6:$Q$128,'price-old'!K$2,FALSE)</f>
        <v>33.5</v>
      </c>
      <c r="L167" s="17">
        <f>VLOOKUP($C167,[1]Peak_Forward!$A$6:$Q$128,'price-old'!L$2,FALSE)</f>
        <v>32.75</v>
      </c>
      <c r="M167" s="17">
        <f>VLOOKUP($C167,[1]Peak_Forward!$A$6:$Q$128,'price-old'!M$2,FALSE)</f>
        <v>33.5</v>
      </c>
      <c r="N167" s="17">
        <f>VLOOKUP($C167,[1]Peak_Forward!$A$6:$Q$128,'price-old'!N$2,FALSE)</f>
        <v>40</v>
      </c>
      <c r="O167" s="17">
        <f>VLOOKUP($C167,[1]Peak_Forward!$A$6:$Q$128,'price-old'!O$2,FALSE)</f>
        <v>30.92</v>
      </c>
      <c r="P167" s="17">
        <f>VLOOKUP($C167,[1]Peak_Forward!$A$6:$Q$128,'price-old'!P$2,FALSE)</f>
        <v>29.5</v>
      </c>
      <c r="Q167" s="17">
        <f>VLOOKUP($C167,[1]Peak_Forward!$A$6:$Q$128,'price-old'!Q$2,FALSE)</f>
        <v>33.5</v>
      </c>
      <c r="R167" s="6">
        <f>VLOOKUP($C167,[1]Peak_Forward!$A$6:$Q$128,'price-old'!R$2,FALSE)</f>
        <v>28.67</v>
      </c>
      <c r="S167" s="6">
        <f>VLOOKUP($C167,[1]Peak_Forward!$A$6:$Q$128,'price-old'!S$2,FALSE)</f>
        <v>27.12</v>
      </c>
    </row>
    <row r="168" spans="3:19" x14ac:dyDescent="0.2">
      <c r="C168" s="1">
        <f>'Filter-old'!C43</f>
        <v>38108</v>
      </c>
      <c r="E168" s="17">
        <f>VLOOKUP($C168,[1]Peak_Forward!$A$6:$Q$128,'price-old'!E$2,FALSE)</f>
        <v>30.75</v>
      </c>
      <c r="F168" s="17">
        <f>VLOOKUP($C168,[1]Peak_Forward!$A$6:$Q$128,'price-old'!F$2,FALSE)</f>
        <v>30.75</v>
      </c>
      <c r="G168" s="17">
        <f>VLOOKUP($C168,[1]Peak_Forward!$A$6:$Q$128,'price-old'!G$2,FALSE)</f>
        <v>28.95</v>
      </c>
      <c r="H168" s="17">
        <f>VLOOKUP($C168,[1]Peak_Forward!$A$6:$Q$128,'price-old'!H$2,FALSE)</f>
        <v>32.75</v>
      </c>
      <c r="I168" s="17">
        <f>VLOOKUP($C168,[1]Peak_Forward!$A$6:$Q$128,'price-old'!I$2,FALSE)</f>
        <v>38</v>
      </c>
      <c r="J168" s="17">
        <f>VLOOKUP($C168,[1]Peak_Forward!$A$6:$Q$128,'price-old'!J$2,FALSE)</f>
        <v>30.45</v>
      </c>
      <c r="K168" s="17">
        <f>VLOOKUP($C168,[1]Peak_Forward!$A$6:$Q$128,'price-old'!K$2,FALSE)</f>
        <v>33</v>
      </c>
      <c r="L168" s="17">
        <f>VLOOKUP($C168,[1]Peak_Forward!$A$6:$Q$128,'price-old'!L$2,FALSE)</f>
        <v>37.75</v>
      </c>
      <c r="M168" s="17">
        <f>VLOOKUP($C168,[1]Peak_Forward!$A$6:$Q$128,'price-old'!M$2,FALSE)</f>
        <v>33</v>
      </c>
      <c r="N168" s="17">
        <f>VLOOKUP($C168,[1]Peak_Forward!$A$6:$Q$128,'price-old'!N$2,FALSE)</f>
        <v>44</v>
      </c>
      <c r="O168" s="17">
        <f>VLOOKUP($C168,[1]Peak_Forward!$A$6:$Q$128,'price-old'!O$2,FALSE)</f>
        <v>26.5</v>
      </c>
      <c r="P168" s="17">
        <f>VLOOKUP($C168,[1]Peak_Forward!$A$6:$Q$128,'price-old'!P$2,FALSE)</f>
        <v>30.5</v>
      </c>
      <c r="Q168" s="17">
        <f>VLOOKUP($C168,[1]Peak_Forward!$A$6:$Q$128,'price-old'!Q$2,FALSE)</f>
        <v>33</v>
      </c>
      <c r="R168" s="6">
        <f>VLOOKUP($C168,[1]Peak_Forward!$A$6:$Q$128,'price-old'!R$2,FALSE)</f>
        <v>29.45</v>
      </c>
      <c r="S168" s="6">
        <f>VLOOKUP($C168,[1]Peak_Forward!$A$6:$Q$128,'price-old'!S$2,FALSE)</f>
        <v>27.95</v>
      </c>
    </row>
    <row r="169" spans="3:19" x14ac:dyDescent="0.2">
      <c r="C169" s="1">
        <f>'Filter-old'!C44</f>
        <v>38139</v>
      </c>
      <c r="E169" s="17">
        <f>VLOOKUP($C169,[1]Peak_Forward!$A$6:$Q$128,'price-old'!E$2,FALSE)</f>
        <v>40.75</v>
      </c>
      <c r="F169" s="17">
        <f>VLOOKUP($C169,[1]Peak_Forward!$A$6:$Q$128,'price-old'!F$2,FALSE)</f>
        <v>40.75</v>
      </c>
      <c r="G169" s="17">
        <f>VLOOKUP($C169,[1]Peak_Forward!$A$6:$Q$128,'price-old'!G$2,FALSE)</f>
        <v>34.21</v>
      </c>
      <c r="H169" s="17">
        <f>VLOOKUP($C169,[1]Peak_Forward!$A$6:$Q$128,'price-old'!H$2,FALSE)</f>
        <v>44.75</v>
      </c>
      <c r="I169" s="17">
        <f>VLOOKUP($C169,[1]Peak_Forward!$A$6:$Q$128,'price-old'!I$2,FALSE)</f>
        <v>46</v>
      </c>
      <c r="J169" s="17">
        <f>VLOOKUP($C169,[1]Peak_Forward!$A$6:$Q$128,'price-old'!J$2,FALSE)</f>
        <v>36.21</v>
      </c>
      <c r="K169" s="17">
        <f>VLOOKUP($C169,[1]Peak_Forward!$A$6:$Q$128,'price-old'!K$2,FALSE)</f>
        <v>38</v>
      </c>
      <c r="L169" s="17">
        <f>VLOOKUP($C169,[1]Peak_Forward!$A$6:$Q$128,'price-old'!L$2,FALSE)</f>
        <v>51.75</v>
      </c>
      <c r="M169" s="17">
        <f>VLOOKUP($C169,[1]Peak_Forward!$A$6:$Q$128,'price-old'!M$2,FALSE)</f>
        <v>38</v>
      </c>
      <c r="N169" s="17">
        <f>VLOOKUP($C169,[1]Peak_Forward!$A$6:$Q$128,'price-old'!N$2,FALSE)</f>
        <v>55</v>
      </c>
      <c r="O169" s="17">
        <f>VLOOKUP($C169,[1]Peak_Forward!$A$6:$Q$128,'price-old'!O$2,FALSE)</f>
        <v>29.46</v>
      </c>
      <c r="P169" s="17">
        <f>VLOOKUP($C169,[1]Peak_Forward!$A$6:$Q$128,'price-old'!P$2,FALSE)</f>
        <v>40</v>
      </c>
      <c r="Q169" s="17">
        <f>VLOOKUP($C169,[1]Peak_Forward!$A$6:$Q$128,'price-old'!Q$2,FALSE)</f>
        <v>38</v>
      </c>
      <c r="R169" s="6">
        <f>VLOOKUP($C169,[1]Peak_Forward!$A$6:$Q$128,'price-old'!R$2,FALSE)</f>
        <v>34.71</v>
      </c>
      <c r="S169" s="6">
        <f>VLOOKUP($C169,[1]Peak_Forward!$A$6:$Q$128,'price-old'!S$2,FALSE)</f>
        <v>33.06</v>
      </c>
    </row>
    <row r="170" spans="3:19" x14ac:dyDescent="0.2">
      <c r="C170" s="1">
        <f>'Filter-old'!C45</f>
        <v>38169</v>
      </c>
      <c r="E170" s="17">
        <f>VLOOKUP($C170,[1]Peak_Forward!$A$6:$Q$128,'price-old'!E$2,FALSE)</f>
        <v>50.25</v>
      </c>
      <c r="F170" s="17">
        <f>VLOOKUP($C170,[1]Peak_Forward!$A$6:$Q$128,'price-old'!F$2,FALSE)</f>
        <v>50.25</v>
      </c>
      <c r="G170" s="17">
        <f>VLOOKUP($C170,[1]Peak_Forward!$A$6:$Q$128,'price-old'!G$2,FALSE)</f>
        <v>45.37</v>
      </c>
      <c r="H170" s="17">
        <f>VLOOKUP($C170,[1]Peak_Forward!$A$6:$Q$128,'price-old'!H$2,FALSE)</f>
        <v>54.25</v>
      </c>
      <c r="I170" s="17">
        <f>VLOOKUP($C170,[1]Peak_Forward!$A$6:$Q$128,'price-old'!I$2,FALSE)</f>
        <v>67</v>
      </c>
      <c r="J170" s="17">
        <f>VLOOKUP($C170,[1]Peak_Forward!$A$6:$Q$128,'price-old'!J$2,FALSE)</f>
        <v>48.37</v>
      </c>
      <c r="K170" s="17">
        <f>VLOOKUP($C170,[1]Peak_Forward!$A$6:$Q$128,'price-old'!K$2,FALSE)</f>
        <v>46.5</v>
      </c>
      <c r="L170" s="17">
        <f>VLOOKUP($C170,[1]Peak_Forward!$A$6:$Q$128,'price-old'!L$2,FALSE)</f>
        <v>67.75</v>
      </c>
      <c r="M170" s="17">
        <f>VLOOKUP($C170,[1]Peak_Forward!$A$6:$Q$128,'price-old'!M$2,FALSE)</f>
        <v>46.5</v>
      </c>
      <c r="N170" s="17">
        <f>VLOOKUP($C170,[1]Peak_Forward!$A$6:$Q$128,'price-old'!N$2,FALSE)</f>
        <v>77</v>
      </c>
      <c r="O170" s="17">
        <f>VLOOKUP($C170,[1]Peak_Forward!$A$6:$Q$128,'price-old'!O$2,FALSE)</f>
        <v>39.020000000000003</v>
      </c>
      <c r="P170" s="17">
        <f>VLOOKUP($C170,[1]Peak_Forward!$A$6:$Q$128,'price-old'!P$2,FALSE)</f>
        <v>51.5</v>
      </c>
      <c r="Q170" s="17">
        <f>VLOOKUP($C170,[1]Peak_Forward!$A$6:$Q$128,'price-old'!Q$2,FALSE)</f>
        <v>46.5</v>
      </c>
      <c r="R170" s="6">
        <f>VLOOKUP($C170,[1]Peak_Forward!$A$6:$Q$128,'price-old'!R$2,FALSE)</f>
        <v>45.87</v>
      </c>
      <c r="S170" s="6">
        <f>VLOOKUP($C170,[1]Peak_Forward!$A$6:$Q$128,'price-old'!S$2,FALSE)</f>
        <v>43.82</v>
      </c>
    </row>
    <row r="171" spans="3:19" x14ac:dyDescent="0.2">
      <c r="C171" s="1">
        <f>'Filter-old'!C46</f>
        <v>38200</v>
      </c>
      <c r="E171" s="17">
        <f>VLOOKUP($C171,[1]Peak_Forward!$A$6:$Q$128,'price-old'!E$2,FALSE)</f>
        <v>50.25</v>
      </c>
      <c r="F171" s="17">
        <f>VLOOKUP($C171,[1]Peak_Forward!$A$6:$Q$128,'price-old'!F$2,FALSE)</f>
        <v>50.25</v>
      </c>
      <c r="G171" s="17">
        <f>VLOOKUP($C171,[1]Peak_Forward!$A$6:$Q$128,'price-old'!G$2,FALSE)</f>
        <v>44.18</v>
      </c>
      <c r="H171" s="17">
        <f>VLOOKUP($C171,[1]Peak_Forward!$A$6:$Q$128,'price-old'!H$2,FALSE)</f>
        <v>54.25</v>
      </c>
      <c r="I171" s="17">
        <f>VLOOKUP($C171,[1]Peak_Forward!$A$6:$Q$128,'price-old'!I$2,FALSE)</f>
        <v>67</v>
      </c>
      <c r="J171" s="17">
        <f>VLOOKUP($C171,[1]Peak_Forward!$A$6:$Q$128,'price-old'!J$2,FALSE)</f>
        <v>47.18</v>
      </c>
      <c r="K171" s="17">
        <f>VLOOKUP($C171,[1]Peak_Forward!$A$6:$Q$128,'price-old'!K$2,FALSE)</f>
        <v>46.5</v>
      </c>
      <c r="L171" s="17">
        <f>VLOOKUP($C171,[1]Peak_Forward!$A$6:$Q$128,'price-old'!L$2,FALSE)</f>
        <v>67.75</v>
      </c>
      <c r="M171" s="17">
        <f>VLOOKUP($C171,[1]Peak_Forward!$A$6:$Q$128,'price-old'!M$2,FALSE)</f>
        <v>46.5</v>
      </c>
      <c r="N171" s="17">
        <f>VLOOKUP($C171,[1]Peak_Forward!$A$6:$Q$128,'price-old'!N$2,FALSE)</f>
        <v>77</v>
      </c>
      <c r="O171" s="17">
        <f>VLOOKUP($C171,[1]Peak_Forward!$A$6:$Q$128,'price-old'!O$2,FALSE)</f>
        <v>37.83</v>
      </c>
      <c r="P171" s="17">
        <f>VLOOKUP($C171,[1]Peak_Forward!$A$6:$Q$128,'price-old'!P$2,FALSE)</f>
        <v>51.5</v>
      </c>
      <c r="Q171" s="17">
        <f>VLOOKUP($C171,[1]Peak_Forward!$A$6:$Q$128,'price-old'!Q$2,FALSE)</f>
        <v>46.5</v>
      </c>
      <c r="R171" s="6">
        <f>VLOOKUP($C171,[1]Peak_Forward!$A$6:$Q$128,'price-old'!R$2,FALSE)</f>
        <v>44.68</v>
      </c>
      <c r="S171" s="6">
        <f>VLOOKUP($C171,[1]Peak_Forward!$A$6:$Q$128,'price-old'!S$2,FALSE)</f>
        <v>42.63</v>
      </c>
    </row>
    <row r="172" spans="3:19" x14ac:dyDescent="0.2">
      <c r="C172" s="1">
        <f>'Filter-old'!C47</f>
        <v>38231</v>
      </c>
      <c r="E172" s="17">
        <f>VLOOKUP($C172,[1]Peak_Forward!$A$6:$Q$128,'price-old'!E$2,FALSE)</f>
        <v>29</v>
      </c>
      <c r="F172" s="17">
        <f>VLOOKUP($C172,[1]Peak_Forward!$A$6:$Q$128,'price-old'!F$2,FALSE)</f>
        <v>29</v>
      </c>
      <c r="G172" s="17">
        <f>VLOOKUP($C172,[1]Peak_Forward!$A$6:$Q$128,'price-old'!G$2,FALSE)</f>
        <v>27.25</v>
      </c>
      <c r="H172" s="17">
        <f>VLOOKUP($C172,[1]Peak_Forward!$A$6:$Q$128,'price-old'!H$2,FALSE)</f>
        <v>31</v>
      </c>
      <c r="I172" s="17">
        <f>VLOOKUP($C172,[1]Peak_Forward!$A$6:$Q$128,'price-old'!I$2,FALSE)</f>
        <v>37</v>
      </c>
      <c r="J172" s="17">
        <f>VLOOKUP($C172,[1]Peak_Forward!$A$6:$Q$128,'price-old'!J$2,FALSE)</f>
        <v>29.25</v>
      </c>
      <c r="K172" s="17">
        <f>VLOOKUP($C172,[1]Peak_Forward!$A$6:$Q$128,'price-old'!K$2,FALSE)</f>
        <v>31.75</v>
      </c>
      <c r="L172" s="17">
        <f>VLOOKUP($C172,[1]Peak_Forward!$A$6:$Q$128,'price-old'!L$2,FALSE)</f>
        <v>32</v>
      </c>
      <c r="M172" s="17">
        <f>VLOOKUP($C172,[1]Peak_Forward!$A$6:$Q$128,'price-old'!M$2,FALSE)</f>
        <v>31.75</v>
      </c>
      <c r="N172" s="17">
        <f>VLOOKUP($C172,[1]Peak_Forward!$A$6:$Q$128,'price-old'!N$2,FALSE)</f>
        <v>40.5</v>
      </c>
      <c r="O172" s="17">
        <f>VLOOKUP($C172,[1]Peak_Forward!$A$6:$Q$128,'price-old'!O$2,FALSE)</f>
        <v>24.1</v>
      </c>
      <c r="P172" s="17">
        <f>VLOOKUP($C172,[1]Peak_Forward!$A$6:$Q$128,'price-old'!P$2,FALSE)</f>
        <v>29</v>
      </c>
      <c r="Q172" s="17">
        <f>VLOOKUP($C172,[1]Peak_Forward!$A$6:$Q$128,'price-old'!Q$2,FALSE)</f>
        <v>31.75</v>
      </c>
      <c r="R172" s="6">
        <f>VLOOKUP($C172,[1]Peak_Forward!$A$6:$Q$128,'price-old'!R$2,FALSE)</f>
        <v>27.75</v>
      </c>
      <c r="S172" s="6">
        <f>VLOOKUP($C172,[1]Peak_Forward!$A$6:$Q$128,'price-old'!S$2,FALSE)</f>
        <v>26.5</v>
      </c>
    </row>
    <row r="173" spans="3:19" x14ac:dyDescent="0.2">
      <c r="C173" s="1">
        <f>'Filter-old'!C48</f>
        <v>38261</v>
      </c>
      <c r="E173" s="17">
        <f>VLOOKUP($C173,[1]Peak_Forward!$A$6:$Q$128,'price-old'!E$2,FALSE)</f>
        <v>29</v>
      </c>
      <c r="F173" s="17">
        <f>VLOOKUP($C173,[1]Peak_Forward!$A$6:$Q$128,'price-old'!F$2,FALSE)</f>
        <v>29</v>
      </c>
      <c r="G173" s="17">
        <f>VLOOKUP($C173,[1]Peak_Forward!$A$6:$Q$128,'price-old'!G$2,FALSE)</f>
        <v>27.42</v>
      </c>
      <c r="H173" s="17">
        <f>VLOOKUP($C173,[1]Peak_Forward!$A$6:$Q$128,'price-old'!H$2,FALSE)</f>
        <v>31</v>
      </c>
      <c r="I173" s="17">
        <f>VLOOKUP($C173,[1]Peak_Forward!$A$6:$Q$128,'price-old'!I$2,FALSE)</f>
        <v>37</v>
      </c>
      <c r="J173" s="17">
        <f>VLOOKUP($C173,[1]Peak_Forward!$A$6:$Q$128,'price-old'!J$2,FALSE)</f>
        <v>27.92</v>
      </c>
      <c r="K173" s="17">
        <f>VLOOKUP($C173,[1]Peak_Forward!$A$6:$Q$128,'price-old'!K$2,FALSE)</f>
        <v>31.75</v>
      </c>
      <c r="L173" s="17">
        <f>VLOOKUP($C173,[1]Peak_Forward!$A$6:$Q$128,'price-old'!L$2,FALSE)</f>
        <v>32</v>
      </c>
      <c r="M173" s="17">
        <f>VLOOKUP($C173,[1]Peak_Forward!$A$6:$Q$128,'price-old'!M$2,FALSE)</f>
        <v>31.75</v>
      </c>
      <c r="N173" s="17">
        <f>VLOOKUP($C173,[1]Peak_Forward!$A$6:$Q$128,'price-old'!N$2,FALSE)</f>
        <v>40.5</v>
      </c>
      <c r="O173" s="17">
        <f>VLOOKUP($C173,[1]Peak_Forward!$A$6:$Q$128,'price-old'!O$2,FALSE)</f>
        <v>29.61</v>
      </c>
      <c r="P173" s="17">
        <f>VLOOKUP($C173,[1]Peak_Forward!$A$6:$Q$128,'price-old'!P$2,FALSE)</f>
        <v>29</v>
      </c>
      <c r="Q173" s="17">
        <f>VLOOKUP($C173,[1]Peak_Forward!$A$6:$Q$128,'price-old'!Q$2,FALSE)</f>
        <v>31.75</v>
      </c>
      <c r="R173" s="6">
        <f>VLOOKUP($C173,[1]Peak_Forward!$A$6:$Q$128,'price-old'!R$2,FALSE)</f>
        <v>27.92</v>
      </c>
      <c r="S173" s="6">
        <f>VLOOKUP($C173,[1]Peak_Forward!$A$6:$Q$128,'price-old'!S$2,FALSE)</f>
        <v>26.67</v>
      </c>
    </row>
    <row r="174" spans="3:19" x14ac:dyDescent="0.2">
      <c r="C174" s="1">
        <f>'Filter-old'!C49</f>
        <v>38292</v>
      </c>
      <c r="E174" s="17">
        <f>VLOOKUP($C174,[1]Peak_Forward!$A$6:$Q$128,'price-old'!E$2,FALSE)</f>
        <v>29</v>
      </c>
      <c r="F174" s="17">
        <f>VLOOKUP($C174,[1]Peak_Forward!$A$6:$Q$128,'price-old'!F$2,FALSE)</f>
        <v>29</v>
      </c>
      <c r="G174" s="17">
        <f>VLOOKUP($C174,[1]Peak_Forward!$A$6:$Q$128,'price-old'!G$2,FALSE)</f>
        <v>27.76</v>
      </c>
      <c r="H174" s="17">
        <f>VLOOKUP($C174,[1]Peak_Forward!$A$6:$Q$128,'price-old'!H$2,FALSE)</f>
        <v>31</v>
      </c>
      <c r="I174" s="17">
        <f>VLOOKUP($C174,[1]Peak_Forward!$A$6:$Q$128,'price-old'!I$2,FALSE)</f>
        <v>37</v>
      </c>
      <c r="J174" s="17">
        <f>VLOOKUP($C174,[1]Peak_Forward!$A$6:$Q$128,'price-old'!J$2,FALSE)</f>
        <v>28.26</v>
      </c>
      <c r="K174" s="17">
        <f>VLOOKUP($C174,[1]Peak_Forward!$A$6:$Q$128,'price-old'!K$2,FALSE)</f>
        <v>31.75</v>
      </c>
      <c r="L174" s="17">
        <f>VLOOKUP($C174,[1]Peak_Forward!$A$6:$Q$128,'price-old'!L$2,FALSE)</f>
        <v>32</v>
      </c>
      <c r="M174" s="17">
        <f>VLOOKUP($C174,[1]Peak_Forward!$A$6:$Q$128,'price-old'!M$2,FALSE)</f>
        <v>31.75</v>
      </c>
      <c r="N174" s="17">
        <f>VLOOKUP($C174,[1]Peak_Forward!$A$6:$Q$128,'price-old'!N$2,FALSE)</f>
        <v>40.5</v>
      </c>
      <c r="O174" s="17">
        <f>VLOOKUP($C174,[1]Peak_Forward!$A$6:$Q$128,'price-old'!O$2,FALSE)</f>
        <v>33.35</v>
      </c>
      <c r="P174" s="17">
        <f>VLOOKUP($C174,[1]Peak_Forward!$A$6:$Q$128,'price-old'!P$2,FALSE)</f>
        <v>29</v>
      </c>
      <c r="Q174" s="17">
        <f>VLOOKUP($C174,[1]Peak_Forward!$A$6:$Q$128,'price-old'!Q$2,FALSE)</f>
        <v>31.75</v>
      </c>
      <c r="R174" s="6">
        <f>VLOOKUP($C174,[1]Peak_Forward!$A$6:$Q$128,'price-old'!R$2,FALSE)</f>
        <v>28.26</v>
      </c>
      <c r="S174" s="6">
        <f>VLOOKUP($C174,[1]Peak_Forward!$A$6:$Q$128,'price-old'!S$2,FALSE)</f>
        <v>27.01</v>
      </c>
    </row>
    <row r="175" spans="3:19" x14ac:dyDescent="0.2">
      <c r="C175" s="1">
        <f>'Filter-old'!C50</f>
        <v>38322</v>
      </c>
      <c r="E175" s="17">
        <f>VLOOKUP($C175,[1]Peak_Forward!$A$6:$Q$128,'price-old'!E$2,FALSE)</f>
        <v>29</v>
      </c>
      <c r="F175" s="17">
        <f>VLOOKUP($C175,[1]Peak_Forward!$A$6:$Q$128,'price-old'!F$2,FALSE)</f>
        <v>29</v>
      </c>
      <c r="G175" s="17">
        <f>VLOOKUP($C175,[1]Peak_Forward!$A$6:$Q$128,'price-old'!G$2,FALSE)</f>
        <v>27.46</v>
      </c>
      <c r="H175" s="17">
        <f>VLOOKUP($C175,[1]Peak_Forward!$A$6:$Q$128,'price-old'!H$2,FALSE)</f>
        <v>31</v>
      </c>
      <c r="I175" s="17">
        <f>VLOOKUP($C175,[1]Peak_Forward!$A$6:$Q$128,'price-old'!I$2,FALSE)</f>
        <v>37</v>
      </c>
      <c r="J175" s="17">
        <f>VLOOKUP($C175,[1]Peak_Forward!$A$6:$Q$128,'price-old'!J$2,FALSE)</f>
        <v>27.96</v>
      </c>
      <c r="K175" s="17">
        <f>VLOOKUP($C175,[1]Peak_Forward!$A$6:$Q$128,'price-old'!K$2,FALSE)</f>
        <v>31.75</v>
      </c>
      <c r="L175" s="17">
        <f>VLOOKUP($C175,[1]Peak_Forward!$A$6:$Q$128,'price-old'!L$2,FALSE)</f>
        <v>32</v>
      </c>
      <c r="M175" s="17">
        <f>VLOOKUP($C175,[1]Peak_Forward!$A$6:$Q$128,'price-old'!M$2,FALSE)</f>
        <v>31.75</v>
      </c>
      <c r="N175" s="17">
        <f>VLOOKUP($C175,[1]Peak_Forward!$A$6:$Q$128,'price-old'!N$2,FALSE)</f>
        <v>40.5</v>
      </c>
      <c r="O175" s="17">
        <f>VLOOKUP($C175,[1]Peak_Forward!$A$6:$Q$128,'price-old'!O$2,FALSE)</f>
        <v>33.450000000000003</v>
      </c>
      <c r="P175" s="17">
        <f>VLOOKUP($C175,[1]Peak_Forward!$A$6:$Q$128,'price-old'!P$2,FALSE)</f>
        <v>29</v>
      </c>
      <c r="Q175" s="17">
        <f>VLOOKUP($C175,[1]Peak_Forward!$A$6:$Q$128,'price-old'!Q$2,FALSE)</f>
        <v>31.75</v>
      </c>
      <c r="R175" s="6">
        <f>VLOOKUP($C175,[1]Peak_Forward!$A$6:$Q$128,'price-old'!R$2,FALSE)</f>
        <v>27.96</v>
      </c>
      <c r="S175" s="6">
        <f>VLOOKUP($C175,[1]Peak_Forward!$A$6:$Q$128,'price-old'!S$2,FALSE)</f>
        <v>26.71</v>
      </c>
    </row>
    <row r="176" spans="3:19" x14ac:dyDescent="0.2">
      <c r="C176" s="1">
        <f>'Filter-old'!C51</f>
        <v>38353</v>
      </c>
      <c r="E176" s="17">
        <f>VLOOKUP($C176,[1]Peak_Forward!$A$6:$Q$128,'price-old'!E$2,FALSE)</f>
        <v>31.25</v>
      </c>
      <c r="F176" s="17">
        <f>VLOOKUP($C176,[1]Peak_Forward!$A$6:$Q$128,'price-old'!F$2,FALSE)</f>
        <v>31.25</v>
      </c>
      <c r="G176" s="17">
        <f>VLOOKUP($C176,[1]Peak_Forward!$A$6:$Q$128,'price-old'!G$2,FALSE)</f>
        <v>29.46</v>
      </c>
      <c r="H176" s="17">
        <f>VLOOKUP($C176,[1]Peak_Forward!$A$6:$Q$128,'price-old'!H$2,FALSE)</f>
        <v>33.25</v>
      </c>
      <c r="I176" s="17">
        <f>VLOOKUP($C176,[1]Peak_Forward!$A$6:$Q$128,'price-old'!I$2,FALSE)</f>
        <v>41</v>
      </c>
      <c r="J176" s="17">
        <f>VLOOKUP($C176,[1]Peak_Forward!$A$6:$Q$128,'price-old'!J$2,FALSE)</f>
        <v>30.46</v>
      </c>
      <c r="K176" s="17">
        <f>VLOOKUP($C176,[1]Peak_Forward!$A$6:$Q$128,'price-old'!K$2,FALSE)</f>
        <v>40</v>
      </c>
      <c r="L176" s="17">
        <f>VLOOKUP($C176,[1]Peak_Forward!$A$6:$Q$128,'price-old'!L$2,FALSE)</f>
        <v>36.75</v>
      </c>
      <c r="M176" s="17">
        <f>VLOOKUP($C176,[1]Peak_Forward!$A$6:$Q$128,'price-old'!M$2,FALSE)</f>
        <v>40</v>
      </c>
      <c r="N176" s="17">
        <f>VLOOKUP($C176,[1]Peak_Forward!$A$6:$Q$128,'price-old'!N$2,FALSE)</f>
        <v>46</v>
      </c>
      <c r="O176" s="17">
        <f>VLOOKUP($C176,[1]Peak_Forward!$A$6:$Q$128,'price-old'!O$2,FALSE)</f>
        <v>33.06</v>
      </c>
      <c r="P176" s="17">
        <f>VLOOKUP($C176,[1]Peak_Forward!$A$6:$Q$128,'price-old'!P$2,FALSE)</f>
        <v>32</v>
      </c>
      <c r="Q176" s="17">
        <f>VLOOKUP($C176,[1]Peak_Forward!$A$6:$Q$128,'price-old'!Q$2,FALSE)</f>
        <v>40</v>
      </c>
      <c r="R176" s="6">
        <f>VLOOKUP($C176,[1]Peak_Forward!$A$6:$Q$128,'price-old'!R$2,FALSE)</f>
        <v>29.96</v>
      </c>
      <c r="S176" s="6">
        <f>VLOOKUP($C176,[1]Peak_Forward!$A$6:$Q$128,'price-old'!S$2,FALSE)</f>
        <v>28.41</v>
      </c>
    </row>
    <row r="177" spans="3:19" x14ac:dyDescent="0.2">
      <c r="C177" s="1">
        <f>'Filter-old'!C52</f>
        <v>38384</v>
      </c>
      <c r="E177" s="17">
        <f>VLOOKUP($C177,[1]Peak_Forward!$A$6:$Q$128,'price-old'!E$2,FALSE)</f>
        <v>31.25</v>
      </c>
      <c r="F177" s="17">
        <f>VLOOKUP($C177,[1]Peak_Forward!$A$6:$Q$128,'price-old'!F$2,FALSE)</f>
        <v>31.25</v>
      </c>
      <c r="G177" s="17">
        <f>VLOOKUP($C177,[1]Peak_Forward!$A$6:$Q$128,'price-old'!G$2,FALSE)</f>
        <v>28.56</v>
      </c>
      <c r="H177" s="17">
        <f>VLOOKUP($C177,[1]Peak_Forward!$A$6:$Q$128,'price-old'!H$2,FALSE)</f>
        <v>33.25</v>
      </c>
      <c r="I177" s="17">
        <f>VLOOKUP($C177,[1]Peak_Forward!$A$6:$Q$128,'price-old'!I$2,FALSE)</f>
        <v>41</v>
      </c>
      <c r="J177" s="17">
        <f>VLOOKUP($C177,[1]Peak_Forward!$A$6:$Q$128,'price-old'!J$2,FALSE)</f>
        <v>29.56</v>
      </c>
      <c r="K177" s="17">
        <f>VLOOKUP($C177,[1]Peak_Forward!$A$6:$Q$128,'price-old'!K$2,FALSE)</f>
        <v>40</v>
      </c>
      <c r="L177" s="17">
        <f>VLOOKUP($C177,[1]Peak_Forward!$A$6:$Q$128,'price-old'!L$2,FALSE)</f>
        <v>36.75</v>
      </c>
      <c r="M177" s="17">
        <f>VLOOKUP($C177,[1]Peak_Forward!$A$6:$Q$128,'price-old'!M$2,FALSE)</f>
        <v>40</v>
      </c>
      <c r="N177" s="17">
        <f>VLOOKUP($C177,[1]Peak_Forward!$A$6:$Q$128,'price-old'!N$2,FALSE)</f>
        <v>46</v>
      </c>
      <c r="O177" s="17">
        <f>VLOOKUP($C177,[1]Peak_Forward!$A$6:$Q$128,'price-old'!O$2,FALSE)</f>
        <v>33.159999999999997</v>
      </c>
      <c r="P177" s="17">
        <f>VLOOKUP($C177,[1]Peak_Forward!$A$6:$Q$128,'price-old'!P$2,FALSE)</f>
        <v>32</v>
      </c>
      <c r="Q177" s="17">
        <f>VLOOKUP($C177,[1]Peak_Forward!$A$6:$Q$128,'price-old'!Q$2,FALSE)</f>
        <v>40</v>
      </c>
      <c r="R177" s="6">
        <f>VLOOKUP($C177,[1]Peak_Forward!$A$6:$Q$128,'price-old'!R$2,FALSE)</f>
        <v>29.06</v>
      </c>
      <c r="S177" s="6">
        <f>VLOOKUP($C177,[1]Peak_Forward!$A$6:$Q$128,'price-old'!S$2,FALSE)</f>
        <v>27.51</v>
      </c>
    </row>
    <row r="178" spans="3:19" x14ac:dyDescent="0.2">
      <c r="C178" s="1">
        <f>'Filter-old'!C53</f>
        <v>38412</v>
      </c>
      <c r="E178" s="17">
        <f>VLOOKUP($C178,[1]Peak_Forward!$A$6:$Q$128,'price-old'!E$2,FALSE)</f>
        <v>29.5</v>
      </c>
      <c r="F178" s="17">
        <f>VLOOKUP($C178,[1]Peak_Forward!$A$6:$Q$128,'price-old'!F$2,FALSE)</f>
        <v>29.5</v>
      </c>
      <c r="G178" s="17">
        <f>VLOOKUP($C178,[1]Peak_Forward!$A$6:$Q$128,'price-old'!G$2,FALSE)</f>
        <v>26.41</v>
      </c>
      <c r="H178" s="17">
        <f>VLOOKUP($C178,[1]Peak_Forward!$A$6:$Q$128,'price-old'!H$2,FALSE)</f>
        <v>31.5</v>
      </c>
      <c r="I178" s="17">
        <f>VLOOKUP($C178,[1]Peak_Forward!$A$6:$Q$128,'price-old'!I$2,FALSE)</f>
        <v>37.5</v>
      </c>
      <c r="J178" s="17">
        <f>VLOOKUP($C178,[1]Peak_Forward!$A$6:$Q$128,'price-old'!J$2,FALSE)</f>
        <v>27.66</v>
      </c>
      <c r="K178" s="17">
        <f>VLOOKUP($C178,[1]Peak_Forward!$A$6:$Q$128,'price-old'!K$2,FALSE)</f>
        <v>33.5</v>
      </c>
      <c r="L178" s="17">
        <f>VLOOKUP($C178,[1]Peak_Forward!$A$6:$Q$128,'price-old'!L$2,FALSE)</f>
        <v>32.5</v>
      </c>
      <c r="M178" s="17">
        <f>VLOOKUP($C178,[1]Peak_Forward!$A$6:$Q$128,'price-old'!M$2,FALSE)</f>
        <v>33.5</v>
      </c>
      <c r="N178" s="17">
        <f>VLOOKUP($C178,[1]Peak_Forward!$A$6:$Q$128,'price-old'!N$2,FALSE)</f>
        <v>41</v>
      </c>
      <c r="O178" s="17">
        <f>VLOOKUP($C178,[1]Peak_Forward!$A$6:$Q$128,'price-old'!O$2,FALSE)</f>
        <v>29.26</v>
      </c>
      <c r="P178" s="17">
        <f>VLOOKUP($C178,[1]Peak_Forward!$A$6:$Q$128,'price-old'!P$2,FALSE)</f>
        <v>30</v>
      </c>
      <c r="Q178" s="17">
        <f>VLOOKUP($C178,[1]Peak_Forward!$A$6:$Q$128,'price-old'!Q$2,FALSE)</f>
        <v>33.5</v>
      </c>
      <c r="R178" s="6">
        <f>VLOOKUP($C178,[1]Peak_Forward!$A$6:$Q$128,'price-old'!R$2,FALSE)</f>
        <v>26.91</v>
      </c>
      <c r="S178" s="6">
        <f>VLOOKUP($C178,[1]Peak_Forward!$A$6:$Q$128,'price-old'!S$2,FALSE)</f>
        <v>25.36</v>
      </c>
    </row>
    <row r="179" spans="3:19" x14ac:dyDescent="0.2">
      <c r="C179" s="1">
        <f>'Filter-old'!C54</f>
        <v>38443</v>
      </c>
      <c r="E179" s="17">
        <f>VLOOKUP($C179,[1]Peak_Forward!$A$6:$Q$128,'price-old'!E$2,FALSE)</f>
        <v>29.5</v>
      </c>
      <c r="F179" s="17">
        <f>VLOOKUP($C179,[1]Peak_Forward!$A$6:$Q$128,'price-old'!F$2,FALSE)</f>
        <v>29.5</v>
      </c>
      <c r="G179" s="17">
        <f>VLOOKUP($C179,[1]Peak_Forward!$A$6:$Q$128,'price-old'!G$2,FALSE)</f>
        <v>27.62</v>
      </c>
      <c r="H179" s="17">
        <f>VLOOKUP($C179,[1]Peak_Forward!$A$6:$Q$128,'price-old'!H$2,FALSE)</f>
        <v>31.5</v>
      </c>
      <c r="I179" s="17">
        <f>VLOOKUP($C179,[1]Peak_Forward!$A$6:$Q$128,'price-old'!I$2,FALSE)</f>
        <v>37.5</v>
      </c>
      <c r="J179" s="17">
        <f>VLOOKUP($C179,[1]Peak_Forward!$A$6:$Q$128,'price-old'!J$2,FALSE)</f>
        <v>28.87</v>
      </c>
      <c r="K179" s="17">
        <f>VLOOKUP($C179,[1]Peak_Forward!$A$6:$Q$128,'price-old'!K$2,FALSE)</f>
        <v>33.5</v>
      </c>
      <c r="L179" s="17">
        <f>VLOOKUP($C179,[1]Peak_Forward!$A$6:$Q$128,'price-old'!L$2,FALSE)</f>
        <v>32.5</v>
      </c>
      <c r="M179" s="17">
        <f>VLOOKUP($C179,[1]Peak_Forward!$A$6:$Q$128,'price-old'!M$2,FALSE)</f>
        <v>33.5</v>
      </c>
      <c r="N179" s="17">
        <f>VLOOKUP($C179,[1]Peak_Forward!$A$6:$Q$128,'price-old'!N$2,FALSE)</f>
        <v>41</v>
      </c>
      <c r="O179" s="17">
        <f>VLOOKUP($C179,[1]Peak_Forward!$A$6:$Q$128,'price-old'!O$2,FALSE)</f>
        <v>30.02</v>
      </c>
      <c r="P179" s="17">
        <f>VLOOKUP($C179,[1]Peak_Forward!$A$6:$Q$128,'price-old'!P$2,FALSE)</f>
        <v>30</v>
      </c>
      <c r="Q179" s="17">
        <f>VLOOKUP($C179,[1]Peak_Forward!$A$6:$Q$128,'price-old'!Q$2,FALSE)</f>
        <v>33.5</v>
      </c>
      <c r="R179" s="6">
        <f>VLOOKUP($C179,[1]Peak_Forward!$A$6:$Q$128,'price-old'!R$2,FALSE)</f>
        <v>28.12</v>
      </c>
      <c r="S179" s="6">
        <f>VLOOKUP($C179,[1]Peak_Forward!$A$6:$Q$128,'price-old'!S$2,FALSE)</f>
        <v>26.57</v>
      </c>
    </row>
    <row r="180" spans="3:19" x14ac:dyDescent="0.2">
      <c r="C180" s="1">
        <f>'Filter-old'!C55</f>
        <v>38473</v>
      </c>
      <c r="E180" s="17">
        <f>VLOOKUP($C180,[1]Peak_Forward!$A$6:$Q$128,'price-old'!E$2,FALSE)</f>
        <v>31</v>
      </c>
      <c r="F180" s="17">
        <f>VLOOKUP($C180,[1]Peak_Forward!$A$6:$Q$128,'price-old'!F$2,FALSE)</f>
        <v>31</v>
      </c>
      <c r="G180" s="17">
        <f>VLOOKUP($C180,[1]Peak_Forward!$A$6:$Q$128,'price-old'!G$2,FALSE)</f>
        <v>29.26</v>
      </c>
      <c r="H180" s="17">
        <f>VLOOKUP($C180,[1]Peak_Forward!$A$6:$Q$128,'price-old'!H$2,FALSE)</f>
        <v>33</v>
      </c>
      <c r="I180" s="17">
        <f>VLOOKUP($C180,[1]Peak_Forward!$A$6:$Q$128,'price-old'!I$2,FALSE)</f>
        <v>38.5</v>
      </c>
      <c r="J180" s="17">
        <f>VLOOKUP($C180,[1]Peak_Forward!$A$6:$Q$128,'price-old'!J$2,FALSE)</f>
        <v>30.76</v>
      </c>
      <c r="K180" s="17">
        <f>VLOOKUP($C180,[1]Peak_Forward!$A$6:$Q$128,'price-old'!K$2,FALSE)</f>
        <v>33</v>
      </c>
      <c r="L180" s="17">
        <f>VLOOKUP($C180,[1]Peak_Forward!$A$6:$Q$128,'price-old'!L$2,FALSE)</f>
        <v>37</v>
      </c>
      <c r="M180" s="17">
        <f>VLOOKUP($C180,[1]Peak_Forward!$A$6:$Q$128,'price-old'!M$2,FALSE)</f>
        <v>33</v>
      </c>
      <c r="N180" s="17">
        <f>VLOOKUP($C180,[1]Peak_Forward!$A$6:$Q$128,'price-old'!N$2,FALSE)</f>
        <v>45</v>
      </c>
      <c r="O180" s="17">
        <f>VLOOKUP($C180,[1]Peak_Forward!$A$6:$Q$128,'price-old'!O$2,FALSE)</f>
        <v>26.46</v>
      </c>
      <c r="P180" s="17">
        <f>VLOOKUP($C180,[1]Peak_Forward!$A$6:$Q$128,'price-old'!P$2,FALSE)</f>
        <v>31</v>
      </c>
      <c r="Q180" s="17">
        <f>VLOOKUP($C180,[1]Peak_Forward!$A$6:$Q$128,'price-old'!Q$2,FALSE)</f>
        <v>33</v>
      </c>
      <c r="R180" s="6">
        <f>VLOOKUP($C180,[1]Peak_Forward!$A$6:$Q$128,'price-old'!R$2,FALSE)</f>
        <v>29.76</v>
      </c>
      <c r="S180" s="6">
        <f>VLOOKUP($C180,[1]Peak_Forward!$A$6:$Q$128,'price-old'!S$2,FALSE)</f>
        <v>28.26</v>
      </c>
    </row>
    <row r="181" spans="3:19" x14ac:dyDescent="0.2">
      <c r="C181" s="1">
        <f>'Filter-old'!C56</f>
        <v>38504</v>
      </c>
      <c r="E181" s="17">
        <f>VLOOKUP($C181,[1]Peak_Forward!$A$6:$Q$128,'price-old'!E$2,FALSE)</f>
        <v>41</v>
      </c>
      <c r="F181" s="17">
        <f>VLOOKUP($C181,[1]Peak_Forward!$A$6:$Q$128,'price-old'!F$2,FALSE)</f>
        <v>41</v>
      </c>
      <c r="G181" s="17">
        <f>VLOOKUP($C181,[1]Peak_Forward!$A$6:$Q$128,'price-old'!G$2,FALSE)</f>
        <v>34.869999999999997</v>
      </c>
      <c r="H181" s="17">
        <f>VLOOKUP($C181,[1]Peak_Forward!$A$6:$Q$128,'price-old'!H$2,FALSE)</f>
        <v>45</v>
      </c>
      <c r="I181" s="17">
        <f>VLOOKUP($C181,[1]Peak_Forward!$A$6:$Q$128,'price-old'!I$2,FALSE)</f>
        <v>47</v>
      </c>
      <c r="J181" s="17">
        <f>VLOOKUP($C181,[1]Peak_Forward!$A$6:$Q$128,'price-old'!J$2,FALSE)</f>
        <v>36.869999999999997</v>
      </c>
      <c r="K181" s="17">
        <f>VLOOKUP($C181,[1]Peak_Forward!$A$6:$Q$128,'price-old'!K$2,FALSE)</f>
        <v>38</v>
      </c>
      <c r="L181" s="17">
        <f>VLOOKUP($C181,[1]Peak_Forward!$A$6:$Q$128,'price-old'!L$2,FALSE)</f>
        <v>52</v>
      </c>
      <c r="M181" s="17">
        <f>VLOOKUP($C181,[1]Peak_Forward!$A$6:$Q$128,'price-old'!M$2,FALSE)</f>
        <v>38</v>
      </c>
      <c r="N181" s="17">
        <f>VLOOKUP($C181,[1]Peak_Forward!$A$6:$Q$128,'price-old'!N$2,FALSE)</f>
        <v>56</v>
      </c>
      <c r="O181" s="17">
        <f>VLOOKUP($C181,[1]Peak_Forward!$A$6:$Q$128,'price-old'!O$2,FALSE)</f>
        <v>30.77</v>
      </c>
      <c r="P181" s="17">
        <f>VLOOKUP($C181,[1]Peak_Forward!$A$6:$Q$128,'price-old'!P$2,FALSE)</f>
        <v>41</v>
      </c>
      <c r="Q181" s="17">
        <f>VLOOKUP($C181,[1]Peak_Forward!$A$6:$Q$128,'price-old'!Q$2,FALSE)</f>
        <v>38</v>
      </c>
      <c r="R181" s="6">
        <f>VLOOKUP($C181,[1]Peak_Forward!$A$6:$Q$128,'price-old'!R$2,FALSE)</f>
        <v>35.369999999999997</v>
      </c>
      <c r="S181" s="6">
        <f>VLOOKUP($C181,[1]Peak_Forward!$A$6:$Q$128,'price-old'!S$2,FALSE)</f>
        <v>33.72</v>
      </c>
    </row>
    <row r="182" spans="3:19" x14ac:dyDescent="0.2">
      <c r="C182" s="1">
        <f>'Filter-old'!C57</f>
        <v>38534</v>
      </c>
      <c r="E182" s="17">
        <f>VLOOKUP($C182,[1]Peak_Forward!$A$6:$Q$128,'price-old'!E$2,FALSE)</f>
        <v>50.25</v>
      </c>
      <c r="F182" s="17">
        <f>VLOOKUP($C182,[1]Peak_Forward!$A$6:$Q$128,'price-old'!F$2,FALSE)</f>
        <v>50.25</v>
      </c>
      <c r="G182" s="17">
        <f>VLOOKUP($C182,[1]Peak_Forward!$A$6:$Q$128,'price-old'!G$2,FALSE)</f>
        <v>44.884999999999998</v>
      </c>
      <c r="H182" s="17">
        <f>VLOOKUP($C182,[1]Peak_Forward!$A$6:$Q$128,'price-old'!H$2,FALSE)</f>
        <v>54.25</v>
      </c>
      <c r="I182" s="17">
        <f>VLOOKUP($C182,[1]Peak_Forward!$A$6:$Q$128,'price-old'!I$2,FALSE)</f>
        <v>68</v>
      </c>
      <c r="J182" s="17">
        <f>VLOOKUP($C182,[1]Peak_Forward!$A$6:$Q$128,'price-old'!J$2,FALSE)</f>
        <v>47.884999999999998</v>
      </c>
      <c r="K182" s="17">
        <f>VLOOKUP($C182,[1]Peak_Forward!$A$6:$Q$128,'price-old'!K$2,FALSE)</f>
        <v>46.5</v>
      </c>
      <c r="L182" s="17">
        <f>VLOOKUP($C182,[1]Peak_Forward!$A$6:$Q$128,'price-old'!L$2,FALSE)</f>
        <v>67.25</v>
      </c>
      <c r="M182" s="17">
        <f>VLOOKUP($C182,[1]Peak_Forward!$A$6:$Q$128,'price-old'!M$2,FALSE)</f>
        <v>46.5</v>
      </c>
      <c r="N182" s="17">
        <f>VLOOKUP($C182,[1]Peak_Forward!$A$6:$Q$128,'price-old'!N$2,FALSE)</f>
        <v>78</v>
      </c>
      <c r="O182" s="17">
        <f>VLOOKUP($C182,[1]Peak_Forward!$A$6:$Q$128,'price-old'!O$2,FALSE)</f>
        <v>37.685000000000002</v>
      </c>
      <c r="P182" s="17">
        <f>VLOOKUP($C182,[1]Peak_Forward!$A$6:$Q$128,'price-old'!P$2,FALSE)</f>
        <v>52</v>
      </c>
      <c r="Q182" s="17">
        <f>VLOOKUP($C182,[1]Peak_Forward!$A$6:$Q$128,'price-old'!Q$2,FALSE)</f>
        <v>46.5</v>
      </c>
      <c r="R182" s="6">
        <f>VLOOKUP($C182,[1]Peak_Forward!$A$6:$Q$128,'price-old'!R$2,FALSE)</f>
        <v>45.384999999999998</v>
      </c>
      <c r="S182" s="6">
        <f>VLOOKUP($C182,[1]Peak_Forward!$A$6:$Q$128,'price-old'!S$2,FALSE)</f>
        <v>43.335000000000001</v>
      </c>
    </row>
    <row r="183" spans="3:19" x14ac:dyDescent="0.2">
      <c r="C183" s="1">
        <f>'Filter-old'!C58</f>
        <v>38565</v>
      </c>
      <c r="E183" s="17">
        <f>VLOOKUP($C183,[1]Peak_Forward!$A$6:$Q$128,'price-old'!E$2,FALSE)</f>
        <v>50.25</v>
      </c>
      <c r="F183" s="17">
        <f>VLOOKUP($C183,[1]Peak_Forward!$A$6:$Q$128,'price-old'!F$2,FALSE)</f>
        <v>50.25</v>
      </c>
      <c r="G183" s="17">
        <f>VLOOKUP($C183,[1]Peak_Forward!$A$6:$Q$128,'price-old'!G$2,FALSE)</f>
        <v>44.234999999999999</v>
      </c>
      <c r="H183" s="17">
        <f>VLOOKUP($C183,[1]Peak_Forward!$A$6:$Q$128,'price-old'!H$2,FALSE)</f>
        <v>54.25</v>
      </c>
      <c r="I183" s="17">
        <f>VLOOKUP($C183,[1]Peak_Forward!$A$6:$Q$128,'price-old'!I$2,FALSE)</f>
        <v>68</v>
      </c>
      <c r="J183" s="17">
        <f>VLOOKUP($C183,[1]Peak_Forward!$A$6:$Q$128,'price-old'!J$2,FALSE)</f>
        <v>47.234999999999999</v>
      </c>
      <c r="K183" s="17">
        <f>VLOOKUP($C183,[1]Peak_Forward!$A$6:$Q$128,'price-old'!K$2,FALSE)</f>
        <v>46.5</v>
      </c>
      <c r="L183" s="17">
        <f>VLOOKUP($C183,[1]Peak_Forward!$A$6:$Q$128,'price-old'!L$2,FALSE)</f>
        <v>67.25</v>
      </c>
      <c r="M183" s="17">
        <f>VLOOKUP($C183,[1]Peak_Forward!$A$6:$Q$128,'price-old'!M$2,FALSE)</f>
        <v>46.5</v>
      </c>
      <c r="N183" s="17">
        <f>VLOOKUP($C183,[1]Peak_Forward!$A$6:$Q$128,'price-old'!N$2,FALSE)</f>
        <v>78</v>
      </c>
      <c r="O183" s="17">
        <f>VLOOKUP($C183,[1]Peak_Forward!$A$6:$Q$128,'price-old'!O$2,FALSE)</f>
        <v>37.034999999999997</v>
      </c>
      <c r="P183" s="17">
        <f>VLOOKUP($C183,[1]Peak_Forward!$A$6:$Q$128,'price-old'!P$2,FALSE)</f>
        <v>52</v>
      </c>
      <c r="Q183" s="17">
        <f>VLOOKUP($C183,[1]Peak_Forward!$A$6:$Q$128,'price-old'!Q$2,FALSE)</f>
        <v>46.5</v>
      </c>
      <c r="R183" s="6">
        <f>VLOOKUP($C183,[1]Peak_Forward!$A$6:$Q$128,'price-old'!R$2,FALSE)</f>
        <v>44.734999999999999</v>
      </c>
      <c r="S183" s="6">
        <f>VLOOKUP($C183,[1]Peak_Forward!$A$6:$Q$128,'price-old'!S$2,FALSE)</f>
        <v>42.685000000000002</v>
      </c>
    </row>
    <row r="184" spans="3:19" x14ac:dyDescent="0.2">
      <c r="C184" s="1">
        <f>'Filter-old'!C59</f>
        <v>38596</v>
      </c>
      <c r="E184" s="17">
        <f>VLOOKUP($C184,[1]Peak_Forward!$A$6:$Q$128,'price-old'!E$2,FALSE)</f>
        <v>29</v>
      </c>
      <c r="F184" s="17">
        <f>VLOOKUP($C184,[1]Peak_Forward!$A$6:$Q$128,'price-old'!F$2,FALSE)</f>
        <v>29</v>
      </c>
      <c r="G184" s="17">
        <f>VLOOKUP($C184,[1]Peak_Forward!$A$6:$Q$128,'price-old'!G$2,FALSE)</f>
        <v>27.66</v>
      </c>
      <c r="H184" s="17">
        <f>VLOOKUP($C184,[1]Peak_Forward!$A$6:$Q$128,'price-old'!H$2,FALSE)</f>
        <v>31</v>
      </c>
      <c r="I184" s="17">
        <f>VLOOKUP($C184,[1]Peak_Forward!$A$6:$Q$128,'price-old'!I$2,FALSE)</f>
        <v>37.5</v>
      </c>
      <c r="J184" s="17">
        <f>VLOOKUP($C184,[1]Peak_Forward!$A$6:$Q$128,'price-old'!J$2,FALSE)</f>
        <v>29.66</v>
      </c>
      <c r="K184" s="17">
        <f>VLOOKUP($C184,[1]Peak_Forward!$A$6:$Q$128,'price-old'!K$2,FALSE)</f>
        <v>31.75</v>
      </c>
      <c r="L184" s="17">
        <f>VLOOKUP($C184,[1]Peak_Forward!$A$6:$Q$128,'price-old'!L$2,FALSE)</f>
        <v>32</v>
      </c>
      <c r="M184" s="17">
        <f>VLOOKUP($C184,[1]Peak_Forward!$A$6:$Q$128,'price-old'!M$2,FALSE)</f>
        <v>31.75</v>
      </c>
      <c r="N184" s="17">
        <f>VLOOKUP($C184,[1]Peak_Forward!$A$6:$Q$128,'price-old'!N$2,FALSE)</f>
        <v>41</v>
      </c>
      <c r="O184" s="17">
        <f>VLOOKUP($C184,[1]Peak_Forward!$A$6:$Q$128,'price-old'!O$2,FALSE)</f>
        <v>24.16</v>
      </c>
      <c r="P184" s="17">
        <f>VLOOKUP($C184,[1]Peak_Forward!$A$6:$Q$128,'price-old'!P$2,FALSE)</f>
        <v>29.75</v>
      </c>
      <c r="Q184" s="17">
        <f>VLOOKUP($C184,[1]Peak_Forward!$A$6:$Q$128,'price-old'!Q$2,FALSE)</f>
        <v>31.75</v>
      </c>
      <c r="R184" s="6">
        <f>VLOOKUP($C184,[1]Peak_Forward!$A$6:$Q$128,'price-old'!R$2,FALSE)</f>
        <v>28.16</v>
      </c>
      <c r="S184" s="6">
        <f>VLOOKUP($C184,[1]Peak_Forward!$A$6:$Q$128,'price-old'!S$2,FALSE)</f>
        <v>26.91</v>
      </c>
    </row>
    <row r="185" spans="3:19" x14ac:dyDescent="0.2">
      <c r="C185" s="1">
        <f>'Filter-old'!C60</f>
        <v>38626</v>
      </c>
      <c r="E185" s="17">
        <f>VLOOKUP($C185,[1]Peak_Forward!$A$6:$Q$128,'price-old'!E$2,FALSE)</f>
        <v>29</v>
      </c>
      <c r="F185" s="17">
        <f>VLOOKUP($C185,[1]Peak_Forward!$A$6:$Q$128,'price-old'!F$2,FALSE)</f>
        <v>29</v>
      </c>
      <c r="G185" s="17">
        <f>VLOOKUP($C185,[1]Peak_Forward!$A$6:$Q$128,'price-old'!G$2,FALSE)</f>
        <v>27.35</v>
      </c>
      <c r="H185" s="17">
        <f>VLOOKUP($C185,[1]Peak_Forward!$A$6:$Q$128,'price-old'!H$2,FALSE)</f>
        <v>31</v>
      </c>
      <c r="I185" s="17">
        <f>VLOOKUP($C185,[1]Peak_Forward!$A$6:$Q$128,'price-old'!I$2,FALSE)</f>
        <v>37.5</v>
      </c>
      <c r="J185" s="17">
        <f>VLOOKUP($C185,[1]Peak_Forward!$A$6:$Q$128,'price-old'!J$2,FALSE)</f>
        <v>27.85</v>
      </c>
      <c r="K185" s="17">
        <f>VLOOKUP($C185,[1]Peak_Forward!$A$6:$Q$128,'price-old'!K$2,FALSE)</f>
        <v>31.75</v>
      </c>
      <c r="L185" s="17">
        <f>VLOOKUP($C185,[1]Peak_Forward!$A$6:$Q$128,'price-old'!L$2,FALSE)</f>
        <v>32</v>
      </c>
      <c r="M185" s="17">
        <f>VLOOKUP($C185,[1]Peak_Forward!$A$6:$Q$128,'price-old'!M$2,FALSE)</f>
        <v>31.75</v>
      </c>
      <c r="N185" s="17">
        <f>VLOOKUP($C185,[1]Peak_Forward!$A$6:$Q$128,'price-old'!N$2,FALSE)</f>
        <v>41</v>
      </c>
      <c r="O185" s="17">
        <f>VLOOKUP($C185,[1]Peak_Forward!$A$6:$Q$128,'price-old'!O$2,FALSE)</f>
        <v>29.19</v>
      </c>
      <c r="P185" s="17">
        <f>VLOOKUP($C185,[1]Peak_Forward!$A$6:$Q$128,'price-old'!P$2,FALSE)</f>
        <v>29.75</v>
      </c>
      <c r="Q185" s="17">
        <f>VLOOKUP($C185,[1]Peak_Forward!$A$6:$Q$128,'price-old'!Q$2,FALSE)</f>
        <v>31.75</v>
      </c>
      <c r="R185" s="6">
        <f>VLOOKUP($C185,[1]Peak_Forward!$A$6:$Q$128,'price-old'!R$2,FALSE)</f>
        <v>27.85</v>
      </c>
      <c r="S185" s="6">
        <f>VLOOKUP($C185,[1]Peak_Forward!$A$6:$Q$128,'price-old'!S$2,FALSE)</f>
        <v>26.6</v>
      </c>
    </row>
    <row r="186" spans="3:19" x14ac:dyDescent="0.2">
      <c r="C186" s="1">
        <f>'Filter-old'!C61</f>
        <v>38657</v>
      </c>
      <c r="E186" s="17">
        <f>VLOOKUP($C186,[1]Peak_Forward!$A$6:$Q$128,'price-old'!E$2,FALSE)</f>
        <v>29</v>
      </c>
      <c r="F186" s="17">
        <f>VLOOKUP($C186,[1]Peak_Forward!$A$6:$Q$128,'price-old'!F$2,FALSE)</f>
        <v>29</v>
      </c>
      <c r="G186" s="17">
        <f>VLOOKUP($C186,[1]Peak_Forward!$A$6:$Q$128,'price-old'!G$2,FALSE)</f>
        <v>28.46</v>
      </c>
      <c r="H186" s="17">
        <f>VLOOKUP($C186,[1]Peak_Forward!$A$6:$Q$128,'price-old'!H$2,FALSE)</f>
        <v>31</v>
      </c>
      <c r="I186" s="17">
        <f>VLOOKUP($C186,[1]Peak_Forward!$A$6:$Q$128,'price-old'!I$2,FALSE)</f>
        <v>37.5</v>
      </c>
      <c r="J186" s="17">
        <f>VLOOKUP($C186,[1]Peak_Forward!$A$6:$Q$128,'price-old'!J$2,FALSE)</f>
        <v>28.96</v>
      </c>
      <c r="K186" s="17">
        <f>VLOOKUP($C186,[1]Peak_Forward!$A$6:$Q$128,'price-old'!K$2,FALSE)</f>
        <v>31.75</v>
      </c>
      <c r="L186" s="17">
        <f>VLOOKUP($C186,[1]Peak_Forward!$A$6:$Q$128,'price-old'!L$2,FALSE)</f>
        <v>32</v>
      </c>
      <c r="M186" s="17">
        <f>VLOOKUP($C186,[1]Peak_Forward!$A$6:$Q$128,'price-old'!M$2,FALSE)</f>
        <v>31.75</v>
      </c>
      <c r="N186" s="17">
        <f>VLOOKUP($C186,[1]Peak_Forward!$A$6:$Q$128,'price-old'!N$2,FALSE)</f>
        <v>41</v>
      </c>
      <c r="O186" s="17">
        <f>VLOOKUP($C186,[1]Peak_Forward!$A$6:$Q$128,'price-old'!O$2,FALSE)</f>
        <v>33.700000000000003</v>
      </c>
      <c r="P186" s="17">
        <f>VLOOKUP($C186,[1]Peak_Forward!$A$6:$Q$128,'price-old'!P$2,FALSE)</f>
        <v>29.75</v>
      </c>
      <c r="Q186" s="17">
        <f>VLOOKUP($C186,[1]Peak_Forward!$A$6:$Q$128,'price-old'!Q$2,FALSE)</f>
        <v>31.75</v>
      </c>
      <c r="R186" s="6">
        <f>VLOOKUP($C186,[1]Peak_Forward!$A$6:$Q$128,'price-old'!R$2,FALSE)</f>
        <v>28.96</v>
      </c>
      <c r="S186" s="6">
        <f>VLOOKUP($C186,[1]Peak_Forward!$A$6:$Q$128,'price-old'!S$2,FALSE)</f>
        <v>27.71</v>
      </c>
    </row>
    <row r="187" spans="3:19" x14ac:dyDescent="0.2">
      <c r="C187" s="1">
        <f>'Filter-old'!C62</f>
        <v>38687</v>
      </c>
      <c r="E187" s="17">
        <f>VLOOKUP($C187,[1]Peak_Forward!$A$6:$Q$128,'price-old'!E$2,FALSE)</f>
        <v>29</v>
      </c>
      <c r="F187" s="17">
        <f>VLOOKUP($C187,[1]Peak_Forward!$A$6:$Q$128,'price-old'!F$2,FALSE)</f>
        <v>29</v>
      </c>
      <c r="G187" s="17">
        <f>VLOOKUP($C187,[1]Peak_Forward!$A$6:$Q$128,'price-old'!G$2,FALSE)</f>
        <v>28.98</v>
      </c>
      <c r="H187" s="17">
        <f>VLOOKUP($C187,[1]Peak_Forward!$A$6:$Q$128,'price-old'!H$2,FALSE)</f>
        <v>31</v>
      </c>
      <c r="I187" s="17">
        <f>VLOOKUP($C187,[1]Peak_Forward!$A$6:$Q$128,'price-old'!I$2,FALSE)</f>
        <v>37.5</v>
      </c>
      <c r="J187" s="17">
        <f>VLOOKUP($C187,[1]Peak_Forward!$A$6:$Q$128,'price-old'!J$2,FALSE)</f>
        <v>29.48</v>
      </c>
      <c r="K187" s="17">
        <f>VLOOKUP($C187,[1]Peak_Forward!$A$6:$Q$128,'price-old'!K$2,FALSE)</f>
        <v>31.75</v>
      </c>
      <c r="L187" s="17">
        <f>VLOOKUP($C187,[1]Peak_Forward!$A$6:$Q$128,'price-old'!L$2,FALSE)</f>
        <v>32</v>
      </c>
      <c r="M187" s="17">
        <f>VLOOKUP($C187,[1]Peak_Forward!$A$6:$Q$128,'price-old'!M$2,FALSE)</f>
        <v>31.75</v>
      </c>
      <c r="N187" s="17">
        <f>VLOOKUP($C187,[1]Peak_Forward!$A$6:$Q$128,'price-old'!N$2,FALSE)</f>
        <v>41</v>
      </c>
      <c r="O187" s="17">
        <f>VLOOKUP($C187,[1]Peak_Forward!$A$6:$Q$128,'price-old'!O$2,FALSE)</f>
        <v>34.619999999999997</v>
      </c>
      <c r="P187" s="17">
        <f>VLOOKUP($C187,[1]Peak_Forward!$A$6:$Q$128,'price-old'!P$2,FALSE)</f>
        <v>29.75</v>
      </c>
      <c r="Q187" s="17">
        <f>VLOOKUP($C187,[1]Peak_Forward!$A$6:$Q$128,'price-old'!Q$2,FALSE)</f>
        <v>31.75</v>
      </c>
      <c r="R187" s="6">
        <f>VLOOKUP($C187,[1]Peak_Forward!$A$6:$Q$128,'price-old'!R$2,FALSE)</f>
        <v>29.48</v>
      </c>
      <c r="S187" s="6">
        <f>VLOOKUP($C187,[1]Peak_Forward!$A$6:$Q$128,'price-old'!S$2,FALSE)</f>
        <v>28.23</v>
      </c>
    </row>
    <row r="188" spans="3:19" x14ac:dyDescent="0.2">
      <c r="C188" s="1">
        <f>'Filter-old'!C63</f>
        <v>38718</v>
      </c>
      <c r="E188" s="17">
        <f>VLOOKUP($C188,[1]Peak_Forward!$A$6:$Q$128,'price-old'!E$2,FALSE)</f>
        <v>31.75</v>
      </c>
      <c r="F188" s="17">
        <f>VLOOKUP($C188,[1]Peak_Forward!$A$6:$Q$128,'price-old'!F$2,FALSE)</f>
        <v>31.75</v>
      </c>
      <c r="G188" s="17">
        <f>VLOOKUP($C188,[1]Peak_Forward!$A$6:$Q$128,'price-old'!G$2,FALSE)</f>
        <v>30.31</v>
      </c>
      <c r="H188" s="17">
        <f>VLOOKUP($C188,[1]Peak_Forward!$A$6:$Q$128,'price-old'!H$2,FALSE)</f>
        <v>33.75</v>
      </c>
      <c r="I188" s="17">
        <f>VLOOKUP($C188,[1]Peak_Forward!$A$6:$Q$128,'price-old'!I$2,FALSE)</f>
        <v>42</v>
      </c>
      <c r="J188" s="17">
        <f>VLOOKUP($C188,[1]Peak_Forward!$A$6:$Q$128,'price-old'!J$2,FALSE)</f>
        <v>31.31</v>
      </c>
      <c r="K188" s="17">
        <f>VLOOKUP($C188,[1]Peak_Forward!$A$6:$Q$128,'price-old'!K$2,FALSE)</f>
        <v>42.55</v>
      </c>
      <c r="L188" s="17">
        <f>VLOOKUP($C188,[1]Peak_Forward!$A$6:$Q$128,'price-old'!L$2,FALSE)</f>
        <v>36.75</v>
      </c>
      <c r="M188" s="17">
        <f>VLOOKUP($C188,[1]Peak_Forward!$A$6:$Q$128,'price-old'!M$2,FALSE)</f>
        <v>42.55</v>
      </c>
      <c r="N188" s="17">
        <f>VLOOKUP($C188,[1]Peak_Forward!$A$6:$Q$128,'price-old'!N$2,FALSE)</f>
        <v>47</v>
      </c>
      <c r="O188" s="17">
        <f>VLOOKUP($C188,[1]Peak_Forward!$A$6:$Q$128,'price-old'!O$2,FALSE)</f>
        <v>33.76</v>
      </c>
      <c r="P188" s="17">
        <f>VLOOKUP($C188,[1]Peak_Forward!$A$6:$Q$128,'price-old'!P$2,FALSE)</f>
        <v>32.5</v>
      </c>
      <c r="Q188" s="17">
        <f>VLOOKUP($C188,[1]Peak_Forward!$A$6:$Q$128,'price-old'!Q$2,FALSE)</f>
        <v>42.55</v>
      </c>
      <c r="R188" s="6">
        <f>VLOOKUP($C188,[1]Peak_Forward!$A$6:$Q$128,'price-old'!R$2,FALSE)</f>
        <v>30.81</v>
      </c>
      <c r="S188" s="6">
        <f>VLOOKUP($C188,[1]Peak_Forward!$A$6:$Q$128,'price-old'!S$2,FALSE)</f>
        <v>29.26</v>
      </c>
    </row>
    <row r="189" spans="3:19" x14ac:dyDescent="0.2">
      <c r="C189" s="1">
        <f>'Filter-old'!C64</f>
        <v>38749</v>
      </c>
      <c r="E189" s="17">
        <f>VLOOKUP($C189,[1]Peak_Forward!$A$6:$Q$128,'price-old'!E$2,FALSE)</f>
        <v>31.75</v>
      </c>
      <c r="F189" s="17">
        <f>VLOOKUP($C189,[1]Peak_Forward!$A$6:$Q$128,'price-old'!F$2,FALSE)</f>
        <v>31.75</v>
      </c>
      <c r="G189" s="17">
        <f>VLOOKUP($C189,[1]Peak_Forward!$A$6:$Q$128,'price-old'!G$2,FALSE)</f>
        <v>29.01</v>
      </c>
      <c r="H189" s="17">
        <f>VLOOKUP($C189,[1]Peak_Forward!$A$6:$Q$128,'price-old'!H$2,FALSE)</f>
        <v>33.75</v>
      </c>
      <c r="I189" s="17">
        <f>VLOOKUP($C189,[1]Peak_Forward!$A$6:$Q$128,'price-old'!I$2,FALSE)</f>
        <v>42</v>
      </c>
      <c r="J189" s="17">
        <f>VLOOKUP($C189,[1]Peak_Forward!$A$6:$Q$128,'price-old'!J$2,FALSE)</f>
        <v>30.01</v>
      </c>
      <c r="K189" s="17">
        <f>VLOOKUP($C189,[1]Peak_Forward!$A$6:$Q$128,'price-old'!K$2,FALSE)</f>
        <v>42.55</v>
      </c>
      <c r="L189" s="17">
        <f>VLOOKUP($C189,[1]Peak_Forward!$A$6:$Q$128,'price-old'!L$2,FALSE)</f>
        <v>36.75</v>
      </c>
      <c r="M189" s="17">
        <f>VLOOKUP($C189,[1]Peak_Forward!$A$6:$Q$128,'price-old'!M$2,FALSE)</f>
        <v>42.55</v>
      </c>
      <c r="N189" s="17">
        <f>VLOOKUP($C189,[1]Peak_Forward!$A$6:$Q$128,'price-old'!N$2,FALSE)</f>
        <v>47</v>
      </c>
      <c r="O189" s="17">
        <f>VLOOKUP($C189,[1]Peak_Forward!$A$6:$Q$128,'price-old'!O$2,FALSE)</f>
        <v>33.46</v>
      </c>
      <c r="P189" s="17">
        <f>VLOOKUP($C189,[1]Peak_Forward!$A$6:$Q$128,'price-old'!P$2,FALSE)</f>
        <v>32.5</v>
      </c>
      <c r="Q189" s="17">
        <f>VLOOKUP($C189,[1]Peak_Forward!$A$6:$Q$128,'price-old'!Q$2,FALSE)</f>
        <v>42.55</v>
      </c>
      <c r="R189" s="6">
        <f>VLOOKUP($C189,[1]Peak_Forward!$A$6:$Q$128,'price-old'!R$2,FALSE)</f>
        <v>29.51</v>
      </c>
      <c r="S189" s="6">
        <f>VLOOKUP($C189,[1]Peak_Forward!$A$6:$Q$128,'price-old'!S$2,FALSE)</f>
        <v>27.96</v>
      </c>
    </row>
    <row r="190" spans="3:19" x14ac:dyDescent="0.2">
      <c r="C190" s="1">
        <f>'Filter-old'!C65</f>
        <v>38777</v>
      </c>
      <c r="E190" s="17">
        <f>VLOOKUP($C190,[1]Peak_Forward!$A$6:$Q$128,'price-old'!E$2,FALSE)</f>
        <v>29.75</v>
      </c>
      <c r="F190" s="17">
        <f>VLOOKUP($C190,[1]Peak_Forward!$A$6:$Q$128,'price-old'!F$2,FALSE)</f>
        <v>29.75</v>
      </c>
      <c r="G190" s="17">
        <f>VLOOKUP($C190,[1]Peak_Forward!$A$6:$Q$128,'price-old'!G$2,FALSE)</f>
        <v>27.95</v>
      </c>
      <c r="H190" s="17">
        <f>VLOOKUP($C190,[1]Peak_Forward!$A$6:$Q$128,'price-old'!H$2,FALSE)</f>
        <v>31.75</v>
      </c>
      <c r="I190" s="17">
        <f>VLOOKUP($C190,[1]Peak_Forward!$A$6:$Q$128,'price-old'!I$2,FALSE)</f>
        <v>38</v>
      </c>
      <c r="J190" s="17">
        <f>VLOOKUP($C190,[1]Peak_Forward!$A$6:$Q$128,'price-old'!J$2,FALSE)</f>
        <v>29.2</v>
      </c>
      <c r="K190" s="17">
        <f>VLOOKUP($C190,[1]Peak_Forward!$A$6:$Q$128,'price-old'!K$2,FALSE)</f>
        <v>34.549999999999997</v>
      </c>
      <c r="L190" s="17">
        <f>VLOOKUP($C190,[1]Peak_Forward!$A$6:$Q$128,'price-old'!L$2,FALSE)</f>
        <v>32.75</v>
      </c>
      <c r="M190" s="17">
        <f>VLOOKUP($C190,[1]Peak_Forward!$A$6:$Q$128,'price-old'!M$2,FALSE)</f>
        <v>34.549999999999997</v>
      </c>
      <c r="N190" s="17">
        <f>VLOOKUP($C190,[1]Peak_Forward!$A$6:$Q$128,'price-old'!N$2,FALSE)</f>
        <v>41.5</v>
      </c>
      <c r="O190" s="17">
        <f>VLOOKUP($C190,[1]Peak_Forward!$A$6:$Q$128,'price-old'!O$2,FALSE)</f>
        <v>30.65</v>
      </c>
      <c r="P190" s="17">
        <f>VLOOKUP($C190,[1]Peak_Forward!$A$6:$Q$128,'price-old'!P$2,FALSE)</f>
        <v>30.5</v>
      </c>
      <c r="Q190" s="17">
        <f>VLOOKUP($C190,[1]Peak_Forward!$A$6:$Q$128,'price-old'!Q$2,FALSE)</f>
        <v>34.549999999999997</v>
      </c>
      <c r="R190" s="6">
        <f>VLOOKUP($C190,[1]Peak_Forward!$A$6:$Q$128,'price-old'!R$2,FALSE)</f>
        <v>28.45</v>
      </c>
      <c r="S190" s="6">
        <f>VLOOKUP($C190,[1]Peak_Forward!$A$6:$Q$128,'price-old'!S$2,FALSE)</f>
        <v>26.9</v>
      </c>
    </row>
    <row r="191" spans="3:19" x14ac:dyDescent="0.2">
      <c r="C191" s="1">
        <f>'Filter-old'!C66</f>
        <v>38808</v>
      </c>
      <c r="E191" s="17">
        <f>VLOOKUP($C191,[1]Peak_Forward!$A$6:$Q$128,'price-old'!E$2,FALSE)</f>
        <v>29.75</v>
      </c>
      <c r="F191" s="17">
        <f>VLOOKUP($C191,[1]Peak_Forward!$A$6:$Q$128,'price-old'!F$2,FALSE)</f>
        <v>29.75</v>
      </c>
      <c r="G191" s="17">
        <f>VLOOKUP($C191,[1]Peak_Forward!$A$6:$Q$128,'price-old'!G$2,FALSE)</f>
        <v>27.9</v>
      </c>
      <c r="H191" s="17">
        <f>VLOOKUP($C191,[1]Peak_Forward!$A$6:$Q$128,'price-old'!H$2,FALSE)</f>
        <v>31.75</v>
      </c>
      <c r="I191" s="17">
        <f>VLOOKUP($C191,[1]Peak_Forward!$A$6:$Q$128,'price-old'!I$2,FALSE)</f>
        <v>38</v>
      </c>
      <c r="J191" s="17">
        <f>VLOOKUP($C191,[1]Peak_Forward!$A$6:$Q$128,'price-old'!J$2,FALSE)</f>
        <v>29.15</v>
      </c>
      <c r="K191" s="17">
        <f>VLOOKUP($C191,[1]Peak_Forward!$A$6:$Q$128,'price-old'!K$2,FALSE)</f>
        <v>34.799999999999997</v>
      </c>
      <c r="L191" s="17">
        <f>VLOOKUP($C191,[1]Peak_Forward!$A$6:$Q$128,'price-old'!L$2,FALSE)</f>
        <v>32.75</v>
      </c>
      <c r="M191" s="17">
        <f>VLOOKUP($C191,[1]Peak_Forward!$A$6:$Q$128,'price-old'!M$2,FALSE)</f>
        <v>34.799999999999997</v>
      </c>
      <c r="N191" s="17">
        <f>VLOOKUP($C191,[1]Peak_Forward!$A$6:$Q$128,'price-old'!N$2,FALSE)</f>
        <v>41.5</v>
      </c>
      <c r="O191" s="17">
        <f>VLOOKUP($C191,[1]Peak_Forward!$A$6:$Q$128,'price-old'!O$2,FALSE)</f>
        <v>30.15</v>
      </c>
      <c r="P191" s="17">
        <f>VLOOKUP($C191,[1]Peak_Forward!$A$6:$Q$128,'price-old'!P$2,FALSE)</f>
        <v>30.5</v>
      </c>
      <c r="Q191" s="17">
        <f>VLOOKUP($C191,[1]Peak_Forward!$A$6:$Q$128,'price-old'!Q$2,FALSE)</f>
        <v>34.799999999999997</v>
      </c>
      <c r="R191" s="6">
        <f>VLOOKUP($C191,[1]Peak_Forward!$A$6:$Q$128,'price-old'!R$2,FALSE)</f>
        <v>28.4</v>
      </c>
      <c r="S191" s="6">
        <f>VLOOKUP($C191,[1]Peak_Forward!$A$6:$Q$128,'price-old'!S$2,FALSE)</f>
        <v>26.85</v>
      </c>
    </row>
    <row r="192" spans="3:19" x14ac:dyDescent="0.2">
      <c r="C192" s="1">
        <f>'Filter-old'!C67</f>
        <v>38838</v>
      </c>
      <c r="E192" s="17">
        <f>VLOOKUP($C192,[1]Peak_Forward!$A$6:$Q$128,'price-old'!E$2,FALSE)</f>
        <v>31.5</v>
      </c>
      <c r="F192" s="17">
        <f>VLOOKUP($C192,[1]Peak_Forward!$A$6:$Q$128,'price-old'!F$2,FALSE)</f>
        <v>31.5</v>
      </c>
      <c r="G192" s="17">
        <f>VLOOKUP($C192,[1]Peak_Forward!$A$6:$Q$128,'price-old'!G$2,FALSE)</f>
        <v>28.765000000000001</v>
      </c>
      <c r="H192" s="17">
        <f>VLOOKUP($C192,[1]Peak_Forward!$A$6:$Q$128,'price-old'!H$2,FALSE)</f>
        <v>33.5</v>
      </c>
      <c r="I192" s="17">
        <f>VLOOKUP($C192,[1]Peak_Forward!$A$6:$Q$128,'price-old'!I$2,FALSE)</f>
        <v>39.5</v>
      </c>
      <c r="J192" s="17">
        <f>VLOOKUP($C192,[1]Peak_Forward!$A$6:$Q$128,'price-old'!J$2,FALSE)</f>
        <v>30.265000000000001</v>
      </c>
      <c r="K192" s="17">
        <f>VLOOKUP($C192,[1]Peak_Forward!$A$6:$Q$128,'price-old'!K$2,FALSE)</f>
        <v>34.799999999999997</v>
      </c>
      <c r="L192" s="17">
        <f>VLOOKUP($C192,[1]Peak_Forward!$A$6:$Q$128,'price-old'!L$2,FALSE)</f>
        <v>36.5</v>
      </c>
      <c r="M192" s="17">
        <f>VLOOKUP($C192,[1]Peak_Forward!$A$6:$Q$128,'price-old'!M$2,FALSE)</f>
        <v>34.799999999999997</v>
      </c>
      <c r="N192" s="17">
        <f>VLOOKUP($C192,[1]Peak_Forward!$A$6:$Q$128,'price-old'!N$2,FALSE)</f>
        <v>46</v>
      </c>
      <c r="O192" s="17">
        <f>VLOOKUP($C192,[1]Peak_Forward!$A$6:$Q$128,'price-old'!O$2,FALSE)</f>
        <v>25.815000000000001</v>
      </c>
      <c r="P192" s="17">
        <f>VLOOKUP($C192,[1]Peak_Forward!$A$6:$Q$128,'price-old'!P$2,FALSE)</f>
        <v>31.25</v>
      </c>
      <c r="Q192" s="17">
        <f>VLOOKUP($C192,[1]Peak_Forward!$A$6:$Q$128,'price-old'!Q$2,FALSE)</f>
        <v>34.799999999999997</v>
      </c>
      <c r="R192" s="6">
        <f>VLOOKUP($C192,[1]Peak_Forward!$A$6:$Q$128,'price-old'!R$2,FALSE)</f>
        <v>29.265000000000001</v>
      </c>
      <c r="S192" s="6">
        <f>VLOOKUP($C192,[1]Peak_Forward!$A$6:$Q$128,'price-old'!S$2,FALSE)</f>
        <v>27.765000000000001</v>
      </c>
    </row>
    <row r="193" spans="3:19" x14ac:dyDescent="0.2">
      <c r="C193" s="1">
        <f>'Filter-old'!C68</f>
        <v>38869</v>
      </c>
      <c r="E193" s="17">
        <f>VLOOKUP($C193,[1]Peak_Forward!$A$6:$Q$128,'price-old'!E$2,FALSE)</f>
        <v>41.75</v>
      </c>
      <c r="F193" s="17">
        <f>VLOOKUP($C193,[1]Peak_Forward!$A$6:$Q$128,'price-old'!F$2,FALSE)</f>
        <v>41.75</v>
      </c>
      <c r="G193" s="17">
        <f>VLOOKUP($C193,[1]Peak_Forward!$A$6:$Q$128,'price-old'!G$2,FALSE)</f>
        <v>34.93</v>
      </c>
      <c r="H193" s="17">
        <f>VLOOKUP($C193,[1]Peak_Forward!$A$6:$Q$128,'price-old'!H$2,FALSE)</f>
        <v>45.75</v>
      </c>
      <c r="I193" s="17">
        <f>VLOOKUP($C193,[1]Peak_Forward!$A$6:$Q$128,'price-old'!I$2,FALSE)</f>
        <v>48</v>
      </c>
      <c r="J193" s="17">
        <f>VLOOKUP($C193,[1]Peak_Forward!$A$6:$Q$128,'price-old'!J$2,FALSE)</f>
        <v>36.93</v>
      </c>
      <c r="K193" s="17">
        <f>VLOOKUP($C193,[1]Peak_Forward!$A$6:$Q$128,'price-old'!K$2,FALSE)</f>
        <v>39.549999999999997</v>
      </c>
      <c r="L193" s="17">
        <f>VLOOKUP($C193,[1]Peak_Forward!$A$6:$Q$128,'price-old'!L$2,FALSE)</f>
        <v>52.25</v>
      </c>
      <c r="M193" s="17">
        <f>VLOOKUP($C193,[1]Peak_Forward!$A$6:$Q$128,'price-old'!M$2,FALSE)</f>
        <v>39.549999999999997</v>
      </c>
      <c r="N193" s="17">
        <f>VLOOKUP($C193,[1]Peak_Forward!$A$6:$Q$128,'price-old'!N$2,FALSE)</f>
        <v>57</v>
      </c>
      <c r="O193" s="17">
        <f>VLOOKUP($C193,[1]Peak_Forward!$A$6:$Q$128,'price-old'!O$2,FALSE)</f>
        <v>31.43</v>
      </c>
      <c r="P193" s="17">
        <f>VLOOKUP($C193,[1]Peak_Forward!$A$6:$Q$128,'price-old'!P$2,FALSE)</f>
        <v>41.5</v>
      </c>
      <c r="Q193" s="17">
        <f>VLOOKUP($C193,[1]Peak_Forward!$A$6:$Q$128,'price-old'!Q$2,FALSE)</f>
        <v>39.549999999999997</v>
      </c>
      <c r="R193" s="6">
        <f>VLOOKUP($C193,[1]Peak_Forward!$A$6:$Q$128,'price-old'!R$2,FALSE)</f>
        <v>35.43</v>
      </c>
      <c r="S193" s="6">
        <f>VLOOKUP($C193,[1]Peak_Forward!$A$6:$Q$128,'price-old'!S$2,FALSE)</f>
        <v>33.78</v>
      </c>
    </row>
    <row r="194" spans="3:19" x14ac:dyDescent="0.2">
      <c r="C194" s="1">
        <f>'Filter-old'!C69</f>
        <v>38899</v>
      </c>
      <c r="E194" s="17">
        <f>VLOOKUP($C194,[1]Peak_Forward!$A$6:$Q$128,'price-old'!E$2,FALSE)</f>
        <v>50.5</v>
      </c>
      <c r="F194" s="17">
        <f>VLOOKUP($C194,[1]Peak_Forward!$A$6:$Q$128,'price-old'!F$2,FALSE)</f>
        <v>50.5</v>
      </c>
      <c r="G194" s="17">
        <f>VLOOKUP($C194,[1]Peak_Forward!$A$6:$Q$128,'price-old'!G$2,FALSE)</f>
        <v>48.045000000000002</v>
      </c>
      <c r="H194" s="17">
        <f>VLOOKUP($C194,[1]Peak_Forward!$A$6:$Q$128,'price-old'!H$2,FALSE)</f>
        <v>54.5</v>
      </c>
      <c r="I194" s="17">
        <f>VLOOKUP($C194,[1]Peak_Forward!$A$6:$Q$128,'price-old'!I$2,FALSE)</f>
        <v>69</v>
      </c>
      <c r="J194" s="17">
        <f>VLOOKUP($C194,[1]Peak_Forward!$A$6:$Q$128,'price-old'!J$2,FALSE)</f>
        <v>51.045000000000002</v>
      </c>
      <c r="K194" s="17">
        <f>VLOOKUP($C194,[1]Peak_Forward!$A$6:$Q$128,'price-old'!K$2,FALSE)</f>
        <v>46.8</v>
      </c>
      <c r="L194" s="17">
        <f>VLOOKUP($C194,[1]Peak_Forward!$A$6:$Q$128,'price-old'!L$2,FALSE)</f>
        <v>67</v>
      </c>
      <c r="M194" s="17">
        <f>VLOOKUP($C194,[1]Peak_Forward!$A$6:$Q$128,'price-old'!M$2,FALSE)</f>
        <v>46.8</v>
      </c>
      <c r="N194" s="17">
        <f>VLOOKUP($C194,[1]Peak_Forward!$A$6:$Q$128,'price-old'!N$2,FALSE)</f>
        <v>78.5</v>
      </c>
      <c r="O194" s="17">
        <f>VLOOKUP($C194,[1]Peak_Forward!$A$6:$Q$128,'price-old'!O$2,FALSE)</f>
        <v>38.945</v>
      </c>
      <c r="P194" s="17">
        <f>VLOOKUP($C194,[1]Peak_Forward!$A$6:$Q$128,'price-old'!P$2,FALSE)</f>
        <v>52.5</v>
      </c>
      <c r="Q194" s="17">
        <f>VLOOKUP($C194,[1]Peak_Forward!$A$6:$Q$128,'price-old'!Q$2,FALSE)</f>
        <v>46.8</v>
      </c>
      <c r="R194" s="6">
        <f>VLOOKUP($C194,[1]Peak_Forward!$A$6:$Q$128,'price-old'!R$2,FALSE)</f>
        <v>48.545000000000002</v>
      </c>
      <c r="S194" s="6">
        <f>VLOOKUP($C194,[1]Peak_Forward!$A$6:$Q$128,'price-old'!S$2,FALSE)</f>
        <v>46.494999999999997</v>
      </c>
    </row>
    <row r="195" spans="3:19" x14ac:dyDescent="0.2">
      <c r="C195" s="1">
        <f>'Filter-old'!C70</f>
        <v>38930</v>
      </c>
      <c r="E195" s="17">
        <f>VLOOKUP($C195,[1]Peak_Forward!$A$6:$Q$128,'price-old'!E$2,FALSE)</f>
        <v>50.5</v>
      </c>
      <c r="F195" s="17">
        <f>VLOOKUP($C195,[1]Peak_Forward!$A$6:$Q$128,'price-old'!F$2,FALSE)</f>
        <v>50.5</v>
      </c>
      <c r="G195" s="17">
        <f>VLOOKUP($C195,[1]Peak_Forward!$A$6:$Q$128,'price-old'!G$2,FALSE)</f>
        <v>47.875</v>
      </c>
      <c r="H195" s="17">
        <f>VLOOKUP($C195,[1]Peak_Forward!$A$6:$Q$128,'price-old'!H$2,FALSE)</f>
        <v>54.5</v>
      </c>
      <c r="I195" s="17">
        <f>VLOOKUP($C195,[1]Peak_Forward!$A$6:$Q$128,'price-old'!I$2,FALSE)</f>
        <v>69</v>
      </c>
      <c r="J195" s="17">
        <f>VLOOKUP($C195,[1]Peak_Forward!$A$6:$Q$128,'price-old'!J$2,FALSE)</f>
        <v>50.875</v>
      </c>
      <c r="K195" s="17">
        <f>VLOOKUP($C195,[1]Peak_Forward!$A$6:$Q$128,'price-old'!K$2,FALSE)</f>
        <v>46.8</v>
      </c>
      <c r="L195" s="17">
        <f>VLOOKUP($C195,[1]Peak_Forward!$A$6:$Q$128,'price-old'!L$2,FALSE)</f>
        <v>67</v>
      </c>
      <c r="M195" s="17">
        <f>VLOOKUP($C195,[1]Peak_Forward!$A$6:$Q$128,'price-old'!M$2,FALSE)</f>
        <v>46.8</v>
      </c>
      <c r="N195" s="17">
        <f>VLOOKUP($C195,[1]Peak_Forward!$A$6:$Q$128,'price-old'!N$2,FALSE)</f>
        <v>78.5</v>
      </c>
      <c r="O195" s="17">
        <f>VLOOKUP($C195,[1]Peak_Forward!$A$6:$Q$128,'price-old'!O$2,FALSE)</f>
        <v>38.774999999999999</v>
      </c>
      <c r="P195" s="17">
        <f>VLOOKUP($C195,[1]Peak_Forward!$A$6:$Q$128,'price-old'!P$2,FALSE)</f>
        <v>52.5</v>
      </c>
      <c r="Q195" s="17">
        <f>VLOOKUP($C195,[1]Peak_Forward!$A$6:$Q$128,'price-old'!Q$2,FALSE)</f>
        <v>46.8</v>
      </c>
      <c r="R195" s="6">
        <f>VLOOKUP($C195,[1]Peak_Forward!$A$6:$Q$128,'price-old'!R$2,FALSE)</f>
        <v>48.375</v>
      </c>
      <c r="S195" s="6">
        <f>VLOOKUP($C195,[1]Peak_Forward!$A$6:$Q$128,'price-old'!S$2,FALSE)</f>
        <v>46.325000000000003</v>
      </c>
    </row>
    <row r="196" spans="3:19" x14ac:dyDescent="0.2">
      <c r="C196" s="1">
        <f>'Filter-old'!C71</f>
        <v>38961</v>
      </c>
      <c r="E196" s="17">
        <f>VLOOKUP($C196,[1]Peak_Forward!$A$6:$Q$128,'price-old'!E$2,FALSE)</f>
        <v>29.5</v>
      </c>
      <c r="F196" s="17">
        <f>VLOOKUP($C196,[1]Peak_Forward!$A$6:$Q$128,'price-old'!F$2,FALSE)</f>
        <v>29.5</v>
      </c>
      <c r="G196" s="17">
        <f>VLOOKUP($C196,[1]Peak_Forward!$A$6:$Q$128,'price-old'!G$2,FALSE)</f>
        <v>27.28</v>
      </c>
      <c r="H196" s="17">
        <f>VLOOKUP($C196,[1]Peak_Forward!$A$6:$Q$128,'price-old'!H$2,FALSE)</f>
        <v>31.5</v>
      </c>
      <c r="I196" s="17">
        <f>VLOOKUP($C196,[1]Peak_Forward!$A$6:$Q$128,'price-old'!I$2,FALSE)</f>
        <v>38</v>
      </c>
      <c r="J196" s="17">
        <f>VLOOKUP($C196,[1]Peak_Forward!$A$6:$Q$128,'price-old'!J$2,FALSE)</f>
        <v>29.28</v>
      </c>
      <c r="K196" s="17">
        <f>VLOOKUP($C196,[1]Peak_Forward!$A$6:$Q$128,'price-old'!K$2,FALSE)</f>
        <v>33.799999999999997</v>
      </c>
      <c r="L196" s="17">
        <f>VLOOKUP($C196,[1]Peak_Forward!$A$6:$Q$128,'price-old'!L$2,FALSE)</f>
        <v>32.5</v>
      </c>
      <c r="M196" s="17">
        <f>VLOOKUP($C196,[1]Peak_Forward!$A$6:$Q$128,'price-old'!M$2,FALSE)</f>
        <v>33.799999999999997</v>
      </c>
      <c r="N196" s="17">
        <f>VLOOKUP($C196,[1]Peak_Forward!$A$6:$Q$128,'price-old'!N$2,FALSE)</f>
        <v>41.5</v>
      </c>
      <c r="O196" s="17">
        <f>VLOOKUP($C196,[1]Peak_Forward!$A$6:$Q$128,'price-old'!O$2,FALSE)</f>
        <v>23.63</v>
      </c>
      <c r="P196" s="17">
        <f>VLOOKUP($C196,[1]Peak_Forward!$A$6:$Q$128,'price-old'!P$2,FALSE)</f>
        <v>30.25</v>
      </c>
      <c r="Q196" s="17">
        <f>VLOOKUP($C196,[1]Peak_Forward!$A$6:$Q$128,'price-old'!Q$2,FALSE)</f>
        <v>33.799999999999997</v>
      </c>
      <c r="R196" s="6">
        <f>VLOOKUP($C196,[1]Peak_Forward!$A$6:$Q$128,'price-old'!R$2,FALSE)</f>
        <v>27.78</v>
      </c>
      <c r="S196" s="6">
        <f>VLOOKUP($C196,[1]Peak_Forward!$A$6:$Q$128,'price-old'!S$2,FALSE)</f>
        <v>26.53</v>
      </c>
    </row>
    <row r="197" spans="3:19" x14ac:dyDescent="0.2">
      <c r="C197" s="1">
        <f>'Filter-old'!C72</f>
        <v>38991</v>
      </c>
      <c r="E197" s="17">
        <f>VLOOKUP($C197,[1]Peak_Forward!$A$6:$Q$128,'price-old'!E$2,FALSE)</f>
        <v>29.5</v>
      </c>
      <c r="F197" s="17">
        <f>VLOOKUP($C197,[1]Peak_Forward!$A$6:$Q$128,'price-old'!F$2,FALSE)</f>
        <v>29.5</v>
      </c>
      <c r="G197" s="17">
        <f>VLOOKUP($C197,[1]Peak_Forward!$A$6:$Q$128,'price-old'!G$2,FALSE)</f>
        <v>27.39</v>
      </c>
      <c r="H197" s="17">
        <f>VLOOKUP($C197,[1]Peak_Forward!$A$6:$Q$128,'price-old'!H$2,FALSE)</f>
        <v>31.5</v>
      </c>
      <c r="I197" s="17">
        <f>VLOOKUP($C197,[1]Peak_Forward!$A$6:$Q$128,'price-old'!I$2,FALSE)</f>
        <v>38</v>
      </c>
      <c r="J197" s="17">
        <f>VLOOKUP($C197,[1]Peak_Forward!$A$6:$Q$128,'price-old'!J$2,FALSE)</f>
        <v>27.89</v>
      </c>
      <c r="K197" s="17">
        <f>VLOOKUP($C197,[1]Peak_Forward!$A$6:$Q$128,'price-old'!K$2,FALSE)</f>
        <v>33.549999999999997</v>
      </c>
      <c r="L197" s="17">
        <f>VLOOKUP($C197,[1]Peak_Forward!$A$6:$Q$128,'price-old'!L$2,FALSE)</f>
        <v>32.5</v>
      </c>
      <c r="M197" s="17">
        <f>VLOOKUP($C197,[1]Peak_Forward!$A$6:$Q$128,'price-old'!M$2,FALSE)</f>
        <v>33.549999999999997</v>
      </c>
      <c r="N197" s="17">
        <f>VLOOKUP($C197,[1]Peak_Forward!$A$6:$Q$128,'price-old'!N$2,FALSE)</f>
        <v>41.5</v>
      </c>
      <c r="O197" s="17">
        <f>VLOOKUP($C197,[1]Peak_Forward!$A$6:$Q$128,'price-old'!O$2,FALSE)</f>
        <v>29.08</v>
      </c>
      <c r="P197" s="17">
        <f>VLOOKUP($C197,[1]Peak_Forward!$A$6:$Q$128,'price-old'!P$2,FALSE)</f>
        <v>30.25</v>
      </c>
      <c r="Q197" s="17">
        <f>VLOOKUP($C197,[1]Peak_Forward!$A$6:$Q$128,'price-old'!Q$2,FALSE)</f>
        <v>33.549999999999997</v>
      </c>
      <c r="R197" s="6">
        <f>VLOOKUP($C197,[1]Peak_Forward!$A$6:$Q$128,'price-old'!R$2,FALSE)</f>
        <v>27.89</v>
      </c>
      <c r="S197" s="6">
        <f>VLOOKUP($C197,[1]Peak_Forward!$A$6:$Q$128,'price-old'!S$2,FALSE)</f>
        <v>26.64</v>
      </c>
    </row>
    <row r="198" spans="3:19" x14ac:dyDescent="0.2">
      <c r="C198" s="1">
        <f>'Filter-old'!C73</f>
        <v>39022</v>
      </c>
      <c r="E198" s="17">
        <f>VLOOKUP($C198,[1]Peak_Forward!$A$6:$Q$128,'price-old'!E$2,FALSE)</f>
        <v>29.5</v>
      </c>
      <c r="F198" s="17">
        <f>VLOOKUP($C198,[1]Peak_Forward!$A$6:$Q$128,'price-old'!F$2,FALSE)</f>
        <v>29.5</v>
      </c>
      <c r="G198" s="17">
        <f>VLOOKUP($C198,[1]Peak_Forward!$A$6:$Q$128,'price-old'!G$2,FALSE)</f>
        <v>27.24</v>
      </c>
      <c r="H198" s="17">
        <f>VLOOKUP($C198,[1]Peak_Forward!$A$6:$Q$128,'price-old'!H$2,FALSE)</f>
        <v>31.5</v>
      </c>
      <c r="I198" s="17">
        <f>VLOOKUP($C198,[1]Peak_Forward!$A$6:$Q$128,'price-old'!I$2,FALSE)</f>
        <v>38</v>
      </c>
      <c r="J198" s="17">
        <f>VLOOKUP($C198,[1]Peak_Forward!$A$6:$Q$128,'price-old'!J$2,FALSE)</f>
        <v>27.74</v>
      </c>
      <c r="K198" s="17">
        <f>VLOOKUP($C198,[1]Peak_Forward!$A$6:$Q$128,'price-old'!K$2,FALSE)</f>
        <v>33.549999999999997</v>
      </c>
      <c r="L198" s="17">
        <f>VLOOKUP($C198,[1]Peak_Forward!$A$6:$Q$128,'price-old'!L$2,FALSE)</f>
        <v>32.5</v>
      </c>
      <c r="M198" s="17">
        <f>VLOOKUP($C198,[1]Peak_Forward!$A$6:$Q$128,'price-old'!M$2,FALSE)</f>
        <v>33.549999999999997</v>
      </c>
      <c r="N198" s="17">
        <f>VLOOKUP($C198,[1]Peak_Forward!$A$6:$Q$128,'price-old'!N$2,FALSE)</f>
        <v>41.5</v>
      </c>
      <c r="O198" s="17">
        <f>VLOOKUP($C198,[1]Peak_Forward!$A$6:$Q$128,'price-old'!O$2,FALSE)</f>
        <v>32.33</v>
      </c>
      <c r="P198" s="17">
        <f>VLOOKUP($C198,[1]Peak_Forward!$A$6:$Q$128,'price-old'!P$2,FALSE)</f>
        <v>30.25</v>
      </c>
      <c r="Q198" s="17">
        <f>VLOOKUP($C198,[1]Peak_Forward!$A$6:$Q$128,'price-old'!Q$2,FALSE)</f>
        <v>33.549999999999997</v>
      </c>
      <c r="R198" s="6">
        <f>VLOOKUP($C198,[1]Peak_Forward!$A$6:$Q$128,'price-old'!R$2,FALSE)</f>
        <v>27.74</v>
      </c>
      <c r="S198" s="6">
        <f>VLOOKUP($C198,[1]Peak_Forward!$A$6:$Q$128,'price-old'!S$2,FALSE)</f>
        <v>26.49</v>
      </c>
    </row>
    <row r="199" spans="3:19" x14ac:dyDescent="0.2">
      <c r="C199" s="1">
        <f>'Filter-old'!C74</f>
        <v>39052</v>
      </c>
      <c r="E199" s="17">
        <f>VLOOKUP($C199,[1]Peak_Forward!$A$6:$Q$128,'price-old'!E$2,FALSE)</f>
        <v>29.5</v>
      </c>
      <c r="F199" s="17">
        <f>VLOOKUP($C199,[1]Peak_Forward!$A$6:$Q$128,'price-old'!F$2,FALSE)</f>
        <v>29.5</v>
      </c>
      <c r="G199" s="17">
        <f>VLOOKUP($C199,[1]Peak_Forward!$A$6:$Q$128,'price-old'!G$2,FALSE)</f>
        <v>26.56</v>
      </c>
      <c r="H199" s="17">
        <f>VLOOKUP($C199,[1]Peak_Forward!$A$6:$Q$128,'price-old'!H$2,FALSE)</f>
        <v>31.5</v>
      </c>
      <c r="I199" s="17">
        <f>VLOOKUP($C199,[1]Peak_Forward!$A$6:$Q$128,'price-old'!I$2,FALSE)</f>
        <v>38</v>
      </c>
      <c r="J199" s="17">
        <f>VLOOKUP($C199,[1]Peak_Forward!$A$6:$Q$128,'price-old'!J$2,FALSE)</f>
        <v>27.06</v>
      </c>
      <c r="K199" s="17">
        <f>VLOOKUP($C199,[1]Peak_Forward!$A$6:$Q$128,'price-old'!K$2,FALSE)</f>
        <v>33.549999999999997</v>
      </c>
      <c r="L199" s="17">
        <f>VLOOKUP($C199,[1]Peak_Forward!$A$6:$Q$128,'price-old'!L$2,FALSE)</f>
        <v>32.5</v>
      </c>
      <c r="M199" s="17">
        <f>VLOOKUP($C199,[1]Peak_Forward!$A$6:$Q$128,'price-old'!M$2,FALSE)</f>
        <v>33.549999999999997</v>
      </c>
      <c r="N199" s="17">
        <f>VLOOKUP($C199,[1]Peak_Forward!$A$6:$Q$128,'price-old'!N$2,FALSE)</f>
        <v>41.5</v>
      </c>
      <c r="O199" s="17">
        <f>VLOOKUP($C199,[1]Peak_Forward!$A$6:$Q$128,'price-old'!O$2,FALSE)</f>
        <v>32.049999999999997</v>
      </c>
      <c r="P199" s="17">
        <f>VLOOKUP($C199,[1]Peak_Forward!$A$6:$Q$128,'price-old'!P$2,FALSE)</f>
        <v>30.25</v>
      </c>
      <c r="Q199" s="17">
        <f>VLOOKUP($C199,[1]Peak_Forward!$A$6:$Q$128,'price-old'!Q$2,FALSE)</f>
        <v>33.549999999999997</v>
      </c>
      <c r="R199" s="6">
        <f>VLOOKUP($C199,[1]Peak_Forward!$A$6:$Q$128,'price-old'!R$2,FALSE)</f>
        <v>27.06</v>
      </c>
      <c r="S199" s="6">
        <f>VLOOKUP($C199,[1]Peak_Forward!$A$6:$Q$128,'price-old'!S$2,FALSE)</f>
        <v>25.81</v>
      </c>
    </row>
    <row r="200" spans="3:19" x14ac:dyDescent="0.2">
      <c r="C200" s="1">
        <f>'Filter-old'!C75</f>
        <v>39083</v>
      </c>
      <c r="E200" s="17">
        <f>VLOOKUP($C200,[1]Peak_Forward!$A$6:$Q$128,'price-old'!E$2,FALSE)</f>
        <v>32.25</v>
      </c>
      <c r="F200" s="17">
        <f>VLOOKUP($C200,[1]Peak_Forward!$A$6:$Q$128,'price-old'!F$2,FALSE)</f>
        <v>32.25</v>
      </c>
      <c r="G200" s="17">
        <f>VLOOKUP($C200,[1]Peak_Forward!$A$6:$Q$128,'price-old'!G$2,FALSE)</f>
        <v>29.8</v>
      </c>
      <c r="H200" s="17">
        <f>VLOOKUP($C200,[1]Peak_Forward!$A$6:$Q$128,'price-old'!H$2,FALSE)</f>
        <v>34.25</v>
      </c>
      <c r="I200" s="17">
        <f>VLOOKUP($C200,[1]Peak_Forward!$A$6:$Q$128,'price-old'!I$2,FALSE)</f>
        <v>43</v>
      </c>
      <c r="J200" s="17">
        <f>VLOOKUP($C200,[1]Peak_Forward!$A$6:$Q$128,'price-old'!J$2,FALSE)</f>
        <v>30.8</v>
      </c>
      <c r="K200" s="17">
        <f>VLOOKUP($C200,[1]Peak_Forward!$A$6:$Q$128,'price-old'!K$2,FALSE)</f>
        <v>42.75</v>
      </c>
      <c r="L200" s="17">
        <f>VLOOKUP($C200,[1]Peak_Forward!$A$6:$Q$128,'price-old'!L$2,FALSE)</f>
        <v>36.75</v>
      </c>
      <c r="M200" s="17">
        <f>VLOOKUP($C200,[1]Peak_Forward!$A$6:$Q$128,'price-old'!M$2,FALSE)</f>
        <v>42.75</v>
      </c>
      <c r="N200" s="17">
        <f>VLOOKUP($C200,[1]Peak_Forward!$A$6:$Q$128,'price-old'!N$2,FALSE)</f>
        <v>48.5</v>
      </c>
      <c r="O200" s="17">
        <f>VLOOKUP($C200,[1]Peak_Forward!$A$6:$Q$128,'price-old'!O$2,FALSE)</f>
        <v>34.5</v>
      </c>
      <c r="P200" s="17">
        <f>VLOOKUP($C200,[1]Peak_Forward!$A$6:$Q$128,'price-old'!P$2,FALSE)</f>
        <v>33</v>
      </c>
      <c r="Q200" s="17">
        <f>VLOOKUP($C200,[1]Peak_Forward!$A$6:$Q$128,'price-old'!Q$2,FALSE)</f>
        <v>42.75</v>
      </c>
      <c r="R200" s="6">
        <f>VLOOKUP($C200,[1]Peak_Forward!$A$6:$Q$128,'price-old'!R$2,FALSE)</f>
        <v>30.3</v>
      </c>
      <c r="S200" s="6">
        <f>VLOOKUP($C200,[1]Peak_Forward!$A$6:$Q$128,'price-old'!S$2,FALSE)</f>
        <v>28.75</v>
      </c>
    </row>
    <row r="201" spans="3:19" x14ac:dyDescent="0.2">
      <c r="C201" s="1">
        <f>'Filter-old'!C76</f>
        <v>39114</v>
      </c>
      <c r="E201" s="17">
        <f>VLOOKUP($C201,[1]Peak_Forward!$A$6:$Q$128,'price-old'!E$2,FALSE)</f>
        <v>32.25</v>
      </c>
      <c r="F201" s="17">
        <f>VLOOKUP($C201,[1]Peak_Forward!$A$6:$Q$128,'price-old'!F$2,FALSE)</f>
        <v>32.25</v>
      </c>
      <c r="G201" s="17">
        <f>VLOOKUP($C201,[1]Peak_Forward!$A$6:$Q$128,'price-old'!G$2,FALSE)</f>
        <v>29.32</v>
      </c>
      <c r="H201" s="17">
        <f>VLOOKUP($C201,[1]Peak_Forward!$A$6:$Q$128,'price-old'!H$2,FALSE)</f>
        <v>34.25</v>
      </c>
      <c r="I201" s="17">
        <f>VLOOKUP($C201,[1]Peak_Forward!$A$6:$Q$128,'price-old'!I$2,FALSE)</f>
        <v>43</v>
      </c>
      <c r="J201" s="17">
        <f>VLOOKUP($C201,[1]Peak_Forward!$A$6:$Q$128,'price-old'!J$2,FALSE)</f>
        <v>30.32</v>
      </c>
      <c r="K201" s="17">
        <f>VLOOKUP($C201,[1]Peak_Forward!$A$6:$Q$128,'price-old'!K$2,FALSE)</f>
        <v>42.75</v>
      </c>
      <c r="L201" s="17">
        <f>VLOOKUP($C201,[1]Peak_Forward!$A$6:$Q$128,'price-old'!L$2,FALSE)</f>
        <v>36.75</v>
      </c>
      <c r="M201" s="17">
        <f>VLOOKUP($C201,[1]Peak_Forward!$A$6:$Q$128,'price-old'!M$2,FALSE)</f>
        <v>42.75</v>
      </c>
      <c r="N201" s="17">
        <f>VLOOKUP($C201,[1]Peak_Forward!$A$6:$Q$128,'price-old'!N$2,FALSE)</f>
        <v>48.5</v>
      </c>
      <c r="O201" s="17">
        <f>VLOOKUP($C201,[1]Peak_Forward!$A$6:$Q$128,'price-old'!O$2,FALSE)</f>
        <v>35.020000000000003</v>
      </c>
      <c r="P201" s="17">
        <f>VLOOKUP($C201,[1]Peak_Forward!$A$6:$Q$128,'price-old'!P$2,FALSE)</f>
        <v>33</v>
      </c>
      <c r="Q201" s="17">
        <f>VLOOKUP($C201,[1]Peak_Forward!$A$6:$Q$128,'price-old'!Q$2,FALSE)</f>
        <v>42.75</v>
      </c>
      <c r="R201" s="6">
        <f>VLOOKUP($C201,[1]Peak_Forward!$A$6:$Q$128,'price-old'!R$2,FALSE)</f>
        <v>29.82</v>
      </c>
      <c r="S201" s="6">
        <f>VLOOKUP($C201,[1]Peak_Forward!$A$6:$Q$128,'price-old'!S$2,FALSE)</f>
        <v>28.27</v>
      </c>
    </row>
    <row r="202" spans="3:19" x14ac:dyDescent="0.2">
      <c r="C202" s="1">
        <f>'Filter-old'!C77</f>
        <v>39142</v>
      </c>
      <c r="E202" s="17">
        <f>VLOOKUP($C202,[1]Peak_Forward!$A$6:$Q$128,'price-old'!E$2,FALSE)</f>
        <v>29.5</v>
      </c>
      <c r="F202" s="17">
        <f>VLOOKUP($C202,[1]Peak_Forward!$A$6:$Q$128,'price-old'!F$2,FALSE)</f>
        <v>29.5</v>
      </c>
      <c r="G202" s="17">
        <f>VLOOKUP($C202,[1]Peak_Forward!$A$6:$Q$128,'price-old'!G$2,FALSE)</f>
        <v>28.34</v>
      </c>
      <c r="H202" s="17">
        <f>VLOOKUP($C202,[1]Peak_Forward!$A$6:$Q$128,'price-old'!H$2,FALSE)</f>
        <v>31.5</v>
      </c>
      <c r="I202" s="17">
        <f>VLOOKUP($C202,[1]Peak_Forward!$A$6:$Q$128,'price-old'!I$2,FALSE)</f>
        <v>38.5</v>
      </c>
      <c r="J202" s="17">
        <f>VLOOKUP($C202,[1]Peak_Forward!$A$6:$Q$128,'price-old'!J$2,FALSE)</f>
        <v>29.59</v>
      </c>
      <c r="K202" s="17">
        <f>VLOOKUP($C202,[1]Peak_Forward!$A$6:$Q$128,'price-old'!K$2,FALSE)</f>
        <v>34.75</v>
      </c>
      <c r="L202" s="17">
        <f>VLOOKUP($C202,[1]Peak_Forward!$A$6:$Q$128,'price-old'!L$2,FALSE)</f>
        <v>32.5</v>
      </c>
      <c r="M202" s="17">
        <f>VLOOKUP($C202,[1]Peak_Forward!$A$6:$Q$128,'price-old'!M$2,FALSE)</f>
        <v>34.75</v>
      </c>
      <c r="N202" s="17">
        <f>VLOOKUP($C202,[1]Peak_Forward!$A$6:$Q$128,'price-old'!N$2,FALSE)</f>
        <v>42.5</v>
      </c>
      <c r="O202" s="17">
        <f>VLOOKUP($C202,[1]Peak_Forward!$A$6:$Q$128,'price-old'!O$2,FALSE)</f>
        <v>32.29</v>
      </c>
      <c r="P202" s="17">
        <f>VLOOKUP($C202,[1]Peak_Forward!$A$6:$Q$128,'price-old'!P$2,FALSE)</f>
        <v>31</v>
      </c>
      <c r="Q202" s="17">
        <f>VLOOKUP($C202,[1]Peak_Forward!$A$6:$Q$128,'price-old'!Q$2,FALSE)</f>
        <v>34.75</v>
      </c>
      <c r="R202" s="6">
        <f>VLOOKUP($C202,[1]Peak_Forward!$A$6:$Q$128,'price-old'!R$2,FALSE)</f>
        <v>28.84</v>
      </c>
      <c r="S202" s="6">
        <f>VLOOKUP($C202,[1]Peak_Forward!$A$6:$Q$128,'price-old'!S$2,FALSE)</f>
        <v>27.29</v>
      </c>
    </row>
    <row r="203" spans="3:19" x14ac:dyDescent="0.2">
      <c r="C203" s="1">
        <f>'Filter-old'!C78</f>
        <v>39173</v>
      </c>
      <c r="E203" s="17">
        <f>VLOOKUP($C203,[1]Peak_Forward!$A$6:$Q$128,'price-old'!E$2,FALSE)</f>
        <v>29.5</v>
      </c>
      <c r="F203" s="17">
        <f>VLOOKUP($C203,[1]Peak_Forward!$A$6:$Q$128,'price-old'!F$2,FALSE)</f>
        <v>29.5</v>
      </c>
      <c r="G203" s="17">
        <f>VLOOKUP($C203,[1]Peak_Forward!$A$6:$Q$128,'price-old'!G$2,FALSE)</f>
        <v>28.14</v>
      </c>
      <c r="H203" s="17">
        <f>VLOOKUP($C203,[1]Peak_Forward!$A$6:$Q$128,'price-old'!H$2,FALSE)</f>
        <v>31.5</v>
      </c>
      <c r="I203" s="17">
        <f>VLOOKUP($C203,[1]Peak_Forward!$A$6:$Q$128,'price-old'!I$2,FALSE)</f>
        <v>38.5</v>
      </c>
      <c r="J203" s="17">
        <f>VLOOKUP($C203,[1]Peak_Forward!$A$6:$Q$128,'price-old'!J$2,FALSE)</f>
        <v>29.39</v>
      </c>
      <c r="K203" s="17">
        <f>VLOOKUP($C203,[1]Peak_Forward!$A$6:$Q$128,'price-old'!K$2,FALSE)</f>
        <v>35</v>
      </c>
      <c r="L203" s="17">
        <f>VLOOKUP($C203,[1]Peak_Forward!$A$6:$Q$128,'price-old'!L$2,FALSE)</f>
        <v>32.5</v>
      </c>
      <c r="M203" s="17">
        <f>VLOOKUP($C203,[1]Peak_Forward!$A$6:$Q$128,'price-old'!M$2,FALSE)</f>
        <v>35</v>
      </c>
      <c r="N203" s="17">
        <f>VLOOKUP($C203,[1]Peak_Forward!$A$6:$Q$128,'price-old'!N$2,FALSE)</f>
        <v>42.5</v>
      </c>
      <c r="O203" s="17">
        <f>VLOOKUP($C203,[1]Peak_Forward!$A$6:$Q$128,'price-old'!O$2,FALSE)</f>
        <v>31.64</v>
      </c>
      <c r="P203" s="17">
        <f>VLOOKUP($C203,[1]Peak_Forward!$A$6:$Q$128,'price-old'!P$2,FALSE)</f>
        <v>31</v>
      </c>
      <c r="Q203" s="17">
        <f>VLOOKUP($C203,[1]Peak_Forward!$A$6:$Q$128,'price-old'!Q$2,FALSE)</f>
        <v>35</v>
      </c>
      <c r="R203" s="6">
        <f>VLOOKUP($C203,[1]Peak_Forward!$A$6:$Q$128,'price-old'!R$2,FALSE)</f>
        <v>28.64</v>
      </c>
      <c r="S203" s="6">
        <f>VLOOKUP($C203,[1]Peak_Forward!$A$6:$Q$128,'price-old'!S$2,FALSE)</f>
        <v>27.09</v>
      </c>
    </row>
    <row r="204" spans="3:19" x14ac:dyDescent="0.2">
      <c r="C204" s="1">
        <f>'Filter-old'!C79</f>
        <v>39203</v>
      </c>
      <c r="E204" s="17">
        <f>VLOOKUP($C204,[1]Peak_Forward!$A$6:$Q$128,'price-old'!E$2,FALSE)</f>
        <v>31.75</v>
      </c>
      <c r="F204" s="17">
        <f>VLOOKUP($C204,[1]Peak_Forward!$A$6:$Q$128,'price-old'!F$2,FALSE)</f>
        <v>31.75</v>
      </c>
      <c r="G204" s="17">
        <f>VLOOKUP($C204,[1]Peak_Forward!$A$6:$Q$128,'price-old'!G$2,FALSE)</f>
        <v>29.92</v>
      </c>
      <c r="H204" s="17">
        <f>VLOOKUP($C204,[1]Peak_Forward!$A$6:$Q$128,'price-old'!H$2,FALSE)</f>
        <v>33.75</v>
      </c>
      <c r="I204" s="17">
        <f>VLOOKUP($C204,[1]Peak_Forward!$A$6:$Q$128,'price-old'!I$2,FALSE)</f>
        <v>40</v>
      </c>
      <c r="J204" s="17">
        <f>VLOOKUP($C204,[1]Peak_Forward!$A$6:$Q$128,'price-old'!J$2,FALSE)</f>
        <v>31.42</v>
      </c>
      <c r="K204" s="17">
        <f>VLOOKUP($C204,[1]Peak_Forward!$A$6:$Q$128,'price-old'!K$2,FALSE)</f>
        <v>35</v>
      </c>
      <c r="L204" s="17">
        <f>VLOOKUP($C204,[1]Peak_Forward!$A$6:$Q$128,'price-old'!L$2,FALSE)</f>
        <v>34.75</v>
      </c>
      <c r="M204" s="17">
        <f>VLOOKUP($C204,[1]Peak_Forward!$A$6:$Q$128,'price-old'!M$2,FALSE)</f>
        <v>35</v>
      </c>
      <c r="N204" s="17">
        <f>VLOOKUP($C204,[1]Peak_Forward!$A$6:$Q$128,'price-old'!N$2,FALSE)</f>
        <v>47.5</v>
      </c>
      <c r="O204" s="17">
        <f>VLOOKUP($C204,[1]Peak_Forward!$A$6:$Q$128,'price-old'!O$2,FALSE)</f>
        <v>28.22</v>
      </c>
      <c r="P204" s="17">
        <f>VLOOKUP($C204,[1]Peak_Forward!$A$6:$Q$128,'price-old'!P$2,FALSE)</f>
        <v>31.5</v>
      </c>
      <c r="Q204" s="17">
        <f>VLOOKUP($C204,[1]Peak_Forward!$A$6:$Q$128,'price-old'!Q$2,FALSE)</f>
        <v>35</v>
      </c>
      <c r="R204" s="6">
        <f>VLOOKUP($C204,[1]Peak_Forward!$A$6:$Q$128,'price-old'!R$2,FALSE)</f>
        <v>30.42</v>
      </c>
      <c r="S204" s="6">
        <f>VLOOKUP($C204,[1]Peak_Forward!$A$6:$Q$128,'price-old'!S$2,FALSE)</f>
        <v>28.92</v>
      </c>
    </row>
    <row r="205" spans="3:19" x14ac:dyDescent="0.2">
      <c r="C205" s="1">
        <f>'Filter-old'!C80</f>
        <v>39234</v>
      </c>
      <c r="E205" s="17">
        <f>VLOOKUP($C205,[1]Peak_Forward!$A$6:$Q$128,'price-old'!E$2,FALSE)</f>
        <v>42</v>
      </c>
      <c r="F205" s="17">
        <f>VLOOKUP($C205,[1]Peak_Forward!$A$6:$Q$128,'price-old'!F$2,FALSE)</f>
        <v>42</v>
      </c>
      <c r="G205" s="17">
        <f>VLOOKUP($C205,[1]Peak_Forward!$A$6:$Q$128,'price-old'!G$2,FALSE)</f>
        <v>35.17</v>
      </c>
      <c r="H205" s="17">
        <f>VLOOKUP($C205,[1]Peak_Forward!$A$6:$Q$128,'price-old'!H$2,FALSE)</f>
        <v>44</v>
      </c>
      <c r="I205" s="17">
        <f>VLOOKUP($C205,[1]Peak_Forward!$A$6:$Q$128,'price-old'!I$2,FALSE)</f>
        <v>48.5</v>
      </c>
      <c r="J205" s="17">
        <f>VLOOKUP($C205,[1]Peak_Forward!$A$6:$Q$128,'price-old'!J$2,FALSE)</f>
        <v>37.17</v>
      </c>
      <c r="K205" s="17">
        <f>VLOOKUP($C205,[1]Peak_Forward!$A$6:$Q$128,'price-old'!K$2,FALSE)</f>
        <v>39.75</v>
      </c>
      <c r="L205" s="17">
        <f>VLOOKUP($C205,[1]Peak_Forward!$A$6:$Q$128,'price-old'!L$2,FALSE)</f>
        <v>52.5</v>
      </c>
      <c r="M205" s="17">
        <f>VLOOKUP($C205,[1]Peak_Forward!$A$6:$Q$128,'price-old'!M$2,FALSE)</f>
        <v>39.75</v>
      </c>
      <c r="N205" s="17">
        <f>VLOOKUP($C205,[1]Peak_Forward!$A$6:$Q$128,'price-old'!N$2,FALSE)</f>
        <v>57.5</v>
      </c>
      <c r="O205" s="17">
        <f>VLOOKUP($C205,[1]Peak_Forward!$A$6:$Q$128,'price-old'!O$2,FALSE)</f>
        <v>32.42</v>
      </c>
      <c r="P205" s="17">
        <f>VLOOKUP($C205,[1]Peak_Forward!$A$6:$Q$128,'price-old'!P$2,FALSE)</f>
        <v>42</v>
      </c>
      <c r="Q205" s="17">
        <f>VLOOKUP($C205,[1]Peak_Forward!$A$6:$Q$128,'price-old'!Q$2,FALSE)</f>
        <v>39.75</v>
      </c>
      <c r="R205" s="6">
        <f>VLOOKUP($C205,[1]Peak_Forward!$A$6:$Q$128,'price-old'!R$2,FALSE)</f>
        <v>35.67</v>
      </c>
      <c r="S205" s="6">
        <f>VLOOKUP($C205,[1]Peak_Forward!$A$6:$Q$128,'price-old'!S$2,FALSE)</f>
        <v>34.020000000000003</v>
      </c>
    </row>
    <row r="206" spans="3:19" x14ac:dyDescent="0.2">
      <c r="C206" s="1">
        <f>'Filter-old'!C81</f>
        <v>39264</v>
      </c>
      <c r="E206" s="17">
        <f>VLOOKUP($C206,[1]Peak_Forward!$A$6:$Q$128,'price-old'!E$2,FALSE)</f>
        <v>50.75</v>
      </c>
      <c r="F206" s="17">
        <f>VLOOKUP($C206,[1]Peak_Forward!$A$6:$Q$128,'price-old'!F$2,FALSE)</f>
        <v>50.75</v>
      </c>
      <c r="G206" s="17">
        <f>VLOOKUP($C206,[1]Peak_Forward!$A$6:$Q$128,'price-old'!G$2,FALSE)</f>
        <v>47.064999999999998</v>
      </c>
      <c r="H206" s="17">
        <f>VLOOKUP($C206,[1]Peak_Forward!$A$6:$Q$128,'price-old'!H$2,FALSE)</f>
        <v>54.75</v>
      </c>
      <c r="I206" s="17">
        <f>VLOOKUP($C206,[1]Peak_Forward!$A$6:$Q$128,'price-old'!I$2,FALSE)</f>
        <v>70</v>
      </c>
      <c r="J206" s="17">
        <f>VLOOKUP($C206,[1]Peak_Forward!$A$6:$Q$128,'price-old'!J$2,FALSE)</f>
        <v>50.064999999999998</v>
      </c>
      <c r="K206" s="17">
        <f>VLOOKUP($C206,[1]Peak_Forward!$A$6:$Q$128,'price-old'!K$2,FALSE)</f>
        <v>47</v>
      </c>
      <c r="L206" s="17">
        <f>VLOOKUP($C206,[1]Peak_Forward!$A$6:$Q$128,'price-old'!L$2,FALSE)</f>
        <v>67.25</v>
      </c>
      <c r="M206" s="17">
        <f>VLOOKUP($C206,[1]Peak_Forward!$A$6:$Q$128,'price-old'!M$2,FALSE)</f>
        <v>47</v>
      </c>
      <c r="N206" s="17">
        <f>VLOOKUP($C206,[1]Peak_Forward!$A$6:$Q$128,'price-old'!N$2,FALSE)</f>
        <v>78.5</v>
      </c>
      <c r="O206" s="17">
        <f>VLOOKUP($C206,[1]Peak_Forward!$A$6:$Q$128,'price-old'!O$2,FALSE)</f>
        <v>36.715000000000003</v>
      </c>
      <c r="P206" s="17">
        <f>VLOOKUP($C206,[1]Peak_Forward!$A$6:$Q$128,'price-old'!P$2,FALSE)</f>
        <v>53</v>
      </c>
      <c r="Q206" s="17">
        <f>VLOOKUP($C206,[1]Peak_Forward!$A$6:$Q$128,'price-old'!Q$2,FALSE)</f>
        <v>47</v>
      </c>
      <c r="R206" s="6">
        <f>VLOOKUP($C206,[1]Peak_Forward!$A$6:$Q$128,'price-old'!R$2,FALSE)</f>
        <v>47.564999999999998</v>
      </c>
      <c r="S206" s="6">
        <f>VLOOKUP($C206,[1]Peak_Forward!$A$6:$Q$128,'price-old'!S$2,FALSE)</f>
        <v>45.515000000000001</v>
      </c>
    </row>
    <row r="207" spans="3:19" x14ac:dyDescent="0.2">
      <c r="C207" s="1">
        <f>'Filter-old'!C82</f>
        <v>39295</v>
      </c>
      <c r="E207" s="17">
        <f>VLOOKUP($C207,[1]Peak_Forward!$A$6:$Q$128,'price-old'!E$2,FALSE)</f>
        <v>50.75</v>
      </c>
      <c r="F207" s="17">
        <f>VLOOKUP($C207,[1]Peak_Forward!$A$6:$Q$128,'price-old'!F$2,FALSE)</f>
        <v>50.75</v>
      </c>
      <c r="G207" s="17">
        <f>VLOOKUP($C207,[1]Peak_Forward!$A$6:$Q$128,'price-old'!G$2,FALSE)</f>
        <v>47.664999999999999</v>
      </c>
      <c r="H207" s="17">
        <f>VLOOKUP($C207,[1]Peak_Forward!$A$6:$Q$128,'price-old'!H$2,FALSE)</f>
        <v>54.75</v>
      </c>
      <c r="I207" s="17">
        <f>VLOOKUP($C207,[1]Peak_Forward!$A$6:$Q$128,'price-old'!I$2,FALSE)</f>
        <v>70</v>
      </c>
      <c r="J207" s="17">
        <f>VLOOKUP($C207,[1]Peak_Forward!$A$6:$Q$128,'price-old'!J$2,FALSE)</f>
        <v>50.664999999999999</v>
      </c>
      <c r="K207" s="17">
        <f>VLOOKUP($C207,[1]Peak_Forward!$A$6:$Q$128,'price-old'!K$2,FALSE)</f>
        <v>47</v>
      </c>
      <c r="L207" s="17">
        <f>VLOOKUP($C207,[1]Peak_Forward!$A$6:$Q$128,'price-old'!L$2,FALSE)</f>
        <v>67.25</v>
      </c>
      <c r="M207" s="17">
        <f>VLOOKUP($C207,[1]Peak_Forward!$A$6:$Q$128,'price-old'!M$2,FALSE)</f>
        <v>47</v>
      </c>
      <c r="N207" s="17">
        <f>VLOOKUP($C207,[1]Peak_Forward!$A$6:$Q$128,'price-old'!N$2,FALSE)</f>
        <v>78.5</v>
      </c>
      <c r="O207" s="17">
        <f>VLOOKUP($C207,[1]Peak_Forward!$A$6:$Q$128,'price-old'!O$2,FALSE)</f>
        <v>37.314999999999998</v>
      </c>
      <c r="P207" s="17">
        <f>VLOOKUP($C207,[1]Peak_Forward!$A$6:$Q$128,'price-old'!P$2,FALSE)</f>
        <v>53</v>
      </c>
      <c r="Q207" s="17">
        <f>VLOOKUP($C207,[1]Peak_Forward!$A$6:$Q$128,'price-old'!Q$2,FALSE)</f>
        <v>47</v>
      </c>
      <c r="R207" s="6">
        <f>VLOOKUP($C207,[1]Peak_Forward!$A$6:$Q$128,'price-old'!R$2,FALSE)</f>
        <v>48.164999999999999</v>
      </c>
      <c r="S207" s="6">
        <f>VLOOKUP($C207,[1]Peak_Forward!$A$6:$Q$128,'price-old'!S$2,FALSE)</f>
        <v>46.115000000000002</v>
      </c>
    </row>
    <row r="208" spans="3:19" x14ac:dyDescent="0.2">
      <c r="C208" s="1">
        <f>'Filter-old'!C83</f>
        <v>39326</v>
      </c>
      <c r="E208" s="17">
        <f>VLOOKUP($C208,[1]Peak_Forward!$A$6:$Q$128,'price-old'!E$2,FALSE)</f>
        <v>30</v>
      </c>
      <c r="F208" s="17">
        <f>VLOOKUP($C208,[1]Peak_Forward!$A$6:$Q$128,'price-old'!F$2,FALSE)</f>
        <v>30</v>
      </c>
      <c r="G208" s="17">
        <f>VLOOKUP($C208,[1]Peak_Forward!$A$6:$Q$128,'price-old'!G$2,FALSE)</f>
        <v>27.67</v>
      </c>
      <c r="H208" s="17">
        <f>VLOOKUP($C208,[1]Peak_Forward!$A$6:$Q$128,'price-old'!H$2,FALSE)</f>
        <v>34</v>
      </c>
      <c r="I208" s="17">
        <f>VLOOKUP($C208,[1]Peak_Forward!$A$6:$Q$128,'price-old'!I$2,FALSE)</f>
        <v>38.5</v>
      </c>
      <c r="J208" s="17">
        <f>VLOOKUP($C208,[1]Peak_Forward!$A$6:$Q$128,'price-old'!J$2,FALSE)</f>
        <v>29.67</v>
      </c>
      <c r="K208" s="17">
        <f>VLOOKUP($C208,[1]Peak_Forward!$A$6:$Q$128,'price-old'!K$2,FALSE)</f>
        <v>34</v>
      </c>
      <c r="L208" s="17">
        <f>VLOOKUP($C208,[1]Peak_Forward!$A$6:$Q$128,'price-old'!L$2,FALSE)</f>
        <v>33</v>
      </c>
      <c r="M208" s="17">
        <f>VLOOKUP($C208,[1]Peak_Forward!$A$6:$Q$128,'price-old'!M$2,FALSE)</f>
        <v>34</v>
      </c>
      <c r="N208" s="17">
        <f>VLOOKUP($C208,[1]Peak_Forward!$A$6:$Q$128,'price-old'!N$2,FALSE)</f>
        <v>42.5</v>
      </c>
      <c r="O208" s="17">
        <f>VLOOKUP($C208,[1]Peak_Forward!$A$6:$Q$128,'price-old'!O$2,FALSE)</f>
        <v>25.27</v>
      </c>
      <c r="P208" s="17">
        <f>VLOOKUP($C208,[1]Peak_Forward!$A$6:$Q$128,'price-old'!P$2,FALSE)</f>
        <v>30.75</v>
      </c>
      <c r="Q208" s="17">
        <f>VLOOKUP($C208,[1]Peak_Forward!$A$6:$Q$128,'price-old'!Q$2,FALSE)</f>
        <v>34</v>
      </c>
      <c r="R208" s="6">
        <f>VLOOKUP($C208,[1]Peak_Forward!$A$6:$Q$128,'price-old'!R$2,FALSE)</f>
        <v>28.17</v>
      </c>
      <c r="S208" s="6">
        <f>VLOOKUP($C208,[1]Peak_Forward!$A$6:$Q$128,'price-old'!S$2,FALSE)</f>
        <v>26.92</v>
      </c>
    </row>
    <row r="209" spans="3:19" x14ac:dyDescent="0.2">
      <c r="C209" s="1">
        <f>'Filter-old'!C84</f>
        <v>39356</v>
      </c>
      <c r="E209" s="17">
        <f>VLOOKUP($C209,[1]Peak_Forward!$A$6:$Q$128,'price-old'!E$2,FALSE)</f>
        <v>30</v>
      </c>
      <c r="F209" s="17">
        <f>VLOOKUP($C209,[1]Peak_Forward!$A$6:$Q$128,'price-old'!F$2,FALSE)</f>
        <v>30</v>
      </c>
      <c r="G209" s="17">
        <f>VLOOKUP($C209,[1]Peak_Forward!$A$6:$Q$128,'price-old'!G$2,FALSE)</f>
        <v>29.03</v>
      </c>
      <c r="H209" s="17">
        <f>VLOOKUP($C209,[1]Peak_Forward!$A$6:$Q$128,'price-old'!H$2,FALSE)</f>
        <v>32</v>
      </c>
      <c r="I209" s="17">
        <f>VLOOKUP($C209,[1]Peak_Forward!$A$6:$Q$128,'price-old'!I$2,FALSE)</f>
        <v>38.5</v>
      </c>
      <c r="J209" s="17">
        <f>VLOOKUP($C209,[1]Peak_Forward!$A$6:$Q$128,'price-old'!J$2,FALSE)</f>
        <v>29.53</v>
      </c>
      <c r="K209" s="17">
        <f>VLOOKUP($C209,[1]Peak_Forward!$A$6:$Q$128,'price-old'!K$2,FALSE)</f>
        <v>33.75</v>
      </c>
      <c r="L209" s="17">
        <f>VLOOKUP($C209,[1]Peak_Forward!$A$6:$Q$128,'price-old'!L$2,FALSE)</f>
        <v>33</v>
      </c>
      <c r="M209" s="17">
        <f>VLOOKUP($C209,[1]Peak_Forward!$A$6:$Q$128,'price-old'!M$2,FALSE)</f>
        <v>33.75</v>
      </c>
      <c r="N209" s="17">
        <f>VLOOKUP($C209,[1]Peak_Forward!$A$6:$Q$128,'price-old'!N$2,FALSE)</f>
        <v>42.5</v>
      </c>
      <c r="O209" s="17">
        <f>VLOOKUP($C209,[1]Peak_Forward!$A$6:$Q$128,'price-old'!O$2,FALSE)</f>
        <v>31.97</v>
      </c>
      <c r="P209" s="17">
        <f>VLOOKUP($C209,[1]Peak_Forward!$A$6:$Q$128,'price-old'!P$2,FALSE)</f>
        <v>30.75</v>
      </c>
      <c r="Q209" s="17">
        <f>VLOOKUP($C209,[1]Peak_Forward!$A$6:$Q$128,'price-old'!Q$2,FALSE)</f>
        <v>33.75</v>
      </c>
      <c r="R209" s="6">
        <f>VLOOKUP($C209,[1]Peak_Forward!$A$6:$Q$128,'price-old'!R$2,FALSE)</f>
        <v>29.53</v>
      </c>
      <c r="S209" s="6">
        <f>VLOOKUP($C209,[1]Peak_Forward!$A$6:$Q$128,'price-old'!S$2,FALSE)</f>
        <v>28.28</v>
      </c>
    </row>
    <row r="210" spans="3:19" x14ac:dyDescent="0.2">
      <c r="C210" s="1">
        <f>'Filter-old'!C85</f>
        <v>39387</v>
      </c>
      <c r="E210" s="17">
        <f>VLOOKUP($C210,[1]Peak_Forward!$A$6:$Q$128,'price-old'!E$2,FALSE)</f>
        <v>30</v>
      </c>
      <c r="F210" s="17">
        <f>VLOOKUP($C210,[1]Peak_Forward!$A$6:$Q$128,'price-old'!F$2,FALSE)</f>
        <v>30</v>
      </c>
      <c r="G210" s="17">
        <f>VLOOKUP($C210,[1]Peak_Forward!$A$6:$Q$128,'price-old'!G$2,FALSE)</f>
        <v>28.73</v>
      </c>
      <c r="H210" s="17">
        <f>VLOOKUP($C210,[1]Peak_Forward!$A$6:$Q$128,'price-old'!H$2,FALSE)</f>
        <v>32</v>
      </c>
      <c r="I210" s="17">
        <f>VLOOKUP($C210,[1]Peak_Forward!$A$6:$Q$128,'price-old'!I$2,FALSE)</f>
        <v>38.5</v>
      </c>
      <c r="J210" s="17">
        <f>VLOOKUP($C210,[1]Peak_Forward!$A$6:$Q$128,'price-old'!J$2,FALSE)</f>
        <v>29.23</v>
      </c>
      <c r="K210" s="17">
        <f>VLOOKUP($C210,[1]Peak_Forward!$A$6:$Q$128,'price-old'!K$2,FALSE)</f>
        <v>33.75</v>
      </c>
      <c r="L210" s="17">
        <f>VLOOKUP($C210,[1]Peak_Forward!$A$6:$Q$128,'price-old'!L$2,FALSE)</f>
        <v>33</v>
      </c>
      <c r="M210" s="17">
        <f>VLOOKUP($C210,[1]Peak_Forward!$A$6:$Q$128,'price-old'!M$2,FALSE)</f>
        <v>33.75</v>
      </c>
      <c r="N210" s="17">
        <f>VLOOKUP($C210,[1]Peak_Forward!$A$6:$Q$128,'price-old'!N$2,FALSE)</f>
        <v>42.5</v>
      </c>
      <c r="O210" s="17">
        <f>VLOOKUP($C210,[1]Peak_Forward!$A$6:$Q$128,'price-old'!O$2,FALSE)</f>
        <v>35.07</v>
      </c>
      <c r="P210" s="17">
        <f>VLOOKUP($C210,[1]Peak_Forward!$A$6:$Q$128,'price-old'!P$2,FALSE)</f>
        <v>30.75</v>
      </c>
      <c r="Q210" s="17">
        <f>VLOOKUP($C210,[1]Peak_Forward!$A$6:$Q$128,'price-old'!Q$2,FALSE)</f>
        <v>33.75</v>
      </c>
      <c r="R210" s="6">
        <f>VLOOKUP($C210,[1]Peak_Forward!$A$6:$Q$128,'price-old'!R$2,FALSE)</f>
        <v>29.23</v>
      </c>
      <c r="S210" s="6">
        <f>VLOOKUP($C210,[1]Peak_Forward!$A$6:$Q$128,'price-old'!S$2,FALSE)</f>
        <v>27.98</v>
      </c>
    </row>
    <row r="211" spans="3:19" x14ac:dyDescent="0.2">
      <c r="C211" s="1">
        <f>'Filter-old'!C86</f>
        <v>39417</v>
      </c>
      <c r="E211" s="17">
        <f>VLOOKUP($C211,[1]Peak_Forward!$A$6:$Q$128,'price-old'!E$2,FALSE)</f>
        <v>30</v>
      </c>
      <c r="F211" s="17">
        <f>VLOOKUP($C211,[1]Peak_Forward!$A$6:$Q$128,'price-old'!F$2,FALSE)</f>
        <v>30</v>
      </c>
      <c r="G211" s="17">
        <f>VLOOKUP($C211,[1]Peak_Forward!$A$6:$Q$128,'price-old'!G$2,FALSE)</f>
        <v>28.59</v>
      </c>
      <c r="H211" s="17">
        <f>VLOOKUP($C211,[1]Peak_Forward!$A$6:$Q$128,'price-old'!H$2,FALSE)</f>
        <v>32</v>
      </c>
      <c r="I211" s="17">
        <f>VLOOKUP($C211,[1]Peak_Forward!$A$6:$Q$128,'price-old'!I$2,FALSE)</f>
        <v>38.5</v>
      </c>
      <c r="J211" s="17">
        <f>VLOOKUP($C211,[1]Peak_Forward!$A$6:$Q$128,'price-old'!J$2,FALSE)</f>
        <v>29.09</v>
      </c>
      <c r="K211" s="17">
        <f>VLOOKUP($C211,[1]Peak_Forward!$A$6:$Q$128,'price-old'!K$2,FALSE)</f>
        <v>33.75</v>
      </c>
      <c r="L211" s="17">
        <f>VLOOKUP($C211,[1]Peak_Forward!$A$6:$Q$128,'price-old'!L$2,FALSE)</f>
        <v>33</v>
      </c>
      <c r="M211" s="17">
        <f>VLOOKUP($C211,[1]Peak_Forward!$A$6:$Q$128,'price-old'!M$2,FALSE)</f>
        <v>33.75</v>
      </c>
      <c r="N211" s="17">
        <f>VLOOKUP($C211,[1]Peak_Forward!$A$6:$Q$128,'price-old'!N$2,FALSE)</f>
        <v>42.5</v>
      </c>
      <c r="O211" s="17">
        <f>VLOOKUP($C211,[1]Peak_Forward!$A$6:$Q$128,'price-old'!O$2,FALSE)</f>
        <v>35.33</v>
      </c>
      <c r="P211" s="17">
        <f>VLOOKUP($C211,[1]Peak_Forward!$A$6:$Q$128,'price-old'!P$2,FALSE)</f>
        <v>30.75</v>
      </c>
      <c r="Q211" s="17">
        <f>VLOOKUP($C211,[1]Peak_Forward!$A$6:$Q$128,'price-old'!Q$2,FALSE)</f>
        <v>33.75</v>
      </c>
      <c r="R211" s="6">
        <f>VLOOKUP($C211,[1]Peak_Forward!$A$6:$Q$128,'price-old'!R$2,FALSE)</f>
        <v>29.09</v>
      </c>
      <c r="S211" s="6">
        <f>VLOOKUP($C211,[1]Peak_Forward!$A$6:$Q$128,'price-old'!S$2,FALSE)</f>
        <v>27.84</v>
      </c>
    </row>
    <row r="212" spans="3:19" x14ac:dyDescent="0.2">
      <c r="C212" s="1">
        <f>'Filter-old'!C87</f>
        <v>39448</v>
      </c>
      <c r="E212" s="17">
        <f>VLOOKUP($C212,[1]Peak_Forward!$A$6:$Q$128,'price-old'!E$2,FALSE)</f>
        <v>32.75</v>
      </c>
      <c r="F212" s="17">
        <f>VLOOKUP($C212,[1]Peak_Forward!$A$6:$Q$128,'price-old'!F$2,FALSE)</f>
        <v>32.75</v>
      </c>
      <c r="G212" s="17">
        <f>VLOOKUP($C212,[1]Peak_Forward!$A$6:$Q$128,'price-old'!G$2,FALSE)</f>
        <v>29.62</v>
      </c>
      <c r="H212" s="17">
        <f>VLOOKUP($C212,[1]Peak_Forward!$A$6:$Q$128,'price-old'!H$2,FALSE)</f>
        <v>34.75</v>
      </c>
      <c r="I212" s="17">
        <f>VLOOKUP($C212,[1]Peak_Forward!$A$6:$Q$128,'price-old'!I$2,FALSE)</f>
        <v>44</v>
      </c>
      <c r="J212" s="17">
        <f>VLOOKUP($C212,[1]Peak_Forward!$A$6:$Q$128,'price-old'!J$2,FALSE)</f>
        <v>30.62</v>
      </c>
      <c r="K212" s="17">
        <f>VLOOKUP($C212,[1]Peak_Forward!$A$6:$Q$128,'price-old'!K$2,FALSE)</f>
        <v>43.75</v>
      </c>
      <c r="L212" s="17">
        <f>VLOOKUP($C212,[1]Peak_Forward!$A$6:$Q$128,'price-old'!L$2,FALSE)</f>
        <v>37.25</v>
      </c>
      <c r="M212" s="17">
        <f>VLOOKUP($C212,[1]Peak_Forward!$A$6:$Q$128,'price-old'!M$2,FALSE)</f>
        <v>43.75</v>
      </c>
      <c r="N212" s="17">
        <f>VLOOKUP($C212,[1]Peak_Forward!$A$6:$Q$128,'price-old'!N$2,FALSE)</f>
        <v>49.5</v>
      </c>
      <c r="O212" s="17">
        <f>VLOOKUP($C212,[1]Peak_Forward!$A$6:$Q$128,'price-old'!O$2,FALSE)</f>
        <v>35.07</v>
      </c>
      <c r="P212" s="17">
        <f>VLOOKUP($C212,[1]Peak_Forward!$A$6:$Q$128,'price-old'!P$2,FALSE)</f>
        <v>33.5</v>
      </c>
      <c r="Q212" s="17">
        <f>VLOOKUP($C212,[1]Peak_Forward!$A$6:$Q$128,'price-old'!Q$2,FALSE)</f>
        <v>43.75</v>
      </c>
      <c r="R212" s="6">
        <f>VLOOKUP($C212,[1]Peak_Forward!$A$6:$Q$128,'price-old'!R$2,FALSE)</f>
        <v>30.12</v>
      </c>
      <c r="S212" s="6">
        <f>VLOOKUP($C212,[1]Peak_Forward!$A$6:$Q$128,'price-old'!S$2,FALSE)</f>
        <v>28.57</v>
      </c>
    </row>
    <row r="213" spans="3:19" x14ac:dyDescent="0.2">
      <c r="C213" s="1">
        <f>'Filter-old'!C88</f>
        <v>39479</v>
      </c>
      <c r="E213" s="17">
        <f>VLOOKUP($C213,[1]Peak_Forward!$A$6:$Q$128,'price-old'!E$2,FALSE)</f>
        <v>32.75</v>
      </c>
      <c r="F213" s="17">
        <f>VLOOKUP($C213,[1]Peak_Forward!$A$6:$Q$128,'price-old'!F$2,FALSE)</f>
        <v>32.75</v>
      </c>
      <c r="G213" s="17">
        <f>VLOOKUP($C213,[1]Peak_Forward!$A$6:$Q$128,'price-old'!G$2,FALSE)</f>
        <v>28</v>
      </c>
      <c r="H213" s="17">
        <f>VLOOKUP($C213,[1]Peak_Forward!$A$6:$Q$128,'price-old'!H$2,FALSE)</f>
        <v>34.75</v>
      </c>
      <c r="I213" s="17">
        <f>VLOOKUP($C213,[1]Peak_Forward!$A$6:$Q$128,'price-old'!I$2,FALSE)</f>
        <v>44</v>
      </c>
      <c r="J213" s="17">
        <f>VLOOKUP($C213,[1]Peak_Forward!$A$6:$Q$128,'price-old'!J$2,FALSE)</f>
        <v>29</v>
      </c>
      <c r="K213" s="17">
        <f>VLOOKUP($C213,[1]Peak_Forward!$A$6:$Q$128,'price-old'!K$2,FALSE)</f>
        <v>43.75</v>
      </c>
      <c r="L213" s="17">
        <f>VLOOKUP($C213,[1]Peak_Forward!$A$6:$Q$128,'price-old'!L$2,FALSE)</f>
        <v>37.25</v>
      </c>
      <c r="M213" s="17">
        <f>VLOOKUP($C213,[1]Peak_Forward!$A$6:$Q$128,'price-old'!M$2,FALSE)</f>
        <v>43.75</v>
      </c>
      <c r="N213" s="17">
        <f>VLOOKUP($C213,[1]Peak_Forward!$A$6:$Q$128,'price-old'!N$2,FALSE)</f>
        <v>49.5</v>
      </c>
      <c r="O213" s="17">
        <f>VLOOKUP($C213,[1]Peak_Forward!$A$6:$Q$128,'price-old'!O$2,FALSE)</f>
        <v>34.450000000000003</v>
      </c>
      <c r="P213" s="17">
        <f>VLOOKUP($C213,[1]Peak_Forward!$A$6:$Q$128,'price-old'!P$2,FALSE)</f>
        <v>33.5</v>
      </c>
      <c r="Q213" s="17">
        <f>VLOOKUP($C213,[1]Peak_Forward!$A$6:$Q$128,'price-old'!Q$2,FALSE)</f>
        <v>43.75</v>
      </c>
      <c r="R213" s="6">
        <f>VLOOKUP($C213,[1]Peak_Forward!$A$6:$Q$128,'price-old'!R$2,FALSE)</f>
        <v>28.5</v>
      </c>
      <c r="S213" s="6">
        <f>VLOOKUP($C213,[1]Peak_Forward!$A$6:$Q$128,'price-old'!S$2,FALSE)</f>
        <v>26.95</v>
      </c>
    </row>
    <row r="214" spans="3:19" x14ac:dyDescent="0.2">
      <c r="C214" s="1">
        <f>'Filter-old'!C89</f>
        <v>39508</v>
      </c>
      <c r="E214" s="17">
        <f>VLOOKUP($C214,[1]Peak_Forward!$A$6:$Q$128,'price-old'!E$2,FALSE)</f>
        <v>30</v>
      </c>
      <c r="F214" s="17">
        <f>VLOOKUP($C214,[1]Peak_Forward!$A$6:$Q$128,'price-old'!F$2,FALSE)</f>
        <v>30</v>
      </c>
      <c r="G214" s="17">
        <f>VLOOKUP($C214,[1]Peak_Forward!$A$6:$Q$128,'price-old'!G$2,FALSE)</f>
        <v>28.04</v>
      </c>
      <c r="H214" s="17">
        <f>VLOOKUP($C214,[1]Peak_Forward!$A$6:$Q$128,'price-old'!H$2,FALSE)</f>
        <v>32</v>
      </c>
      <c r="I214" s="17">
        <f>VLOOKUP($C214,[1]Peak_Forward!$A$6:$Q$128,'price-old'!I$2,FALSE)</f>
        <v>39</v>
      </c>
      <c r="J214" s="17">
        <f>VLOOKUP($C214,[1]Peak_Forward!$A$6:$Q$128,'price-old'!J$2,FALSE)</f>
        <v>29.29</v>
      </c>
      <c r="K214" s="17">
        <f>VLOOKUP($C214,[1]Peak_Forward!$A$6:$Q$128,'price-old'!K$2,FALSE)</f>
        <v>35.75</v>
      </c>
      <c r="L214" s="17">
        <f>VLOOKUP($C214,[1]Peak_Forward!$A$6:$Q$128,'price-old'!L$2,FALSE)</f>
        <v>33.5</v>
      </c>
      <c r="M214" s="17">
        <f>VLOOKUP($C214,[1]Peak_Forward!$A$6:$Q$128,'price-old'!M$2,FALSE)</f>
        <v>35.75</v>
      </c>
      <c r="N214" s="17">
        <f>VLOOKUP($C214,[1]Peak_Forward!$A$6:$Q$128,'price-old'!N$2,FALSE)</f>
        <v>43.25</v>
      </c>
      <c r="O214" s="17">
        <f>VLOOKUP($C214,[1]Peak_Forward!$A$6:$Q$128,'price-old'!O$2,FALSE)</f>
        <v>32.74</v>
      </c>
      <c r="P214" s="17">
        <f>VLOOKUP($C214,[1]Peak_Forward!$A$6:$Q$128,'price-old'!P$2,FALSE)</f>
        <v>31.5</v>
      </c>
      <c r="Q214" s="17">
        <f>VLOOKUP($C214,[1]Peak_Forward!$A$6:$Q$128,'price-old'!Q$2,FALSE)</f>
        <v>35.75</v>
      </c>
      <c r="R214" s="6">
        <f>VLOOKUP($C214,[1]Peak_Forward!$A$6:$Q$128,'price-old'!R$2,FALSE)</f>
        <v>28.54</v>
      </c>
      <c r="S214" s="6">
        <f>VLOOKUP($C214,[1]Peak_Forward!$A$6:$Q$128,'price-old'!S$2,FALSE)</f>
        <v>26.99</v>
      </c>
    </row>
    <row r="215" spans="3:19" x14ac:dyDescent="0.2">
      <c r="C215" s="1">
        <f>'Filter-old'!C90</f>
        <v>39539</v>
      </c>
      <c r="E215" s="17">
        <f>VLOOKUP($C215,[1]Peak_Forward!$A$6:$Q$128,'price-old'!E$2,FALSE)</f>
        <v>30</v>
      </c>
      <c r="F215" s="17">
        <f>VLOOKUP($C215,[1]Peak_Forward!$A$6:$Q$128,'price-old'!F$2,FALSE)</f>
        <v>30</v>
      </c>
      <c r="G215" s="17">
        <f>VLOOKUP($C215,[1]Peak_Forward!$A$6:$Q$128,'price-old'!G$2,FALSE)</f>
        <v>28.66</v>
      </c>
      <c r="H215" s="17">
        <f>VLOOKUP($C215,[1]Peak_Forward!$A$6:$Q$128,'price-old'!H$2,FALSE)</f>
        <v>32</v>
      </c>
      <c r="I215" s="17">
        <f>VLOOKUP($C215,[1]Peak_Forward!$A$6:$Q$128,'price-old'!I$2,FALSE)</f>
        <v>39</v>
      </c>
      <c r="J215" s="17">
        <f>VLOOKUP($C215,[1]Peak_Forward!$A$6:$Q$128,'price-old'!J$2,FALSE)</f>
        <v>29.91</v>
      </c>
      <c r="K215" s="17">
        <f>VLOOKUP($C215,[1]Peak_Forward!$A$6:$Q$128,'price-old'!K$2,FALSE)</f>
        <v>36</v>
      </c>
      <c r="L215" s="17">
        <f>VLOOKUP($C215,[1]Peak_Forward!$A$6:$Q$128,'price-old'!L$2,FALSE)</f>
        <v>33.5</v>
      </c>
      <c r="M215" s="17">
        <f>VLOOKUP($C215,[1]Peak_Forward!$A$6:$Q$128,'price-old'!M$2,FALSE)</f>
        <v>36</v>
      </c>
      <c r="N215" s="17">
        <f>VLOOKUP($C215,[1]Peak_Forward!$A$6:$Q$128,'price-old'!N$2,FALSE)</f>
        <v>43.25</v>
      </c>
      <c r="O215" s="17">
        <f>VLOOKUP($C215,[1]Peak_Forward!$A$6:$Q$128,'price-old'!O$2,FALSE)</f>
        <v>32.909999999999997</v>
      </c>
      <c r="P215" s="17">
        <f>VLOOKUP($C215,[1]Peak_Forward!$A$6:$Q$128,'price-old'!P$2,FALSE)</f>
        <v>31.5</v>
      </c>
      <c r="Q215" s="17">
        <f>VLOOKUP($C215,[1]Peak_Forward!$A$6:$Q$128,'price-old'!Q$2,FALSE)</f>
        <v>36</v>
      </c>
      <c r="R215" s="6">
        <f>VLOOKUP($C215,[1]Peak_Forward!$A$6:$Q$128,'price-old'!R$2,FALSE)</f>
        <v>29.16</v>
      </c>
      <c r="S215" s="6">
        <f>VLOOKUP($C215,[1]Peak_Forward!$A$6:$Q$128,'price-old'!S$2,FALSE)</f>
        <v>27.61</v>
      </c>
    </row>
    <row r="216" spans="3:19" x14ac:dyDescent="0.2">
      <c r="C216" s="1">
        <f>'Filter-old'!C91</f>
        <v>39569</v>
      </c>
      <c r="E216" s="17">
        <f>VLOOKUP($C216,[1]Peak_Forward!$A$6:$Q$128,'price-old'!E$2,FALSE)</f>
        <v>32.25</v>
      </c>
      <c r="F216" s="17">
        <f>VLOOKUP($C216,[1]Peak_Forward!$A$6:$Q$128,'price-old'!F$2,FALSE)</f>
        <v>32.25</v>
      </c>
      <c r="G216" s="17">
        <f>VLOOKUP($C216,[1]Peak_Forward!$A$6:$Q$128,'price-old'!G$2,FALSE)</f>
        <v>31.32</v>
      </c>
      <c r="H216" s="17">
        <f>VLOOKUP($C216,[1]Peak_Forward!$A$6:$Q$128,'price-old'!H$2,FALSE)</f>
        <v>34.25</v>
      </c>
      <c r="I216" s="17">
        <f>VLOOKUP($C216,[1]Peak_Forward!$A$6:$Q$128,'price-old'!I$2,FALSE)</f>
        <v>40.5</v>
      </c>
      <c r="J216" s="17">
        <f>VLOOKUP($C216,[1]Peak_Forward!$A$6:$Q$128,'price-old'!J$2,FALSE)</f>
        <v>32.82</v>
      </c>
      <c r="K216" s="17">
        <f>VLOOKUP($C216,[1]Peak_Forward!$A$6:$Q$128,'price-old'!K$2,FALSE)</f>
        <v>36</v>
      </c>
      <c r="L216" s="17">
        <f>VLOOKUP($C216,[1]Peak_Forward!$A$6:$Q$128,'price-old'!L$2,FALSE)</f>
        <v>35.75</v>
      </c>
      <c r="M216" s="17">
        <f>VLOOKUP($C216,[1]Peak_Forward!$A$6:$Q$128,'price-old'!M$2,FALSE)</f>
        <v>36</v>
      </c>
      <c r="N216" s="17">
        <f>VLOOKUP($C216,[1]Peak_Forward!$A$6:$Q$128,'price-old'!N$2,FALSE)</f>
        <v>48</v>
      </c>
      <c r="O216" s="17">
        <f>VLOOKUP($C216,[1]Peak_Forward!$A$6:$Q$128,'price-old'!O$2,FALSE)</f>
        <v>30.37</v>
      </c>
      <c r="P216" s="17">
        <f>VLOOKUP($C216,[1]Peak_Forward!$A$6:$Q$128,'price-old'!P$2,FALSE)</f>
        <v>32</v>
      </c>
      <c r="Q216" s="17">
        <f>VLOOKUP($C216,[1]Peak_Forward!$A$6:$Q$128,'price-old'!Q$2,FALSE)</f>
        <v>36</v>
      </c>
      <c r="R216" s="6">
        <f>VLOOKUP($C216,[1]Peak_Forward!$A$6:$Q$128,'price-old'!R$2,FALSE)</f>
        <v>31.82</v>
      </c>
      <c r="S216" s="6">
        <f>VLOOKUP($C216,[1]Peak_Forward!$A$6:$Q$128,'price-old'!S$2,FALSE)</f>
        <v>30.32</v>
      </c>
    </row>
    <row r="217" spans="3:19" x14ac:dyDescent="0.2">
      <c r="C217" s="1">
        <f>'Filter-old'!C92</f>
        <v>39600</v>
      </c>
      <c r="E217" s="17">
        <f>VLOOKUP($C217,[1]Peak_Forward!$A$6:$Q$128,'price-old'!E$2,FALSE)</f>
        <v>42.25</v>
      </c>
      <c r="F217" s="17">
        <f>VLOOKUP($C217,[1]Peak_Forward!$A$6:$Q$128,'price-old'!F$2,FALSE)</f>
        <v>42.25</v>
      </c>
      <c r="G217" s="17">
        <f>VLOOKUP($C217,[1]Peak_Forward!$A$6:$Q$128,'price-old'!G$2,FALSE)</f>
        <v>36.03</v>
      </c>
      <c r="H217" s="17">
        <f>VLOOKUP($C217,[1]Peak_Forward!$A$6:$Q$128,'price-old'!H$2,FALSE)</f>
        <v>46.25</v>
      </c>
      <c r="I217" s="17">
        <f>VLOOKUP($C217,[1]Peak_Forward!$A$6:$Q$128,'price-old'!I$2,FALSE)</f>
        <v>49</v>
      </c>
      <c r="J217" s="17">
        <f>VLOOKUP($C217,[1]Peak_Forward!$A$6:$Q$128,'price-old'!J$2,FALSE)</f>
        <v>38.03</v>
      </c>
      <c r="K217" s="17">
        <f>VLOOKUP($C217,[1]Peak_Forward!$A$6:$Q$128,'price-old'!K$2,FALSE)</f>
        <v>40.75</v>
      </c>
      <c r="L217" s="17">
        <f>VLOOKUP($C217,[1]Peak_Forward!$A$6:$Q$128,'price-old'!L$2,FALSE)</f>
        <v>52.75</v>
      </c>
      <c r="M217" s="17">
        <f>VLOOKUP($C217,[1]Peak_Forward!$A$6:$Q$128,'price-old'!M$2,FALSE)</f>
        <v>40.75</v>
      </c>
      <c r="N217" s="17">
        <f>VLOOKUP($C217,[1]Peak_Forward!$A$6:$Q$128,'price-old'!N$2,FALSE)</f>
        <v>59</v>
      </c>
      <c r="O217" s="17">
        <f>VLOOKUP($C217,[1]Peak_Forward!$A$6:$Q$128,'price-old'!O$2,FALSE)</f>
        <v>33.28</v>
      </c>
      <c r="P217" s="17">
        <f>VLOOKUP($C217,[1]Peak_Forward!$A$6:$Q$128,'price-old'!P$2,FALSE)</f>
        <v>42.5</v>
      </c>
      <c r="Q217" s="17">
        <f>VLOOKUP($C217,[1]Peak_Forward!$A$6:$Q$128,'price-old'!Q$2,FALSE)</f>
        <v>40.75</v>
      </c>
      <c r="R217" s="6">
        <f>VLOOKUP($C217,[1]Peak_Forward!$A$6:$Q$128,'price-old'!R$2,FALSE)</f>
        <v>36.53</v>
      </c>
      <c r="S217" s="6">
        <f>VLOOKUP($C217,[1]Peak_Forward!$A$6:$Q$128,'price-old'!S$2,FALSE)</f>
        <v>34.880000000000003</v>
      </c>
    </row>
    <row r="218" spans="3:19" x14ac:dyDescent="0.2">
      <c r="C218" s="1">
        <f>'Filter-old'!C93</f>
        <v>39630</v>
      </c>
      <c r="E218" s="17">
        <f>VLOOKUP($C218,[1]Peak_Forward!$A$6:$Q$128,'price-old'!E$2,FALSE)</f>
        <v>51.25</v>
      </c>
      <c r="F218" s="17">
        <f>VLOOKUP($C218,[1]Peak_Forward!$A$6:$Q$128,'price-old'!F$2,FALSE)</f>
        <v>51.25</v>
      </c>
      <c r="G218" s="17">
        <f>VLOOKUP($C218,[1]Peak_Forward!$A$6:$Q$128,'price-old'!G$2,FALSE)</f>
        <v>49.97</v>
      </c>
      <c r="H218" s="17">
        <f>VLOOKUP($C218,[1]Peak_Forward!$A$6:$Q$128,'price-old'!H$2,FALSE)</f>
        <v>55.25</v>
      </c>
      <c r="I218" s="17">
        <f>VLOOKUP($C218,[1]Peak_Forward!$A$6:$Q$128,'price-old'!I$2,FALSE)</f>
        <v>70.5</v>
      </c>
      <c r="J218" s="17">
        <f>VLOOKUP($C218,[1]Peak_Forward!$A$6:$Q$128,'price-old'!J$2,FALSE)</f>
        <v>52.97</v>
      </c>
      <c r="K218" s="17">
        <f>VLOOKUP($C218,[1]Peak_Forward!$A$6:$Q$128,'price-old'!K$2,FALSE)</f>
        <v>48</v>
      </c>
      <c r="L218" s="17">
        <f>VLOOKUP($C218,[1]Peak_Forward!$A$6:$Q$128,'price-old'!L$2,FALSE)</f>
        <v>67.75</v>
      </c>
      <c r="M218" s="17">
        <f>VLOOKUP($C218,[1]Peak_Forward!$A$6:$Q$128,'price-old'!M$2,FALSE)</f>
        <v>48</v>
      </c>
      <c r="N218" s="17">
        <f>VLOOKUP($C218,[1]Peak_Forward!$A$6:$Q$128,'price-old'!N$2,FALSE)</f>
        <v>79</v>
      </c>
      <c r="O218" s="17">
        <f>VLOOKUP($C218,[1]Peak_Forward!$A$6:$Q$128,'price-old'!O$2,FALSE)</f>
        <v>37.619999999999997</v>
      </c>
      <c r="P218" s="17">
        <f>VLOOKUP($C218,[1]Peak_Forward!$A$6:$Q$128,'price-old'!P$2,FALSE)</f>
        <v>53.5</v>
      </c>
      <c r="Q218" s="17">
        <f>VLOOKUP($C218,[1]Peak_Forward!$A$6:$Q$128,'price-old'!Q$2,FALSE)</f>
        <v>48</v>
      </c>
      <c r="R218" s="6">
        <f>VLOOKUP($C218,[1]Peak_Forward!$A$6:$Q$128,'price-old'!R$2,FALSE)</f>
        <v>50.47</v>
      </c>
      <c r="S218" s="6">
        <f>VLOOKUP($C218,[1]Peak_Forward!$A$6:$Q$128,'price-old'!S$2,FALSE)</f>
        <v>48.42</v>
      </c>
    </row>
    <row r="219" spans="3:19" x14ac:dyDescent="0.2">
      <c r="C219" s="1">
        <f>'Filter-old'!C94</f>
        <v>39661</v>
      </c>
      <c r="E219" s="17">
        <f>VLOOKUP($C219,[1]Peak_Forward!$A$6:$Q$128,'price-old'!E$2,FALSE)</f>
        <v>51.25</v>
      </c>
      <c r="F219" s="17">
        <f>VLOOKUP($C219,[1]Peak_Forward!$A$6:$Q$128,'price-old'!F$2,FALSE)</f>
        <v>51.25</v>
      </c>
      <c r="G219" s="17">
        <f>VLOOKUP($C219,[1]Peak_Forward!$A$6:$Q$128,'price-old'!G$2,FALSE)</f>
        <v>49.31</v>
      </c>
      <c r="H219" s="17">
        <f>VLOOKUP($C219,[1]Peak_Forward!$A$6:$Q$128,'price-old'!H$2,FALSE)</f>
        <v>55.25</v>
      </c>
      <c r="I219" s="17">
        <f>VLOOKUP($C219,[1]Peak_Forward!$A$6:$Q$128,'price-old'!I$2,FALSE)</f>
        <v>70.5</v>
      </c>
      <c r="J219" s="17">
        <f>VLOOKUP($C219,[1]Peak_Forward!$A$6:$Q$128,'price-old'!J$2,FALSE)</f>
        <v>52.31</v>
      </c>
      <c r="K219" s="17">
        <f>VLOOKUP($C219,[1]Peak_Forward!$A$6:$Q$128,'price-old'!K$2,FALSE)</f>
        <v>48</v>
      </c>
      <c r="L219" s="17">
        <f>VLOOKUP($C219,[1]Peak_Forward!$A$6:$Q$128,'price-old'!L$2,FALSE)</f>
        <v>67.25</v>
      </c>
      <c r="M219" s="17">
        <f>VLOOKUP($C219,[1]Peak_Forward!$A$6:$Q$128,'price-old'!M$2,FALSE)</f>
        <v>48</v>
      </c>
      <c r="N219" s="17">
        <f>VLOOKUP($C219,[1]Peak_Forward!$A$6:$Q$128,'price-old'!N$2,FALSE)</f>
        <v>79</v>
      </c>
      <c r="O219" s="17">
        <f>VLOOKUP($C219,[1]Peak_Forward!$A$6:$Q$128,'price-old'!O$2,FALSE)</f>
        <v>36.96</v>
      </c>
      <c r="P219" s="17">
        <f>VLOOKUP($C219,[1]Peak_Forward!$A$6:$Q$128,'price-old'!P$2,FALSE)</f>
        <v>53.5</v>
      </c>
      <c r="Q219" s="17">
        <f>VLOOKUP($C219,[1]Peak_Forward!$A$6:$Q$128,'price-old'!Q$2,FALSE)</f>
        <v>48</v>
      </c>
      <c r="R219" s="6">
        <f>VLOOKUP($C219,[1]Peak_Forward!$A$6:$Q$128,'price-old'!R$2,FALSE)</f>
        <v>49.81</v>
      </c>
      <c r="S219" s="6">
        <f>VLOOKUP($C219,[1]Peak_Forward!$A$6:$Q$128,'price-old'!S$2,FALSE)</f>
        <v>47.76</v>
      </c>
    </row>
    <row r="220" spans="3:19" x14ac:dyDescent="0.2">
      <c r="C220" s="1">
        <f>'Filter-old'!C95</f>
        <v>39692</v>
      </c>
      <c r="E220" s="17">
        <f>VLOOKUP($C220,[1]Peak_Forward!$A$6:$Q$128,'price-old'!E$2,FALSE)</f>
        <v>30.25</v>
      </c>
      <c r="F220" s="17">
        <f>VLOOKUP($C220,[1]Peak_Forward!$A$6:$Q$128,'price-old'!F$2,FALSE)</f>
        <v>30.25</v>
      </c>
      <c r="G220" s="17">
        <f>VLOOKUP($C220,[1]Peak_Forward!$A$6:$Q$128,'price-old'!G$2,FALSE)</f>
        <v>26.38</v>
      </c>
      <c r="H220" s="17">
        <f>VLOOKUP($C220,[1]Peak_Forward!$A$6:$Q$128,'price-old'!H$2,FALSE)</f>
        <v>32.25</v>
      </c>
      <c r="I220" s="17">
        <f>VLOOKUP($C220,[1]Peak_Forward!$A$6:$Q$128,'price-old'!I$2,FALSE)</f>
        <v>39</v>
      </c>
      <c r="J220" s="17">
        <f>VLOOKUP($C220,[1]Peak_Forward!$A$6:$Q$128,'price-old'!J$2,FALSE)</f>
        <v>28.38</v>
      </c>
      <c r="K220" s="17">
        <f>VLOOKUP($C220,[1]Peak_Forward!$A$6:$Q$128,'price-old'!K$2,FALSE)</f>
        <v>35</v>
      </c>
      <c r="L220" s="17">
        <f>VLOOKUP($C220,[1]Peak_Forward!$A$6:$Q$128,'price-old'!L$2,FALSE)</f>
        <v>33.75</v>
      </c>
      <c r="M220" s="17">
        <f>VLOOKUP($C220,[1]Peak_Forward!$A$6:$Q$128,'price-old'!M$2,FALSE)</f>
        <v>35</v>
      </c>
      <c r="N220" s="17">
        <f>VLOOKUP($C220,[1]Peak_Forward!$A$6:$Q$128,'price-old'!N$2,FALSE)</f>
        <v>43</v>
      </c>
      <c r="O220" s="17">
        <f>VLOOKUP($C220,[1]Peak_Forward!$A$6:$Q$128,'price-old'!O$2,FALSE)</f>
        <v>24.73</v>
      </c>
      <c r="P220" s="17">
        <f>VLOOKUP($C220,[1]Peak_Forward!$A$6:$Q$128,'price-old'!P$2,FALSE)</f>
        <v>31.25</v>
      </c>
      <c r="Q220" s="17">
        <f>VLOOKUP($C220,[1]Peak_Forward!$A$6:$Q$128,'price-old'!Q$2,FALSE)</f>
        <v>35</v>
      </c>
      <c r="R220" s="6">
        <f>VLOOKUP($C220,[1]Peak_Forward!$A$6:$Q$128,'price-old'!R$2,FALSE)</f>
        <v>26.88</v>
      </c>
      <c r="S220" s="6">
        <f>VLOOKUP($C220,[1]Peak_Forward!$A$6:$Q$128,'price-old'!S$2,FALSE)</f>
        <v>25.63</v>
      </c>
    </row>
    <row r="221" spans="3:19" x14ac:dyDescent="0.2">
      <c r="C221" s="1">
        <f>'Filter-old'!C96</f>
        <v>39722</v>
      </c>
      <c r="E221" s="17">
        <f>VLOOKUP($C221,[1]Peak_Forward!$A$6:$Q$128,'price-old'!E$2,FALSE)</f>
        <v>30.25</v>
      </c>
      <c r="F221" s="17">
        <f>VLOOKUP($C221,[1]Peak_Forward!$A$6:$Q$128,'price-old'!F$2,FALSE)</f>
        <v>30.25</v>
      </c>
      <c r="G221" s="17">
        <f>VLOOKUP($C221,[1]Peak_Forward!$A$6:$Q$128,'price-old'!G$2,FALSE)</f>
        <v>28.38</v>
      </c>
      <c r="H221" s="17">
        <f>VLOOKUP($C221,[1]Peak_Forward!$A$6:$Q$128,'price-old'!H$2,FALSE)</f>
        <v>32.25</v>
      </c>
      <c r="I221" s="17">
        <f>VLOOKUP($C221,[1]Peak_Forward!$A$6:$Q$128,'price-old'!I$2,FALSE)</f>
        <v>39</v>
      </c>
      <c r="J221" s="17">
        <f>VLOOKUP($C221,[1]Peak_Forward!$A$6:$Q$128,'price-old'!J$2,FALSE)</f>
        <v>28.88</v>
      </c>
      <c r="K221" s="17">
        <f>VLOOKUP($C221,[1]Peak_Forward!$A$6:$Q$128,'price-old'!K$2,FALSE)</f>
        <v>34.75</v>
      </c>
      <c r="L221" s="17">
        <f>VLOOKUP($C221,[1]Peak_Forward!$A$6:$Q$128,'price-old'!L$2,FALSE)</f>
        <v>33.75</v>
      </c>
      <c r="M221" s="17">
        <f>VLOOKUP($C221,[1]Peak_Forward!$A$6:$Q$128,'price-old'!M$2,FALSE)</f>
        <v>34.75</v>
      </c>
      <c r="N221" s="17">
        <f>VLOOKUP($C221,[1]Peak_Forward!$A$6:$Q$128,'price-old'!N$2,FALSE)</f>
        <v>43</v>
      </c>
      <c r="O221" s="17">
        <f>VLOOKUP($C221,[1]Peak_Forward!$A$6:$Q$128,'price-old'!O$2,FALSE)</f>
        <v>32.07</v>
      </c>
      <c r="P221" s="17">
        <f>VLOOKUP($C221,[1]Peak_Forward!$A$6:$Q$128,'price-old'!P$2,FALSE)</f>
        <v>31.25</v>
      </c>
      <c r="Q221" s="17">
        <f>VLOOKUP($C221,[1]Peak_Forward!$A$6:$Q$128,'price-old'!Q$2,FALSE)</f>
        <v>34.75</v>
      </c>
      <c r="R221" s="6">
        <f>VLOOKUP($C221,[1]Peak_Forward!$A$6:$Q$128,'price-old'!R$2,FALSE)</f>
        <v>28.88</v>
      </c>
      <c r="S221" s="6">
        <f>VLOOKUP($C221,[1]Peak_Forward!$A$6:$Q$128,'price-old'!S$2,FALSE)</f>
        <v>27.63</v>
      </c>
    </row>
    <row r="222" spans="3:19" x14ac:dyDescent="0.2">
      <c r="C222" s="1">
        <f>'Filter-old'!C97</f>
        <v>39753</v>
      </c>
      <c r="E222" s="17">
        <f>VLOOKUP($C222,[1]Peak_Forward!$A$6:$Q$128,'price-old'!E$2,FALSE)</f>
        <v>30.25</v>
      </c>
      <c r="F222" s="17">
        <f>VLOOKUP($C222,[1]Peak_Forward!$A$6:$Q$128,'price-old'!F$2,FALSE)</f>
        <v>30.25</v>
      </c>
      <c r="G222" s="17">
        <f>VLOOKUP($C222,[1]Peak_Forward!$A$6:$Q$128,'price-old'!G$2,FALSE)</f>
        <v>28.9</v>
      </c>
      <c r="H222" s="17">
        <f>VLOOKUP($C222,[1]Peak_Forward!$A$6:$Q$128,'price-old'!H$2,FALSE)</f>
        <v>32.25</v>
      </c>
      <c r="I222" s="17">
        <f>VLOOKUP($C222,[1]Peak_Forward!$A$6:$Q$128,'price-old'!I$2,FALSE)</f>
        <v>39</v>
      </c>
      <c r="J222" s="17">
        <f>VLOOKUP($C222,[1]Peak_Forward!$A$6:$Q$128,'price-old'!J$2,FALSE)</f>
        <v>29.4</v>
      </c>
      <c r="K222" s="17">
        <f>VLOOKUP($C222,[1]Peak_Forward!$A$6:$Q$128,'price-old'!K$2,FALSE)</f>
        <v>34.75</v>
      </c>
      <c r="L222" s="17">
        <f>VLOOKUP($C222,[1]Peak_Forward!$A$6:$Q$128,'price-old'!L$2,FALSE)</f>
        <v>33.75</v>
      </c>
      <c r="M222" s="17">
        <f>VLOOKUP($C222,[1]Peak_Forward!$A$6:$Q$128,'price-old'!M$2,FALSE)</f>
        <v>34.75</v>
      </c>
      <c r="N222" s="17">
        <f>VLOOKUP($C222,[1]Peak_Forward!$A$6:$Q$128,'price-old'!N$2,FALSE)</f>
        <v>43</v>
      </c>
      <c r="O222" s="17">
        <f>VLOOKUP($C222,[1]Peak_Forward!$A$6:$Q$128,'price-old'!O$2,FALSE)</f>
        <v>35.99</v>
      </c>
      <c r="P222" s="17">
        <f>VLOOKUP($C222,[1]Peak_Forward!$A$6:$Q$128,'price-old'!P$2,FALSE)</f>
        <v>31.25</v>
      </c>
      <c r="Q222" s="17">
        <f>VLOOKUP($C222,[1]Peak_Forward!$A$6:$Q$128,'price-old'!Q$2,FALSE)</f>
        <v>34.75</v>
      </c>
      <c r="R222" s="6">
        <f>VLOOKUP($C222,[1]Peak_Forward!$A$6:$Q$128,'price-old'!R$2,FALSE)</f>
        <v>29.4</v>
      </c>
      <c r="S222" s="6">
        <f>VLOOKUP($C222,[1]Peak_Forward!$A$6:$Q$128,'price-old'!S$2,FALSE)</f>
        <v>28.15</v>
      </c>
    </row>
    <row r="223" spans="3:19" x14ac:dyDescent="0.2">
      <c r="C223" s="1">
        <f>'Filter-old'!C98</f>
        <v>39783</v>
      </c>
      <c r="E223" s="17">
        <f>VLOOKUP($C223,[1]Peak_Forward!$A$6:$Q$128,'price-old'!E$2,FALSE)</f>
        <v>30.25</v>
      </c>
      <c r="F223" s="17">
        <f>VLOOKUP($C223,[1]Peak_Forward!$A$6:$Q$128,'price-old'!F$2,FALSE)</f>
        <v>30.25</v>
      </c>
      <c r="G223" s="17">
        <f>VLOOKUP($C223,[1]Peak_Forward!$A$6:$Q$128,'price-old'!G$2,FALSE)</f>
        <v>29.24</v>
      </c>
      <c r="H223" s="17">
        <f>VLOOKUP($C223,[1]Peak_Forward!$A$6:$Q$128,'price-old'!H$2,FALSE)</f>
        <v>32.25</v>
      </c>
      <c r="I223" s="17">
        <f>VLOOKUP($C223,[1]Peak_Forward!$A$6:$Q$128,'price-old'!I$2,FALSE)</f>
        <v>39</v>
      </c>
      <c r="J223" s="17">
        <f>VLOOKUP($C223,[1]Peak_Forward!$A$6:$Q$128,'price-old'!J$2,FALSE)</f>
        <v>29.74</v>
      </c>
      <c r="K223" s="17">
        <f>VLOOKUP($C223,[1]Peak_Forward!$A$6:$Q$128,'price-old'!K$2,FALSE)</f>
        <v>34.75</v>
      </c>
      <c r="L223" s="17">
        <f>VLOOKUP($C223,[1]Peak_Forward!$A$6:$Q$128,'price-old'!L$2,FALSE)</f>
        <v>33.75</v>
      </c>
      <c r="M223" s="17">
        <f>VLOOKUP($C223,[1]Peak_Forward!$A$6:$Q$128,'price-old'!M$2,FALSE)</f>
        <v>34.75</v>
      </c>
      <c r="N223" s="17">
        <f>VLOOKUP($C223,[1]Peak_Forward!$A$6:$Q$128,'price-old'!N$2,FALSE)</f>
        <v>43</v>
      </c>
      <c r="O223" s="17">
        <f>VLOOKUP($C223,[1]Peak_Forward!$A$6:$Q$128,'price-old'!O$2,FALSE)</f>
        <v>36.729999999999997</v>
      </c>
      <c r="P223" s="17">
        <f>VLOOKUP($C223,[1]Peak_Forward!$A$6:$Q$128,'price-old'!P$2,FALSE)</f>
        <v>31.25</v>
      </c>
      <c r="Q223" s="17">
        <f>VLOOKUP($C223,[1]Peak_Forward!$A$6:$Q$128,'price-old'!Q$2,FALSE)</f>
        <v>34.75</v>
      </c>
      <c r="R223" s="6">
        <f>VLOOKUP($C223,[1]Peak_Forward!$A$6:$Q$128,'price-old'!R$2,FALSE)</f>
        <v>29.74</v>
      </c>
      <c r="S223" s="6">
        <f>VLOOKUP($C223,[1]Peak_Forward!$A$6:$Q$128,'price-old'!S$2,FALSE)</f>
        <v>28.49</v>
      </c>
    </row>
    <row r="224" spans="3:19" x14ac:dyDescent="0.2">
      <c r="C224" s="1">
        <f>'Filter-old'!C99</f>
        <v>39814</v>
      </c>
      <c r="E224" s="17">
        <f>VLOOKUP($C224,[1]Peak_Forward!$A$6:$Q$128,'price-old'!E$2,FALSE)</f>
        <v>33.25</v>
      </c>
      <c r="F224" s="17">
        <f>VLOOKUP($C224,[1]Peak_Forward!$A$6:$Q$128,'price-old'!F$2,FALSE)</f>
        <v>33.25</v>
      </c>
      <c r="G224" s="17">
        <f>VLOOKUP($C224,[1]Peak_Forward!$A$6:$Q$128,'price-old'!G$2,FALSE)</f>
        <v>31.05</v>
      </c>
      <c r="H224" s="17">
        <f>VLOOKUP($C224,[1]Peak_Forward!$A$6:$Q$128,'price-old'!H$2,FALSE)</f>
        <v>35.25</v>
      </c>
      <c r="I224" s="17">
        <f>VLOOKUP($C224,[1]Peak_Forward!$A$6:$Q$128,'price-old'!I$2,FALSE)</f>
        <v>44.5</v>
      </c>
      <c r="J224" s="17">
        <f>VLOOKUP($C224,[1]Peak_Forward!$A$6:$Q$128,'price-old'!J$2,FALSE)</f>
        <v>32.049999999999997</v>
      </c>
      <c r="K224" s="17">
        <f>VLOOKUP($C224,[1]Peak_Forward!$A$6:$Q$128,'price-old'!K$2,FALSE)</f>
        <v>44.25</v>
      </c>
      <c r="L224" s="17">
        <f>VLOOKUP($C224,[1]Peak_Forward!$A$6:$Q$128,'price-old'!L$2,FALSE)</f>
        <v>36.75</v>
      </c>
      <c r="M224" s="17">
        <f>VLOOKUP($C224,[1]Peak_Forward!$A$6:$Q$128,'price-old'!M$2,FALSE)</f>
        <v>44.25</v>
      </c>
      <c r="N224" s="17">
        <f>VLOOKUP($C224,[1]Peak_Forward!$A$6:$Q$128,'price-old'!N$2,FALSE)</f>
        <v>50</v>
      </c>
      <c r="O224" s="17">
        <f>VLOOKUP($C224,[1]Peak_Forward!$A$6:$Q$128,'price-old'!O$2,FALSE)</f>
        <v>37</v>
      </c>
      <c r="P224" s="17">
        <f>VLOOKUP($C224,[1]Peak_Forward!$A$6:$Q$128,'price-old'!P$2,FALSE)</f>
        <v>34.25</v>
      </c>
      <c r="Q224" s="17">
        <f>VLOOKUP($C224,[1]Peak_Forward!$A$6:$Q$128,'price-old'!Q$2,FALSE)</f>
        <v>44.25</v>
      </c>
      <c r="R224" s="6">
        <f>VLOOKUP($C224,[1]Peak_Forward!$A$6:$Q$128,'price-old'!R$2,FALSE)</f>
        <v>31.55</v>
      </c>
      <c r="S224" s="6">
        <f>VLOOKUP($C224,[1]Peak_Forward!$A$6:$Q$128,'price-old'!S$2,FALSE)</f>
        <v>30</v>
      </c>
    </row>
    <row r="225" spans="3:19" x14ac:dyDescent="0.2">
      <c r="C225" s="1">
        <f>'Filter-old'!C100</f>
        <v>39845</v>
      </c>
      <c r="E225" s="17">
        <f>VLOOKUP($C225,[1]Peak_Forward!$A$6:$Q$128,'price-old'!E$2,FALSE)</f>
        <v>33.25</v>
      </c>
      <c r="F225" s="17">
        <f>VLOOKUP($C225,[1]Peak_Forward!$A$6:$Q$128,'price-old'!F$2,FALSE)</f>
        <v>33.25</v>
      </c>
      <c r="G225" s="17">
        <f>VLOOKUP($C225,[1]Peak_Forward!$A$6:$Q$128,'price-old'!G$2,FALSE)</f>
        <v>29.34</v>
      </c>
      <c r="H225" s="17">
        <f>VLOOKUP($C225,[1]Peak_Forward!$A$6:$Q$128,'price-old'!H$2,FALSE)</f>
        <v>35.25</v>
      </c>
      <c r="I225" s="17">
        <f>VLOOKUP($C225,[1]Peak_Forward!$A$6:$Q$128,'price-old'!I$2,FALSE)</f>
        <v>44.5</v>
      </c>
      <c r="J225" s="17">
        <f>VLOOKUP($C225,[1]Peak_Forward!$A$6:$Q$128,'price-old'!J$2,FALSE)</f>
        <v>30.34</v>
      </c>
      <c r="K225" s="17">
        <f>VLOOKUP($C225,[1]Peak_Forward!$A$6:$Q$128,'price-old'!K$2,FALSE)</f>
        <v>44.25</v>
      </c>
      <c r="L225" s="17">
        <f>VLOOKUP($C225,[1]Peak_Forward!$A$6:$Q$128,'price-old'!L$2,FALSE)</f>
        <v>36.75</v>
      </c>
      <c r="M225" s="17">
        <f>VLOOKUP($C225,[1]Peak_Forward!$A$6:$Q$128,'price-old'!M$2,FALSE)</f>
        <v>44.25</v>
      </c>
      <c r="N225" s="17">
        <f>VLOOKUP($C225,[1]Peak_Forward!$A$6:$Q$128,'price-old'!N$2,FALSE)</f>
        <v>50</v>
      </c>
      <c r="O225" s="17">
        <f>VLOOKUP($C225,[1]Peak_Forward!$A$6:$Q$128,'price-old'!O$2,FALSE)</f>
        <v>36.29</v>
      </c>
      <c r="P225" s="17">
        <f>VLOOKUP($C225,[1]Peak_Forward!$A$6:$Q$128,'price-old'!P$2,FALSE)</f>
        <v>34.25</v>
      </c>
      <c r="Q225" s="17">
        <f>VLOOKUP($C225,[1]Peak_Forward!$A$6:$Q$128,'price-old'!Q$2,FALSE)</f>
        <v>44.25</v>
      </c>
      <c r="R225" s="6">
        <f>VLOOKUP($C225,[1]Peak_Forward!$A$6:$Q$128,'price-old'!R$2,FALSE)</f>
        <v>29.84</v>
      </c>
      <c r="S225" s="6">
        <f>VLOOKUP($C225,[1]Peak_Forward!$A$6:$Q$128,'price-old'!S$2,FALSE)</f>
        <v>28.29</v>
      </c>
    </row>
    <row r="226" spans="3:19" x14ac:dyDescent="0.2">
      <c r="C226" s="1">
        <f>'Filter-old'!C101</f>
        <v>39873</v>
      </c>
      <c r="E226" s="17">
        <f>VLOOKUP($C226,[1]Peak_Forward!$A$6:$Q$128,'price-old'!E$2,FALSE)</f>
        <v>30.75</v>
      </c>
      <c r="F226" s="17">
        <f>VLOOKUP($C226,[1]Peak_Forward!$A$6:$Q$128,'price-old'!F$2,FALSE)</f>
        <v>30.75</v>
      </c>
      <c r="G226" s="17">
        <f>VLOOKUP($C226,[1]Peak_Forward!$A$6:$Q$128,'price-old'!G$2,FALSE)</f>
        <v>27.87</v>
      </c>
      <c r="H226" s="17">
        <f>VLOOKUP($C226,[1]Peak_Forward!$A$6:$Q$128,'price-old'!H$2,FALSE)</f>
        <v>32.75</v>
      </c>
      <c r="I226" s="17">
        <f>VLOOKUP($C226,[1]Peak_Forward!$A$6:$Q$128,'price-old'!I$2,FALSE)</f>
        <v>39.5</v>
      </c>
      <c r="J226" s="17">
        <f>VLOOKUP($C226,[1]Peak_Forward!$A$6:$Q$128,'price-old'!J$2,FALSE)</f>
        <v>29.12</v>
      </c>
      <c r="K226" s="17">
        <f>VLOOKUP($C226,[1]Peak_Forward!$A$6:$Q$128,'price-old'!K$2,FALSE)</f>
        <v>36.25</v>
      </c>
      <c r="L226" s="17">
        <f>VLOOKUP($C226,[1]Peak_Forward!$A$6:$Q$128,'price-old'!L$2,FALSE)</f>
        <v>34.25</v>
      </c>
      <c r="M226" s="17">
        <f>VLOOKUP($C226,[1]Peak_Forward!$A$6:$Q$128,'price-old'!M$2,FALSE)</f>
        <v>36.25</v>
      </c>
      <c r="N226" s="17">
        <f>VLOOKUP($C226,[1]Peak_Forward!$A$6:$Q$128,'price-old'!N$2,FALSE)</f>
        <v>43.75</v>
      </c>
      <c r="O226" s="17">
        <f>VLOOKUP($C226,[1]Peak_Forward!$A$6:$Q$128,'price-old'!O$2,FALSE)</f>
        <v>33.07</v>
      </c>
      <c r="P226" s="17">
        <f>VLOOKUP($C226,[1]Peak_Forward!$A$6:$Q$128,'price-old'!P$2,FALSE)</f>
        <v>32</v>
      </c>
      <c r="Q226" s="17">
        <f>VLOOKUP($C226,[1]Peak_Forward!$A$6:$Q$128,'price-old'!Q$2,FALSE)</f>
        <v>36.25</v>
      </c>
      <c r="R226" s="6">
        <f>VLOOKUP($C226,[1]Peak_Forward!$A$6:$Q$128,'price-old'!R$2,FALSE)</f>
        <v>28.37</v>
      </c>
      <c r="S226" s="6">
        <f>VLOOKUP($C226,[1]Peak_Forward!$A$6:$Q$128,'price-old'!S$2,FALSE)</f>
        <v>26.82</v>
      </c>
    </row>
    <row r="227" spans="3:19" x14ac:dyDescent="0.2">
      <c r="C227" s="1">
        <f>'Filter-old'!C102</f>
        <v>39904</v>
      </c>
      <c r="E227" s="17">
        <f>VLOOKUP($C227,[1]Peak_Forward!$A$6:$Q$128,'price-old'!E$2,FALSE)</f>
        <v>30.75</v>
      </c>
      <c r="F227" s="17">
        <f>VLOOKUP($C227,[1]Peak_Forward!$A$6:$Q$128,'price-old'!F$2,FALSE)</f>
        <v>30.75</v>
      </c>
      <c r="G227" s="17">
        <f>VLOOKUP($C227,[1]Peak_Forward!$A$6:$Q$128,'price-old'!G$2,FALSE)</f>
        <v>27.29</v>
      </c>
      <c r="H227" s="17">
        <f>VLOOKUP($C227,[1]Peak_Forward!$A$6:$Q$128,'price-old'!H$2,FALSE)</f>
        <v>32.75</v>
      </c>
      <c r="I227" s="17">
        <f>VLOOKUP($C227,[1]Peak_Forward!$A$6:$Q$128,'price-old'!I$2,FALSE)</f>
        <v>39.5</v>
      </c>
      <c r="J227" s="17">
        <f>VLOOKUP($C227,[1]Peak_Forward!$A$6:$Q$128,'price-old'!J$2,FALSE)</f>
        <v>28.54</v>
      </c>
      <c r="K227" s="17">
        <f>VLOOKUP($C227,[1]Peak_Forward!$A$6:$Q$128,'price-old'!K$2,FALSE)</f>
        <v>36.5</v>
      </c>
      <c r="L227" s="17">
        <f>VLOOKUP($C227,[1]Peak_Forward!$A$6:$Q$128,'price-old'!L$2,FALSE)</f>
        <v>34.25</v>
      </c>
      <c r="M227" s="17">
        <f>VLOOKUP($C227,[1]Peak_Forward!$A$6:$Q$128,'price-old'!M$2,FALSE)</f>
        <v>36.5</v>
      </c>
      <c r="N227" s="17">
        <f>VLOOKUP($C227,[1]Peak_Forward!$A$6:$Q$128,'price-old'!N$2,FALSE)</f>
        <v>43.75</v>
      </c>
      <c r="O227" s="17">
        <f>VLOOKUP($C227,[1]Peak_Forward!$A$6:$Q$128,'price-old'!O$2,FALSE)</f>
        <v>32.04</v>
      </c>
      <c r="P227" s="17">
        <f>VLOOKUP($C227,[1]Peak_Forward!$A$6:$Q$128,'price-old'!P$2,FALSE)</f>
        <v>32</v>
      </c>
      <c r="Q227" s="17">
        <f>VLOOKUP($C227,[1]Peak_Forward!$A$6:$Q$128,'price-old'!Q$2,FALSE)</f>
        <v>36.5</v>
      </c>
      <c r="R227" s="6">
        <f>VLOOKUP($C227,[1]Peak_Forward!$A$6:$Q$128,'price-old'!R$2,FALSE)</f>
        <v>27.79</v>
      </c>
      <c r="S227" s="6">
        <f>VLOOKUP($C227,[1]Peak_Forward!$A$6:$Q$128,'price-old'!S$2,FALSE)</f>
        <v>26.24</v>
      </c>
    </row>
    <row r="228" spans="3:19" x14ac:dyDescent="0.2">
      <c r="C228" s="1">
        <f>'Filter-old'!C103</f>
        <v>39934</v>
      </c>
      <c r="E228" s="17">
        <f>VLOOKUP($C228,[1]Peak_Forward!$A$6:$Q$128,'price-old'!E$2,FALSE)</f>
        <v>32.75</v>
      </c>
      <c r="F228" s="17">
        <f>VLOOKUP($C228,[1]Peak_Forward!$A$6:$Q$128,'price-old'!F$2,FALSE)</f>
        <v>32.75</v>
      </c>
      <c r="G228" s="17">
        <f>VLOOKUP($C228,[1]Peak_Forward!$A$6:$Q$128,'price-old'!G$2,FALSE)</f>
        <v>31.32</v>
      </c>
      <c r="H228" s="17">
        <f>VLOOKUP($C228,[1]Peak_Forward!$A$6:$Q$128,'price-old'!H$2,FALSE)</f>
        <v>34.75</v>
      </c>
      <c r="I228" s="17">
        <f>VLOOKUP($C228,[1]Peak_Forward!$A$6:$Q$128,'price-old'!I$2,FALSE)</f>
        <v>40</v>
      </c>
      <c r="J228" s="17">
        <f>VLOOKUP($C228,[1]Peak_Forward!$A$6:$Q$128,'price-old'!J$2,FALSE)</f>
        <v>32.82</v>
      </c>
      <c r="K228" s="17">
        <f>VLOOKUP($C228,[1]Peak_Forward!$A$6:$Q$128,'price-old'!K$2,FALSE)</f>
        <v>36.5</v>
      </c>
      <c r="L228" s="17">
        <f>VLOOKUP($C228,[1]Peak_Forward!$A$6:$Q$128,'price-old'!L$2,FALSE)</f>
        <v>36.25</v>
      </c>
      <c r="M228" s="17">
        <f>VLOOKUP($C228,[1]Peak_Forward!$A$6:$Q$128,'price-old'!M$2,FALSE)</f>
        <v>36.5</v>
      </c>
      <c r="N228" s="17">
        <f>VLOOKUP($C228,[1]Peak_Forward!$A$6:$Q$128,'price-old'!N$2,FALSE)</f>
        <v>48.5</v>
      </c>
      <c r="O228" s="17">
        <f>VLOOKUP($C228,[1]Peak_Forward!$A$6:$Q$128,'price-old'!O$2,FALSE)</f>
        <v>30.87</v>
      </c>
      <c r="P228" s="17">
        <f>VLOOKUP($C228,[1]Peak_Forward!$A$6:$Q$128,'price-old'!P$2,FALSE)</f>
        <v>33.25</v>
      </c>
      <c r="Q228" s="17">
        <f>VLOOKUP($C228,[1]Peak_Forward!$A$6:$Q$128,'price-old'!Q$2,FALSE)</f>
        <v>36.5</v>
      </c>
      <c r="R228" s="6">
        <f>VLOOKUP($C228,[1]Peak_Forward!$A$6:$Q$128,'price-old'!R$2,FALSE)</f>
        <v>31.82</v>
      </c>
      <c r="S228" s="6">
        <f>VLOOKUP($C228,[1]Peak_Forward!$A$6:$Q$128,'price-old'!S$2,FALSE)</f>
        <v>30.32</v>
      </c>
    </row>
    <row r="229" spans="3:19" x14ac:dyDescent="0.2">
      <c r="C229" s="1">
        <f>'Filter-old'!C104</f>
        <v>39965</v>
      </c>
      <c r="E229" s="17">
        <f>VLOOKUP($C229,[1]Peak_Forward!$A$6:$Q$128,'price-old'!E$2,FALSE)</f>
        <v>42.75</v>
      </c>
      <c r="F229" s="17">
        <f>VLOOKUP($C229,[1]Peak_Forward!$A$6:$Q$128,'price-old'!F$2,FALSE)</f>
        <v>42.75</v>
      </c>
      <c r="G229" s="17">
        <f>VLOOKUP($C229,[1]Peak_Forward!$A$6:$Q$128,'price-old'!G$2,FALSE)</f>
        <v>37.5</v>
      </c>
      <c r="H229" s="17">
        <f>VLOOKUP($C229,[1]Peak_Forward!$A$6:$Q$128,'price-old'!H$2,FALSE)</f>
        <v>46.75</v>
      </c>
      <c r="I229" s="17">
        <f>VLOOKUP($C229,[1]Peak_Forward!$A$6:$Q$128,'price-old'!I$2,FALSE)</f>
        <v>50</v>
      </c>
      <c r="J229" s="17">
        <f>VLOOKUP($C229,[1]Peak_Forward!$A$6:$Q$128,'price-old'!J$2,FALSE)</f>
        <v>39.5</v>
      </c>
      <c r="K229" s="17">
        <f>VLOOKUP($C229,[1]Peak_Forward!$A$6:$Q$128,'price-old'!K$2,FALSE)</f>
        <v>41.25</v>
      </c>
      <c r="L229" s="17">
        <f>VLOOKUP($C229,[1]Peak_Forward!$A$6:$Q$128,'price-old'!L$2,FALSE)</f>
        <v>52.75</v>
      </c>
      <c r="M229" s="17">
        <f>VLOOKUP($C229,[1]Peak_Forward!$A$6:$Q$128,'price-old'!M$2,FALSE)</f>
        <v>41.25</v>
      </c>
      <c r="N229" s="17">
        <f>VLOOKUP($C229,[1]Peak_Forward!$A$6:$Q$128,'price-old'!N$2,FALSE)</f>
        <v>59.5</v>
      </c>
      <c r="O229" s="17">
        <f>VLOOKUP($C229,[1]Peak_Forward!$A$6:$Q$128,'price-old'!O$2,FALSE)</f>
        <v>35.25</v>
      </c>
      <c r="P229" s="17">
        <f>VLOOKUP($C229,[1]Peak_Forward!$A$6:$Q$128,'price-old'!P$2,FALSE)</f>
        <v>43</v>
      </c>
      <c r="Q229" s="17">
        <f>VLOOKUP($C229,[1]Peak_Forward!$A$6:$Q$128,'price-old'!Q$2,FALSE)</f>
        <v>41.25</v>
      </c>
      <c r="R229" s="6">
        <f>VLOOKUP($C229,[1]Peak_Forward!$A$6:$Q$128,'price-old'!R$2,FALSE)</f>
        <v>38</v>
      </c>
      <c r="S229" s="6">
        <f>VLOOKUP($C229,[1]Peak_Forward!$A$6:$Q$128,'price-old'!S$2,FALSE)</f>
        <v>36.35</v>
      </c>
    </row>
    <row r="230" spans="3:19" x14ac:dyDescent="0.2">
      <c r="C230" s="1">
        <f>'Filter-old'!C105</f>
        <v>39995</v>
      </c>
      <c r="E230" s="17">
        <f>VLOOKUP($C230,[1]Peak_Forward!$A$6:$Q$128,'price-old'!E$2,FALSE)</f>
        <v>51.75</v>
      </c>
      <c r="F230" s="17">
        <f>VLOOKUP($C230,[1]Peak_Forward!$A$6:$Q$128,'price-old'!F$2,FALSE)</f>
        <v>51.75</v>
      </c>
      <c r="G230" s="17">
        <f>VLOOKUP($C230,[1]Peak_Forward!$A$6:$Q$128,'price-old'!G$2,FALSE)</f>
        <v>51.484999999999999</v>
      </c>
      <c r="H230" s="17">
        <f>VLOOKUP($C230,[1]Peak_Forward!$A$6:$Q$128,'price-old'!H$2,FALSE)</f>
        <v>55.75</v>
      </c>
      <c r="I230" s="17">
        <f>VLOOKUP($C230,[1]Peak_Forward!$A$6:$Q$128,'price-old'!I$2,FALSE)</f>
        <v>71</v>
      </c>
      <c r="J230" s="17">
        <f>VLOOKUP($C230,[1]Peak_Forward!$A$6:$Q$128,'price-old'!J$2,FALSE)</f>
        <v>54.484999999999999</v>
      </c>
      <c r="K230" s="17">
        <f>VLOOKUP($C230,[1]Peak_Forward!$A$6:$Q$128,'price-old'!K$2,FALSE)</f>
        <v>48.5</v>
      </c>
      <c r="L230" s="17">
        <f>VLOOKUP($C230,[1]Peak_Forward!$A$6:$Q$128,'price-old'!L$2,FALSE)</f>
        <v>65.75</v>
      </c>
      <c r="M230" s="17">
        <f>VLOOKUP($C230,[1]Peak_Forward!$A$6:$Q$128,'price-old'!M$2,FALSE)</f>
        <v>48.5</v>
      </c>
      <c r="N230" s="17">
        <f>VLOOKUP($C230,[1]Peak_Forward!$A$6:$Q$128,'price-old'!N$2,FALSE)</f>
        <v>79.5</v>
      </c>
      <c r="O230" s="17">
        <f>VLOOKUP($C230,[1]Peak_Forward!$A$6:$Q$128,'price-old'!O$2,FALSE)</f>
        <v>39.634999999999998</v>
      </c>
      <c r="P230" s="17">
        <f>VLOOKUP($C230,[1]Peak_Forward!$A$6:$Q$128,'price-old'!P$2,FALSE)</f>
        <v>54</v>
      </c>
      <c r="Q230" s="17">
        <f>VLOOKUP($C230,[1]Peak_Forward!$A$6:$Q$128,'price-old'!Q$2,FALSE)</f>
        <v>48.5</v>
      </c>
      <c r="R230" s="6">
        <f>VLOOKUP($C230,[1]Peak_Forward!$A$6:$Q$128,'price-old'!R$2,FALSE)</f>
        <v>51.984999999999999</v>
      </c>
      <c r="S230" s="6">
        <f>VLOOKUP($C230,[1]Peak_Forward!$A$6:$Q$128,'price-old'!S$2,FALSE)</f>
        <v>49.935000000000002</v>
      </c>
    </row>
    <row r="231" spans="3:19" x14ac:dyDescent="0.2">
      <c r="C231" s="1">
        <f>'Filter-old'!C106</f>
        <v>40026</v>
      </c>
      <c r="E231" s="17">
        <f>VLOOKUP($C231,[1]Peak_Forward!$A$6:$Q$128,'price-old'!E$2,FALSE)</f>
        <v>51.75</v>
      </c>
      <c r="F231" s="17">
        <f>VLOOKUP($C231,[1]Peak_Forward!$A$6:$Q$128,'price-old'!F$2,FALSE)</f>
        <v>51.75</v>
      </c>
      <c r="G231" s="17">
        <f>VLOOKUP($C231,[1]Peak_Forward!$A$6:$Q$128,'price-old'!G$2,FALSE)</f>
        <v>50.674999999999997</v>
      </c>
      <c r="H231" s="17">
        <f>VLOOKUP($C231,[1]Peak_Forward!$A$6:$Q$128,'price-old'!H$2,FALSE)</f>
        <v>55.75</v>
      </c>
      <c r="I231" s="17">
        <f>VLOOKUP($C231,[1]Peak_Forward!$A$6:$Q$128,'price-old'!I$2,FALSE)</f>
        <v>71</v>
      </c>
      <c r="J231" s="17">
        <f>VLOOKUP($C231,[1]Peak_Forward!$A$6:$Q$128,'price-old'!J$2,FALSE)</f>
        <v>53.674999999999997</v>
      </c>
      <c r="K231" s="17">
        <f>VLOOKUP($C231,[1]Peak_Forward!$A$6:$Q$128,'price-old'!K$2,FALSE)</f>
        <v>48.5</v>
      </c>
      <c r="L231" s="17">
        <f>VLOOKUP($C231,[1]Peak_Forward!$A$6:$Q$128,'price-old'!L$2,FALSE)</f>
        <v>65.75</v>
      </c>
      <c r="M231" s="17">
        <f>VLOOKUP($C231,[1]Peak_Forward!$A$6:$Q$128,'price-old'!M$2,FALSE)</f>
        <v>48.5</v>
      </c>
      <c r="N231" s="17">
        <f>VLOOKUP($C231,[1]Peak_Forward!$A$6:$Q$128,'price-old'!N$2,FALSE)</f>
        <v>79.5</v>
      </c>
      <c r="O231" s="17">
        <f>VLOOKUP($C231,[1]Peak_Forward!$A$6:$Q$128,'price-old'!O$2,FALSE)</f>
        <v>38.825000000000003</v>
      </c>
      <c r="P231" s="17">
        <f>VLOOKUP($C231,[1]Peak_Forward!$A$6:$Q$128,'price-old'!P$2,FALSE)</f>
        <v>54</v>
      </c>
      <c r="Q231" s="17">
        <f>VLOOKUP($C231,[1]Peak_Forward!$A$6:$Q$128,'price-old'!Q$2,FALSE)</f>
        <v>48.5</v>
      </c>
      <c r="R231" s="6">
        <f>VLOOKUP($C231,[1]Peak_Forward!$A$6:$Q$128,'price-old'!R$2,FALSE)</f>
        <v>51.174999999999997</v>
      </c>
      <c r="S231" s="6">
        <f>VLOOKUP($C231,[1]Peak_Forward!$A$6:$Q$128,'price-old'!S$2,FALSE)</f>
        <v>49.125</v>
      </c>
    </row>
    <row r="232" spans="3:19" x14ac:dyDescent="0.2">
      <c r="C232" s="1">
        <f>'Filter-old'!C107</f>
        <v>40057</v>
      </c>
      <c r="E232" s="17">
        <f>VLOOKUP($C232,[1]Peak_Forward!$A$6:$Q$128,'price-old'!E$2,FALSE)</f>
        <v>30.75</v>
      </c>
      <c r="F232" s="17">
        <f>VLOOKUP($C232,[1]Peak_Forward!$A$6:$Q$128,'price-old'!F$2,FALSE)</f>
        <v>30.75</v>
      </c>
      <c r="G232" s="17">
        <f>VLOOKUP($C232,[1]Peak_Forward!$A$6:$Q$128,'price-old'!G$2,FALSE)</f>
        <v>27.27</v>
      </c>
      <c r="H232" s="17">
        <f>VLOOKUP($C232,[1]Peak_Forward!$A$6:$Q$128,'price-old'!H$2,FALSE)</f>
        <v>32.75</v>
      </c>
      <c r="I232" s="17">
        <f>VLOOKUP($C232,[1]Peak_Forward!$A$6:$Q$128,'price-old'!I$2,FALSE)</f>
        <v>39.5</v>
      </c>
      <c r="J232" s="17">
        <f>VLOOKUP($C232,[1]Peak_Forward!$A$6:$Q$128,'price-old'!J$2,FALSE)</f>
        <v>29.27</v>
      </c>
      <c r="K232" s="17">
        <f>VLOOKUP($C232,[1]Peak_Forward!$A$6:$Q$128,'price-old'!K$2,FALSE)</f>
        <v>35.5</v>
      </c>
      <c r="L232" s="17">
        <f>VLOOKUP($C232,[1]Peak_Forward!$A$6:$Q$128,'price-old'!L$2,FALSE)</f>
        <v>35.25</v>
      </c>
      <c r="M232" s="17">
        <f>VLOOKUP($C232,[1]Peak_Forward!$A$6:$Q$128,'price-old'!M$2,FALSE)</f>
        <v>35.5</v>
      </c>
      <c r="N232" s="17">
        <f>VLOOKUP($C232,[1]Peak_Forward!$A$6:$Q$128,'price-old'!N$2,FALSE)</f>
        <v>43.5</v>
      </c>
      <c r="O232" s="17">
        <f>VLOOKUP($C232,[1]Peak_Forward!$A$6:$Q$128,'price-old'!O$2,FALSE)</f>
        <v>26.12</v>
      </c>
      <c r="P232" s="17">
        <f>VLOOKUP($C232,[1]Peak_Forward!$A$6:$Q$128,'price-old'!P$2,FALSE)</f>
        <v>31.75</v>
      </c>
      <c r="Q232" s="17">
        <f>VLOOKUP($C232,[1]Peak_Forward!$A$6:$Q$128,'price-old'!Q$2,FALSE)</f>
        <v>35.5</v>
      </c>
      <c r="R232" s="6">
        <f>VLOOKUP($C232,[1]Peak_Forward!$A$6:$Q$128,'price-old'!R$2,FALSE)</f>
        <v>27.77</v>
      </c>
      <c r="S232" s="6">
        <f>VLOOKUP($C232,[1]Peak_Forward!$A$6:$Q$128,'price-old'!S$2,FALSE)</f>
        <v>26.52</v>
      </c>
    </row>
    <row r="233" spans="3:19" x14ac:dyDescent="0.2">
      <c r="C233" s="1">
        <f>'Filter-old'!C108</f>
        <v>40087</v>
      </c>
      <c r="E233" s="17">
        <f>VLOOKUP($C233,[1]Peak_Forward!$A$6:$Q$128,'price-old'!E$2,FALSE)</f>
        <v>30.75</v>
      </c>
      <c r="F233" s="17">
        <f>VLOOKUP($C233,[1]Peak_Forward!$A$6:$Q$128,'price-old'!F$2,FALSE)</f>
        <v>30.75</v>
      </c>
      <c r="G233" s="17">
        <f>VLOOKUP($C233,[1]Peak_Forward!$A$6:$Q$128,'price-old'!G$2,FALSE)</f>
        <v>28.56</v>
      </c>
      <c r="H233" s="17">
        <f>VLOOKUP($C233,[1]Peak_Forward!$A$6:$Q$128,'price-old'!H$2,FALSE)</f>
        <v>32.75</v>
      </c>
      <c r="I233" s="17">
        <f>VLOOKUP($C233,[1]Peak_Forward!$A$6:$Q$128,'price-old'!I$2,FALSE)</f>
        <v>39.5</v>
      </c>
      <c r="J233" s="17">
        <f>VLOOKUP($C233,[1]Peak_Forward!$A$6:$Q$128,'price-old'!J$2,FALSE)</f>
        <v>29.06</v>
      </c>
      <c r="K233" s="17">
        <f>VLOOKUP($C233,[1]Peak_Forward!$A$6:$Q$128,'price-old'!K$2,FALSE)</f>
        <v>35.25</v>
      </c>
      <c r="L233" s="17">
        <f>VLOOKUP($C233,[1]Peak_Forward!$A$6:$Q$128,'price-old'!L$2,FALSE)</f>
        <v>34.25</v>
      </c>
      <c r="M233" s="17">
        <f>VLOOKUP($C233,[1]Peak_Forward!$A$6:$Q$128,'price-old'!M$2,FALSE)</f>
        <v>35.25</v>
      </c>
      <c r="N233" s="17">
        <f>VLOOKUP($C233,[1]Peak_Forward!$A$6:$Q$128,'price-old'!N$2,FALSE)</f>
        <v>43.5</v>
      </c>
      <c r="O233" s="17">
        <f>VLOOKUP($C233,[1]Peak_Forward!$A$6:$Q$128,'price-old'!O$2,FALSE)</f>
        <v>32.75</v>
      </c>
      <c r="P233" s="17">
        <f>VLOOKUP($C233,[1]Peak_Forward!$A$6:$Q$128,'price-old'!P$2,FALSE)</f>
        <v>31.75</v>
      </c>
      <c r="Q233" s="17">
        <f>VLOOKUP($C233,[1]Peak_Forward!$A$6:$Q$128,'price-old'!Q$2,FALSE)</f>
        <v>35.25</v>
      </c>
      <c r="R233" s="6">
        <f>VLOOKUP($C233,[1]Peak_Forward!$A$6:$Q$128,'price-old'!R$2,FALSE)</f>
        <v>29.06</v>
      </c>
      <c r="S233" s="6">
        <f>VLOOKUP($C233,[1]Peak_Forward!$A$6:$Q$128,'price-old'!S$2,FALSE)</f>
        <v>27.81</v>
      </c>
    </row>
    <row r="234" spans="3:19" x14ac:dyDescent="0.2">
      <c r="C234" s="1">
        <f>'Filter-old'!C109</f>
        <v>40118</v>
      </c>
      <c r="E234" s="17">
        <f>VLOOKUP($C234,[1]Peak_Forward!$A$6:$Q$128,'price-old'!E$2,FALSE)</f>
        <v>30.75</v>
      </c>
      <c r="F234" s="17">
        <f>VLOOKUP($C234,[1]Peak_Forward!$A$6:$Q$128,'price-old'!F$2,FALSE)</f>
        <v>30.75</v>
      </c>
      <c r="G234" s="17">
        <f>VLOOKUP($C234,[1]Peak_Forward!$A$6:$Q$128,'price-old'!G$2,FALSE)</f>
        <v>27.88</v>
      </c>
      <c r="H234" s="17">
        <f>VLOOKUP($C234,[1]Peak_Forward!$A$6:$Q$128,'price-old'!H$2,FALSE)</f>
        <v>32.75</v>
      </c>
      <c r="I234" s="17">
        <f>VLOOKUP($C234,[1]Peak_Forward!$A$6:$Q$128,'price-old'!I$2,FALSE)</f>
        <v>39.5</v>
      </c>
      <c r="J234" s="17">
        <f>VLOOKUP($C234,[1]Peak_Forward!$A$6:$Q$128,'price-old'!J$2,FALSE)</f>
        <v>28.38</v>
      </c>
      <c r="K234" s="17">
        <f>VLOOKUP($C234,[1]Peak_Forward!$A$6:$Q$128,'price-old'!K$2,FALSE)</f>
        <v>35.25</v>
      </c>
      <c r="L234" s="17">
        <f>VLOOKUP($C234,[1]Peak_Forward!$A$6:$Q$128,'price-old'!L$2,FALSE)</f>
        <v>34.25</v>
      </c>
      <c r="M234" s="17">
        <f>VLOOKUP($C234,[1]Peak_Forward!$A$6:$Q$128,'price-old'!M$2,FALSE)</f>
        <v>35.25</v>
      </c>
      <c r="N234" s="17">
        <f>VLOOKUP($C234,[1]Peak_Forward!$A$6:$Q$128,'price-old'!N$2,FALSE)</f>
        <v>43.5</v>
      </c>
      <c r="O234" s="17">
        <f>VLOOKUP($C234,[1]Peak_Forward!$A$6:$Q$128,'price-old'!O$2,FALSE)</f>
        <v>35.47</v>
      </c>
      <c r="P234" s="17">
        <f>VLOOKUP($C234,[1]Peak_Forward!$A$6:$Q$128,'price-old'!P$2,FALSE)</f>
        <v>31.75</v>
      </c>
      <c r="Q234" s="17">
        <f>VLOOKUP($C234,[1]Peak_Forward!$A$6:$Q$128,'price-old'!Q$2,FALSE)</f>
        <v>35.25</v>
      </c>
      <c r="R234" s="6">
        <f>VLOOKUP($C234,[1]Peak_Forward!$A$6:$Q$128,'price-old'!R$2,FALSE)</f>
        <v>28.38</v>
      </c>
      <c r="S234" s="6">
        <f>VLOOKUP($C234,[1]Peak_Forward!$A$6:$Q$128,'price-old'!S$2,FALSE)</f>
        <v>27.13</v>
      </c>
    </row>
    <row r="235" spans="3:19" x14ac:dyDescent="0.2">
      <c r="C235" s="1">
        <f>'Filter-old'!C110</f>
        <v>40148</v>
      </c>
      <c r="E235" s="17">
        <f>VLOOKUP($C235,[1]Peak_Forward!$A$6:$Q$128,'price-old'!E$2,FALSE)</f>
        <v>30.75</v>
      </c>
      <c r="F235" s="17">
        <f>VLOOKUP($C235,[1]Peak_Forward!$A$6:$Q$128,'price-old'!F$2,FALSE)</f>
        <v>30.75</v>
      </c>
      <c r="G235" s="17">
        <f>VLOOKUP($C235,[1]Peak_Forward!$A$6:$Q$128,'price-old'!G$2,FALSE)</f>
        <v>28.99</v>
      </c>
      <c r="H235" s="17">
        <f>VLOOKUP($C235,[1]Peak_Forward!$A$6:$Q$128,'price-old'!H$2,FALSE)</f>
        <v>32.75</v>
      </c>
      <c r="I235" s="17">
        <f>VLOOKUP($C235,[1]Peak_Forward!$A$6:$Q$128,'price-old'!I$2,FALSE)</f>
        <v>39.5</v>
      </c>
      <c r="J235" s="17">
        <f>VLOOKUP($C235,[1]Peak_Forward!$A$6:$Q$128,'price-old'!J$2,FALSE)</f>
        <v>29.49</v>
      </c>
      <c r="K235" s="17">
        <f>VLOOKUP($C235,[1]Peak_Forward!$A$6:$Q$128,'price-old'!K$2,FALSE)</f>
        <v>35.25</v>
      </c>
      <c r="L235" s="17">
        <f>VLOOKUP($C235,[1]Peak_Forward!$A$6:$Q$128,'price-old'!L$2,FALSE)</f>
        <v>34.25</v>
      </c>
      <c r="M235" s="17">
        <f>VLOOKUP($C235,[1]Peak_Forward!$A$6:$Q$128,'price-old'!M$2,FALSE)</f>
        <v>35.25</v>
      </c>
      <c r="N235" s="17">
        <f>VLOOKUP($C235,[1]Peak_Forward!$A$6:$Q$128,'price-old'!N$2,FALSE)</f>
        <v>43.5</v>
      </c>
      <c r="O235" s="17">
        <f>VLOOKUP($C235,[1]Peak_Forward!$A$6:$Q$128,'price-old'!O$2,FALSE)</f>
        <v>36.979999999999997</v>
      </c>
      <c r="P235" s="17">
        <f>VLOOKUP($C235,[1]Peak_Forward!$A$6:$Q$128,'price-old'!P$2,FALSE)</f>
        <v>31.75</v>
      </c>
      <c r="Q235" s="17">
        <f>VLOOKUP($C235,[1]Peak_Forward!$A$6:$Q$128,'price-old'!Q$2,FALSE)</f>
        <v>35.25</v>
      </c>
      <c r="R235" s="6">
        <f>VLOOKUP($C235,[1]Peak_Forward!$A$6:$Q$128,'price-old'!R$2,FALSE)</f>
        <v>29.49</v>
      </c>
      <c r="S235" s="6">
        <f>VLOOKUP($C235,[1]Peak_Forward!$A$6:$Q$128,'price-old'!S$2,FALSE)</f>
        <v>28.24</v>
      </c>
    </row>
    <row r="236" spans="3:19" x14ac:dyDescent="0.2">
      <c r="C236" s="1">
        <f>'Filter-old'!C111</f>
        <v>40179</v>
      </c>
      <c r="E236" s="17">
        <f>VLOOKUP($C236,[1]Peak_Forward!$A$6:$Q$128,'price-old'!E$2,FALSE)</f>
        <v>33.25</v>
      </c>
      <c r="F236" s="17">
        <f>VLOOKUP($C236,[1]Peak_Forward!$A$6:$Q$128,'price-old'!F$2,FALSE)</f>
        <v>33.25</v>
      </c>
      <c r="G236" s="17">
        <f>VLOOKUP($C236,[1]Peak_Forward!$A$6:$Q$128,'price-old'!G$2,FALSE)</f>
        <v>30.88</v>
      </c>
      <c r="H236" s="17">
        <f>VLOOKUP($C236,[1]Peak_Forward!$A$6:$Q$128,'price-old'!H$2,FALSE)</f>
        <v>35.25</v>
      </c>
      <c r="I236" s="17">
        <f>VLOOKUP($C236,[1]Peak_Forward!$A$6:$Q$128,'price-old'!I$2,FALSE)</f>
        <v>45</v>
      </c>
      <c r="J236" s="17">
        <f>VLOOKUP($C236,[1]Peak_Forward!$A$6:$Q$128,'price-old'!J$2,FALSE)</f>
        <v>31.88</v>
      </c>
      <c r="K236" s="17">
        <f>VLOOKUP($C236,[1]Peak_Forward!$A$6:$Q$128,'price-old'!K$2,FALSE)</f>
        <v>44.75</v>
      </c>
      <c r="L236" s="17">
        <f>VLOOKUP($C236,[1]Peak_Forward!$A$6:$Q$128,'price-old'!L$2,FALSE)</f>
        <v>36.75</v>
      </c>
      <c r="M236" s="17">
        <f>VLOOKUP($C236,[1]Peak_Forward!$A$6:$Q$128,'price-old'!M$2,FALSE)</f>
        <v>44.75</v>
      </c>
      <c r="N236" s="17">
        <f>VLOOKUP($C236,[1]Peak_Forward!$A$6:$Q$128,'price-old'!N$2,FALSE)</f>
        <v>50.5</v>
      </c>
      <c r="O236" s="17">
        <f>VLOOKUP($C236,[1]Peak_Forward!$A$6:$Q$128,'price-old'!O$2,FALSE)</f>
        <v>37.08</v>
      </c>
      <c r="P236" s="17">
        <f>VLOOKUP($C236,[1]Peak_Forward!$A$6:$Q$128,'price-old'!P$2,FALSE)</f>
        <v>35</v>
      </c>
      <c r="Q236" s="17">
        <f>VLOOKUP($C236,[1]Peak_Forward!$A$6:$Q$128,'price-old'!Q$2,FALSE)</f>
        <v>44.75</v>
      </c>
      <c r="R236" s="6">
        <f>VLOOKUP($C236,[1]Peak_Forward!$A$6:$Q$128,'price-old'!R$2,FALSE)</f>
        <v>31.38</v>
      </c>
      <c r="S236" s="6">
        <f>VLOOKUP($C236,[1]Peak_Forward!$A$6:$Q$128,'price-old'!S$2,FALSE)</f>
        <v>29.83</v>
      </c>
    </row>
    <row r="237" spans="3:19" x14ac:dyDescent="0.2">
      <c r="C237" s="1">
        <f>'Filter-old'!C112</f>
        <v>40210</v>
      </c>
      <c r="E237" s="17">
        <f>VLOOKUP($C237,[1]Peak_Forward!$A$6:$Q$128,'price-old'!E$2,FALSE)</f>
        <v>33.25</v>
      </c>
      <c r="F237" s="17">
        <f>VLOOKUP($C237,[1]Peak_Forward!$A$6:$Q$128,'price-old'!F$2,FALSE)</f>
        <v>33.25</v>
      </c>
      <c r="G237" s="17">
        <f>VLOOKUP($C237,[1]Peak_Forward!$A$6:$Q$128,'price-old'!G$2,FALSE)</f>
        <v>30.33</v>
      </c>
      <c r="H237" s="17">
        <f>VLOOKUP($C237,[1]Peak_Forward!$A$6:$Q$128,'price-old'!H$2,FALSE)</f>
        <v>35.25</v>
      </c>
      <c r="I237" s="17">
        <f>VLOOKUP($C237,[1]Peak_Forward!$A$6:$Q$128,'price-old'!I$2,FALSE)</f>
        <v>45</v>
      </c>
      <c r="J237" s="17">
        <f>VLOOKUP($C237,[1]Peak_Forward!$A$6:$Q$128,'price-old'!J$2,FALSE)</f>
        <v>31.33</v>
      </c>
      <c r="K237" s="17">
        <f>VLOOKUP($C237,[1]Peak_Forward!$A$6:$Q$128,'price-old'!K$2,FALSE)</f>
        <v>44.75</v>
      </c>
      <c r="L237" s="17">
        <f>VLOOKUP($C237,[1]Peak_Forward!$A$6:$Q$128,'price-old'!L$2,FALSE)</f>
        <v>36.75</v>
      </c>
      <c r="M237" s="17">
        <f>VLOOKUP($C237,[1]Peak_Forward!$A$6:$Q$128,'price-old'!M$2,FALSE)</f>
        <v>44.75</v>
      </c>
      <c r="N237" s="17">
        <f>VLOOKUP($C237,[1]Peak_Forward!$A$6:$Q$128,'price-old'!N$2,FALSE)</f>
        <v>50.5</v>
      </c>
      <c r="O237" s="17">
        <f>VLOOKUP($C237,[1]Peak_Forward!$A$6:$Q$128,'price-old'!O$2,FALSE)</f>
        <v>37.53</v>
      </c>
      <c r="P237" s="17">
        <f>VLOOKUP($C237,[1]Peak_Forward!$A$6:$Q$128,'price-old'!P$2,FALSE)</f>
        <v>35</v>
      </c>
      <c r="Q237" s="17">
        <f>VLOOKUP($C237,[1]Peak_Forward!$A$6:$Q$128,'price-old'!Q$2,FALSE)</f>
        <v>44.75</v>
      </c>
      <c r="R237" s="6">
        <f>VLOOKUP($C237,[1]Peak_Forward!$A$6:$Q$128,'price-old'!R$2,FALSE)</f>
        <v>30.83</v>
      </c>
      <c r="S237" s="6">
        <f>VLOOKUP($C237,[1]Peak_Forward!$A$6:$Q$128,'price-old'!S$2,FALSE)</f>
        <v>29.28</v>
      </c>
    </row>
    <row r="238" spans="3:19" x14ac:dyDescent="0.2">
      <c r="C238" s="1">
        <f>'Filter-old'!C113</f>
        <v>40238</v>
      </c>
      <c r="E238" s="17">
        <f>VLOOKUP($C238,[1]Peak_Forward!$A$6:$Q$128,'price-old'!E$2,FALSE)</f>
        <v>31</v>
      </c>
      <c r="F238" s="17">
        <f>VLOOKUP($C238,[1]Peak_Forward!$A$6:$Q$128,'price-old'!F$2,FALSE)</f>
        <v>31</v>
      </c>
      <c r="G238" s="17">
        <f>VLOOKUP($C238,[1]Peak_Forward!$A$6:$Q$128,'price-old'!G$2,FALSE)</f>
        <v>28.96</v>
      </c>
      <c r="H238" s="17">
        <f>VLOOKUP($C238,[1]Peak_Forward!$A$6:$Q$128,'price-old'!H$2,FALSE)</f>
        <v>33</v>
      </c>
      <c r="I238" s="17">
        <f>VLOOKUP($C238,[1]Peak_Forward!$A$6:$Q$128,'price-old'!I$2,FALSE)</f>
        <v>40</v>
      </c>
      <c r="J238" s="17">
        <f>VLOOKUP($C238,[1]Peak_Forward!$A$6:$Q$128,'price-old'!J$2,FALSE)</f>
        <v>30.21</v>
      </c>
      <c r="K238" s="17">
        <f>VLOOKUP($C238,[1]Peak_Forward!$A$6:$Q$128,'price-old'!K$2,FALSE)</f>
        <v>36.75</v>
      </c>
      <c r="L238" s="17">
        <f>VLOOKUP($C238,[1]Peak_Forward!$A$6:$Q$128,'price-old'!L$2,FALSE)</f>
        <v>34.5</v>
      </c>
      <c r="M238" s="17">
        <f>VLOOKUP($C238,[1]Peak_Forward!$A$6:$Q$128,'price-old'!M$2,FALSE)</f>
        <v>36.75</v>
      </c>
      <c r="N238" s="17">
        <f>VLOOKUP($C238,[1]Peak_Forward!$A$6:$Q$128,'price-old'!N$2,FALSE)</f>
        <v>44.5</v>
      </c>
      <c r="O238" s="17">
        <f>VLOOKUP($C238,[1]Peak_Forward!$A$6:$Q$128,'price-old'!O$2,FALSE)</f>
        <v>34.409999999999997</v>
      </c>
      <c r="P238" s="17">
        <f>VLOOKUP($C238,[1]Peak_Forward!$A$6:$Q$128,'price-old'!P$2,FALSE)</f>
        <v>32.5</v>
      </c>
      <c r="Q238" s="17">
        <f>VLOOKUP($C238,[1]Peak_Forward!$A$6:$Q$128,'price-old'!Q$2,FALSE)</f>
        <v>36.75</v>
      </c>
      <c r="R238" s="6">
        <f>VLOOKUP($C238,[1]Peak_Forward!$A$6:$Q$128,'price-old'!R$2,FALSE)</f>
        <v>29.46</v>
      </c>
      <c r="S238" s="6">
        <f>VLOOKUP($C238,[1]Peak_Forward!$A$6:$Q$128,'price-old'!S$2,FALSE)</f>
        <v>27.91</v>
      </c>
    </row>
    <row r="239" spans="3:19" x14ac:dyDescent="0.2">
      <c r="C239" s="1">
        <f>'Filter-old'!C114</f>
        <v>40269</v>
      </c>
      <c r="E239" s="17">
        <f>VLOOKUP($C239,[1]Peak_Forward!$A$6:$Q$128,'price-old'!E$2,FALSE)</f>
        <v>31</v>
      </c>
      <c r="F239" s="17">
        <f>VLOOKUP($C239,[1]Peak_Forward!$A$6:$Q$128,'price-old'!F$2,FALSE)</f>
        <v>31</v>
      </c>
      <c r="G239" s="17">
        <f>VLOOKUP($C239,[1]Peak_Forward!$A$6:$Q$128,'price-old'!G$2,FALSE)</f>
        <v>28.92</v>
      </c>
      <c r="H239" s="17">
        <f>VLOOKUP($C239,[1]Peak_Forward!$A$6:$Q$128,'price-old'!H$2,FALSE)</f>
        <v>33</v>
      </c>
      <c r="I239" s="17">
        <f>VLOOKUP($C239,[1]Peak_Forward!$A$6:$Q$128,'price-old'!I$2,FALSE)</f>
        <v>40</v>
      </c>
      <c r="J239" s="17">
        <f>VLOOKUP($C239,[1]Peak_Forward!$A$6:$Q$128,'price-old'!J$2,FALSE)</f>
        <v>30.17</v>
      </c>
      <c r="K239" s="17">
        <f>VLOOKUP($C239,[1]Peak_Forward!$A$6:$Q$128,'price-old'!K$2,FALSE)</f>
        <v>37</v>
      </c>
      <c r="L239" s="17">
        <f>VLOOKUP($C239,[1]Peak_Forward!$A$6:$Q$128,'price-old'!L$2,FALSE)</f>
        <v>34.5</v>
      </c>
      <c r="M239" s="17">
        <f>VLOOKUP($C239,[1]Peak_Forward!$A$6:$Q$128,'price-old'!M$2,FALSE)</f>
        <v>37</v>
      </c>
      <c r="N239" s="17">
        <f>VLOOKUP($C239,[1]Peak_Forward!$A$6:$Q$128,'price-old'!N$2,FALSE)</f>
        <v>44.5</v>
      </c>
      <c r="O239" s="17">
        <f>VLOOKUP($C239,[1]Peak_Forward!$A$6:$Q$128,'price-old'!O$2,FALSE)</f>
        <v>33.92</v>
      </c>
      <c r="P239" s="17">
        <f>VLOOKUP($C239,[1]Peak_Forward!$A$6:$Q$128,'price-old'!P$2,FALSE)</f>
        <v>32.5</v>
      </c>
      <c r="Q239" s="17">
        <f>VLOOKUP($C239,[1]Peak_Forward!$A$6:$Q$128,'price-old'!Q$2,FALSE)</f>
        <v>37</v>
      </c>
      <c r="R239" s="6">
        <f>VLOOKUP($C239,[1]Peak_Forward!$A$6:$Q$128,'price-old'!R$2,FALSE)</f>
        <v>29.42</v>
      </c>
      <c r="S239" s="6">
        <f>VLOOKUP($C239,[1]Peak_Forward!$A$6:$Q$128,'price-old'!S$2,FALSE)</f>
        <v>27.87</v>
      </c>
    </row>
    <row r="240" spans="3:19" x14ac:dyDescent="0.2">
      <c r="C240" s="1">
        <f>'Filter-old'!C115</f>
        <v>40299</v>
      </c>
      <c r="E240" s="17">
        <f>VLOOKUP($C240,[1]Peak_Forward!$A$6:$Q$128,'price-old'!E$2,FALSE)</f>
        <v>33</v>
      </c>
      <c r="F240" s="17">
        <f>VLOOKUP($C240,[1]Peak_Forward!$A$6:$Q$128,'price-old'!F$2,FALSE)</f>
        <v>33</v>
      </c>
      <c r="G240" s="17">
        <f>VLOOKUP($C240,[1]Peak_Forward!$A$6:$Q$128,'price-old'!G$2,FALSE)</f>
        <v>32.090000000000003</v>
      </c>
      <c r="H240" s="17">
        <f>VLOOKUP($C240,[1]Peak_Forward!$A$6:$Q$128,'price-old'!H$2,FALSE)</f>
        <v>35</v>
      </c>
      <c r="I240" s="17">
        <f>VLOOKUP($C240,[1]Peak_Forward!$A$6:$Q$128,'price-old'!I$2,FALSE)</f>
        <v>42</v>
      </c>
      <c r="J240" s="17">
        <f>VLOOKUP($C240,[1]Peak_Forward!$A$6:$Q$128,'price-old'!J$2,FALSE)</f>
        <v>33.590000000000003</v>
      </c>
      <c r="K240" s="17">
        <f>VLOOKUP($C240,[1]Peak_Forward!$A$6:$Q$128,'price-old'!K$2,FALSE)</f>
        <v>37</v>
      </c>
      <c r="L240" s="17">
        <f>VLOOKUP($C240,[1]Peak_Forward!$A$6:$Q$128,'price-old'!L$2,FALSE)</f>
        <v>36.5</v>
      </c>
      <c r="M240" s="17">
        <f>VLOOKUP($C240,[1]Peak_Forward!$A$6:$Q$128,'price-old'!M$2,FALSE)</f>
        <v>37</v>
      </c>
      <c r="N240" s="17">
        <f>VLOOKUP($C240,[1]Peak_Forward!$A$6:$Q$128,'price-old'!N$2,FALSE)</f>
        <v>49</v>
      </c>
      <c r="O240" s="17">
        <f>VLOOKUP($C240,[1]Peak_Forward!$A$6:$Q$128,'price-old'!O$2,FALSE)</f>
        <v>31.89</v>
      </c>
      <c r="P240" s="17">
        <f>VLOOKUP($C240,[1]Peak_Forward!$A$6:$Q$128,'price-old'!P$2,FALSE)</f>
        <v>33.75</v>
      </c>
      <c r="Q240" s="17">
        <f>VLOOKUP($C240,[1]Peak_Forward!$A$6:$Q$128,'price-old'!Q$2,FALSE)</f>
        <v>37</v>
      </c>
      <c r="R240" s="6">
        <f>VLOOKUP($C240,[1]Peak_Forward!$A$6:$Q$128,'price-old'!R$2,FALSE)</f>
        <v>32.590000000000003</v>
      </c>
      <c r="S240" s="6">
        <f>VLOOKUP($C240,[1]Peak_Forward!$A$6:$Q$128,'price-old'!S$2,FALSE)</f>
        <v>31.09</v>
      </c>
    </row>
    <row r="241" spans="3:19" x14ac:dyDescent="0.2">
      <c r="C241" s="1">
        <f>'Filter-old'!C116</f>
        <v>40330</v>
      </c>
      <c r="E241" s="17">
        <f>VLOOKUP($C241,[1]Peak_Forward!$A$6:$Q$128,'price-old'!E$2,FALSE)</f>
        <v>43.5</v>
      </c>
      <c r="F241" s="17">
        <f>VLOOKUP($C241,[1]Peak_Forward!$A$6:$Q$128,'price-old'!F$2,FALSE)</f>
        <v>43.5</v>
      </c>
      <c r="G241" s="17">
        <f>VLOOKUP($C241,[1]Peak_Forward!$A$6:$Q$128,'price-old'!G$2,FALSE)</f>
        <v>38.25</v>
      </c>
      <c r="H241" s="17">
        <f>VLOOKUP($C241,[1]Peak_Forward!$A$6:$Q$128,'price-old'!H$2,FALSE)</f>
        <v>45.5</v>
      </c>
      <c r="I241" s="17">
        <f>VLOOKUP($C241,[1]Peak_Forward!$A$6:$Q$128,'price-old'!I$2,FALSE)</f>
        <v>52</v>
      </c>
      <c r="J241" s="17">
        <f>VLOOKUP($C241,[1]Peak_Forward!$A$6:$Q$128,'price-old'!J$2,FALSE)</f>
        <v>40.25</v>
      </c>
      <c r="K241" s="17">
        <f>VLOOKUP($C241,[1]Peak_Forward!$A$6:$Q$128,'price-old'!K$2,FALSE)</f>
        <v>41.75</v>
      </c>
      <c r="L241" s="17">
        <f>VLOOKUP($C241,[1]Peak_Forward!$A$6:$Q$128,'price-old'!L$2,FALSE)</f>
        <v>53.5</v>
      </c>
      <c r="M241" s="17">
        <f>VLOOKUP($C241,[1]Peak_Forward!$A$6:$Q$128,'price-old'!M$2,FALSE)</f>
        <v>41.75</v>
      </c>
      <c r="N241" s="17">
        <f>VLOOKUP($C241,[1]Peak_Forward!$A$6:$Q$128,'price-old'!N$2,FALSE)</f>
        <v>60</v>
      </c>
      <c r="O241" s="17">
        <f>VLOOKUP($C241,[1]Peak_Forward!$A$6:$Q$128,'price-old'!O$2,FALSE)</f>
        <v>36.25</v>
      </c>
      <c r="P241" s="17">
        <f>VLOOKUP($C241,[1]Peak_Forward!$A$6:$Q$128,'price-old'!P$2,FALSE)</f>
        <v>43.5</v>
      </c>
      <c r="Q241" s="17">
        <f>VLOOKUP($C241,[1]Peak_Forward!$A$6:$Q$128,'price-old'!Q$2,FALSE)</f>
        <v>41.75</v>
      </c>
      <c r="R241" s="6">
        <f>VLOOKUP($C241,[1]Peak_Forward!$A$6:$Q$128,'price-old'!R$2,FALSE)</f>
        <v>38.75</v>
      </c>
      <c r="S241" s="6">
        <f>VLOOKUP($C241,[1]Peak_Forward!$A$6:$Q$128,'price-old'!S$2,FALSE)</f>
        <v>37.1</v>
      </c>
    </row>
    <row r="242" spans="3:19" x14ac:dyDescent="0.2">
      <c r="C242" s="1">
        <f>'Filter-old'!C117</f>
        <v>40360</v>
      </c>
      <c r="E242" s="17">
        <f>VLOOKUP($C242,[1]Peak_Forward!$A$6:$Q$128,'price-old'!E$2,FALSE)</f>
        <v>52</v>
      </c>
      <c r="F242" s="17">
        <f>VLOOKUP($C242,[1]Peak_Forward!$A$6:$Q$128,'price-old'!F$2,FALSE)</f>
        <v>52</v>
      </c>
      <c r="G242" s="17">
        <f>VLOOKUP($C242,[1]Peak_Forward!$A$6:$Q$128,'price-old'!G$2,FALSE)</f>
        <v>53.45</v>
      </c>
      <c r="H242" s="17">
        <f>VLOOKUP($C242,[1]Peak_Forward!$A$6:$Q$128,'price-old'!H$2,FALSE)</f>
        <v>54</v>
      </c>
      <c r="I242" s="17">
        <f>VLOOKUP($C242,[1]Peak_Forward!$A$6:$Q$128,'price-old'!I$2,FALSE)</f>
        <v>72</v>
      </c>
      <c r="J242" s="17">
        <f>VLOOKUP($C242,[1]Peak_Forward!$A$6:$Q$128,'price-old'!J$2,FALSE)</f>
        <v>56.45</v>
      </c>
      <c r="K242" s="17">
        <f>VLOOKUP($C242,[1]Peak_Forward!$A$6:$Q$128,'price-old'!K$2,FALSE)</f>
        <v>49</v>
      </c>
      <c r="L242" s="17">
        <f>VLOOKUP($C242,[1]Peak_Forward!$A$6:$Q$128,'price-old'!L$2,FALSE)</f>
        <v>66</v>
      </c>
      <c r="M242" s="17">
        <f>VLOOKUP($C242,[1]Peak_Forward!$A$6:$Q$128,'price-old'!M$2,FALSE)</f>
        <v>49</v>
      </c>
      <c r="N242" s="17">
        <f>VLOOKUP($C242,[1]Peak_Forward!$A$6:$Q$128,'price-old'!N$2,FALSE)</f>
        <v>80</v>
      </c>
      <c r="O242" s="17">
        <f>VLOOKUP($C242,[1]Peak_Forward!$A$6:$Q$128,'price-old'!O$2,FALSE)</f>
        <v>41.85</v>
      </c>
      <c r="P242" s="17">
        <f>VLOOKUP($C242,[1]Peak_Forward!$A$6:$Q$128,'price-old'!P$2,FALSE)</f>
        <v>54.5</v>
      </c>
      <c r="Q242" s="17">
        <f>VLOOKUP($C242,[1]Peak_Forward!$A$6:$Q$128,'price-old'!Q$2,FALSE)</f>
        <v>49</v>
      </c>
      <c r="R242" s="6">
        <f>VLOOKUP($C242,[1]Peak_Forward!$A$6:$Q$128,'price-old'!R$2,FALSE)</f>
        <v>53.95</v>
      </c>
      <c r="S242" s="6">
        <f>VLOOKUP($C242,[1]Peak_Forward!$A$6:$Q$128,'price-old'!S$2,FALSE)</f>
        <v>51.9</v>
      </c>
    </row>
    <row r="243" spans="3:19" x14ac:dyDescent="0.2">
      <c r="C243" s="1">
        <f>'Filter-old'!C118</f>
        <v>40391</v>
      </c>
      <c r="E243" s="17">
        <f>VLOOKUP($C243,[1]Peak_Forward!$A$6:$Q$128,'price-old'!E$2,FALSE)</f>
        <v>52</v>
      </c>
      <c r="F243" s="17">
        <f>VLOOKUP($C243,[1]Peak_Forward!$A$6:$Q$128,'price-old'!F$2,FALSE)</f>
        <v>52</v>
      </c>
      <c r="G243" s="17">
        <f>VLOOKUP($C243,[1]Peak_Forward!$A$6:$Q$128,'price-old'!G$2,FALSE)</f>
        <v>53.46</v>
      </c>
      <c r="H243" s="17">
        <f>VLOOKUP($C243,[1]Peak_Forward!$A$6:$Q$128,'price-old'!H$2,FALSE)</f>
        <v>54</v>
      </c>
      <c r="I243" s="17">
        <f>VLOOKUP($C243,[1]Peak_Forward!$A$6:$Q$128,'price-old'!I$2,FALSE)</f>
        <v>72</v>
      </c>
      <c r="J243" s="17">
        <f>VLOOKUP($C243,[1]Peak_Forward!$A$6:$Q$128,'price-old'!J$2,FALSE)</f>
        <v>56.46</v>
      </c>
      <c r="K243" s="17">
        <f>VLOOKUP($C243,[1]Peak_Forward!$A$6:$Q$128,'price-old'!K$2,FALSE)</f>
        <v>49</v>
      </c>
      <c r="L243" s="17">
        <f>VLOOKUP($C243,[1]Peak_Forward!$A$6:$Q$128,'price-old'!L$2,FALSE)</f>
        <v>66</v>
      </c>
      <c r="M243" s="17">
        <f>VLOOKUP($C243,[1]Peak_Forward!$A$6:$Q$128,'price-old'!M$2,FALSE)</f>
        <v>49</v>
      </c>
      <c r="N243" s="17">
        <f>VLOOKUP($C243,[1]Peak_Forward!$A$6:$Q$128,'price-old'!N$2,FALSE)</f>
        <v>80</v>
      </c>
      <c r="O243" s="17">
        <f>VLOOKUP($C243,[1]Peak_Forward!$A$6:$Q$128,'price-old'!O$2,FALSE)</f>
        <v>41.86</v>
      </c>
      <c r="P243" s="17">
        <f>VLOOKUP($C243,[1]Peak_Forward!$A$6:$Q$128,'price-old'!P$2,FALSE)</f>
        <v>54.5</v>
      </c>
      <c r="Q243" s="17">
        <f>VLOOKUP($C243,[1]Peak_Forward!$A$6:$Q$128,'price-old'!Q$2,FALSE)</f>
        <v>49</v>
      </c>
      <c r="R243" s="6">
        <f>VLOOKUP($C243,[1]Peak_Forward!$A$6:$Q$128,'price-old'!R$2,FALSE)</f>
        <v>53.96</v>
      </c>
      <c r="S243" s="6">
        <f>VLOOKUP($C243,[1]Peak_Forward!$A$6:$Q$128,'price-old'!S$2,FALSE)</f>
        <v>51.91</v>
      </c>
    </row>
    <row r="244" spans="3:19" x14ac:dyDescent="0.2">
      <c r="C244" s="1">
        <f>'Filter-old'!C119</f>
        <v>40422</v>
      </c>
      <c r="E244" s="17">
        <f>VLOOKUP($C244,[1]Peak_Forward!$A$6:$Q$128,'price-old'!E$2,FALSE)</f>
        <v>30.75</v>
      </c>
      <c r="F244" s="17">
        <f>VLOOKUP($C244,[1]Peak_Forward!$A$6:$Q$128,'price-old'!F$2,FALSE)</f>
        <v>30.75</v>
      </c>
      <c r="G244" s="17">
        <f>VLOOKUP($C244,[1]Peak_Forward!$A$6:$Q$128,'price-old'!G$2,FALSE)</f>
        <v>28.23</v>
      </c>
      <c r="H244" s="17">
        <f>VLOOKUP($C244,[1]Peak_Forward!$A$6:$Q$128,'price-old'!H$2,FALSE)</f>
        <v>32.75</v>
      </c>
      <c r="I244" s="17">
        <f>VLOOKUP($C244,[1]Peak_Forward!$A$6:$Q$128,'price-old'!I$2,FALSE)</f>
        <v>40</v>
      </c>
      <c r="J244" s="17">
        <f>VLOOKUP($C244,[1]Peak_Forward!$A$6:$Q$128,'price-old'!J$2,FALSE)</f>
        <v>30.23</v>
      </c>
      <c r="K244" s="17">
        <f>VLOOKUP($C244,[1]Peak_Forward!$A$6:$Q$128,'price-old'!K$2,FALSE)</f>
        <v>36</v>
      </c>
      <c r="L244" s="17">
        <f>VLOOKUP($C244,[1]Peak_Forward!$A$6:$Q$128,'price-old'!L$2,FALSE)</f>
        <v>34.25</v>
      </c>
      <c r="M244" s="17">
        <f>VLOOKUP($C244,[1]Peak_Forward!$A$6:$Q$128,'price-old'!M$2,FALSE)</f>
        <v>36</v>
      </c>
      <c r="N244" s="17">
        <f>VLOOKUP($C244,[1]Peak_Forward!$A$6:$Q$128,'price-old'!N$2,FALSE)</f>
        <v>44</v>
      </c>
      <c r="O244" s="17">
        <f>VLOOKUP($C244,[1]Peak_Forward!$A$6:$Q$128,'price-old'!O$2,FALSE)</f>
        <v>27.33</v>
      </c>
      <c r="P244" s="17">
        <f>VLOOKUP($C244,[1]Peak_Forward!$A$6:$Q$128,'price-old'!P$2,FALSE)</f>
        <v>32</v>
      </c>
      <c r="Q244" s="17">
        <f>VLOOKUP($C244,[1]Peak_Forward!$A$6:$Q$128,'price-old'!Q$2,FALSE)</f>
        <v>36</v>
      </c>
      <c r="R244" s="6">
        <f>VLOOKUP($C244,[1]Peak_Forward!$A$6:$Q$128,'price-old'!R$2,FALSE)</f>
        <v>28.73</v>
      </c>
      <c r="S244" s="6">
        <f>VLOOKUP($C244,[1]Peak_Forward!$A$6:$Q$128,'price-old'!S$2,FALSE)</f>
        <v>27.48</v>
      </c>
    </row>
    <row r="245" spans="3:19" x14ac:dyDescent="0.2">
      <c r="C245" s="1">
        <f>'Filter-old'!C120</f>
        <v>40452</v>
      </c>
      <c r="E245" s="17">
        <f>VLOOKUP($C245,[1]Peak_Forward!$A$6:$Q$128,'price-old'!E$2,FALSE)</f>
        <v>30.75</v>
      </c>
      <c r="F245" s="17">
        <f>VLOOKUP($C245,[1]Peak_Forward!$A$6:$Q$128,'price-old'!F$2,FALSE)</f>
        <v>30.75</v>
      </c>
      <c r="G245" s="17">
        <f>VLOOKUP($C245,[1]Peak_Forward!$A$6:$Q$128,'price-old'!G$2,FALSE)</f>
        <v>29.3</v>
      </c>
      <c r="H245" s="17">
        <f>VLOOKUP($C245,[1]Peak_Forward!$A$6:$Q$128,'price-old'!H$2,FALSE)</f>
        <v>32.75</v>
      </c>
      <c r="I245" s="17">
        <f>VLOOKUP($C245,[1]Peak_Forward!$A$6:$Q$128,'price-old'!I$2,FALSE)</f>
        <v>40</v>
      </c>
      <c r="J245" s="17">
        <f>VLOOKUP($C245,[1]Peak_Forward!$A$6:$Q$128,'price-old'!J$2,FALSE)</f>
        <v>29.8</v>
      </c>
      <c r="K245" s="17">
        <f>VLOOKUP($C245,[1]Peak_Forward!$A$6:$Q$128,'price-old'!K$2,FALSE)</f>
        <v>35.75</v>
      </c>
      <c r="L245" s="17">
        <f>VLOOKUP($C245,[1]Peak_Forward!$A$6:$Q$128,'price-old'!L$2,FALSE)</f>
        <v>34.25</v>
      </c>
      <c r="M245" s="17">
        <f>VLOOKUP($C245,[1]Peak_Forward!$A$6:$Q$128,'price-old'!M$2,FALSE)</f>
        <v>35.75</v>
      </c>
      <c r="N245" s="17">
        <f>VLOOKUP($C245,[1]Peak_Forward!$A$6:$Q$128,'price-old'!N$2,FALSE)</f>
        <v>44</v>
      </c>
      <c r="O245" s="17">
        <f>VLOOKUP($C245,[1]Peak_Forward!$A$6:$Q$128,'price-old'!O$2,FALSE)</f>
        <v>33.74</v>
      </c>
      <c r="P245" s="17">
        <f>VLOOKUP($C245,[1]Peak_Forward!$A$6:$Q$128,'price-old'!P$2,FALSE)</f>
        <v>32</v>
      </c>
      <c r="Q245" s="17">
        <f>VLOOKUP($C245,[1]Peak_Forward!$A$6:$Q$128,'price-old'!Q$2,FALSE)</f>
        <v>35.75</v>
      </c>
      <c r="R245" s="6">
        <f>VLOOKUP($C245,[1]Peak_Forward!$A$6:$Q$128,'price-old'!R$2,FALSE)</f>
        <v>29.8</v>
      </c>
      <c r="S245" s="6">
        <f>VLOOKUP($C245,[1]Peak_Forward!$A$6:$Q$128,'price-old'!S$2,FALSE)</f>
        <v>28.55</v>
      </c>
    </row>
    <row r="246" spans="3:19" x14ac:dyDescent="0.2">
      <c r="C246" s="1">
        <f>'Filter-old'!C121</f>
        <v>40483</v>
      </c>
      <c r="E246" s="17">
        <f>VLOOKUP($C246,[1]Peak_Forward!$A$6:$Q$128,'price-old'!E$2,FALSE)</f>
        <v>30.75</v>
      </c>
      <c r="F246" s="17">
        <f>VLOOKUP($C246,[1]Peak_Forward!$A$6:$Q$128,'price-old'!F$2,FALSE)</f>
        <v>30.75</v>
      </c>
      <c r="G246" s="17">
        <f>VLOOKUP($C246,[1]Peak_Forward!$A$6:$Q$128,'price-old'!G$2,FALSE)</f>
        <v>29.16</v>
      </c>
      <c r="H246" s="17">
        <f>VLOOKUP($C246,[1]Peak_Forward!$A$6:$Q$128,'price-old'!H$2,FALSE)</f>
        <v>32.75</v>
      </c>
      <c r="I246" s="17">
        <f>VLOOKUP($C246,[1]Peak_Forward!$A$6:$Q$128,'price-old'!I$2,FALSE)</f>
        <v>40</v>
      </c>
      <c r="J246" s="17">
        <f>VLOOKUP($C246,[1]Peak_Forward!$A$6:$Q$128,'price-old'!J$2,FALSE)</f>
        <v>29.66</v>
      </c>
      <c r="K246" s="17">
        <f>VLOOKUP($C246,[1]Peak_Forward!$A$6:$Q$128,'price-old'!K$2,FALSE)</f>
        <v>35.75</v>
      </c>
      <c r="L246" s="17">
        <f>VLOOKUP($C246,[1]Peak_Forward!$A$6:$Q$128,'price-old'!L$2,FALSE)</f>
        <v>34.25</v>
      </c>
      <c r="M246" s="17">
        <f>VLOOKUP($C246,[1]Peak_Forward!$A$6:$Q$128,'price-old'!M$2,FALSE)</f>
        <v>35.75</v>
      </c>
      <c r="N246" s="17">
        <f>VLOOKUP($C246,[1]Peak_Forward!$A$6:$Q$128,'price-old'!N$2,FALSE)</f>
        <v>44</v>
      </c>
      <c r="O246" s="17">
        <f>VLOOKUP($C246,[1]Peak_Forward!$A$6:$Q$128,'price-old'!O$2,FALSE)</f>
        <v>37</v>
      </c>
      <c r="P246" s="17">
        <f>VLOOKUP($C246,[1]Peak_Forward!$A$6:$Q$128,'price-old'!P$2,FALSE)</f>
        <v>32</v>
      </c>
      <c r="Q246" s="17">
        <f>VLOOKUP($C246,[1]Peak_Forward!$A$6:$Q$128,'price-old'!Q$2,FALSE)</f>
        <v>35.75</v>
      </c>
      <c r="R246" s="6">
        <f>VLOOKUP($C246,[1]Peak_Forward!$A$6:$Q$128,'price-old'!R$2,FALSE)</f>
        <v>29.66</v>
      </c>
      <c r="S246" s="6">
        <f>VLOOKUP($C246,[1]Peak_Forward!$A$6:$Q$128,'price-old'!S$2,FALSE)</f>
        <v>28.41</v>
      </c>
    </row>
    <row r="247" spans="3:19" x14ac:dyDescent="0.2">
      <c r="C247" s="1">
        <f>'Filter-old'!C122</f>
        <v>40513</v>
      </c>
      <c r="E247" s="17">
        <f>VLOOKUP($C247,[1]Peak_Forward!$A$6:$Q$128,'price-old'!E$2,FALSE)</f>
        <v>30.75</v>
      </c>
      <c r="F247" s="17">
        <f>VLOOKUP($C247,[1]Peak_Forward!$A$6:$Q$128,'price-old'!F$2,FALSE)</f>
        <v>30.75</v>
      </c>
      <c r="G247" s="17">
        <f>VLOOKUP($C247,[1]Peak_Forward!$A$6:$Q$128,'price-old'!G$2,FALSE)</f>
        <v>29.01</v>
      </c>
      <c r="H247" s="17">
        <f>VLOOKUP($C247,[1]Peak_Forward!$A$6:$Q$128,'price-old'!H$2,FALSE)</f>
        <v>32.75</v>
      </c>
      <c r="I247" s="17">
        <f>VLOOKUP($C247,[1]Peak_Forward!$A$6:$Q$128,'price-old'!I$2,FALSE)</f>
        <v>40</v>
      </c>
      <c r="J247" s="17">
        <f>VLOOKUP($C247,[1]Peak_Forward!$A$6:$Q$128,'price-old'!J$2,FALSE)</f>
        <v>29.51</v>
      </c>
      <c r="K247" s="17">
        <f>VLOOKUP($C247,[1]Peak_Forward!$A$6:$Q$128,'price-old'!K$2,FALSE)</f>
        <v>35.75</v>
      </c>
      <c r="L247" s="17">
        <f>VLOOKUP($C247,[1]Peak_Forward!$A$6:$Q$128,'price-old'!L$2,FALSE)</f>
        <v>34.25</v>
      </c>
      <c r="M247" s="17">
        <f>VLOOKUP($C247,[1]Peak_Forward!$A$6:$Q$128,'price-old'!M$2,FALSE)</f>
        <v>35.75</v>
      </c>
      <c r="N247" s="17">
        <f>VLOOKUP($C247,[1]Peak_Forward!$A$6:$Q$128,'price-old'!N$2,FALSE)</f>
        <v>44</v>
      </c>
      <c r="O247" s="17">
        <f>VLOOKUP($C247,[1]Peak_Forward!$A$6:$Q$128,'price-old'!O$2,FALSE)</f>
        <v>37.25</v>
      </c>
      <c r="P247" s="17">
        <f>VLOOKUP($C247,[1]Peak_Forward!$A$6:$Q$128,'price-old'!P$2,FALSE)</f>
        <v>32</v>
      </c>
      <c r="Q247" s="17">
        <f>VLOOKUP($C247,[1]Peak_Forward!$A$6:$Q$128,'price-old'!Q$2,FALSE)</f>
        <v>35.75</v>
      </c>
      <c r="R247" s="6">
        <f>VLOOKUP($C247,[1]Peak_Forward!$A$6:$Q$128,'price-old'!R$2,FALSE)</f>
        <v>29.51</v>
      </c>
      <c r="S247" s="6">
        <f>VLOOKUP($C247,[1]Peak_Forward!$A$6:$Q$128,'price-old'!S$2,FALSE)</f>
        <v>28.26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C249"/>
  <sheetViews>
    <sheetView workbookViewId="0">
      <selection activeCell="B16" sqref="B16"/>
    </sheetView>
  </sheetViews>
  <sheetFormatPr defaultRowHeight="12.75" x14ac:dyDescent="0.2"/>
  <cols>
    <col min="2" max="3" width="9.140625" style="21"/>
  </cols>
  <sheetData>
    <row r="2" spans="1:3" x14ac:dyDescent="0.2">
      <c r="A2" s="1">
        <f>'Filter-old'!C3</f>
        <v>36892</v>
      </c>
      <c r="B2" s="21">
        <v>0</v>
      </c>
      <c r="C2" s="21" t="e">
        <f>VLOOKUP($A2,[1]Peak_Forward!$A$9:$R$128,18)</f>
        <v>#N/A</v>
      </c>
    </row>
    <row r="3" spans="1:3" x14ac:dyDescent="0.2">
      <c r="A3" s="1">
        <f>'Filter-old'!C4</f>
        <v>36923</v>
      </c>
      <c r="B3" s="21">
        <v>0</v>
      </c>
      <c r="C3" s="21" t="e">
        <f>VLOOKUP($A3,[1]Peak_Forward!$A$9:$R$128,18)</f>
        <v>#N/A</v>
      </c>
    </row>
    <row r="4" spans="1:3" x14ac:dyDescent="0.2">
      <c r="A4" s="1">
        <f>'Filter-old'!C5</f>
        <v>36951</v>
      </c>
      <c r="B4" s="21">
        <v>5.1602272727272727</v>
      </c>
      <c r="C4" s="21" t="e">
        <f>VLOOKUP($A4,[1]Peak_Forward!$A$9:$R$128,18)</f>
        <v>#N/A</v>
      </c>
    </row>
    <row r="5" spans="1:3" x14ac:dyDescent="0.2">
      <c r="A5" s="1">
        <f>'Filter-old'!C6</f>
        <v>36982</v>
      </c>
      <c r="B5" s="21">
        <v>5.2188095238095249</v>
      </c>
      <c r="C5" s="21" t="e">
        <f>VLOOKUP($A5,[1]Peak_Forward!$A$9:$R$128,18)</f>
        <v>#N/A</v>
      </c>
    </row>
    <row r="6" spans="1:3" x14ac:dyDescent="0.2">
      <c r="A6" s="1">
        <f>'Filter-old'!C7</f>
        <v>37012</v>
      </c>
      <c r="B6" s="21">
        <v>0</v>
      </c>
      <c r="C6" s="21" t="e">
        <f>VLOOKUP($A6,[1]Peak_Forward!$A$9:$R$128,18)</f>
        <v>#N/A</v>
      </c>
    </row>
    <row r="7" spans="1:3" x14ac:dyDescent="0.2">
      <c r="A7" s="1">
        <f>'Filter-old'!C8</f>
        <v>37043</v>
      </c>
      <c r="B7" s="21">
        <v>3.93</v>
      </c>
      <c r="C7" s="21">
        <v>3.93</v>
      </c>
    </row>
    <row r="8" spans="1:3" x14ac:dyDescent="0.2">
      <c r="A8" s="1">
        <f>'Filter-old'!C9</f>
        <v>37073</v>
      </c>
      <c r="B8" s="21">
        <v>3.8920000000000003</v>
      </c>
      <c r="C8" s="21" t="e">
        <f>VLOOKUP($A8,[1]Peak_Forward!$A$9:$R$128,18)</f>
        <v>#N/A</v>
      </c>
    </row>
    <row r="9" spans="1:3" x14ac:dyDescent="0.2">
      <c r="A9" s="1">
        <f>'Filter-old'!C10</f>
        <v>37104</v>
      </c>
      <c r="B9" s="21">
        <v>3.9750000000000001</v>
      </c>
      <c r="C9" s="21" t="e">
        <f>VLOOKUP($A9,[1]Peak_Forward!$A$9:$R$128,18)</f>
        <v>#N/A</v>
      </c>
    </row>
    <row r="10" spans="1:3" x14ac:dyDescent="0.2">
      <c r="A10" s="1">
        <f>'Filter-old'!C11</f>
        <v>37135</v>
      </c>
      <c r="B10" s="21">
        <v>4.0140000000000002</v>
      </c>
      <c r="C10" s="21" t="e">
        <f>VLOOKUP($A10,[1]Peak_Forward!$A$9:$R$128,18)</f>
        <v>#N/A</v>
      </c>
    </row>
    <row r="11" spans="1:3" x14ac:dyDescent="0.2">
      <c r="A11" s="1">
        <f>'Filter-old'!C12</f>
        <v>37165</v>
      </c>
      <c r="B11" s="21">
        <v>4.0540000000000003</v>
      </c>
      <c r="C11" s="21" t="e">
        <f>VLOOKUP($A11,[1]Peak_Forward!$A$9:$R$128,18)</f>
        <v>#N/A</v>
      </c>
    </row>
    <row r="12" spans="1:3" x14ac:dyDescent="0.2">
      <c r="A12" s="1">
        <f>'Filter-old'!C13</f>
        <v>37196</v>
      </c>
      <c r="B12" s="21">
        <v>4.2320000000000002</v>
      </c>
      <c r="C12" s="21">
        <f>VLOOKUP($A12,[1]Peak_Forward!$A$9:$R$128,18)</f>
        <v>0</v>
      </c>
    </row>
    <row r="13" spans="1:3" x14ac:dyDescent="0.2">
      <c r="A13" s="1">
        <f>'Filter-old'!C14</f>
        <v>37226</v>
      </c>
      <c r="B13" s="21">
        <v>4.4039999999999999</v>
      </c>
      <c r="C13" s="21">
        <f>VLOOKUP($A13,[1]Peak_Forward!$A$9:$R$128,18)</f>
        <v>22.041666666666661</v>
      </c>
    </row>
    <row r="14" spans="1:3" x14ac:dyDescent="0.2">
      <c r="A14" s="1">
        <f>'Filter-old'!C15</f>
        <v>37257</v>
      </c>
      <c r="B14" s="21">
        <v>4.4740000000000002</v>
      </c>
      <c r="C14" s="21">
        <f>VLOOKUP($A14,[1]Peak_Forward!$A$9:$R$128,18)</f>
        <v>26.146593093872099</v>
      </c>
    </row>
    <row r="15" spans="1:3" x14ac:dyDescent="0.2">
      <c r="A15" s="1">
        <f>'Filter-old'!C16</f>
        <v>37288</v>
      </c>
      <c r="B15" s="21">
        <v>4.3639999999999999</v>
      </c>
      <c r="C15" s="21">
        <f>VLOOKUP($A15,[1]Peak_Forward!$A$9:$R$128,18)</f>
        <v>29.68</v>
      </c>
    </row>
    <row r="16" spans="1:3" x14ac:dyDescent="0.2">
      <c r="A16" s="1">
        <f>'Filter-old'!C17</f>
        <v>37316</v>
      </c>
      <c r="B16" s="21">
        <v>4.1989999999999998</v>
      </c>
      <c r="C16" s="21">
        <f>VLOOKUP($A16,[1]Peak_Forward!$A$9:$R$128,18)</f>
        <v>28.68</v>
      </c>
    </row>
    <row r="17" spans="1:3" x14ac:dyDescent="0.2">
      <c r="A17" s="1">
        <f>'Filter-old'!C18</f>
        <v>37347</v>
      </c>
      <c r="B17" s="21">
        <v>3.839</v>
      </c>
      <c r="C17" s="21">
        <f>VLOOKUP($A17,[1]Peak_Forward!$A$9:$R$128,18)</f>
        <v>29.13</v>
      </c>
    </row>
    <row r="18" spans="1:3" x14ac:dyDescent="0.2">
      <c r="A18" s="1">
        <f>'Filter-old'!C19</f>
        <v>37377</v>
      </c>
      <c r="B18" s="21">
        <v>3.7690000000000001</v>
      </c>
      <c r="C18" s="21">
        <f>VLOOKUP($A18,[1]Peak_Forward!$A$9:$R$128,18)</f>
        <v>30.65</v>
      </c>
    </row>
    <row r="19" spans="1:3" x14ac:dyDescent="0.2">
      <c r="A19" s="1">
        <f>'Filter-old'!C20</f>
        <v>37408</v>
      </c>
      <c r="B19" s="21">
        <v>3.8190000000000004</v>
      </c>
      <c r="C19" s="21">
        <f>VLOOKUP($A19,[1]Peak_Forward!$A$9:$R$128,18)</f>
        <v>40.5</v>
      </c>
    </row>
    <row r="20" spans="1:3" x14ac:dyDescent="0.2">
      <c r="A20" s="1">
        <f>'Filter-old'!C21</f>
        <v>37438</v>
      </c>
      <c r="B20" s="21">
        <v>3.859</v>
      </c>
      <c r="C20" s="21">
        <f>VLOOKUP($A20,[1]Peak_Forward!$A$9:$R$128,18)</f>
        <v>55.125</v>
      </c>
    </row>
    <row r="21" spans="1:3" x14ac:dyDescent="0.2">
      <c r="A21" s="1">
        <f>'Filter-old'!C22</f>
        <v>37469</v>
      </c>
      <c r="B21" s="21">
        <v>3.8840000000000003</v>
      </c>
      <c r="C21" s="21">
        <f>VLOOKUP($A21,[1]Peak_Forward!$A$9:$R$128,18)</f>
        <v>55.125</v>
      </c>
    </row>
    <row r="22" spans="1:3" x14ac:dyDescent="0.2">
      <c r="A22" s="1">
        <f>'Filter-old'!C23</f>
        <v>37500</v>
      </c>
      <c r="B22" s="21">
        <v>3.9020000000000001</v>
      </c>
      <c r="C22" s="21">
        <f>VLOOKUP($A22,[1]Peak_Forward!$A$9:$R$128,18)</f>
        <v>27.3</v>
      </c>
    </row>
    <row r="23" spans="1:3" x14ac:dyDescent="0.2">
      <c r="A23" s="1">
        <f>'Filter-old'!C24</f>
        <v>37530</v>
      </c>
      <c r="B23" s="21">
        <v>3.92</v>
      </c>
      <c r="C23" s="21">
        <f>VLOOKUP($A23,[1]Peak_Forward!$A$9:$R$128,18)</f>
        <v>26.95</v>
      </c>
    </row>
    <row r="24" spans="1:3" x14ac:dyDescent="0.2">
      <c r="A24" s="1">
        <f>'Filter-old'!C25</f>
        <v>37561</v>
      </c>
      <c r="B24" s="21">
        <v>4.0280000000000005</v>
      </c>
      <c r="C24" s="21">
        <f>VLOOKUP($A24,[1]Peak_Forward!$A$9:$R$128,18)</f>
        <v>27.15</v>
      </c>
    </row>
    <row r="25" spans="1:3" x14ac:dyDescent="0.2">
      <c r="A25" s="1">
        <f>'Filter-old'!C26</f>
        <v>37591</v>
      </c>
      <c r="B25" s="21">
        <v>4.16</v>
      </c>
      <c r="C25" s="21">
        <f>VLOOKUP($A25,[1]Peak_Forward!$A$9:$R$128,18)</f>
        <v>27.35</v>
      </c>
    </row>
    <row r="26" spans="1:3" x14ac:dyDescent="0.2">
      <c r="A26" s="1">
        <f>'Filter-old'!C27</f>
        <v>37622</v>
      </c>
      <c r="B26" s="21">
        <v>4.2249999999999996</v>
      </c>
      <c r="C26" s="21">
        <f>VLOOKUP($A26,[1]Peak_Forward!$A$9:$R$128,18)</f>
        <v>31.71</v>
      </c>
    </row>
    <row r="27" spans="1:3" x14ac:dyDescent="0.2">
      <c r="A27" s="1">
        <f>'Filter-old'!C28</f>
        <v>37653</v>
      </c>
      <c r="B27" s="21">
        <v>4.1100000000000003</v>
      </c>
      <c r="C27" s="21">
        <f>VLOOKUP($A27,[1]Peak_Forward!$A$9:$R$128,18)</f>
        <v>31.11</v>
      </c>
    </row>
    <row r="28" spans="1:3" x14ac:dyDescent="0.2">
      <c r="A28" s="1">
        <f>'Filter-old'!C29</f>
        <v>37681</v>
      </c>
      <c r="B28" s="21">
        <v>3.9620000000000002</v>
      </c>
      <c r="C28" s="21">
        <f>VLOOKUP($A28,[1]Peak_Forward!$A$9:$R$128,18)</f>
        <v>30.55</v>
      </c>
    </row>
    <row r="29" spans="1:3" x14ac:dyDescent="0.2">
      <c r="A29" s="1">
        <f>'Filter-old'!C30</f>
        <v>37712</v>
      </c>
      <c r="B29" s="21">
        <v>3.7</v>
      </c>
      <c r="C29" s="21">
        <f>VLOOKUP($A29,[1]Peak_Forward!$A$9:$R$128,18)</f>
        <v>30.75</v>
      </c>
    </row>
    <row r="30" spans="1:3" x14ac:dyDescent="0.2">
      <c r="A30" s="1">
        <f>'Filter-old'!C31</f>
        <v>37742</v>
      </c>
      <c r="B30" s="21">
        <v>3.69</v>
      </c>
      <c r="C30" s="21">
        <f>VLOOKUP($A30,[1]Peak_Forward!$A$9:$R$128,18)</f>
        <v>33.024999999999999</v>
      </c>
    </row>
    <row r="31" spans="1:3" x14ac:dyDescent="0.2">
      <c r="A31" s="1">
        <f>'Filter-old'!C32</f>
        <v>37773</v>
      </c>
      <c r="B31" s="21">
        <v>3.73</v>
      </c>
      <c r="C31" s="21">
        <f>VLOOKUP($A31,[1]Peak_Forward!$A$9:$R$128,18)</f>
        <v>40.174999999999997</v>
      </c>
    </row>
    <row r="32" spans="1:3" x14ac:dyDescent="0.2">
      <c r="A32" s="1">
        <f>'Filter-old'!C33</f>
        <v>37803</v>
      </c>
      <c r="B32" s="21">
        <v>3.7850000000000001</v>
      </c>
      <c r="C32" s="21">
        <f>VLOOKUP($A32,[1]Peak_Forward!$A$9:$R$128,18)</f>
        <v>50.93</v>
      </c>
    </row>
    <row r="33" spans="1:3" x14ac:dyDescent="0.2">
      <c r="A33" s="1">
        <f>'Filter-old'!C34</f>
        <v>37834</v>
      </c>
      <c r="B33" s="21">
        <v>3.8149999999999999</v>
      </c>
      <c r="C33" s="21">
        <f>VLOOKUP($A33,[1]Peak_Forward!$A$9:$R$128,18)</f>
        <v>51.02</v>
      </c>
    </row>
    <row r="34" spans="1:3" x14ac:dyDescent="0.2">
      <c r="A34" s="1">
        <f>'Filter-old'!C35</f>
        <v>37865</v>
      </c>
      <c r="B34" s="21">
        <v>3.8270000000000004</v>
      </c>
      <c r="C34" s="21">
        <f>VLOOKUP($A34,[1]Peak_Forward!$A$9:$R$128,18)</f>
        <v>27.32</v>
      </c>
    </row>
    <row r="35" spans="1:3" x14ac:dyDescent="0.2">
      <c r="A35" s="1">
        <f>'Filter-old'!C36</f>
        <v>37895</v>
      </c>
      <c r="B35" s="21">
        <v>3.85</v>
      </c>
      <c r="C35" s="21">
        <f>VLOOKUP($A35,[1]Peak_Forward!$A$9:$R$128,18)</f>
        <v>28.23</v>
      </c>
    </row>
    <row r="36" spans="1:3" x14ac:dyDescent="0.2">
      <c r="A36" s="1">
        <f>'Filter-old'!C37</f>
        <v>37926</v>
      </c>
      <c r="B36" s="21">
        <v>3.9849999999999999</v>
      </c>
      <c r="C36" s="21">
        <f>VLOOKUP($A36,[1]Peak_Forward!$A$9:$R$128,18)</f>
        <v>28.32</v>
      </c>
    </row>
    <row r="37" spans="1:3" x14ac:dyDescent="0.2">
      <c r="A37" s="1">
        <f>'Filter-old'!C38</f>
        <v>37956</v>
      </c>
      <c r="B37" s="21">
        <v>4.125</v>
      </c>
      <c r="C37" s="21">
        <f>VLOOKUP($A37,[1]Peak_Forward!$A$9:$R$128,18)</f>
        <v>28.42</v>
      </c>
    </row>
    <row r="38" spans="1:3" x14ac:dyDescent="0.2">
      <c r="A38" s="1">
        <f>'Filter-old'!C39</f>
        <v>37987</v>
      </c>
      <c r="B38" s="21">
        <v>4.1710000000000003</v>
      </c>
      <c r="C38" s="21">
        <f>VLOOKUP($A38,[1]Peak_Forward!$A$9:$R$128,18)</f>
        <v>31.69</v>
      </c>
    </row>
    <row r="39" spans="1:3" x14ac:dyDescent="0.2">
      <c r="A39" s="1">
        <f>'Filter-old'!C40</f>
        <v>38018</v>
      </c>
      <c r="B39" s="21">
        <v>4.0529999999999999</v>
      </c>
      <c r="C39" s="21">
        <f>VLOOKUP($A39,[1]Peak_Forward!$A$9:$R$128,18)</f>
        <v>31.34</v>
      </c>
    </row>
    <row r="40" spans="1:3" x14ac:dyDescent="0.2">
      <c r="A40" s="1">
        <f>'Filter-old'!C41</f>
        <v>38047</v>
      </c>
      <c r="B40" s="21">
        <v>3.92</v>
      </c>
      <c r="C40" s="21">
        <f>VLOOKUP($A40,[1]Peak_Forward!$A$9:$R$128,18)</f>
        <v>30.78</v>
      </c>
    </row>
    <row r="41" spans="1:3" x14ac:dyDescent="0.2">
      <c r="A41" s="1">
        <f>'Filter-old'!C42</f>
        <v>38078</v>
      </c>
      <c r="B41" s="21">
        <v>3.7349999999999999</v>
      </c>
      <c r="C41" s="21">
        <f>VLOOKUP($A41,[1]Peak_Forward!$A$9:$R$128,18)</f>
        <v>31.22</v>
      </c>
    </row>
    <row r="42" spans="1:3" x14ac:dyDescent="0.2">
      <c r="A42" s="1">
        <f>'Filter-old'!C43</f>
        <v>38108</v>
      </c>
      <c r="B42" s="21">
        <v>3.7250000000000001</v>
      </c>
      <c r="C42" s="21">
        <f>VLOOKUP($A42,[1]Peak_Forward!$A$9:$R$128,18)</f>
        <v>33.79</v>
      </c>
    </row>
    <row r="43" spans="1:3" x14ac:dyDescent="0.2">
      <c r="A43" s="1">
        <f>'Filter-old'!C44</f>
        <v>38139</v>
      </c>
      <c r="B43" s="21">
        <v>3.7610000000000001</v>
      </c>
      <c r="C43" s="21">
        <f>VLOOKUP($A43,[1]Peak_Forward!$A$9:$R$128,18)</f>
        <v>38.19</v>
      </c>
    </row>
    <row r="44" spans="1:3" x14ac:dyDescent="0.2">
      <c r="A44" s="1">
        <f>'Filter-old'!C45</f>
        <v>38169</v>
      </c>
      <c r="B44" s="21">
        <v>3.81</v>
      </c>
      <c r="C44" s="21">
        <f>VLOOKUP($A44,[1]Peak_Forward!$A$9:$R$128,18)</f>
        <v>45.62</v>
      </c>
    </row>
    <row r="45" spans="1:3" x14ac:dyDescent="0.2">
      <c r="A45" s="1">
        <f>'Filter-old'!C46</f>
        <v>38200</v>
      </c>
      <c r="B45" s="21">
        <v>3.855</v>
      </c>
      <c r="C45" s="21">
        <f>VLOOKUP($A45,[1]Peak_Forward!$A$9:$R$128,18)</f>
        <v>44.93</v>
      </c>
    </row>
    <row r="46" spans="1:3" x14ac:dyDescent="0.2">
      <c r="A46" s="1">
        <f>'Filter-old'!C47</f>
        <v>38231</v>
      </c>
      <c r="B46" s="21">
        <v>3.8620000000000001</v>
      </c>
      <c r="C46" s="21">
        <f>VLOOKUP($A46,[1]Peak_Forward!$A$9:$R$128,18)</f>
        <v>28.54</v>
      </c>
    </row>
    <row r="47" spans="1:3" x14ac:dyDescent="0.2">
      <c r="A47" s="1">
        <f>'Filter-old'!C48</f>
        <v>38261</v>
      </c>
      <c r="B47" s="21">
        <v>3.89</v>
      </c>
      <c r="C47" s="21">
        <f>VLOOKUP($A47,[1]Peak_Forward!$A$9:$R$128,18)</f>
        <v>28.59</v>
      </c>
    </row>
    <row r="48" spans="1:3" x14ac:dyDescent="0.2">
      <c r="A48" s="1">
        <f>'Filter-old'!C49</f>
        <v>38292</v>
      </c>
      <c r="B48" s="21">
        <v>4.0250000000000004</v>
      </c>
      <c r="C48" s="21">
        <f>VLOOKUP($A48,[1]Peak_Forward!$A$9:$R$128,18)</f>
        <v>28.93</v>
      </c>
    </row>
    <row r="49" spans="1:3" x14ac:dyDescent="0.2">
      <c r="A49" s="1">
        <f>'Filter-old'!C50</f>
        <v>38322</v>
      </c>
      <c r="B49" s="21">
        <v>4.16</v>
      </c>
      <c r="C49" s="21">
        <f>VLOOKUP($A49,[1]Peak_Forward!$A$9:$R$128,18)</f>
        <v>28.63</v>
      </c>
    </row>
    <row r="50" spans="1:3" x14ac:dyDescent="0.2">
      <c r="A50" s="1">
        <f>'Filter-old'!C51</f>
        <v>38353</v>
      </c>
      <c r="B50" s="21">
        <v>4.2010000000000005</v>
      </c>
      <c r="C50" s="21">
        <f>VLOOKUP($A50,[1]Peak_Forward!$A$9:$R$128,18)</f>
        <v>33.01</v>
      </c>
    </row>
    <row r="51" spans="1:3" x14ac:dyDescent="0.2">
      <c r="A51" s="1">
        <f>'Filter-old'!C52</f>
        <v>38384</v>
      </c>
      <c r="B51" s="21">
        <v>4.0830000000000002</v>
      </c>
      <c r="C51" s="21">
        <f>VLOOKUP($A51,[1]Peak_Forward!$A$9:$R$128,18)</f>
        <v>32.17</v>
      </c>
    </row>
    <row r="52" spans="1:3" x14ac:dyDescent="0.2">
      <c r="A52" s="1">
        <f>'Filter-old'!C53</f>
        <v>38412</v>
      </c>
      <c r="B52" s="21">
        <v>3.95</v>
      </c>
      <c r="C52" s="21">
        <f>VLOOKUP($A52,[1]Peak_Forward!$A$9:$R$128,18)</f>
        <v>29.74</v>
      </c>
    </row>
    <row r="53" spans="1:3" x14ac:dyDescent="0.2">
      <c r="A53" s="1">
        <f>'Filter-old'!C54</f>
        <v>38443</v>
      </c>
      <c r="B53" s="21">
        <v>3.7650000000000001</v>
      </c>
      <c r="C53" s="21">
        <f>VLOOKUP($A53,[1]Peak_Forward!$A$9:$R$128,18)</f>
        <v>30.95</v>
      </c>
    </row>
    <row r="54" spans="1:3" x14ac:dyDescent="0.2">
      <c r="A54" s="1">
        <f>'Filter-old'!C55</f>
        <v>38473</v>
      </c>
      <c r="B54" s="21">
        <v>3.7549999999999999</v>
      </c>
      <c r="C54" s="21">
        <f>VLOOKUP($A54,[1]Peak_Forward!$A$9:$R$128,18)</f>
        <v>34.39</v>
      </c>
    </row>
    <row r="55" spans="1:3" x14ac:dyDescent="0.2">
      <c r="A55" s="1">
        <f>'Filter-old'!C56</f>
        <v>38504</v>
      </c>
      <c r="B55" s="21">
        <v>3.7910000000000004</v>
      </c>
      <c r="C55" s="21">
        <f>VLOOKUP($A55,[1]Peak_Forward!$A$9:$R$128,18)</f>
        <v>38.39</v>
      </c>
    </row>
    <row r="56" spans="1:3" x14ac:dyDescent="0.2">
      <c r="A56" s="1">
        <f>'Filter-old'!C57</f>
        <v>38534</v>
      </c>
      <c r="B56" s="21">
        <v>3.84</v>
      </c>
      <c r="C56" s="21">
        <f>VLOOKUP($A56,[1]Peak_Forward!$A$9:$R$128,18)</f>
        <v>44.134999999999998</v>
      </c>
    </row>
    <row r="57" spans="1:3" x14ac:dyDescent="0.2">
      <c r="A57" s="1">
        <f>'Filter-old'!C58</f>
        <v>38565</v>
      </c>
      <c r="B57" s="21">
        <v>3.8849999999999998</v>
      </c>
      <c r="C57" s="21">
        <f>VLOOKUP($A57,[1]Peak_Forward!$A$9:$R$128,18)</f>
        <v>44.484999999999999</v>
      </c>
    </row>
    <row r="58" spans="1:3" x14ac:dyDescent="0.2">
      <c r="A58" s="1">
        <f>'Filter-old'!C59</f>
        <v>38596</v>
      </c>
      <c r="B58" s="21">
        <v>3.8920000000000003</v>
      </c>
      <c r="C58" s="21">
        <f>VLOOKUP($A58,[1]Peak_Forward!$A$9:$R$128,18)</f>
        <v>30.2</v>
      </c>
    </row>
    <row r="59" spans="1:3" x14ac:dyDescent="0.2">
      <c r="A59" s="1">
        <f>'Filter-old'!C60</f>
        <v>38626</v>
      </c>
      <c r="B59" s="21">
        <v>3.92</v>
      </c>
      <c r="C59" s="21">
        <f>VLOOKUP($A59,[1]Peak_Forward!$A$9:$R$128,18)</f>
        <v>28.81</v>
      </c>
    </row>
    <row r="60" spans="1:3" x14ac:dyDescent="0.2">
      <c r="A60" s="1">
        <f>'Filter-old'!C61</f>
        <v>38657</v>
      </c>
      <c r="B60" s="21">
        <v>4.0549999999999997</v>
      </c>
      <c r="C60" s="21">
        <f>VLOOKUP($A60,[1]Peak_Forward!$A$9:$R$128,18)</f>
        <v>29.91</v>
      </c>
    </row>
    <row r="61" spans="1:3" x14ac:dyDescent="0.2">
      <c r="A61" s="1">
        <f>'Filter-old'!C62</f>
        <v>38687</v>
      </c>
      <c r="B61" s="21">
        <v>4.1900000000000004</v>
      </c>
      <c r="C61" s="21">
        <f>VLOOKUP($A61,[1]Peak_Forward!$A$9:$R$128,18)</f>
        <v>30.43</v>
      </c>
    </row>
    <row r="62" spans="1:3" x14ac:dyDescent="0.2">
      <c r="A62" s="1">
        <f>'Filter-old'!C63</f>
        <v>38718</v>
      </c>
      <c r="B62" s="21">
        <v>4.2410000000000005</v>
      </c>
      <c r="C62" s="21">
        <f>VLOOKUP($A62,[1]Peak_Forward!$A$9:$R$128,18)</f>
        <v>34</v>
      </c>
    </row>
    <row r="63" spans="1:3" x14ac:dyDescent="0.2">
      <c r="A63" s="1">
        <f>'Filter-old'!C64</f>
        <v>38749</v>
      </c>
      <c r="B63" s="21">
        <v>4.1230000000000002</v>
      </c>
      <c r="C63" s="21">
        <f>VLOOKUP($A63,[1]Peak_Forward!$A$9:$R$128,18)</f>
        <v>33</v>
      </c>
    </row>
    <row r="64" spans="1:3" x14ac:dyDescent="0.2">
      <c r="A64" s="1">
        <f>'Filter-old'!C65</f>
        <v>38777</v>
      </c>
      <c r="B64" s="21">
        <v>3.99</v>
      </c>
      <c r="C64" s="21">
        <f>VLOOKUP($A64,[1]Peak_Forward!$A$9:$R$128,18)</f>
        <v>31.66</v>
      </c>
    </row>
    <row r="65" spans="1:3" x14ac:dyDescent="0.2">
      <c r="A65" s="1">
        <f>'Filter-old'!C66</f>
        <v>38808</v>
      </c>
      <c r="B65" s="21">
        <v>3.8050000000000002</v>
      </c>
      <c r="C65" s="21">
        <f>VLOOKUP($A65,[1]Peak_Forward!$A$9:$R$128,18)</f>
        <v>31.61</v>
      </c>
    </row>
    <row r="66" spans="1:3" x14ac:dyDescent="0.2">
      <c r="A66" s="1">
        <f>'Filter-old'!C67</f>
        <v>38838</v>
      </c>
      <c r="B66" s="21">
        <v>3.7949999999999999</v>
      </c>
      <c r="C66" s="21">
        <f>VLOOKUP($A66,[1]Peak_Forward!$A$9:$R$128,18)</f>
        <v>34.274999999999999</v>
      </c>
    </row>
    <row r="67" spans="1:3" x14ac:dyDescent="0.2">
      <c r="A67" s="1">
        <f>'Filter-old'!C68</f>
        <v>38869</v>
      </c>
      <c r="B67" s="21">
        <v>3.8310000000000004</v>
      </c>
      <c r="C67" s="21">
        <f>VLOOKUP($A67,[1]Peak_Forward!$A$9:$R$128,18)</f>
        <v>38.72</v>
      </c>
    </row>
    <row r="68" spans="1:3" x14ac:dyDescent="0.2">
      <c r="A68" s="1">
        <f>'Filter-old'!C69</f>
        <v>38899</v>
      </c>
      <c r="B68" s="21">
        <v>3.88</v>
      </c>
      <c r="C68" s="21">
        <f>VLOOKUP($A68,[1]Peak_Forward!$A$9:$R$128,18)</f>
        <v>47.045000000000002</v>
      </c>
    </row>
    <row r="69" spans="1:3" x14ac:dyDescent="0.2">
      <c r="A69" s="1">
        <f>'Filter-old'!C70</f>
        <v>38930</v>
      </c>
      <c r="B69" s="21">
        <v>3.9249999999999998</v>
      </c>
      <c r="C69" s="21">
        <f>VLOOKUP($A69,[1]Peak_Forward!$A$9:$R$128,18)</f>
        <v>47.875</v>
      </c>
    </row>
    <row r="70" spans="1:3" x14ac:dyDescent="0.2">
      <c r="A70" s="1">
        <f>'Filter-old'!C71</f>
        <v>38961</v>
      </c>
      <c r="B70" s="21">
        <v>3.9320000000000004</v>
      </c>
      <c r="C70" s="21">
        <f>VLOOKUP($A70,[1]Peak_Forward!$A$9:$R$128,18)</f>
        <v>30.17</v>
      </c>
    </row>
    <row r="71" spans="1:3" x14ac:dyDescent="0.2">
      <c r="A71" s="1">
        <f>'Filter-old'!C72</f>
        <v>38991</v>
      </c>
      <c r="B71" s="21">
        <v>3.96</v>
      </c>
      <c r="C71" s="21">
        <f>VLOOKUP($A71,[1]Peak_Forward!$A$9:$R$128,18)</f>
        <v>29.23</v>
      </c>
    </row>
    <row r="72" spans="1:3" x14ac:dyDescent="0.2">
      <c r="A72" s="1">
        <f>'Filter-old'!C73</f>
        <v>39022</v>
      </c>
      <c r="B72" s="21">
        <v>4.0949999999999998</v>
      </c>
      <c r="C72" s="21">
        <f>VLOOKUP($A72,[1]Peak_Forward!$A$9:$R$128,18)</f>
        <v>29.07</v>
      </c>
    </row>
    <row r="73" spans="1:3" x14ac:dyDescent="0.2">
      <c r="A73" s="1">
        <f>'Filter-old'!C74</f>
        <v>39052</v>
      </c>
      <c r="B73" s="21">
        <v>4.2300000000000004</v>
      </c>
      <c r="C73" s="21">
        <f>VLOOKUP($A73,[1]Peak_Forward!$A$9:$R$128,18)</f>
        <v>28.39</v>
      </c>
    </row>
    <row r="74" spans="1:3" x14ac:dyDescent="0.2">
      <c r="A74" s="1">
        <f>'Filter-old'!C75</f>
        <v>39083</v>
      </c>
      <c r="B74" s="21">
        <v>4.2910000000000004</v>
      </c>
      <c r="C74" s="21">
        <f>VLOOKUP($A74,[1]Peak_Forward!$A$9:$R$128,18)</f>
        <v>33.9</v>
      </c>
    </row>
    <row r="75" spans="1:3" x14ac:dyDescent="0.2">
      <c r="A75" s="1">
        <f>'Filter-old'!C76</f>
        <v>39114</v>
      </c>
      <c r="B75" s="21">
        <v>4.173</v>
      </c>
      <c r="C75" s="21">
        <f>VLOOKUP($A75,[1]Peak_Forward!$A$9:$R$128,18)</f>
        <v>33.72</v>
      </c>
    </row>
    <row r="76" spans="1:3" x14ac:dyDescent="0.2">
      <c r="A76" s="1">
        <f>'Filter-old'!C77</f>
        <v>39142</v>
      </c>
      <c r="B76" s="21">
        <v>4.04</v>
      </c>
      <c r="C76" s="21">
        <f>VLOOKUP($A76,[1]Peak_Forward!$A$9:$R$128,18)</f>
        <v>32.46</v>
      </c>
    </row>
    <row r="77" spans="1:3" x14ac:dyDescent="0.2">
      <c r="A77" s="1">
        <f>'Filter-old'!C78</f>
        <v>39173</v>
      </c>
      <c r="B77" s="21">
        <v>3.855</v>
      </c>
      <c r="C77" s="21">
        <f>VLOOKUP($A77,[1]Peak_Forward!$A$9:$R$128,18)</f>
        <v>32.26</v>
      </c>
    </row>
    <row r="78" spans="1:3" x14ac:dyDescent="0.2">
      <c r="A78" s="1">
        <f>'Filter-old'!C79</f>
        <v>39203</v>
      </c>
      <c r="B78" s="21">
        <v>3.8450000000000002</v>
      </c>
      <c r="C78" s="21">
        <f>VLOOKUP($A78,[1]Peak_Forward!$A$9:$R$128,18)</f>
        <v>35.840000000000003</v>
      </c>
    </row>
    <row r="79" spans="1:3" x14ac:dyDescent="0.2">
      <c r="A79" s="1">
        <f>'Filter-old'!C80</f>
        <v>39234</v>
      </c>
      <c r="B79" s="21">
        <v>3.8810000000000002</v>
      </c>
      <c r="C79" s="21">
        <f>VLOOKUP($A79,[1]Peak_Forward!$A$9:$R$128,18)</f>
        <v>39.5</v>
      </c>
    </row>
    <row r="80" spans="1:3" x14ac:dyDescent="0.2">
      <c r="A80" s="1">
        <f>'Filter-old'!C81</f>
        <v>39264</v>
      </c>
      <c r="B80" s="21">
        <v>3.93</v>
      </c>
      <c r="C80" s="21">
        <f>VLOOKUP($A80,[1]Peak_Forward!$A$9:$R$128,18)</f>
        <v>46.814999999999998</v>
      </c>
    </row>
    <row r="81" spans="1:3" x14ac:dyDescent="0.2">
      <c r="A81" s="1">
        <f>'Filter-old'!C82</f>
        <v>39295</v>
      </c>
      <c r="B81" s="21">
        <v>3.9750000000000001</v>
      </c>
      <c r="C81" s="21">
        <f>VLOOKUP($A81,[1]Peak_Forward!$A$9:$R$128,18)</f>
        <v>48.414999999999999</v>
      </c>
    </row>
    <row r="82" spans="1:3" x14ac:dyDescent="0.2">
      <c r="A82" s="1">
        <f>'Filter-old'!C83</f>
        <v>39326</v>
      </c>
      <c r="B82" s="21">
        <v>3.9820000000000002</v>
      </c>
      <c r="C82" s="21">
        <f>VLOOKUP($A82,[1]Peak_Forward!$A$9:$R$128,18)</f>
        <v>30.94</v>
      </c>
    </row>
    <row r="83" spans="1:3" x14ac:dyDescent="0.2">
      <c r="A83" s="1">
        <f>'Filter-old'!C84</f>
        <v>39356</v>
      </c>
      <c r="B83" s="21">
        <v>4.01</v>
      </c>
      <c r="C83" s="21">
        <f>VLOOKUP($A83,[1]Peak_Forward!$A$9:$R$128,18)</f>
        <v>31.27</v>
      </c>
    </row>
    <row r="84" spans="1:3" x14ac:dyDescent="0.2">
      <c r="A84" s="1">
        <f>'Filter-old'!C85</f>
        <v>39387</v>
      </c>
      <c r="B84" s="21">
        <v>4.1449999999999996</v>
      </c>
      <c r="C84" s="21">
        <f>VLOOKUP($A84,[1]Peak_Forward!$A$9:$R$128,18)</f>
        <v>30.97</v>
      </c>
    </row>
    <row r="85" spans="1:3" x14ac:dyDescent="0.2">
      <c r="A85" s="1">
        <f>'Filter-old'!C86</f>
        <v>39417</v>
      </c>
      <c r="B85" s="21">
        <v>4.28</v>
      </c>
      <c r="C85" s="21">
        <f>VLOOKUP($A85,[1]Peak_Forward!$A$9:$R$128,18)</f>
        <v>30.83</v>
      </c>
    </row>
    <row r="86" spans="1:3" x14ac:dyDescent="0.2">
      <c r="A86" s="1">
        <f>'Filter-old'!C87</f>
        <v>39448</v>
      </c>
      <c r="B86" s="21">
        <v>4.351</v>
      </c>
      <c r="C86" s="21">
        <f>VLOOKUP($A86,[1]Peak_Forward!$A$9:$R$128,18)</f>
        <v>33.69</v>
      </c>
    </row>
    <row r="87" spans="1:3" x14ac:dyDescent="0.2">
      <c r="A87" s="1">
        <f>'Filter-old'!C88</f>
        <v>39479</v>
      </c>
      <c r="B87" s="21">
        <v>4.2330000000000005</v>
      </c>
      <c r="C87" s="21">
        <f>VLOOKUP($A87,[1]Peak_Forward!$A$9:$R$128,18)</f>
        <v>32.32</v>
      </c>
    </row>
    <row r="88" spans="1:3" x14ac:dyDescent="0.2">
      <c r="A88" s="1">
        <f>'Filter-old'!C89</f>
        <v>39508</v>
      </c>
      <c r="B88" s="21">
        <v>4.0999999999999996</v>
      </c>
      <c r="C88" s="21">
        <f>VLOOKUP($A88,[1]Peak_Forward!$A$9:$R$128,18)</f>
        <v>32.08</v>
      </c>
    </row>
    <row r="89" spans="1:3" x14ac:dyDescent="0.2">
      <c r="A89" s="1">
        <f>'Filter-old'!C90</f>
        <v>39539</v>
      </c>
      <c r="B89" s="21">
        <v>3.915</v>
      </c>
      <c r="C89" s="21">
        <f>VLOOKUP($A89,[1]Peak_Forward!$A$9:$R$128,18)</f>
        <v>32.700000000000003</v>
      </c>
    </row>
    <row r="90" spans="1:3" x14ac:dyDescent="0.2">
      <c r="A90" s="1">
        <f>'Filter-old'!C91</f>
        <v>39569</v>
      </c>
      <c r="B90" s="21">
        <v>3.9049999999999998</v>
      </c>
      <c r="C90" s="21">
        <f>VLOOKUP($A90,[1]Peak_Forward!$A$9:$R$128,18)</f>
        <v>37.159999999999997</v>
      </c>
    </row>
    <row r="91" spans="1:3" x14ac:dyDescent="0.2">
      <c r="A91" s="1">
        <f>'Filter-old'!C92</f>
        <v>39600</v>
      </c>
      <c r="B91" s="21">
        <v>3.9410000000000003</v>
      </c>
      <c r="C91" s="21">
        <f>VLOOKUP($A91,[1]Peak_Forward!$A$9:$R$128,18)</f>
        <v>40.58</v>
      </c>
    </row>
    <row r="92" spans="1:3" x14ac:dyDescent="0.2">
      <c r="A92" s="1">
        <f>'Filter-old'!C93</f>
        <v>39630</v>
      </c>
      <c r="B92" s="21">
        <v>3.99</v>
      </c>
      <c r="C92" s="21">
        <f>VLOOKUP($A92,[1]Peak_Forward!$A$9:$R$128,18)</f>
        <v>50.22</v>
      </c>
    </row>
    <row r="93" spans="1:3" x14ac:dyDescent="0.2">
      <c r="A93" s="1">
        <f>'Filter-old'!C94</f>
        <v>39661</v>
      </c>
      <c r="B93" s="21">
        <v>4.0350000000000001</v>
      </c>
      <c r="C93" s="21">
        <f>VLOOKUP($A93,[1]Peak_Forward!$A$9:$R$128,18)</f>
        <v>50.56</v>
      </c>
    </row>
    <row r="94" spans="1:3" x14ac:dyDescent="0.2">
      <c r="A94" s="1">
        <f>'Filter-old'!C95</f>
        <v>39692</v>
      </c>
      <c r="B94" s="21">
        <v>4.0419999999999998</v>
      </c>
      <c r="C94" s="21">
        <f>VLOOKUP($A94,[1]Peak_Forward!$A$9:$R$128,18)</f>
        <v>29.6</v>
      </c>
    </row>
    <row r="95" spans="1:3" x14ac:dyDescent="0.2">
      <c r="A95" s="1">
        <f>'Filter-old'!C96</f>
        <v>39722</v>
      </c>
      <c r="B95" s="21">
        <v>4.07</v>
      </c>
      <c r="C95" s="21">
        <f>VLOOKUP($A95,[1]Peak_Forward!$A$9:$R$128,18)</f>
        <v>30.54</v>
      </c>
    </row>
    <row r="96" spans="1:3" x14ac:dyDescent="0.2">
      <c r="A96" s="1">
        <f>'Filter-old'!C97</f>
        <v>39753</v>
      </c>
      <c r="B96" s="21">
        <v>4.2050000000000001</v>
      </c>
      <c r="C96" s="21">
        <f>VLOOKUP($A96,[1]Peak_Forward!$A$9:$R$128,18)</f>
        <v>31.06</v>
      </c>
    </row>
    <row r="97" spans="1:3" x14ac:dyDescent="0.2">
      <c r="A97" s="1">
        <f>'Filter-old'!C98</f>
        <v>39783</v>
      </c>
      <c r="B97" s="21">
        <v>4.34</v>
      </c>
      <c r="C97" s="21">
        <f>VLOOKUP($A97,[1]Peak_Forward!$A$9:$R$128,18)</f>
        <v>31.4</v>
      </c>
    </row>
    <row r="98" spans="1:3" x14ac:dyDescent="0.2">
      <c r="A98" s="1">
        <f>'Filter-old'!C99</f>
        <v>39814</v>
      </c>
      <c r="B98" s="21">
        <v>4.4160000000000004</v>
      </c>
      <c r="C98" s="21">
        <f>VLOOKUP($A98,[1]Peak_Forward!$A$9:$R$128,18)</f>
        <v>34.729999999999997</v>
      </c>
    </row>
    <row r="99" spans="1:3" x14ac:dyDescent="0.2">
      <c r="A99" s="1">
        <f>'Filter-old'!C100</f>
        <v>39845</v>
      </c>
      <c r="B99" s="21">
        <v>4.298</v>
      </c>
      <c r="C99" s="21">
        <f>VLOOKUP($A99,[1]Peak_Forward!$A$9:$R$128,18)</f>
        <v>33.880000000000003</v>
      </c>
    </row>
    <row r="100" spans="1:3" x14ac:dyDescent="0.2">
      <c r="A100" s="1">
        <f>'Filter-old'!C101</f>
        <v>39873</v>
      </c>
      <c r="B100" s="21">
        <v>4.165</v>
      </c>
      <c r="C100" s="21">
        <f>VLOOKUP($A100,[1]Peak_Forward!$A$9:$R$128,18)</f>
        <v>32.14</v>
      </c>
    </row>
    <row r="101" spans="1:3" x14ac:dyDescent="0.2">
      <c r="A101" s="1">
        <f>'Filter-old'!C102</f>
        <v>39904</v>
      </c>
      <c r="B101" s="21">
        <v>3.98</v>
      </c>
      <c r="C101" s="21">
        <f>VLOOKUP($A101,[1]Peak_Forward!$A$9:$R$128,18)</f>
        <v>31.56</v>
      </c>
    </row>
    <row r="102" spans="1:3" x14ac:dyDescent="0.2">
      <c r="A102" s="1">
        <f>'Filter-old'!C103</f>
        <v>39934</v>
      </c>
      <c r="B102" s="21">
        <v>3.97</v>
      </c>
      <c r="C102" s="21">
        <f>VLOOKUP($A102,[1]Peak_Forward!$A$9:$R$128,18)</f>
        <v>37.39</v>
      </c>
    </row>
    <row r="103" spans="1:3" x14ac:dyDescent="0.2">
      <c r="A103" s="1">
        <f>'Filter-old'!C104</f>
        <v>39965</v>
      </c>
      <c r="B103" s="21">
        <v>4.0060000000000002</v>
      </c>
      <c r="C103" s="21">
        <f>VLOOKUP($A103,[1]Peak_Forward!$A$9:$R$128,18)</f>
        <v>42.65</v>
      </c>
    </row>
    <row r="104" spans="1:3" x14ac:dyDescent="0.2">
      <c r="A104" s="1">
        <f>'Filter-old'!C105</f>
        <v>39995</v>
      </c>
      <c r="B104" s="21">
        <v>4.0549999999999997</v>
      </c>
      <c r="C104" s="21">
        <f>VLOOKUP($A104,[1]Peak_Forward!$A$9:$R$128,18)</f>
        <v>52.484999999999999</v>
      </c>
    </row>
    <row r="105" spans="1:3" x14ac:dyDescent="0.2">
      <c r="A105" s="1">
        <f>'Filter-old'!C106</f>
        <v>40026</v>
      </c>
      <c r="B105" s="21">
        <v>4.0999999999999996</v>
      </c>
      <c r="C105" s="21">
        <f>VLOOKUP($A105,[1]Peak_Forward!$A$9:$R$128,18)</f>
        <v>52.674999999999997</v>
      </c>
    </row>
    <row r="106" spans="1:3" x14ac:dyDescent="0.2">
      <c r="A106" s="1">
        <f>'Filter-old'!C107</f>
        <v>40057</v>
      </c>
      <c r="B106" s="21">
        <v>4.1070000000000002</v>
      </c>
      <c r="C106" s="21">
        <f>VLOOKUP($A106,[1]Peak_Forward!$A$9:$R$128,18)</f>
        <v>30.62</v>
      </c>
    </row>
    <row r="107" spans="1:3" x14ac:dyDescent="0.2">
      <c r="A107" s="1">
        <f>'Filter-old'!C108</f>
        <v>40087</v>
      </c>
      <c r="B107" s="21">
        <v>4.1349999999999998</v>
      </c>
      <c r="C107" s="21">
        <f>VLOOKUP($A107,[1]Peak_Forward!$A$9:$R$128,18)</f>
        <v>30.96</v>
      </c>
    </row>
    <row r="108" spans="1:3" x14ac:dyDescent="0.2">
      <c r="A108" s="1">
        <f>'Filter-old'!C109</f>
        <v>40118</v>
      </c>
      <c r="B108" s="21">
        <v>4.2699999999999996</v>
      </c>
      <c r="C108" s="21">
        <f>VLOOKUP($A108,[1]Peak_Forward!$A$9:$R$128,18)</f>
        <v>30.28</v>
      </c>
    </row>
    <row r="109" spans="1:3" x14ac:dyDescent="0.2">
      <c r="A109" s="1">
        <f>'Filter-old'!C110</f>
        <v>40148</v>
      </c>
      <c r="B109" s="21">
        <v>4.4050000000000002</v>
      </c>
      <c r="C109" s="21">
        <f>VLOOKUP($A109,[1]Peak_Forward!$A$9:$R$128,18)</f>
        <v>31.39</v>
      </c>
    </row>
    <row r="110" spans="1:3" x14ac:dyDescent="0.2">
      <c r="A110" s="1">
        <f>'Filter-old'!C111</f>
        <v>40179</v>
      </c>
      <c r="B110" s="21">
        <v>4.4860000000000007</v>
      </c>
      <c r="C110" s="21">
        <f>VLOOKUP($A110,[1]Peak_Forward!$A$9:$R$128,18)</f>
        <v>34.99</v>
      </c>
    </row>
    <row r="111" spans="1:3" x14ac:dyDescent="0.2">
      <c r="A111" s="1">
        <f>'Filter-old'!C112</f>
        <v>40210</v>
      </c>
      <c r="B111" s="21">
        <v>4.3680000000000003</v>
      </c>
      <c r="C111" s="21">
        <f>VLOOKUP($A111,[1]Peak_Forward!$A$9:$R$128,18)</f>
        <v>34.619999999999997</v>
      </c>
    </row>
    <row r="112" spans="1:3" x14ac:dyDescent="0.2">
      <c r="A112" s="1">
        <f>'Filter-old'!C113</f>
        <v>40238</v>
      </c>
      <c r="B112" s="21">
        <v>4.2350000000000003</v>
      </c>
      <c r="C112" s="21">
        <f>VLOOKUP($A112,[1]Peak_Forward!$A$9:$R$128,18)</f>
        <v>32.979999999999997</v>
      </c>
    </row>
    <row r="113" spans="1:3" x14ac:dyDescent="0.2">
      <c r="A113" s="1">
        <f>'Filter-old'!C114</f>
        <v>40269</v>
      </c>
      <c r="B113" s="21">
        <v>4.05</v>
      </c>
      <c r="C113" s="21">
        <f>VLOOKUP($A113,[1]Peak_Forward!$A$9:$R$128,18)</f>
        <v>32.94</v>
      </c>
    </row>
    <row r="114" spans="1:3" x14ac:dyDescent="0.2">
      <c r="A114" s="1">
        <f>'Filter-old'!C115</f>
        <v>40299</v>
      </c>
      <c r="B114" s="21">
        <v>4.04</v>
      </c>
      <c r="C114" s="21">
        <f>VLOOKUP($A114,[1]Peak_Forward!$A$9:$R$128,18)</f>
        <v>37.909999999999997</v>
      </c>
    </row>
    <row r="115" spans="1:3" x14ac:dyDescent="0.2">
      <c r="A115" s="1">
        <f>'Filter-old'!C116</f>
        <v>40330</v>
      </c>
      <c r="B115" s="21">
        <v>4.0760000000000005</v>
      </c>
      <c r="C115" s="21">
        <f>VLOOKUP($A115,[1]Peak_Forward!$A$9:$R$128,18)</f>
        <v>43.07</v>
      </c>
    </row>
    <row r="116" spans="1:3" x14ac:dyDescent="0.2">
      <c r="A116" s="1">
        <f>'Filter-old'!C117</f>
        <v>40360</v>
      </c>
      <c r="B116" s="21">
        <v>4.125</v>
      </c>
      <c r="C116" s="21">
        <f>VLOOKUP($A116,[1]Peak_Forward!$A$9:$R$128,18)</f>
        <v>54.2</v>
      </c>
    </row>
    <row r="117" spans="1:3" x14ac:dyDescent="0.2">
      <c r="A117" s="1">
        <f>'Filter-old'!C118</f>
        <v>40391</v>
      </c>
      <c r="B117" s="21">
        <v>4.17</v>
      </c>
      <c r="C117" s="21">
        <f>VLOOKUP($A117,[1]Peak_Forward!$A$9:$R$128,18)</f>
        <v>55.21</v>
      </c>
    </row>
    <row r="118" spans="1:3" x14ac:dyDescent="0.2">
      <c r="A118" s="1">
        <f>'Filter-old'!C119</f>
        <v>40422</v>
      </c>
      <c r="B118" s="21">
        <v>4.1770000000000005</v>
      </c>
      <c r="C118" s="21">
        <f>VLOOKUP($A118,[1]Peak_Forward!$A$9:$R$128,18)</f>
        <v>31.41</v>
      </c>
    </row>
    <row r="119" spans="1:3" x14ac:dyDescent="0.2">
      <c r="A119" s="1">
        <f>'Filter-old'!C120</f>
        <v>40452</v>
      </c>
      <c r="B119" s="21">
        <v>4.2050000000000001</v>
      </c>
      <c r="C119" s="21">
        <f>VLOOKUP($A119,[1]Peak_Forward!$A$9:$R$128,18)</f>
        <v>31.44</v>
      </c>
    </row>
    <row r="120" spans="1:3" x14ac:dyDescent="0.2">
      <c r="A120" s="1">
        <f>'Filter-old'!C121</f>
        <v>40483</v>
      </c>
      <c r="B120" s="21">
        <v>4.34</v>
      </c>
      <c r="C120" s="21">
        <f>VLOOKUP($A120,[1]Peak_Forward!$A$9:$R$128,18)</f>
        <v>31.3</v>
      </c>
    </row>
    <row r="121" spans="1:3" x14ac:dyDescent="0.2">
      <c r="A121" s="1">
        <f>'Filter-old'!C122</f>
        <v>40513</v>
      </c>
      <c r="B121" s="21">
        <v>4.4749999999999996</v>
      </c>
      <c r="C121" s="21">
        <f>VLOOKUP($A121,[1]Peak_Forward!$A$9:$R$128,18)</f>
        <v>31.15</v>
      </c>
    </row>
    <row r="122" spans="1:3" x14ac:dyDescent="0.2">
      <c r="A122" s="1">
        <f>'Filter-old'!C123</f>
        <v>0</v>
      </c>
      <c r="B122" s="21" t="e">
        <v>#N/A</v>
      </c>
      <c r="C122" s="21" t="e">
        <f>VLOOKUP($A122,[1]Peak_Forward!$A$9:$R$128,18)</f>
        <v>#N/A</v>
      </c>
    </row>
    <row r="123" spans="1:3" x14ac:dyDescent="0.2">
      <c r="A123" s="1">
        <f>'Filter-old'!C124</f>
        <v>0</v>
      </c>
      <c r="B123" s="21" t="e">
        <v>#N/A</v>
      </c>
      <c r="C123" s="21" t="e">
        <f>VLOOKUP($A123,[1]Peak_Forward!$A$9:$R$128,18)</f>
        <v>#N/A</v>
      </c>
    </row>
    <row r="124" spans="1:3" x14ac:dyDescent="0.2">
      <c r="A124" s="1">
        <f>'Filter-old'!C125</f>
        <v>36892</v>
      </c>
      <c r="B124" s="21">
        <v>0</v>
      </c>
      <c r="C124" s="21" t="e">
        <f>VLOOKUP($A124,[1]Peak_Forward!$A$9:$R$128,18)</f>
        <v>#N/A</v>
      </c>
    </row>
    <row r="125" spans="1:3" x14ac:dyDescent="0.2">
      <c r="A125" s="1">
        <f>'Filter-old'!C126</f>
        <v>36923</v>
      </c>
      <c r="B125" s="21">
        <v>0</v>
      </c>
      <c r="C125" s="21" t="e">
        <f>VLOOKUP($A125,[1]Peak_Forward!$A$9:$R$128,18)</f>
        <v>#N/A</v>
      </c>
    </row>
    <row r="126" spans="1:3" x14ac:dyDescent="0.2">
      <c r="A126" s="1">
        <f>'Filter-old'!C127</f>
        <v>36951</v>
      </c>
      <c r="B126" s="21">
        <v>5.1602272727272727</v>
      </c>
      <c r="C126" s="21" t="e">
        <f>VLOOKUP($A126,[1]Peak_Forward!$A$9:$R$128,18)</f>
        <v>#N/A</v>
      </c>
    </row>
    <row r="127" spans="1:3" x14ac:dyDescent="0.2">
      <c r="A127" s="1">
        <f>'Filter-old'!C128</f>
        <v>36982</v>
      </c>
      <c r="B127" s="21">
        <v>5.2188095238095249</v>
      </c>
      <c r="C127" s="21" t="e">
        <f>VLOOKUP($A127,[1]Peak_Forward!$A$9:$R$128,18)</f>
        <v>#N/A</v>
      </c>
    </row>
    <row r="128" spans="1:3" x14ac:dyDescent="0.2">
      <c r="A128" s="1">
        <f>'Filter-old'!C129</f>
        <v>37012</v>
      </c>
      <c r="B128" s="21">
        <v>0</v>
      </c>
      <c r="C128" s="21" t="e">
        <f>VLOOKUP($A128,[1]Peak_Forward!$A$9:$R$128,18)</f>
        <v>#N/A</v>
      </c>
    </row>
    <row r="129" spans="1:3" x14ac:dyDescent="0.2">
      <c r="A129" s="1">
        <f>'Filter-old'!C130</f>
        <v>37043</v>
      </c>
      <c r="B129" s="21">
        <v>0</v>
      </c>
      <c r="C129" s="21" t="e">
        <f>VLOOKUP($A129,[1]Peak_Forward!$A$9:$R$128,18)</f>
        <v>#N/A</v>
      </c>
    </row>
    <row r="130" spans="1:3" x14ac:dyDescent="0.2">
      <c r="A130" s="1">
        <f>'Filter-old'!C131</f>
        <v>37073</v>
      </c>
      <c r="B130" s="21">
        <v>3.8920000000000003</v>
      </c>
      <c r="C130" s="21" t="e">
        <f>VLOOKUP($A130,[1]Peak_Forward!$A$9:$R$128,18)</f>
        <v>#N/A</v>
      </c>
    </row>
    <row r="131" spans="1:3" x14ac:dyDescent="0.2">
      <c r="A131" s="1">
        <f>'Filter-old'!C132</f>
        <v>37104</v>
      </c>
      <c r="B131" s="21">
        <v>3.9750000000000001</v>
      </c>
      <c r="C131" s="21" t="e">
        <f>VLOOKUP($A131,[1]Peak_Forward!$A$9:$R$128,18)</f>
        <v>#N/A</v>
      </c>
    </row>
    <row r="132" spans="1:3" x14ac:dyDescent="0.2">
      <c r="A132" s="1">
        <f>'Filter-old'!C133</f>
        <v>37135</v>
      </c>
      <c r="B132" s="21">
        <v>4.0140000000000002</v>
      </c>
      <c r="C132" s="21" t="e">
        <f>VLOOKUP($A132,[1]Peak_Forward!$A$9:$R$128,18)</f>
        <v>#N/A</v>
      </c>
    </row>
    <row r="133" spans="1:3" x14ac:dyDescent="0.2">
      <c r="A133" s="1">
        <f>'Filter-old'!C134</f>
        <v>37165</v>
      </c>
      <c r="B133" s="21">
        <v>4.0540000000000003</v>
      </c>
      <c r="C133" s="21" t="e">
        <f>VLOOKUP($A133,[1]Peak_Forward!$A$9:$R$128,18)</f>
        <v>#N/A</v>
      </c>
    </row>
    <row r="134" spans="1:3" x14ac:dyDescent="0.2">
      <c r="A134" s="1">
        <f>'Filter-old'!C135</f>
        <v>37196</v>
      </c>
      <c r="B134" s="21">
        <v>4.2320000000000002</v>
      </c>
      <c r="C134" s="21">
        <f>VLOOKUP($A134,[1]Peak_Forward!$A$9:$R$128,18)</f>
        <v>0</v>
      </c>
    </row>
    <row r="135" spans="1:3" x14ac:dyDescent="0.2">
      <c r="A135" s="1">
        <f>'Filter-old'!C136</f>
        <v>37226</v>
      </c>
      <c r="B135" s="21">
        <v>4.4039999999999999</v>
      </c>
      <c r="C135" s="21">
        <f>VLOOKUP($A135,[1]Peak_Forward!$A$9:$R$128,18)</f>
        <v>22.041666666666661</v>
      </c>
    </row>
    <row r="136" spans="1:3" x14ac:dyDescent="0.2">
      <c r="A136" s="1">
        <f>'Filter-old'!C137</f>
        <v>37257</v>
      </c>
      <c r="B136" s="21">
        <v>4.4740000000000002</v>
      </c>
      <c r="C136" s="21">
        <f>VLOOKUP($A136,[1]Peak_Forward!$A$9:$R$128,18)</f>
        <v>26.146593093872099</v>
      </c>
    </row>
    <row r="137" spans="1:3" x14ac:dyDescent="0.2">
      <c r="A137" s="1">
        <f>'Filter-old'!C138</f>
        <v>37288</v>
      </c>
      <c r="B137" s="21">
        <v>4.3639999999999999</v>
      </c>
      <c r="C137" s="21">
        <f>VLOOKUP($A137,[1]Peak_Forward!$A$9:$R$128,18)</f>
        <v>29.68</v>
      </c>
    </row>
    <row r="138" spans="1:3" x14ac:dyDescent="0.2">
      <c r="A138" s="1">
        <f>'Filter-old'!C139</f>
        <v>37316</v>
      </c>
      <c r="B138" s="21">
        <v>4.1989999999999998</v>
      </c>
      <c r="C138" s="21">
        <f>VLOOKUP($A138,[1]Peak_Forward!$A$9:$R$128,18)</f>
        <v>28.68</v>
      </c>
    </row>
    <row r="139" spans="1:3" x14ac:dyDescent="0.2">
      <c r="A139" s="1">
        <f>'Filter-old'!C140</f>
        <v>37347</v>
      </c>
      <c r="B139" s="21">
        <v>3.839</v>
      </c>
      <c r="C139" s="21">
        <f>VLOOKUP($A139,[1]Peak_Forward!$A$9:$R$128,18)</f>
        <v>29.13</v>
      </c>
    </row>
    <row r="140" spans="1:3" x14ac:dyDescent="0.2">
      <c r="A140" s="1">
        <f>'Filter-old'!C141</f>
        <v>37377</v>
      </c>
      <c r="B140" s="21">
        <v>3.7690000000000001</v>
      </c>
      <c r="C140" s="21">
        <f>VLOOKUP($A140,[1]Peak_Forward!$A$9:$R$128,18)</f>
        <v>30.65</v>
      </c>
    </row>
    <row r="141" spans="1:3" x14ac:dyDescent="0.2">
      <c r="A141" s="1">
        <f>'Filter-old'!C142</f>
        <v>37408</v>
      </c>
      <c r="B141" s="21">
        <v>3.8190000000000004</v>
      </c>
      <c r="C141" s="21">
        <f>VLOOKUP($A141,[1]Peak_Forward!$A$9:$R$128,18)</f>
        <v>40.5</v>
      </c>
    </row>
    <row r="142" spans="1:3" x14ac:dyDescent="0.2">
      <c r="A142" s="1">
        <f>'Filter-old'!C143</f>
        <v>37438</v>
      </c>
      <c r="B142" s="21">
        <v>3.859</v>
      </c>
      <c r="C142" s="21">
        <f>VLOOKUP($A142,[1]Peak_Forward!$A$9:$R$128,18)</f>
        <v>55.125</v>
      </c>
    </row>
    <row r="143" spans="1:3" x14ac:dyDescent="0.2">
      <c r="A143" s="1">
        <f>'Filter-old'!C144</f>
        <v>37469</v>
      </c>
      <c r="B143" s="21">
        <v>3.8840000000000003</v>
      </c>
      <c r="C143" s="21">
        <f>VLOOKUP($A143,[1]Peak_Forward!$A$9:$R$128,18)</f>
        <v>55.125</v>
      </c>
    </row>
    <row r="144" spans="1:3" x14ac:dyDescent="0.2">
      <c r="A144" s="1">
        <f>'Filter-old'!C145</f>
        <v>37500</v>
      </c>
      <c r="B144" s="21">
        <v>3.9020000000000001</v>
      </c>
      <c r="C144" s="21">
        <f>VLOOKUP($A144,[1]Peak_Forward!$A$9:$R$128,18)</f>
        <v>27.3</v>
      </c>
    </row>
    <row r="145" spans="1:3" x14ac:dyDescent="0.2">
      <c r="A145" s="1">
        <f>'Filter-old'!C146</f>
        <v>37530</v>
      </c>
      <c r="B145" s="21">
        <v>3.92</v>
      </c>
      <c r="C145" s="21">
        <f>VLOOKUP($A145,[1]Peak_Forward!$A$9:$R$128,18)</f>
        <v>26.95</v>
      </c>
    </row>
    <row r="146" spans="1:3" x14ac:dyDescent="0.2">
      <c r="A146" s="1">
        <f>'Filter-old'!C147</f>
        <v>37561</v>
      </c>
      <c r="B146" s="21">
        <v>4.0280000000000005</v>
      </c>
      <c r="C146" s="21">
        <f>VLOOKUP($A146,[1]Peak_Forward!$A$9:$R$128,18)</f>
        <v>27.15</v>
      </c>
    </row>
    <row r="147" spans="1:3" x14ac:dyDescent="0.2">
      <c r="A147" s="1">
        <f>'Filter-old'!C148</f>
        <v>37591</v>
      </c>
      <c r="B147" s="21">
        <v>4.16</v>
      </c>
      <c r="C147" s="21">
        <f>VLOOKUP($A147,[1]Peak_Forward!$A$9:$R$128,18)</f>
        <v>27.35</v>
      </c>
    </row>
    <row r="148" spans="1:3" x14ac:dyDescent="0.2">
      <c r="A148" s="1">
        <f>'Filter-old'!C149</f>
        <v>37622</v>
      </c>
      <c r="B148" s="21">
        <v>4.2249999999999996</v>
      </c>
      <c r="C148" s="21">
        <f>VLOOKUP($A148,[1]Peak_Forward!$A$9:$R$128,18)</f>
        <v>31.71</v>
      </c>
    </row>
    <row r="149" spans="1:3" x14ac:dyDescent="0.2">
      <c r="A149" s="1">
        <f>'Filter-old'!C150</f>
        <v>37653</v>
      </c>
      <c r="B149" s="21">
        <v>4.1100000000000003</v>
      </c>
      <c r="C149" s="21">
        <f>VLOOKUP($A149,[1]Peak_Forward!$A$9:$R$128,18)</f>
        <v>31.11</v>
      </c>
    </row>
    <row r="150" spans="1:3" x14ac:dyDescent="0.2">
      <c r="A150" s="1">
        <f>'Filter-old'!C151</f>
        <v>37681</v>
      </c>
      <c r="B150" s="21">
        <v>3.9620000000000002</v>
      </c>
      <c r="C150" s="21">
        <f>VLOOKUP($A150,[1]Peak_Forward!$A$9:$R$128,18)</f>
        <v>30.55</v>
      </c>
    </row>
    <row r="151" spans="1:3" x14ac:dyDescent="0.2">
      <c r="A151" s="1">
        <f>'Filter-old'!C152</f>
        <v>37712</v>
      </c>
      <c r="B151" s="21">
        <v>3.7</v>
      </c>
      <c r="C151" s="21">
        <f>VLOOKUP($A151,[1]Peak_Forward!$A$9:$R$128,18)</f>
        <v>30.75</v>
      </c>
    </row>
    <row r="152" spans="1:3" x14ac:dyDescent="0.2">
      <c r="A152" s="1">
        <f>'Filter-old'!C153</f>
        <v>37742</v>
      </c>
      <c r="B152" s="21">
        <v>3.69</v>
      </c>
      <c r="C152" s="21">
        <f>VLOOKUP($A152,[1]Peak_Forward!$A$9:$R$128,18)</f>
        <v>33.024999999999999</v>
      </c>
    </row>
    <row r="153" spans="1:3" x14ac:dyDescent="0.2">
      <c r="A153" s="1">
        <f>'Filter-old'!C154</f>
        <v>37773</v>
      </c>
      <c r="B153" s="21">
        <v>3.73</v>
      </c>
      <c r="C153" s="21">
        <f>VLOOKUP($A153,[1]Peak_Forward!$A$9:$R$128,18)</f>
        <v>40.174999999999997</v>
      </c>
    </row>
    <row r="154" spans="1:3" x14ac:dyDescent="0.2">
      <c r="A154" s="1">
        <f>'Filter-old'!C155</f>
        <v>37803</v>
      </c>
      <c r="B154" s="21">
        <v>3.7850000000000001</v>
      </c>
      <c r="C154" s="21">
        <f>VLOOKUP($A154,[1]Peak_Forward!$A$9:$R$128,18)</f>
        <v>50.93</v>
      </c>
    </row>
    <row r="155" spans="1:3" x14ac:dyDescent="0.2">
      <c r="A155" s="1">
        <f>'Filter-old'!C156</f>
        <v>37834</v>
      </c>
      <c r="B155" s="21">
        <v>3.8149999999999999</v>
      </c>
      <c r="C155" s="21">
        <f>VLOOKUP($A155,[1]Peak_Forward!$A$9:$R$128,18)</f>
        <v>51.02</v>
      </c>
    </row>
    <row r="156" spans="1:3" x14ac:dyDescent="0.2">
      <c r="A156" s="1">
        <f>'Filter-old'!C157</f>
        <v>37865</v>
      </c>
      <c r="B156" s="21">
        <v>3.8270000000000004</v>
      </c>
      <c r="C156" s="21">
        <f>VLOOKUP($A156,[1]Peak_Forward!$A$9:$R$128,18)</f>
        <v>27.32</v>
      </c>
    </row>
    <row r="157" spans="1:3" x14ac:dyDescent="0.2">
      <c r="A157" s="1">
        <f>'Filter-old'!C158</f>
        <v>37895</v>
      </c>
      <c r="B157" s="21">
        <v>3.85</v>
      </c>
      <c r="C157" s="21">
        <f>VLOOKUP($A157,[1]Peak_Forward!$A$9:$R$128,18)</f>
        <v>28.23</v>
      </c>
    </row>
    <row r="158" spans="1:3" x14ac:dyDescent="0.2">
      <c r="A158" s="1">
        <f>'Filter-old'!C159</f>
        <v>37926</v>
      </c>
      <c r="B158" s="21">
        <v>3.9849999999999999</v>
      </c>
      <c r="C158" s="21">
        <f>VLOOKUP($A158,[1]Peak_Forward!$A$9:$R$128,18)</f>
        <v>28.32</v>
      </c>
    </row>
    <row r="159" spans="1:3" x14ac:dyDescent="0.2">
      <c r="A159" s="1">
        <f>'Filter-old'!C160</f>
        <v>37956</v>
      </c>
      <c r="B159" s="21">
        <v>4.125</v>
      </c>
      <c r="C159" s="21">
        <f>VLOOKUP($A159,[1]Peak_Forward!$A$9:$R$128,18)</f>
        <v>28.42</v>
      </c>
    </row>
    <row r="160" spans="1:3" x14ac:dyDescent="0.2">
      <c r="A160" s="1">
        <f>'Filter-old'!C161</f>
        <v>37987</v>
      </c>
      <c r="B160" s="21">
        <v>4.1710000000000003</v>
      </c>
      <c r="C160" s="21">
        <f>VLOOKUP($A160,[1]Peak_Forward!$A$9:$R$128,18)</f>
        <v>31.69</v>
      </c>
    </row>
    <row r="161" spans="1:3" x14ac:dyDescent="0.2">
      <c r="A161" s="1">
        <f>'Filter-old'!C162</f>
        <v>38018</v>
      </c>
      <c r="B161" s="21">
        <v>4.0529999999999999</v>
      </c>
      <c r="C161" s="21">
        <f>VLOOKUP($A161,[1]Peak_Forward!$A$9:$R$128,18)</f>
        <v>31.34</v>
      </c>
    </row>
    <row r="162" spans="1:3" x14ac:dyDescent="0.2">
      <c r="A162" s="1">
        <f>'Filter-old'!C163</f>
        <v>38047</v>
      </c>
      <c r="B162" s="21">
        <v>3.92</v>
      </c>
      <c r="C162" s="21">
        <f>VLOOKUP($A162,[1]Peak_Forward!$A$9:$R$128,18)</f>
        <v>30.78</v>
      </c>
    </row>
    <row r="163" spans="1:3" x14ac:dyDescent="0.2">
      <c r="A163" s="1">
        <f>'Filter-old'!C164</f>
        <v>38078</v>
      </c>
      <c r="B163" s="21">
        <v>3.7349999999999999</v>
      </c>
      <c r="C163" s="21">
        <f>VLOOKUP($A163,[1]Peak_Forward!$A$9:$R$128,18)</f>
        <v>31.22</v>
      </c>
    </row>
    <row r="164" spans="1:3" x14ac:dyDescent="0.2">
      <c r="A164" s="1">
        <f>'Filter-old'!C165</f>
        <v>38108</v>
      </c>
      <c r="B164" s="21">
        <v>3.7250000000000001</v>
      </c>
      <c r="C164" s="21">
        <f>VLOOKUP($A164,[1]Peak_Forward!$A$9:$R$128,18)</f>
        <v>33.79</v>
      </c>
    </row>
    <row r="165" spans="1:3" x14ac:dyDescent="0.2">
      <c r="A165" s="1">
        <f>'Filter-old'!C166</f>
        <v>38139</v>
      </c>
      <c r="B165" s="21">
        <v>3.7610000000000001</v>
      </c>
      <c r="C165" s="21">
        <f>VLOOKUP($A165,[1]Peak_Forward!$A$9:$R$128,18)</f>
        <v>38.19</v>
      </c>
    </row>
    <row r="166" spans="1:3" x14ac:dyDescent="0.2">
      <c r="A166" s="1">
        <f>'Filter-old'!C167</f>
        <v>38169</v>
      </c>
      <c r="B166" s="21">
        <v>3.81</v>
      </c>
      <c r="C166" s="21">
        <f>VLOOKUP($A166,[1]Peak_Forward!$A$9:$R$128,18)</f>
        <v>45.62</v>
      </c>
    </row>
    <row r="167" spans="1:3" x14ac:dyDescent="0.2">
      <c r="A167" s="1">
        <f>'Filter-old'!C168</f>
        <v>38200</v>
      </c>
      <c r="B167" s="21">
        <v>3.855</v>
      </c>
      <c r="C167" s="21">
        <f>VLOOKUP($A167,[1]Peak_Forward!$A$9:$R$128,18)</f>
        <v>44.93</v>
      </c>
    </row>
    <row r="168" spans="1:3" x14ac:dyDescent="0.2">
      <c r="A168" s="1">
        <f>'Filter-old'!C169</f>
        <v>38231</v>
      </c>
      <c r="B168" s="21">
        <v>3.8620000000000001</v>
      </c>
      <c r="C168" s="21">
        <f>VLOOKUP($A168,[1]Peak_Forward!$A$9:$R$128,18)</f>
        <v>28.54</v>
      </c>
    </row>
    <row r="169" spans="1:3" x14ac:dyDescent="0.2">
      <c r="A169" s="1">
        <f>'Filter-old'!C170</f>
        <v>38261</v>
      </c>
      <c r="B169" s="21">
        <v>3.89</v>
      </c>
      <c r="C169" s="21">
        <f>VLOOKUP($A169,[1]Peak_Forward!$A$9:$R$128,18)</f>
        <v>28.59</v>
      </c>
    </row>
    <row r="170" spans="1:3" x14ac:dyDescent="0.2">
      <c r="A170" s="1">
        <f>'Filter-old'!C171</f>
        <v>38292</v>
      </c>
      <c r="B170" s="21">
        <v>4.0250000000000004</v>
      </c>
      <c r="C170" s="21">
        <f>VLOOKUP($A170,[1]Peak_Forward!$A$9:$R$128,18)</f>
        <v>28.93</v>
      </c>
    </row>
    <row r="171" spans="1:3" x14ac:dyDescent="0.2">
      <c r="A171" s="1">
        <f>'Filter-old'!C172</f>
        <v>38322</v>
      </c>
      <c r="B171" s="21">
        <v>4.16</v>
      </c>
      <c r="C171" s="21">
        <f>VLOOKUP($A171,[1]Peak_Forward!$A$9:$R$128,18)</f>
        <v>28.63</v>
      </c>
    </row>
    <row r="172" spans="1:3" x14ac:dyDescent="0.2">
      <c r="A172" s="1">
        <f>'Filter-old'!C173</f>
        <v>38353</v>
      </c>
      <c r="B172" s="21">
        <v>4.2010000000000005</v>
      </c>
      <c r="C172" s="21">
        <f>VLOOKUP($A172,[1]Peak_Forward!$A$9:$R$128,18)</f>
        <v>33.01</v>
      </c>
    </row>
    <row r="173" spans="1:3" x14ac:dyDescent="0.2">
      <c r="A173" s="1">
        <f>'Filter-old'!C174</f>
        <v>38384</v>
      </c>
      <c r="B173" s="21">
        <v>4.0830000000000002</v>
      </c>
      <c r="C173" s="21">
        <f>VLOOKUP($A173,[1]Peak_Forward!$A$9:$R$128,18)</f>
        <v>32.17</v>
      </c>
    </row>
    <row r="174" spans="1:3" x14ac:dyDescent="0.2">
      <c r="A174" s="1">
        <f>'Filter-old'!C175</f>
        <v>38412</v>
      </c>
      <c r="B174" s="21">
        <v>3.95</v>
      </c>
      <c r="C174" s="21">
        <f>VLOOKUP($A174,[1]Peak_Forward!$A$9:$R$128,18)</f>
        <v>29.74</v>
      </c>
    </row>
    <row r="175" spans="1:3" x14ac:dyDescent="0.2">
      <c r="A175" s="1">
        <f>'Filter-old'!C176</f>
        <v>38443</v>
      </c>
      <c r="B175" s="21">
        <v>3.7650000000000001</v>
      </c>
      <c r="C175" s="21">
        <f>VLOOKUP($A175,[1]Peak_Forward!$A$9:$R$128,18)</f>
        <v>30.95</v>
      </c>
    </row>
    <row r="176" spans="1:3" x14ac:dyDescent="0.2">
      <c r="A176" s="1">
        <f>'Filter-old'!C177</f>
        <v>38473</v>
      </c>
      <c r="B176" s="21">
        <v>3.7549999999999999</v>
      </c>
      <c r="C176" s="21">
        <f>VLOOKUP($A176,[1]Peak_Forward!$A$9:$R$128,18)</f>
        <v>34.39</v>
      </c>
    </row>
    <row r="177" spans="1:3" x14ac:dyDescent="0.2">
      <c r="A177" s="1">
        <f>'Filter-old'!C178</f>
        <v>38504</v>
      </c>
      <c r="B177" s="21">
        <v>3.7910000000000004</v>
      </c>
      <c r="C177" s="21">
        <f>VLOOKUP($A177,[1]Peak_Forward!$A$9:$R$128,18)</f>
        <v>38.39</v>
      </c>
    </row>
    <row r="178" spans="1:3" x14ac:dyDescent="0.2">
      <c r="A178" s="1">
        <f>'Filter-old'!C179</f>
        <v>38534</v>
      </c>
      <c r="B178" s="21">
        <v>3.84</v>
      </c>
      <c r="C178" s="21">
        <f>VLOOKUP($A178,[1]Peak_Forward!$A$9:$R$128,18)</f>
        <v>44.134999999999998</v>
      </c>
    </row>
    <row r="179" spans="1:3" x14ac:dyDescent="0.2">
      <c r="A179" s="1">
        <f>'Filter-old'!C180</f>
        <v>38565</v>
      </c>
      <c r="B179" s="21">
        <v>3.8849999999999998</v>
      </c>
      <c r="C179" s="21">
        <f>VLOOKUP($A179,[1]Peak_Forward!$A$9:$R$128,18)</f>
        <v>44.484999999999999</v>
      </c>
    </row>
    <row r="180" spans="1:3" x14ac:dyDescent="0.2">
      <c r="A180" s="1">
        <f>'Filter-old'!C181</f>
        <v>38596</v>
      </c>
      <c r="B180" s="21">
        <v>3.8920000000000003</v>
      </c>
      <c r="C180" s="21">
        <f>VLOOKUP($A180,[1]Peak_Forward!$A$9:$R$128,18)</f>
        <v>30.2</v>
      </c>
    </row>
    <row r="181" spans="1:3" x14ac:dyDescent="0.2">
      <c r="A181" s="1">
        <f>'Filter-old'!C182</f>
        <v>38626</v>
      </c>
      <c r="B181" s="21">
        <v>3.92</v>
      </c>
      <c r="C181" s="21">
        <f>VLOOKUP($A181,[1]Peak_Forward!$A$9:$R$128,18)</f>
        <v>28.81</v>
      </c>
    </row>
    <row r="182" spans="1:3" x14ac:dyDescent="0.2">
      <c r="A182" s="1">
        <f>'Filter-old'!C183</f>
        <v>38657</v>
      </c>
      <c r="B182" s="21">
        <v>4.0549999999999997</v>
      </c>
      <c r="C182" s="21">
        <f>VLOOKUP($A182,[1]Peak_Forward!$A$9:$R$128,18)</f>
        <v>29.91</v>
      </c>
    </row>
    <row r="183" spans="1:3" x14ac:dyDescent="0.2">
      <c r="A183" s="1">
        <f>'Filter-old'!C184</f>
        <v>38687</v>
      </c>
      <c r="B183" s="21">
        <v>4.1900000000000004</v>
      </c>
      <c r="C183" s="21">
        <f>VLOOKUP($A183,[1]Peak_Forward!$A$9:$R$128,18)</f>
        <v>30.43</v>
      </c>
    </row>
    <row r="184" spans="1:3" x14ac:dyDescent="0.2">
      <c r="A184" s="1">
        <f>'Filter-old'!C185</f>
        <v>38718</v>
      </c>
      <c r="B184" s="21">
        <v>4.2410000000000005</v>
      </c>
      <c r="C184" s="21">
        <f>VLOOKUP($A184,[1]Peak_Forward!$A$9:$R$128,18)</f>
        <v>34</v>
      </c>
    </row>
    <row r="185" spans="1:3" x14ac:dyDescent="0.2">
      <c r="A185" s="1">
        <f>'Filter-old'!C186</f>
        <v>38749</v>
      </c>
      <c r="B185" s="21">
        <v>4.1230000000000002</v>
      </c>
      <c r="C185" s="21">
        <f>VLOOKUP($A185,[1]Peak_Forward!$A$9:$R$128,18)</f>
        <v>33</v>
      </c>
    </row>
    <row r="186" spans="1:3" x14ac:dyDescent="0.2">
      <c r="A186" s="1">
        <f>'Filter-old'!C187</f>
        <v>38777</v>
      </c>
      <c r="B186" s="21">
        <v>3.99</v>
      </c>
      <c r="C186" s="21">
        <f>VLOOKUP($A186,[1]Peak_Forward!$A$9:$R$128,18)</f>
        <v>31.66</v>
      </c>
    </row>
    <row r="187" spans="1:3" x14ac:dyDescent="0.2">
      <c r="A187" s="1">
        <f>'Filter-old'!C188</f>
        <v>38808</v>
      </c>
      <c r="B187" s="21">
        <v>3.8050000000000002</v>
      </c>
      <c r="C187" s="21">
        <f>VLOOKUP($A187,[1]Peak_Forward!$A$9:$R$128,18)</f>
        <v>31.61</v>
      </c>
    </row>
    <row r="188" spans="1:3" x14ac:dyDescent="0.2">
      <c r="A188" s="1">
        <f>'Filter-old'!C189</f>
        <v>38838</v>
      </c>
      <c r="B188" s="21">
        <v>3.7949999999999999</v>
      </c>
      <c r="C188" s="21">
        <f>VLOOKUP($A188,[1]Peak_Forward!$A$9:$R$128,18)</f>
        <v>34.274999999999999</v>
      </c>
    </row>
    <row r="189" spans="1:3" x14ac:dyDescent="0.2">
      <c r="A189" s="1">
        <f>'Filter-old'!C190</f>
        <v>38869</v>
      </c>
      <c r="B189" s="21">
        <v>3.8310000000000004</v>
      </c>
      <c r="C189" s="21">
        <f>VLOOKUP($A189,[1]Peak_Forward!$A$9:$R$128,18)</f>
        <v>38.72</v>
      </c>
    </row>
    <row r="190" spans="1:3" x14ac:dyDescent="0.2">
      <c r="A190" s="1">
        <f>'Filter-old'!C191</f>
        <v>38899</v>
      </c>
      <c r="B190" s="21">
        <v>3.88</v>
      </c>
      <c r="C190" s="21">
        <f>VLOOKUP($A190,[1]Peak_Forward!$A$9:$R$128,18)</f>
        <v>47.045000000000002</v>
      </c>
    </row>
    <row r="191" spans="1:3" x14ac:dyDescent="0.2">
      <c r="A191" s="1">
        <f>'Filter-old'!C192</f>
        <v>38930</v>
      </c>
      <c r="B191" s="21">
        <v>3.9249999999999998</v>
      </c>
      <c r="C191" s="21">
        <f>VLOOKUP($A191,[1]Peak_Forward!$A$9:$R$128,18)</f>
        <v>47.875</v>
      </c>
    </row>
    <row r="192" spans="1:3" x14ac:dyDescent="0.2">
      <c r="A192" s="1">
        <f>'Filter-old'!C193</f>
        <v>38961</v>
      </c>
      <c r="B192" s="21">
        <v>3.9320000000000004</v>
      </c>
      <c r="C192" s="21">
        <f>VLOOKUP($A192,[1]Peak_Forward!$A$9:$R$128,18)</f>
        <v>30.17</v>
      </c>
    </row>
    <row r="193" spans="1:3" x14ac:dyDescent="0.2">
      <c r="A193" s="1">
        <f>'Filter-old'!C194</f>
        <v>38991</v>
      </c>
      <c r="B193" s="21">
        <v>3.96</v>
      </c>
      <c r="C193" s="21">
        <f>VLOOKUP($A193,[1]Peak_Forward!$A$9:$R$128,18)</f>
        <v>29.23</v>
      </c>
    </row>
    <row r="194" spans="1:3" x14ac:dyDescent="0.2">
      <c r="A194" s="1">
        <f>'Filter-old'!C195</f>
        <v>39022</v>
      </c>
      <c r="B194" s="21">
        <v>4.0949999999999998</v>
      </c>
      <c r="C194" s="21">
        <f>VLOOKUP($A194,[1]Peak_Forward!$A$9:$R$128,18)</f>
        <v>29.07</v>
      </c>
    </row>
    <row r="195" spans="1:3" x14ac:dyDescent="0.2">
      <c r="A195" s="1">
        <f>'Filter-old'!C196</f>
        <v>39052</v>
      </c>
      <c r="B195" s="21">
        <v>4.2300000000000004</v>
      </c>
      <c r="C195" s="21">
        <f>VLOOKUP($A195,[1]Peak_Forward!$A$9:$R$128,18)</f>
        <v>28.39</v>
      </c>
    </row>
    <row r="196" spans="1:3" x14ac:dyDescent="0.2">
      <c r="A196" s="1">
        <f>'Filter-old'!C197</f>
        <v>39083</v>
      </c>
      <c r="B196" s="21">
        <v>4.2910000000000004</v>
      </c>
      <c r="C196" s="21">
        <f>VLOOKUP($A196,[1]Peak_Forward!$A$9:$R$128,18)</f>
        <v>33.9</v>
      </c>
    </row>
    <row r="197" spans="1:3" x14ac:dyDescent="0.2">
      <c r="A197" s="1">
        <f>'Filter-old'!C198</f>
        <v>39114</v>
      </c>
      <c r="B197" s="21">
        <v>4.173</v>
      </c>
      <c r="C197" s="21">
        <f>VLOOKUP($A197,[1]Peak_Forward!$A$9:$R$128,18)</f>
        <v>33.72</v>
      </c>
    </row>
    <row r="198" spans="1:3" x14ac:dyDescent="0.2">
      <c r="A198" s="1">
        <f>'Filter-old'!C199</f>
        <v>39142</v>
      </c>
      <c r="B198" s="21">
        <v>4.04</v>
      </c>
      <c r="C198" s="21">
        <f>VLOOKUP($A198,[1]Peak_Forward!$A$9:$R$128,18)</f>
        <v>32.46</v>
      </c>
    </row>
    <row r="199" spans="1:3" x14ac:dyDescent="0.2">
      <c r="A199" s="1">
        <f>'Filter-old'!C200</f>
        <v>39173</v>
      </c>
      <c r="B199" s="21">
        <v>3.855</v>
      </c>
      <c r="C199" s="21">
        <f>VLOOKUP($A199,[1]Peak_Forward!$A$9:$R$128,18)</f>
        <v>32.26</v>
      </c>
    </row>
    <row r="200" spans="1:3" x14ac:dyDescent="0.2">
      <c r="A200" s="1">
        <f>'Filter-old'!C201</f>
        <v>39203</v>
      </c>
      <c r="B200" s="21">
        <v>3.8450000000000002</v>
      </c>
      <c r="C200" s="21">
        <f>VLOOKUP($A200,[1]Peak_Forward!$A$9:$R$128,18)</f>
        <v>35.840000000000003</v>
      </c>
    </row>
    <row r="201" spans="1:3" x14ac:dyDescent="0.2">
      <c r="A201" s="1">
        <f>'Filter-old'!C202</f>
        <v>39234</v>
      </c>
      <c r="B201" s="21">
        <v>3.8810000000000002</v>
      </c>
      <c r="C201" s="21">
        <f>VLOOKUP($A201,[1]Peak_Forward!$A$9:$R$128,18)</f>
        <v>39.5</v>
      </c>
    </row>
    <row r="202" spans="1:3" x14ac:dyDescent="0.2">
      <c r="A202" s="1">
        <f>'Filter-old'!C203</f>
        <v>39264</v>
      </c>
      <c r="B202" s="21">
        <v>3.93</v>
      </c>
      <c r="C202" s="21">
        <f>VLOOKUP($A202,[1]Peak_Forward!$A$9:$R$128,18)</f>
        <v>46.814999999999998</v>
      </c>
    </row>
    <row r="203" spans="1:3" x14ac:dyDescent="0.2">
      <c r="A203" s="1">
        <f>'Filter-old'!C204</f>
        <v>39295</v>
      </c>
      <c r="B203" s="21">
        <v>3.9750000000000001</v>
      </c>
      <c r="C203" s="21">
        <f>VLOOKUP($A203,[1]Peak_Forward!$A$9:$R$128,18)</f>
        <v>48.414999999999999</v>
      </c>
    </row>
    <row r="204" spans="1:3" x14ac:dyDescent="0.2">
      <c r="A204" s="1">
        <f>'Filter-old'!C205</f>
        <v>39326</v>
      </c>
      <c r="B204" s="21">
        <v>3.9820000000000002</v>
      </c>
      <c r="C204" s="21">
        <f>VLOOKUP($A204,[1]Peak_Forward!$A$9:$R$128,18)</f>
        <v>30.94</v>
      </c>
    </row>
    <row r="205" spans="1:3" x14ac:dyDescent="0.2">
      <c r="A205" s="1">
        <f>'Filter-old'!C206</f>
        <v>39356</v>
      </c>
      <c r="B205" s="21">
        <v>4.01</v>
      </c>
      <c r="C205" s="21">
        <f>VLOOKUP($A205,[1]Peak_Forward!$A$9:$R$128,18)</f>
        <v>31.27</v>
      </c>
    </row>
    <row r="206" spans="1:3" x14ac:dyDescent="0.2">
      <c r="A206" s="1">
        <f>'Filter-old'!C207</f>
        <v>39387</v>
      </c>
      <c r="B206" s="21">
        <v>4.1449999999999996</v>
      </c>
      <c r="C206" s="21">
        <f>VLOOKUP($A206,[1]Peak_Forward!$A$9:$R$128,18)</f>
        <v>30.97</v>
      </c>
    </row>
    <row r="207" spans="1:3" x14ac:dyDescent="0.2">
      <c r="A207" s="1">
        <f>'Filter-old'!C208</f>
        <v>39417</v>
      </c>
      <c r="B207" s="21">
        <v>4.28</v>
      </c>
      <c r="C207" s="21">
        <f>VLOOKUP($A207,[1]Peak_Forward!$A$9:$R$128,18)</f>
        <v>30.83</v>
      </c>
    </row>
    <row r="208" spans="1:3" x14ac:dyDescent="0.2">
      <c r="A208" s="1">
        <f>'Filter-old'!C209</f>
        <v>39448</v>
      </c>
      <c r="B208" s="21">
        <v>4.351</v>
      </c>
      <c r="C208" s="21">
        <f>VLOOKUP($A208,[1]Peak_Forward!$A$9:$R$128,18)</f>
        <v>33.69</v>
      </c>
    </row>
    <row r="209" spans="1:3" x14ac:dyDescent="0.2">
      <c r="A209" s="1">
        <f>'Filter-old'!C210</f>
        <v>39479</v>
      </c>
      <c r="B209" s="21">
        <v>4.2330000000000005</v>
      </c>
      <c r="C209" s="21">
        <f>VLOOKUP($A209,[1]Peak_Forward!$A$9:$R$128,18)</f>
        <v>32.32</v>
      </c>
    </row>
    <row r="210" spans="1:3" x14ac:dyDescent="0.2">
      <c r="A210" s="1">
        <f>'Filter-old'!C211</f>
        <v>39508</v>
      </c>
      <c r="B210" s="21">
        <v>4.0999999999999996</v>
      </c>
      <c r="C210" s="21">
        <f>VLOOKUP($A210,[1]Peak_Forward!$A$9:$R$128,18)</f>
        <v>32.08</v>
      </c>
    </row>
    <row r="211" spans="1:3" x14ac:dyDescent="0.2">
      <c r="A211" s="1">
        <f>'Filter-old'!C212</f>
        <v>39539</v>
      </c>
      <c r="B211" s="21">
        <v>3.915</v>
      </c>
      <c r="C211" s="21">
        <f>VLOOKUP($A211,[1]Peak_Forward!$A$9:$R$128,18)</f>
        <v>32.700000000000003</v>
      </c>
    </row>
    <row r="212" spans="1:3" x14ac:dyDescent="0.2">
      <c r="A212" s="1">
        <f>'Filter-old'!C213</f>
        <v>39569</v>
      </c>
      <c r="B212" s="21">
        <v>3.9049999999999998</v>
      </c>
      <c r="C212" s="21">
        <f>VLOOKUP($A212,[1]Peak_Forward!$A$9:$R$128,18)</f>
        <v>37.159999999999997</v>
      </c>
    </row>
    <row r="213" spans="1:3" x14ac:dyDescent="0.2">
      <c r="A213" s="1">
        <f>'Filter-old'!C214</f>
        <v>39600</v>
      </c>
      <c r="B213" s="21">
        <v>3.9410000000000003</v>
      </c>
      <c r="C213" s="21">
        <f>VLOOKUP($A213,[1]Peak_Forward!$A$9:$R$128,18)</f>
        <v>40.58</v>
      </c>
    </row>
    <row r="214" spans="1:3" x14ac:dyDescent="0.2">
      <c r="A214" s="1">
        <f>'Filter-old'!C215</f>
        <v>39630</v>
      </c>
      <c r="B214" s="21">
        <v>3.99</v>
      </c>
      <c r="C214" s="21">
        <f>VLOOKUP($A214,[1]Peak_Forward!$A$9:$R$128,18)</f>
        <v>50.22</v>
      </c>
    </row>
    <row r="215" spans="1:3" x14ac:dyDescent="0.2">
      <c r="A215" s="1">
        <f>'Filter-old'!C216</f>
        <v>39661</v>
      </c>
      <c r="B215" s="21">
        <v>4.0350000000000001</v>
      </c>
      <c r="C215" s="21">
        <f>VLOOKUP($A215,[1]Peak_Forward!$A$9:$R$128,18)</f>
        <v>50.56</v>
      </c>
    </row>
    <row r="216" spans="1:3" x14ac:dyDescent="0.2">
      <c r="A216" s="1">
        <f>'Filter-old'!C217</f>
        <v>39692</v>
      </c>
      <c r="B216" s="21">
        <v>4.0419999999999998</v>
      </c>
      <c r="C216" s="21">
        <f>VLOOKUP($A216,[1]Peak_Forward!$A$9:$R$128,18)</f>
        <v>29.6</v>
      </c>
    </row>
    <row r="217" spans="1:3" x14ac:dyDescent="0.2">
      <c r="A217" s="1">
        <f>'Filter-old'!C218</f>
        <v>39722</v>
      </c>
      <c r="B217" s="21">
        <v>4.07</v>
      </c>
      <c r="C217" s="21">
        <f>VLOOKUP($A217,[1]Peak_Forward!$A$9:$R$128,18)</f>
        <v>30.54</v>
      </c>
    </row>
    <row r="218" spans="1:3" x14ac:dyDescent="0.2">
      <c r="A218" s="1">
        <f>'Filter-old'!C219</f>
        <v>39753</v>
      </c>
      <c r="B218" s="21">
        <v>4.2050000000000001</v>
      </c>
      <c r="C218" s="21">
        <f>VLOOKUP($A218,[1]Peak_Forward!$A$9:$R$128,18)</f>
        <v>31.06</v>
      </c>
    </row>
    <row r="219" spans="1:3" x14ac:dyDescent="0.2">
      <c r="A219" s="1">
        <f>'Filter-old'!C220</f>
        <v>39783</v>
      </c>
      <c r="B219" s="21">
        <v>4.34</v>
      </c>
      <c r="C219" s="21">
        <f>VLOOKUP($A219,[1]Peak_Forward!$A$9:$R$128,18)</f>
        <v>31.4</v>
      </c>
    </row>
    <row r="220" spans="1:3" x14ac:dyDescent="0.2">
      <c r="A220" s="1">
        <f>'Filter-old'!C221</f>
        <v>39814</v>
      </c>
      <c r="B220" s="21">
        <v>4.4160000000000004</v>
      </c>
      <c r="C220" s="21">
        <f>VLOOKUP($A220,[1]Peak_Forward!$A$9:$R$128,18)</f>
        <v>34.729999999999997</v>
      </c>
    </row>
    <row r="221" spans="1:3" x14ac:dyDescent="0.2">
      <c r="A221" s="1">
        <f>'Filter-old'!C222</f>
        <v>39845</v>
      </c>
      <c r="B221" s="21">
        <v>4.298</v>
      </c>
      <c r="C221" s="21">
        <f>VLOOKUP($A221,[1]Peak_Forward!$A$9:$R$128,18)</f>
        <v>33.880000000000003</v>
      </c>
    </row>
    <row r="222" spans="1:3" x14ac:dyDescent="0.2">
      <c r="A222" s="1">
        <f>'Filter-old'!C223</f>
        <v>39873</v>
      </c>
      <c r="B222" s="21">
        <v>4.165</v>
      </c>
      <c r="C222" s="21">
        <f>VLOOKUP($A222,[1]Peak_Forward!$A$9:$R$128,18)</f>
        <v>32.14</v>
      </c>
    </row>
    <row r="223" spans="1:3" x14ac:dyDescent="0.2">
      <c r="A223" s="1">
        <f>'Filter-old'!C224</f>
        <v>39904</v>
      </c>
      <c r="B223" s="21">
        <v>3.98</v>
      </c>
      <c r="C223" s="21">
        <f>VLOOKUP($A223,[1]Peak_Forward!$A$9:$R$128,18)</f>
        <v>31.56</v>
      </c>
    </row>
    <row r="224" spans="1:3" x14ac:dyDescent="0.2">
      <c r="A224" s="1">
        <f>'Filter-old'!C225</f>
        <v>39934</v>
      </c>
      <c r="B224" s="21">
        <v>3.97</v>
      </c>
      <c r="C224" s="21">
        <f>VLOOKUP($A224,[1]Peak_Forward!$A$9:$R$128,18)</f>
        <v>37.39</v>
      </c>
    </row>
    <row r="225" spans="1:3" x14ac:dyDescent="0.2">
      <c r="A225" s="1">
        <f>'Filter-old'!C226</f>
        <v>39965</v>
      </c>
      <c r="B225" s="21">
        <v>4.0060000000000002</v>
      </c>
      <c r="C225" s="21">
        <f>VLOOKUP($A225,[1]Peak_Forward!$A$9:$R$128,18)</f>
        <v>42.65</v>
      </c>
    </row>
    <row r="226" spans="1:3" x14ac:dyDescent="0.2">
      <c r="A226" s="1">
        <f>'Filter-old'!C227</f>
        <v>39995</v>
      </c>
      <c r="B226" s="21">
        <v>4.0549999999999997</v>
      </c>
      <c r="C226" s="21">
        <f>VLOOKUP($A226,[1]Peak_Forward!$A$9:$R$128,18)</f>
        <v>52.484999999999999</v>
      </c>
    </row>
    <row r="227" spans="1:3" x14ac:dyDescent="0.2">
      <c r="A227" s="1">
        <f>'Filter-old'!C228</f>
        <v>40026</v>
      </c>
      <c r="B227" s="21">
        <v>4.0999999999999996</v>
      </c>
      <c r="C227" s="21">
        <f>VLOOKUP($A227,[1]Peak_Forward!$A$9:$R$128,18)</f>
        <v>52.674999999999997</v>
      </c>
    </row>
    <row r="228" spans="1:3" x14ac:dyDescent="0.2">
      <c r="A228" s="1">
        <f>'Filter-old'!C229</f>
        <v>40057</v>
      </c>
      <c r="B228" s="21">
        <v>4.1070000000000002</v>
      </c>
      <c r="C228" s="21">
        <f>VLOOKUP($A228,[1]Peak_Forward!$A$9:$R$128,18)</f>
        <v>30.62</v>
      </c>
    </row>
    <row r="229" spans="1:3" x14ac:dyDescent="0.2">
      <c r="A229" s="1">
        <f>'Filter-old'!C230</f>
        <v>40087</v>
      </c>
      <c r="B229" s="21">
        <v>4.1349999999999998</v>
      </c>
      <c r="C229" s="21">
        <f>VLOOKUP($A229,[1]Peak_Forward!$A$9:$R$128,18)</f>
        <v>30.96</v>
      </c>
    </row>
    <row r="230" spans="1:3" x14ac:dyDescent="0.2">
      <c r="A230" s="1">
        <f>'Filter-old'!C231</f>
        <v>40118</v>
      </c>
      <c r="B230" s="21">
        <v>4.2699999999999996</v>
      </c>
      <c r="C230" s="21">
        <f>VLOOKUP($A230,[1]Peak_Forward!$A$9:$R$128,18)</f>
        <v>30.28</v>
      </c>
    </row>
    <row r="231" spans="1:3" x14ac:dyDescent="0.2">
      <c r="A231" s="1">
        <f>'Filter-old'!C232</f>
        <v>40148</v>
      </c>
      <c r="B231" s="21">
        <v>4.4050000000000002</v>
      </c>
      <c r="C231" s="21">
        <f>VLOOKUP($A231,[1]Peak_Forward!$A$9:$R$128,18)</f>
        <v>31.39</v>
      </c>
    </row>
    <row r="232" spans="1:3" x14ac:dyDescent="0.2">
      <c r="A232" s="1">
        <f>'Filter-old'!C233</f>
        <v>40179</v>
      </c>
      <c r="B232" s="21">
        <v>4.4860000000000007</v>
      </c>
      <c r="C232" s="21">
        <f>VLOOKUP($A232,[1]Peak_Forward!$A$9:$R$128,18)</f>
        <v>34.99</v>
      </c>
    </row>
    <row r="233" spans="1:3" x14ac:dyDescent="0.2">
      <c r="A233" s="1">
        <f>'Filter-old'!C234</f>
        <v>40210</v>
      </c>
      <c r="B233" s="21">
        <v>4.3680000000000003</v>
      </c>
      <c r="C233" s="21">
        <f>VLOOKUP($A233,[1]Peak_Forward!$A$9:$R$128,18)</f>
        <v>34.619999999999997</v>
      </c>
    </row>
    <row r="234" spans="1:3" x14ac:dyDescent="0.2">
      <c r="A234" s="1">
        <f>'Filter-old'!C235</f>
        <v>40238</v>
      </c>
      <c r="B234" s="21">
        <v>4.2350000000000003</v>
      </c>
      <c r="C234" s="21">
        <f>VLOOKUP($A234,[1]Peak_Forward!$A$9:$R$128,18)</f>
        <v>32.979999999999997</v>
      </c>
    </row>
    <row r="235" spans="1:3" x14ac:dyDescent="0.2">
      <c r="A235" s="1">
        <f>'Filter-old'!C236</f>
        <v>40269</v>
      </c>
      <c r="B235" s="21">
        <v>4.05</v>
      </c>
      <c r="C235" s="21">
        <f>VLOOKUP($A235,[1]Peak_Forward!$A$9:$R$128,18)</f>
        <v>32.94</v>
      </c>
    </row>
    <row r="236" spans="1:3" x14ac:dyDescent="0.2">
      <c r="A236" s="1">
        <f>'Filter-old'!C237</f>
        <v>40299</v>
      </c>
      <c r="B236" s="21">
        <v>4.04</v>
      </c>
      <c r="C236" s="21">
        <f>VLOOKUP($A236,[1]Peak_Forward!$A$9:$R$128,18)</f>
        <v>37.909999999999997</v>
      </c>
    </row>
    <row r="237" spans="1:3" x14ac:dyDescent="0.2">
      <c r="A237" s="1">
        <f>'Filter-old'!C238</f>
        <v>40330</v>
      </c>
      <c r="B237" s="21">
        <v>4.0760000000000005</v>
      </c>
      <c r="C237" s="21">
        <f>VLOOKUP($A237,[1]Peak_Forward!$A$9:$R$128,18)</f>
        <v>43.07</v>
      </c>
    </row>
    <row r="238" spans="1:3" x14ac:dyDescent="0.2">
      <c r="A238" s="1">
        <f>'Filter-old'!C239</f>
        <v>40360</v>
      </c>
      <c r="B238" s="21">
        <v>4.125</v>
      </c>
      <c r="C238" s="21">
        <f>VLOOKUP($A238,[1]Peak_Forward!$A$9:$R$128,18)</f>
        <v>54.2</v>
      </c>
    </row>
    <row r="239" spans="1:3" x14ac:dyDescent="0.2">
      <c r="A239" s="1">
        <f>'Filter-old'!C240</f>
        <v>40391</v>
      </c>
      <c r="B239" s="21">
        <v>4.17</v>
      </c>
      <c r="C239" s="21">
        <f>VLOOKUP($A239,[1]Peak_Forward!$A$9:$R$128,18)</f>
        <v>55.21</v>
      </c>
    </row>
    <row r="240" spans="1:3" x14ac:dyDescent="0.2">
      <c r="A240" s="1">
        <f>'Filter-old'!C241</f>
        <v>40422</v>
      </c>
      <c r="B240" s="21">
        <v>4.1770000000000005</v>
      </c>
      <c r="C240" s="21">
        <f>VLOOKUP($A240,[1]Peak_Forward!$A$9:$R$128,18)</f>
        <v>31.41</v>
      </c>
    </row>
    <row r="241" spans="1:3" x14ac:dyDescent="0.2">
      <c r="A241" s="1">
        <f>'Filter-old'!C242</f>
        <v>40452</v>
      </c>
      <c r="B241" s="21">
        <v>4.2050000000000001</v>
      </c>
      <c r="C241" s="21">
        <f>VLOOKUP($A241,[1]Peak_Forward!$A$9:$R$128,18)</f>
        <v>31.44</v>
      </c>
    </row>
    <row r="242" spans="1:3" x14ac:dyDescent="0.2">
      <c r="A242" s="1">
        <f>'Filter-old'!C243</f>
        <v>40483</v>
      </c>
      <c r="B242" s="21">
        <v>4.34</v>
      </c>
      <c r="C242" s="21">
        <f>VLOOKUP($A242,[1]Peak_Forward!$A$9:$R$128,18)</f>
        <v>31.3</v>
      </c>
    </row>
    <row r="243" spans="1:3" x14ac:dyDescent="0.2">
      <c r="A243" s="1">
        <f>'Filter-old'!C244</f>
        <v>40513</v>
      </c>
      <c r="B243" s="21">
        <v>4.4749999999999996</v>
      </c>
      <c r="C243" s="21">
        <f>VLOOKUP($A243,[1]Peak_Forward!$A$9:$R$128,18)</f>
        <v>31.15</v>
      </c>
    </row>
    <row r="244" spans="1:3" x14ac:dyDescent="0.2">
      <c r="A244" s="1"/>
    </row>
    <row r="245" spans="1:3" x14ac:dyDescent="0.2">
      <c r="A245" s="1"/>
    </row>
    <row r="246" spans="1:3" x14ac:dyDescent="0.2">
      <c r="A246" s="1"/>
    </row>
    <row r="247" spans="1:3" x14ac:dyDescent="0.2">
      <c r="A247" s="1"/>
    </row>
    <row r="248" spans="1:3" x14ac:dyDescent="0.2">
      <c r="A248" s="1"/>
    </row>
    <row r="249" spans="1:3" x14ac:dyDescent="0.2">
      <c r="A249" s="1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M14"/>
  <sheetViews>
    <sheetView workbookViewId="0">
      <selection activeCell="B3" sqref="B3"/>
    </sheetView>
  </sheetViews>
  <sheetFormatPr defaultRowHeight="12.75" x14ac:dyDescent="0.2"/>
  <sheetData>
    <row r="1" spans="1:117" x14ac:dyDescent="0.2">
      <c r="B1" s="1">
        <v>37043</v>
      </c>
      <c r="C1" s="1">
        <v>37073</v>
      </c>
      <c r="D1" s="1">
        <v>37104</v>
      </c>
      <c r="E1" s="1">
        <v>37135</v>
      </c>
      <c r="F1" s="1">
        <v>37165</v>
      </c>
      <c r="G1" s="1">
        <v>37196</v>
      </c>
      <c r="H1" s="1">
        <v>37226</v>
      </c>
      <c r="I1" s="1">
        <v>37257</v>
      </c>
      <c r="J1" s="1">
        <v>37288</v>
      </c>
      <c r="K1" s="1">
        <v>37316</v>
      </c>
      <c r="L1" s="1">
        <v>37347</v>
      </c>
      <c r="M1" s="1">
        <v>37377</v>
      </c>
      <c r="N1" s="1">
        <v>37408</v>
      </c>
      <c r="O1" s="1">
        <v>37438</v>
      </c>
      <c r="P1" s="1">
        <v>37469</v>
      </c>
      <c r="Q1" s="1">
        <v>37500</v>
      </c>
      <c r="R1" s="1">
        <v>37530</v>
      </c>
      <c r="S1" s="1">
        <v>37561</v>
      </c>
      <c r="T1" s="1">
        <v>37591</v>
      </c>
      <c r="U1" s="1">
        <v>37622</v>
      </c>
      <c r="V1" s="1">
        <v>37653</v>
      </c>
      <c r="W1" s="1">
        <v>37681</v>
      </c>
      <c r="X1" s="1">
        <v>37712</v>
      </c>
      <c r="Y1" s="1">
        <v>37742</v>
      </c>
      <c r="Z1" s="1">
        <v>37773</v>
      </c>
      <c r="AA1" s="1">
        <v>37803</v>
      </c>
      <c r="AB1" s="1">
        <v>37834</v>
      </c>
      <c r="AC1" s="1">
        <v>37865</v>
      </c>
      <c r="AD1" s="1">
        <v>37895</v>
      </c>
      <c r="AE1" s="1">
        <v>37926</v>
      </c>
      <c r="AF1" s="1">
        <v>37956</v>
      </c>
      <c r="AG1" s="1">
        <v>37987</v>
      </c>
      <c r="AH1" s="1">
        <v>38018</v>
      </c>
      <c r="AI1" s="1">
        <v>38047</v>
      </c>
      <c r="AJ1" s="1">
        <v>38078</v>
      </c>
      <c r="AK1" s="1">
        <v>38108</v>
      </c>
      <c r="AL1" s="1">
        <v>38139</v>
      </c>
      <c r="AM1" s="1">
        <v>38169</v>
      </c>
      <c r="AN1" s="1">
        <v>38200</v>
      </c>
      <c r="AO1" s="1">
        <v>38231</v>
      </c>
      <c r="AP1" s="1">
        <v>38261</v>
      </c>
      <c r="AQ1" s="1">
        <v>38292</v>
      </c>
      <c r="AR1" s="1">
        <v>38322</v>
      </c>
      <c r="AS1" s="1">
        <v>38353</v>
      </c>
      <c r="AT1" s="1">
        <v>38384</v>
      </c>
      <c r="AU1" s="1">
        <v>38412</v>
      </c>
      <c r="AV1" s="1">
        <v>38443</v>
      </c>
      <c r="AW1" s="1">
        <v>38473</v>
      </c>
      <c r="AX1" s="1">
        <v>38504</v>
      </c>
      <c r="AY1" s="1">
        <v>38534</v>
      </c>
      <c r="AZ1" s="1">
        <v>38565</v>
      </c>
      <c r="BA1" s="1">
        <v>38596</v>
      </c>
      <c r="BB1" s="1">
        <v>38626</v>
      </c>
      <c r="BC1" s="1">
        <v>38657</v>
      </c>
      <c r="BD1" s="1">
        <v>38687</v>
      </c>
      <c r="BE1" s="1">
        <v>38718</v>
      </c>
      <c r="BF1" s="1">
        <v>38749</v>
      </c>
      <c r="BG1" s="1">
        <v>38777</v>
      </c>
      <c r="BH1" s="1">
        <v>38808</v>
      </c>
      <c r="BI1" s="1">
        <v>38838</v>
      </c>
      <c r="BJ1" s="1">
        <v>38869</v>
      </c>
      <c r="BK1" s="1">
        <v>38899</v>
      </c>
      <c r="BL1" s="1">
        <v>38930</v>
      </c>
      <c r="BM1" s="1">
        <v>38961</v>
      </c>
      <c r="BN1" s="1">
        <v>38991</v>
      </c>
      <c r="BO1" s="1">
        <v>39022</v>
      </c>
      <c r="BP1" s="1">
        <v>39052</v>
      </c>
      <c r="BQ1" s="1">
        <v>39083</v>
      </c>
      <c r="BR1" s="1">
        <v>39114</v>
      </c>
      <c r="BS1" s="1">
        <v>39142</v>
      </c>
      <c r="BT1" s="1">
        <v>39173</v>
      </c>
      <c r="BU1" s="1">
        <v>39203</v>
      </c>
      <c r="BV1" s="1">
        <v>39234</v>
      </c>
      <c r="BW1" s="1">
        <v>39264</v>
      </c>
      <c r="BX1" s="1">
        <v>39295</v>
      </c>
      <c r="BY1" s="1">
        <v>39326</v>
      </c>
      <c r="BZ1" s="1">
        <v>39356</v>
      </c>
      <c r="CA1" s="1">
        <v>39387</v>
      </c>
      <c r="CB1" s="1">
        <v>39417</v>
      </c>
      <c r="CC1" s="1">
        <v>39448</v>
      </c>
      <c r="CD1" s="1">
        <v>39479</v>
      </c>
      <c r="CE1" s="1">
        <v>39508</v>
      </c>
      <c r="CF1" s="1">
        <v>39539</v>
      </c>
      <c r="CG1" s="1">
        <v>39569</v>
      </c>
      <c r="CH1" s="1">
        <v>39600</v>
      </c>
      <c r="CI1" s="1">
        <v>39630</v>
      </c>
      <c r="CJ1" s="1">
        <v>39661</v>
      </c>
      <c r="CK1" s="1">
        <v>39692</v>
      </c>
      <c r="CL1" s="1">
        <v>39722</v>
      </c>
      <c r="CM1" s="1">
        <v>39753</v>
      </c>
      <c r="CN1" s="1">
        <v>39783</v>
      </c>
      <c r="CO1" s="1">
        <v>39814</v>
      </c>
      <c r="CP1" s="1">
        <v>39845</v>
      </c>
      <c r="CQ1" s="1">
        <v>39873</v>
      </c>
      <c r="CR1" s="1">
        <v>39904</v>
      </c>
      <c r="CS1" s="1">
        <v>39934</v>
      </c>
      <c r="CT1" s="1">
        <v>39965</v>
      </c>
      <c r="CU1" s="1">
        <v>39995</v>
      </c>
      <c r="CV1" s="1">
        <v>40026</v>
      </c>
      <c r="CW1" s="1">
        <v>40057</v>
      </c>
      <c r="CX1" s="1">
        <v>40087</v>
      </c>
      <c r="CY1" s="1">
        <v>40118</v>
      </c>
      <c r="CZ1" s="1">
        <v>40148</v>
      </c>
      <c r="DA1" s="1">
        <v>40179</v>
      </c>
      <c r="DB1" s="1">
        <v>40210</v>
      </c>
      <c r="DC1" s="1">
        <v>40238</v>
      </c>
      <c r="DD1" s="1">
        <v>40269</v>
      </c>
      <c r="DE1" s="1">
        <v>40299</v>
      </c>
      <c r="DF1" s="1">
        <v>40330</v>
      </c>
      <c r="DG1" s="1">
        <v>40360</v>
      </c>
      <c r="DH1" s="1">
        <v>40391</v>
      </c>
      <c r="DI1" s="1">
        <v>40422</v>
      </c>
      <c r="DJ1" s="1">
        <v>40452</v>
      </c>
      <c r="DK1" s="1">
        <v>40483</v>
      </c>
      <c r="DL1" s="1">
        <v>40513</v>
      </c>
    </row>
    <row r="2" spans="1:117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2</v>
      </c>
    </row>
    <row r="3" spans="1:117" x14ac:dyDescent="0.2">
      <c r="A3" t="s">
        <v>3</v>
      </c>
      <c r="B3" s="2">
        <v>-129600</v>
      </c>
      <c r="C3" s="2">
        <v>-69760</v>
      </c>
      <c r="D3" s="2">
        <v>-445280</v>
      </c>
      <c r="E3" s="2">
        <v>452960</v>
      </c>
      <c r="F3" s="2">
        <v>309120</v>
      </c>
      <c r="G3" s="2">
        <v>299040</v>
      </c>
      <c r="H3" s="2">
        <v>284800</v>
      </c>
      <c r="I3" s="2">
        <v>588896</v>
      </c>
      <c r="J3" s="2">
        <v>535360</v>
      </c>
      <c r="K3" s="2">
        <v>-160272</v>
      </c>
      <c r="L3" s="2">
        <v>-167904</v>
      </c>
      <c r="M3" s="2">
        <v>-326304</v>
      </c>
      <c r="N3" s="2">
        <v>-648640</v>
      </c>
      <c r="O3" s="2">
        <v>-220704</v>
      </c>
      <c r="P3" s="2">
        <v>-220704</v>
      </c>
      <c r="Q3" s="2">
        <v>55360</v>
      </c>
      <c r="R3" s="2">
        <v>-138736</v>
      </c>
      <c r="S3" s="2">
        <v>-120640</v>
      </c>
      <c r="T3" s="2">
        <v>-126672</v>
      </c>
      <c r="U3" s="2">
        <v>-220704</v>
      </c>
      <c r="V3" s="2">
        <v>-200640</v>
      </c>
      <c r="W3" s="2">
        <v>-261072</v>
      </c>
      <c r="X3" s="2">
        <v>-273504</v>
      </c>
      <c r="Y3" s="2">
        <v>-261072</v>
      </c>
      <c r="Z3" s="2">
        <v>-193872</v>
      </c>
      <c r="AA3" s="2">
        <v>166496</v>
      </c>
      <c r="AB3" s="2">
        <v>158928</v>
      </c>
      <c r="AC3" s="2">
        <v>-261072</v>
      </c>
      <c r="AD3" s="2">
        <v>-285936</v>
      </c>
      <c r="AE3" s="2">
        <v>-236208</v>
      </c>
      <c r="AF3" s="2">
        <v>-273504</v>
      </c>
      <c r="AG3" s="2">
        <v>7728</v>
      </c>
      <c r="AH3" s="2">
        <v>7360</v>
      </c>
      <c r="AI3" s="2">
        <v>8464</v>
      </c>
      <c r="AJ3" s="2">
        <v>8096</v>
      </c>
      <c r="AK3" s="2">
        <v>7360</v>
      </c>
      <c r="AL3" s="2">
        <v>-185504</v>
      </c>
      <c r="AM3" s="2">
        <v>-143472</v>
      </c>
      <c r="AN3" s="2">
        <v>-150304</v>
      </c>
      <c r="AO3" s="2">
        <v>7728</v>
      </c>
      <c r="AP3" s="2">
        <v>7728</v>
      </c>
      <c r="AQ3" s="2">
        <v>7728</v>
      </c>
      <c r="AR3" s="2">
        <v>8464</v>
      </c>
      <c r="AS3" s="2">
        <v>91728</v>
      </c>
      <c r="AT3" s="2">
        <v>87360</v>
      </c>
      <c r="AU3" s="2">
        <v>100464</v>
      </c>
      <c r="AV3" s="2">
        <v>91728</v>
      </c>
      <c r="AW3" s="2">
        <v>91728</v>
      </c>
      <c r="AX3" s="2">
        <v>78496</v>
      </c>
      <c r="AY3" s="2">
        <v>55360</v>
      </c>
      <c r="AZ3" s="2">
        <v>63664</v>
      </c>
      <c r="BA3" s="2">
        <v>91728</v>
      </c>
      <c r="BB3" s="2">
        <v>91728</v>
      </c>
      <c r="BC3" s="2">
        <v>91728</v>
      </c>
      <c r="BD3" s="2">
        <v>91728</v>
      </c>
      <c r="BE3" s="2">
        <v>-9072</v>
      </c>
      <c r="BF3" s="2">
        <v>-8640</v>
      </c>
      <c r="BG3" s="2">
        <v>-9936</v>
      </c>
      <c r="BH3" s="2">
        <v>-8640</v>
      </c>
      <c r="BI3" s="2">
        <v>-9504</v>
      </c>
      <c r="BJ3" s="2">
        <v>-9504</v>
      </c>
      <c r="BK3" s="2">
        <v>-8640</v>
      </c>
      <c r="BL3" s="2">
        <v>-9936</v>
      </c>
      <c r="BM3" s="2">
        <v>-8640</v>
      </c>
      <c r="BN3" s="2">
        <v>-9504</v>
      </c>
      <c r="BO3" s="2">
        <v>-9072</v>
      </c>
      <c r="BP3" s="2">
        <v>-8640</v>
      </c>
      <c r="BQ3" s="2">
        <v>60896</v>
      </c>
      <c r="BR3" s="2">
        <v>55360</v>
      </c>
      <c r="BS3" s="2">
        <v>60896</v>
      </c>
      <c r="BT3" s="2">
        <v>58128</v>
      </c>
      <c r="BU3" s="2">
        <v>60896</v>
      </c>
      <c r="BV3" s="2">
        <v>58128</v>
      </c>
      <c r="BW3" s="2">
        <v>58128</v>
      </c>
      <c r="BX3" s="2">
        <v>63664</v>
      </c>
      <c r="BY3" s="2">
        <v>52592</v>
      </c>
      <c r="BZ3" s="2">
        <v>63664</v>
      </c>
      <c r="CA3" s="2">
        <v>58128</v>
      </c>
      <c r="CB3" s="2">
        <v>55360</v>
      </c>
      <c r="CC3" s="2">
        <v>8096</v>
      </c>
      <c r="CD3" s="2">
        <v>7728</v>
      </c>
      <c r="CE3" s="2">
        <v>7728</v>
      </c>
      <c r="CF3" s="2">
        <v>8096</v>
      </c>
      <c r="CG3" s="2">
        <v>7728</v>
      </c>
      <c r="CH3" s="2">
        <v>7728</v>
      </c>
      <c r="CI3" s="2">
        <v>8096</v>
      </c>
      <c r="CJ3" s="2">
        <v>7728</v>
      </c>
      <c r="CK3" s="2">
        <v>7728</v>
      </c>
      <c r="CL3" s="2">
        <v>8464</v>
      </c>
      <c r="CM3" s="2">
        <v>6992</v>
      </c>
      <c r="CN3" s="2">
        <v>8096</v>
      </c>
      <c r="DM3" s="2">
        <v>-1082704</v>
      </c>
    </row>
    <row r="4" spans="1:117" x14ac:dyDescent="0.2">
      <c r="A4" t="s">
        <v>4</v>
      </c>
      <c r="O4">
        <v>-352</v>
      </c>
      <c r="P4">
        <v>-352</v>
      </c>
      <c r="AA4">
        <v>-352</v>
      </c>
      <c r="AB4">
        <v>-336</v>
      </c>
      <c r="AM4">
        <v>-336</v>
      </c>
      <c r="AN4">
        <v>-352</v>
      </c>
      <c r="AY4">
        <v>-320</v>
      </c>
      <c r="AZ4">
        <v>-368</v>
      </c>
      <c r="BK4">
        <v>-320</v>
      </c>
      <c r="BL4">
        <v>-368</v>
      </c>
      <c r="BW4">
        <v>-336</v>
      </c>
      <c r="BX4">
        <v>-368</v>
      </c>
      <c r="CI4">
        <v>-352</v>
      </c>
      <c r="CJ4">
        <v>-336</v>
      </c>
      <c r="DM4" s="2">
        <v>-4848</v>
      </c>
    </row>
    <row r="5" spans="1:117" x14ac:dyDescent="0.2">
      <c r="A5" t="s">
        <v>5</v>
      </c>
      <c r="N5" s="2">
        <v>80000</v>
      </c>
      <c r="O5" s="2">
        <v>35200</v>
      </c>
      <c r="P5" s="2">
        <v>35200</v>
      </c>
      <c r="DM5" s="2">
        <v>150400</v>
      </c>
    </row>
    <row r="6" spans="1:117" x14ac:dyDescent="0.2">
      <c r="A6" t="s">
        <v>6</v>
      </c>
      <c r="B6" s="2">
        <v>-54400</v>
      </c>
      <c r="C6" s="2">
        <v>-218400</v>
      </c>
      <c r="D6" s="2">
        <v>-165600</v>
      </c>
      <c r="E6" s="2">
        <v>-112480</v>
      </c>
      <c r="F6" s="2">
        <v>-80960</v>
      </c>
      <c r="G6" s="2">
        <v>-73920</v>
      </c>
      <c r="H6" s="2">
        <v>-71200</v>
      </c>
      <c r="I6" s="2">
        <v>-482240</v>
      </c>
      <c r="J6" s="2">
        <v>-438400</v>
      </c>
      <c r="K6" s="2">
        <v>-157920</v>
      </c>
      <c r="L6" s="2">
        <v>-165440</v>
      </c>
      <c r="M6" s="2">
        <v>-95040</v>
      </c>
      <c r="N6" s="2">
        <v>-64000</v>
      </c>
      <c r="O6" s="2">
        <v>-228800</v>
      </c>
      <c r="P6" s="2">
        <v>-228800</v>
      </c>
      <c r="Q6" s="2">
        <v>-96000</v>
      </c>
      <c r="R6" s="2">
        <v>-110400</v>
      </c>
      <c r="S6" s="2">
        <v>-96000</v>
      </c>
      <c r="T6" s="2">
        <v>-100800</v>
      </c>
      <c r="U6" s="2">
        <v>-176000</v>
      </c>
      <c r="V6" s="2">
        <v>-160000</v>
      </c>
      <c r="W6" s="2">
        <v>-168000</v>
      </c>
      <c r="X6" s="2">
        <v>-176000</v>
      </c>
      <c r="Y6" s="2">
        <v>-168000</v>
      </c>
      <c r="Z6" s="2">
        <v>-151200</v>
      </c>
      <c r="AA6" s="2">
        <v>-228800</v>
      </c>
      <c r="AB6" s="2">
        <v>-218400</v>
      </c>
      <c r="AC6" s="2">
        <v>-134400</v>
      </c>
      <c r="AD6" s="2">
        <v>-147200</v>
      </c>
      <c r="AE6" s="2">
        <v>-121600</v>
      </c>
      <c r="AF6" s="2">
        <v>-140800</v>
      </c>
      <c r="AS6" s="2">
        <v>16800</v>
      </c>
      <c r="AT6" s="2">
        <v>16000</v>
      </c>
      <c r="AU6" s="2">
        <v>18400</v>
      </c>
      <c r="AV6" s="2">
        <v>16800</v>
      </c>
      <c r="AW6" s="2">
        <v>16800</v>
      </c>
      <c r="AX6" s="2">
        <v>17600</v>
      </c>
      <c r="AY6" s="2">
        <v>16000</v>
      </c>
      <c r="AZ6" s="2">
        <v>18400</v>
      </c>
      <c r="BA6" s="2">
        <v>16800</v>
      </c>
      <c r="BB6" s="2">
        <v>16800</v>
      </c>
      <c r="BC6" s="2">
        <v>16800</v>
      </c>
      <c r="BD6" s="2">
        <v>16800</v>
      </c>
      <c r="BE6" s="2">
        <v>-27552</v>
      </c>
      <c r="BF6" s="2">
        <v>-26240</v>
      </c>
      <c r="BG6" s="2">
        <v>-31648</v>
      </c>
      <c r="BH6" s="2">
        <v>-27200</v>
      </c>
      <c r="BI6" s="2">
        <v>-26752</v>
      </c>
      <c r="BJ6" s="2">
        <v>-24992</v>
      </c>
      <c r="BK6" s="2">
        <v>-20160</v>
      </c>
      <c r="BL6" s="2">
        <v>-22816</v>
      </c>
      <c r="BM6" s="2">
        <v>-24960</v>
      </c>
      <c r="BN6" s="2">
        <v>-27808</v>
      </c>
      <c r="BO6" s="2">
        <v>-26880</v>
      </c>
      <c r="BP6" s="2">
        <v>-25280</v>
      </c>
      <c r="BQ6" s="2">
        <v>-46464</v>
      </c>
      <c r="BR6" s="2">
        <v>-42240</v>
      </c>
      <c r="BS6" s="2">
        <v>-47872</v>
      </c>
      <c r="BT6" s="2">
        <v>-45360</v>
      </c>
      <c r="BU6" s="2">
        <v>-44352</v>
      </c>
      <c r="BV6" s="2">
        <v>-40656</v>
      </c>
      <c r="BW6" s="2">
        <v>-37968</v>
      </c>
      <c r="BX6" s="2">
        <v>-41216</v>
      </c>
      <c r="BY6" s="2">
        <v>-38912</v>
      </c>
      <c r="BZ6" s="2">
        <v>-47472</v>
      </c>
      <c r="CA6" s="2">
        <v>-43680</v>
      </c>
      <c r="CB6" s="2">
        <v>-41280</v>
      </c>
      <c r="CC6" s="2">
        <v>-11264</v>
      </c>
      <c r="CD6" s="2">
        <v>-10752</v>
      </c>
      <c r="CE6" s="2">
        <v>-12096</v>
      </c>
      <c r="CF6" s="2">
        <v>-12320</v>
      </c>
      <c r="CG6" s="2">
        <v>-8736</v>
      </c>
      <c r="CH6" s="2">
        <v>-7056</v>
      </c>
      <c r="CI6" s="2">
        <v>-4576</v>
      </c>
      <c r="CJ6" s="2">
        <v>-4032</v>
      </c>
      <c r="CO6" s="2">
        <v>-16800</v>
      </c>
      <c r="CP6" s="2">
        <v>-16000</v>
      </c>
      <c r="CQ6" s="2">
        <v>-17600</v>
      </c>
      <c r="CR6" s="2">
        <v>-17600</v>
      </c>
      <c r="CS6" s="2">
        <v>-16000</v>
      </c>
      <c r="CT6" s="2">
        <v>-17600</v>
      </c>
      <c r="CU6" s="2">
        <v>-18400</v>
      </c>
      <c r="CV6" s="2">
        <v>-16800</v>
      </c>
      <c r="CW6" s="2">
        <v>-16800</v>
      </c>
      <c r="CX6" s="2">
        <v>-17600</v>
      </c>
      <c r="CY6" s="2">
        <v>-16000</v>
      </c>
      <c r="CZ6" s="2">
        <v>-17600</v>
      </c>
      <c r="DA6" s="2">
        <v>-32000</v>
      </c>
      <c r="DB6" s="2">
        <v>-32000</v>
      </c>
      <c r="DC6" s="2">
        <v>-36800</v>
      </c>
      <c r="DD6" s="2">
        <v>-35200</v>
      </c>
      <c r="DE6" s="2">
        <v>-32000</v>
      </c>
      <c r="DF6" s="2">
        <v>-35200</v>
      </c>
      <c r="DG6" s="2">
        <v>-33600</v>
      </c>
      <c r="DH6" s="2">
        <v>-35200</v>
      </c>
      <c r="DI6" s="2">
        <v>-33600</v>
      </c>
      <c r="DJ6" s="2">
        <v>-33600</v>
      </c>
      <c r="DK6" s="2">
        <v>-33600</v>
      </c>
      <c r="DL6" s="2">
        <v>-36800</v>
      </c>
      <c r="DM6" s="2">
        <v>-6342192</v>
      </c>
    </row>
    <row r="7" spans="1:117" x14ac:dyDescent="0.2">
      <c r="A7" t="s">
        <v>7</v>
      </c>
      <c r="B7" s="2">
        <v>40800</v>
      </c>
      <c r="E7" s="2">
        <v>-91200</v>
      </c>
      <c r="F7" s="2">
        <v>18400</v>
      </c>
      <c r="G7" s="2">
        <v>16800</v>
      </c>
      <c r="H7" s="2">
        <v>16000</v>
      </c>
      <c r="I7" s="2">
        <v>-17600</v>
      </c>
      <c r="J7" s="2">
        <v>-16000</v>
      </c>
      <c r="O7" s="2">
        <v>88000</v>
      </c>
      <c r="P7" s="2">
        <v>88000</v>
      </c>
      <c r="AG7" s="2">
        <v>16800</v>
      </c>
      <c r="AH7" s="2">
        <v>16000</v>
      </c>
      <c r="AI7" s="2">
        <v>18400</v>
      </c>
      <c r="AJ7" s="2">
        <v>17600</v>
      </c>
      <c r="AK7" s="2">
        <v>16000</v>
      </c>
      <c r="AL7" s="2">
        <v>17600</v>
      </c>
      <c r="AM7" s="2">
        <v>16800</v>
      </c>
      <c r="AN7" s="2">
        <v>17600</v>
      </c>
      <c r="AO7" s="2">
        <v>16800</v>
      </c>
      <c r="AP7" s="2">
        <v>16800</v>
      </c>
      <c r="AQ7" s="2">
        <v>16800</v>
      </c>
      <c r="AR7" s="2">
        <v>18400</v>
      </c>
      <c r="AS7" s="2">
        <v>-25200</v>
      </c>
      <c r="AT7" s="2">
        <v>-24000</v>
      </c>
      <c r="AU7" s="2">
        <v>-27600</v>
      </c>
      <c r="AV7" s="2">
        <v>-25200</v>
      </c>
      <c r="AW7" s="2">
        <v>-25200</v>
      </c>
      <c r="AX7" s="2">
        <v>-26400</v>
      </c>
      <c r="AY7" s="2">
        <v>-24000</v>
      </c>
      <c r="AZ7" s="2">
        <v>-27600</v>
      </c>
      <c r="BA7" s="2">
        <v>-25200</v>
      </c>
      <c r="BB7" s="2">
        <v>-25200</v>
      </c>
      <c r="BC7" s="2">
        <v>-25200</v>
      </c>
      <c r="BD7" s="2">
        <v>-25200</v>
      </c>
      <c r="BE7" s="2">
        <v>-8400</v>
      </c>
      <c r="BF7" s="2">
        <v>-8000</v>
      </c>
      <c r="BG7" s="2">
        <v>-9200</v>
      </c>
      <c r="BH7" s="2">
        <v>-8000</v>
      </c>
      <c r="BI7" s="2">
        <v>-8800</v>
      </c>
      <c r="BJ7" s="2">
        <v>-8800</v>
      </c>
      <c r="BK7" s="2">
        <v>-8000</v>
      </c>
      <c r="BL7" s="2">
        <v>-9200</v>
      </c>
      <c r="BM7" s="2">
        <v>-8000</v>
      </c>
      <c r="BN7" s="2">
        <v>-8800</v>
      </c>
      <c r="BO7" s="2">
        <v>-8400</v>
      </c>
      <c r="BP7" s="2">
        <v>-8000</v>
      </c>
      <c r="BQ7" s="2">
        <v>-8800</v>
      </c>
      <c r="BR7" s="2">
        <v>-8000</v>
      </c>
      <c r="BS7" s="2">
        <v>-8800</v>
      </c>
      <c r="BT7" s="2">
        <v>-8400</v>
      </c>
      <c r="BU7" s="2">
        <v>-8800</v>
      </c>
      <c r="BV7" s="2">
        <v>-8400</v>
      </c>
      <c r="BW7" s="2">
        <v>-8400</v>
      </c>
      <c r="BX7" s="2">
        <v>-9200</v>
      </c>
      <c r="BY7" s="2">
        <v>-7600</v>
      </c>
      <c r="BZ7" s="2">
        <v>-9200</v>
      </c>
      <c r="CA7" s="2">
        <v>-8400</v>
      </c>
      <c r="CB7" s="2">
        <v>-8000</v>
      </c>
      <c r="CC7" s="2">
        <v>-8800</v>
      </c>
      <c r="CD7" s="2">
        <v>-8400</v>
      </c>
      <c r="CE7" s="2">
        <v>-8400</v>
      </c>
      <c r="CF7" s="2">
        <v>-8800</v>
      </c>
      <c r="CG7" s="2">
        <v>-8400</v>
      </c>
      <c r="CH7" s="2">
        <v>-8400</v>
      </c>
      <c r="CI7" s="2">
        <v>-8800</v>
      </c>
      <c r="CJ7" s="2">
        <v>-8400</v>
      </c>
      <c r="CK7" s="2">
        <v>-8400</v>
      </c>
      <c r="CL7" s="2">
        <v>-9200</v>
      </c>
      <c r="CM7" s="2">
        <v>-7600</v>
      </c>
      <c r="CN7" s="2">
        <v>-8800</v>
      </c>
      <c r="DM7" s="2">
        <v>-263200</v>
      </c>
    </row>
    <row r="8" spans="1:117" x14ac:dyDescent="0.2">
      <c r="A8" t="s">
        <v>8</v>
      </c>
      <c r="B8" s="2">
        <v>27200</v>
      </c>
      <c r="C8" s="2">
        <v>33600</v>
      </c>
      <c r="D8" s="2">
        <v>36800</v>
      </c>
      <c r="E8" s="2">
        <v>30400</v>
      </c>
      <c r="F8" s="2">
        <v>36800</v>
      </c>
      <c r="DM8" s="2">
        <v>164800</v>
      </c>
    </row>
    <row r="9" spans="1:117" x14ac:dyDescent="0.2">
      <c r="A9" t="s">
        <v>9</v>
      </c>
      <c r="O9" s="2">
        <v>-17600</v>
      </c>
      <c r="P9" s="2">
        <v>-17600</v>
      </c>
      <c r="DM9" s="2">
        <v>-35200</v>
      </c>
    </row>
    <row r="10" spans="1:117" x14ac:dyDescent="0.2">
      <c r="A10" t="s">
        <v>10</v>
      </c>
      <c r="B10" s="2">
        <v>2400</v>
      </c>
      <c r="DM10" s="2">
        <v>2400</v>
      </c>
    </row>
    <row r="11" spans="1:117" x14ac:dyDescent="0.2">
      <c r="A11" t="s">
        <v>12</v>
      </c>
      <c r="B11" s="2">
        <v>97100</v>
      </c>
      <c r="D11" s="2">
        <v>18400</v>
      </c>
      <c r="N11" s="2">
        <v>90000</v>
      </c>
      <c r="O11" s="2">
        <v>49500</v>
      </c>
      <c r="P11" s="2">
        <v>49500</v>
      </c>
      <c r="U11" s="2">
        <v>148500</v>
      </c>
      <c r="V11" s="2">
        <v>135000</v>
      </c>
      <c r="W11" s="2">
        <v>141750</v>
      </c>
      <c r="X11" s="2">
        <v>148500</v>
      </c>
      <c r="Y11" s="2">
        <v>141750</v>
      </c>
      <c r="Z11" s="2">
        <v>141750</v>
      </c>
      <c r="AA11" s="2">
        <v>148500</v>
      </c>
      <c r="AB11" s="2">
        <v>141750</v>
      </c>
      <c r="AC11" s="2">
        <v>141750</v>
      </c>
      <c r="AD11" s="2">
        <v>155250</v>
      </c>
      <c r="AE11" s="2">
        <v>128250</v>
      </c>
      <c r="AF11" s="2">
        <v>148500</v>
      </c>
      <c r="DM11" s="2">
        <v>2025750</v>
      </c>
    </row>
    <row r="12" spans="1:117" x14ac:dyDescent="0.2">
      <c r="A12" t="s">
        <v>13</v>
      </c>
      <c r="B12" s="2">
        <v>28800</v>
      </c>
      <c r="D12" s="2">
        <v>-36800</v>
      </c>
      <c r="E12" s="2">
        <v>-258400</v>
      </c>
      <c r="I12" s="2">
        <v>70400</v>
      </c>
      <c r="J12" s="2">
        <v>64000</v>
      </c>
      <c r="K12" s="2">
        <v>-33600</v>
      </c>
      <c r="L12" s="2">
        <v>17600</v>
      </c>
      <c r="M12" s="2">
        <v>35200</v>
      </c>
      <c r="N12" s="2">
        <v>128000</v>
      </c>
      <c r="O12" s="2">
        <v>35200</v>
      </c>
      <c r="P12" s="2">
        <v>35200</v>
      </c>
      <c r="Q12" s="2">
        <v>48000</v>
      </c>
      <c r="R12" s="2">
        <v>147200</v>
      </c>
      <c r="S12" s="2">
        <v>128000</v>
      </c>
      <c r="T12" s="2">
        <v>134400</v>
      </c>
      <c r="U12" s="2">
        <v>158400</v>
      </c>
      <c r="V12" s="2">
        <v>144000</v>
      </c>
      <c r="W12" s="2">
        <v>201600</v>
      </c>
      <c r="X12" s="2">
        <v>211200</v>
      </c>
      <c r="Y12" s="2">
        <v>84000</v>
      </c>
      <c r="Z12" s="2">
        <v>84000</v>
      </c>
      <c r="AA12" s="2">
        <v>17600</v>
      </c>
      <c r="AB12" s="2">
        <v>16800</v>
      </c>
      <c r="AC12" s="2">
        <v>84000</v>
      </c>
      <c r="AD12" s="2">
        <v>165600</v>
      </c>
      <c r="AE12" s="2">
        <v>136800</v>
      </c>
      <c r="AF12" s="2">
        <v>158400</v>
      </c>
      <c r="AG12" s="2">
        <v>66528</v>
      </c>
      <c r="AH12" s="2">
        <v>63360</v>
      </c>
      <c r="AI12" s="2">
        <v>72864</v>
      </c>
      <c r="AJ12" s="2">
        <v>69344</v>
      </c>
      <c r="AK12" s="2">
        <v>63040</v>
      </c>
      <c r="AL12" s="2">
        <v>-19008</v>
      </c>
      <c r="AM12" s="2">
        <v>15120</v>
      </c>
      <c r="AN12" s="2">
        <v>16192</v>
      </c>
      <c r="AO12" s="2">
        <v>66192</v>
      </c>
      <c r="AP12" s="2">
        <v>66192</v>
      </c>
      <c r="AQ12" s="2">
        <v>66192</v>
      </c>
      <c r="AR12" s="2">
        <v>72496</v>
      </c>
      <c r="AS12" s="2">
        <v>91728</v>
      </c>
      <c r="AT12" s="2">
        <v>87360</v>
      </c>
      <c r="AU12" s="2">
        <v>100464</v>
      </c>
      <c r="AV12" s="2">
        <v>91392</v>
      </c>
      <c r="AW12" s="2">
        <v>91392</v>
      </c>
      <c r="AX12" s="2">
        <v>95392</v>
      </c>
      <c r="AY12" s="2">
        <v>86400</v>
      </c>
      <c r="AZ12" s="2">
        <v>99728</v>
      </c>
      <c r="BA12" s="2">
        <v>91392</v>
      </c>
      <c r="BB12" s="2">
        <v>91392</v>
      </c>
      <c r="BC12" s="2">
        <v>91392</v>
      </c>
      <c r="BD12" s="2">
        <v>91392</v>
      </c>
      <c r="BE12" s="2">
        <v>41328</v>
      </c>
      <c r="BF12" s="2">
        <v>39360</v>
      </c>
      <c r="BG12" s="2">
        <v>45264</v>
      </c>
      <c r="BH12" s="2">
        <v>39040</v>
      </c>
      <c r="BI12" s="2">
        <v>42944</v>
      </c>
      <c r="BJ12" s="2">
        <v>42592</v>
      </c>
      <c r="BK12" s="2">
        <v>38400</v>
      </c>
      <c r="BL12" s="2">
        <v>44528</v>
      </c>
      <c r="BM12" s="2">
        <v>39040</v>
      </c>
      <c r="BN12" s="2">
        <v>42944</v>
      </c>
      <c r="BO12" s="2">
        <v>40992</v>
      </c>
      <c r="BP12" s="2">
        <v>39040</v>
      </c>
      <c r="BQ12" s="2">
        <v>8096</v>
      </c>
      <c r="BR12" s="2">
        <v>7360</v>
      </c>
      <c r="BS12" s="2">
        <v>8096</v>
      </c>
      <c r="BT12" s="2">
        <v>7392</v>
      </c>
      <c r="BU12" s="2">
        <v>7744</v>
      </c>
      <c r="BV12" s="2">
        <v>7056</v>
      </c>
      <c r="BW12" s="2">
        <v>6720</v>
      </c>
      <c r="BX12" s="2">
        <v>7728</v>
      </c>
      <c r="BY12" s="2">
        <v>6688</v>
      </c>
      <c r="BZ12" s="2">
        <v>8096</v>
      </c>
      <c r="CA12" s="2">
        <v>7392</v>
      </c>
      <c r="CB12" s="2">
        <v>7040</v>
      </c>
      <c r="CC12" s="2">
        <v>8096</v>
      </c>
      <c r="CD12" s="2">
        <v>7728</v>
      </c>
      <c r="CE12" s="2">
        <v>7728</v>
      </c>
      <c r="CF12" s="2">
        <v>7744</v>
      </c>
      <c r="CG12" s="2">
        <v>7392</v>
      </c>
      <c r="CH12" s="2">
        <v>7056</v>
      </c>
      <c r="CI12" s="2">
        <v>7040</v>
      </c>
      <c r="CJ12" s="2">
        <v>7056</v>
      </c>
      <c r="CK12" s="2">
        <v>7392</v>
      </c>
      <c r="CL12" s="2">
        <v>8096</v>
      </c>
      <c r="CM12" s="2">
        <v>6688</v>
      </c>
      <c r="CN12" s="2">
        <v>7744</v>
      </c>
      <c r="CO12">
        <v>-672</v>
      </c>
      <c r="CP12">
        <v>-640</v>
      </c>
      <c r="CQ12">
        <v>-704</v>
      </c>
      <c r="CR12" s="2">
        <v>-1056</v>
      </c>
      <c r="CS12">
        <v>-960</v>
      </c>
      <c r="CT12" s="2">
        <v>-1408</v>
      </c>
      <c r="DM12" s="2">
        <v>4402736</v>
      </c>
    </row>
    <row r="13" spans="1:117" x14ac:dyDescent="0.2">
      <c r="A13" t="s">
        <v>14</v>
      </c>
      <c r="B13" s="2">
        <v>92800</v>
      </c>
      <c r="C13" s="2">
        <v>33600</v>
      </c>
      <c r="D13" s="2">
        <v>36800</v>
      </c>
      <c r="E13" s="2">
        <v>-258400</v>
      </c>
      <c r="F13" s="2">
        <v>-18400</v>
      </c>
      <c r="G13" s="2">
        <v>-16800</v>
      </c>
      <c r="H13" s="2">
        <v>-16000</v>
      </c>
      <c r="I13" s="2">
        <v>-176000</v>
      </c>
      <c r="J13" s="2">
        <v>-160000</v>
      </c>
      <c r="U13" s="2">
        <v>-17600</v>
      </c>
      <c r="V13" s="2">
        <v>-16000</v>
      </c>
      <c r="W13" s="2">
        <v>-16800</v>
      </c>
      <c r="X13" s="2">
        <v>-17600</v>
      </c>
      <c r="Y13" s="2">
        <v>-16800</v>
      </c>
      <c r="Z13" s="2">
        <v>-16800</v>
      </c>
      <c r="AA13" s="2">
        <v>-17600</v>
      </c>
      <c r="AB13" s="2">
        <v>-16800</v>
      </c>
      <c r="AC13" s="2">
        <v>-16800</v>
      </c>
      <c r="AD13" s="2">
        <v>-18400</v>
      </c>
      <c r="AE13" s="2">
        <v>-15200</v>
      </c>
      <c r="AF13" s="2">
        <v>-17600</v>
      </c>
      <c r="DM13" s="2">
        <v>-686400</v>
      </c>
    </row>
    <row r="14" spans="1:117" x14ac:dyDescent="0.2">
      <c r="A14" t="s">
        <v>15</v>
      </c>
      <c r="B14" s="2">
        <v>105100</v>
      </c>
      <c r="C14" s="2">
        <v>-220960</v>
      </c>
      <c r="D14" s="2">
        <v>-555680</v>
      </c>
      <c r="E14" s="2">
        <v>-237120</v>
      </c>
      <c r="F14" s="2">
        <v>264960</v>
      </c>
      <c r="G14" s="2">
        <v>225120</v>
      </c>
      <c r="H14" s="2">
        <v>213600</v>
      </c>
      <c r="I14" s="2">
        <v>-16544</v>
      </c>
      <c r="J14" s="2">
        <v>-15040</v>
      </c>
      <c r="K14" s="2">
        <v>-351792</v>
      </c>
      <c r="L14" s="2">
        <v>-315744</v>
      </c>
      <c r="M14" s="2">
        <v>-386144</v>
      </c>
      <c r="N14" s="2">
        <v>-414640</v>
      </c>
      <c r="O14" s="2">
        <v>-259556</v>
      </c>
      <c r="P14" s="2">
        <v>-259556</v>
      </c>
      <c r="Q14" s="2">
        <v>7360</v>
      </c>
      <c r="R14" s="2">
        <v>-101936</v>
      </c>
      <c r="S14" s="2">
        <v>-88640</v>
      </c>
      <c r="T14" s="2">
        <v>-93072</v>
      </c>
      <c r="U14" s="2">
        <v>-107404</v>
      </c>
      <c r="V14" s="2">
        <v>-97640</v>
      </c>
      <c r="W14" s="2">
        <v>-102522</v>
      </c>
      <c r="X14" s="2">
        <v>-107404</v>
      </c>
      <c r="Y14" s="2">
        <v>-220122</v>
      </c>
      <c r="Z14" s="2">
        <v>-136122</v>
      </c>
      <c r="AA14" s="2">
        <v>85844</v>
      </c>
      <c r="AB14" s="2">
        <v>81942</v>
      </c>
      <c r="AC14" s="2">
        <v>-186522</v>
      </c>
      <c r="AD14" s="2">
        <v>-130686</v>
      </c>
      <c r="AE14" s="2">
        <v>-107958</v>
      </c>
      <c r="AF14" s="2">
        <v>-125004</v>
      </c>
      <c r="AG14" s="2">
        <v>91056</v>
      </c>
      <c r="AH14" s="2">
        <v>86720</v>
      </c>
      <c r="AI14" s="2">
        <v>99728</v>
      </c>
      <c r="AJ14" s="2">
        <v>95040</v>
      </c>
      <c r="AK14" s="2">
        <v>86400</v>
      </c>
      <c r="AL14" s="2">
        <v>-186912</v>
      </c>
      <c r="AM14" s="2">
        <v>-111888</v>
      </c>
      <c r="AN14" s="2">
        <v>-116864</v>
      </c>
      <c r="AO14" s="2">
        <v>90720</v>
      </c>
      <c r="AP14" s="2">
        <v>90720</v>
      </c>
      <c r="AQ14" s="2">
        <v>90720</v>
      </c>
      <c r="AR14" s="2">
        <v>99360</v>
      </c>
      <c r="AS14" s="2">
        <v>175056</v>
      </c>
      <c r="AT14" s="2">
        <v>166720</v>
      </c>
      <c r="AU14" s="2">
        <v>191728</v>
      </c>
      <c r="AV14" s="2">
        <v>174720</v>
      </c>
      <c r="AW14" s="2">
        <v>174720</v>
      </c>
      <c r="AX14" s="2">
        <v>165088</v>
      </c>
      <c r="AY14" s="2">
        <v>133440</v>
      </c>
      <c r="AZ14" s="2">
        <v>153824</v>
      </c>
      <c r="BA14" s="2">
        <v>174720</v>
      </c>
      <c r="BB14" s="2">
        <v>174720</v>
      </c>
      <c r="BC14" s="2">
        <v>174720</v>
      </c>
      <c r="BD14" s="2">
        <v>174720</v>
      </c>
      <c r="BE14" s="2">
        <v>-3696</v>
      </c>
      <c r="BF14" s="2">
        <v>-3520</v>
      </c>
      <c r="BG14" s="2">
        <v>-5520</v>
      </c>
      <c r="BH14" s="2">
        <v>-4800</v>
      </c>
      <c r="BI14" s="2">
        <v>-2112</v>
      </c>
      <c r="BJ14">
        <v>-704</v>
      </c>
      <c r="BK14" s="2">
        <v>1280</v>
      </c>
      <c r="BL14" s="2">
        <v>2208</v>
      </c>
      <c r="BM14" s="2">
        <v>-2560</v>
      </c>
      <c r="BN14" s="2">
        <v>-3168</v>
      </c>
      <c r="BO14" s="2">
        <v>-3360</v>
      </c>
      <c r="BP14" s="2">
        <v>-2880</v>
      </c>
      <c r="BQ14" s="2">
        <v>13728</v>
      </c>
      <c r="BR14" s="2">
        <v>12480</v>
      </c>
      <c r="BS14" s="2">
        <v>12320</v>
      </c>
      <c r="BT14" s="2">
        <v>11760</v>
      </c>
      <c r="BU14" s="2">
        <v>15488</v>
      </c>
      <c r="BV14" s="2">
        <v>16128</v>
      </c>
      <c r="BW14" s="2">
        <v>18144</v>
      </c>
      <c r="BX14" s="2">
        <v>20608</v>
      </c>
      <c r="BY14" s="2">
        <v>12768</v>
      </c>
      <c r="BZ14" s="2">
        <v>15088</v>
      </c>
      <c r="CA14" s="2">
        <v>13440</v>
      </c>
      <c r="CB14" s="2">
        <v>13120</v>
      </c>
      <c r="CC14" s="2">
        <v>-3872</v>
      </c>
      <c r="CD14" s="2">
        <v>-3696</v>
      </c>
      <c r="CE14" s="2">
        <v>-5040</v>
      </c>
      <c r="CF14" s="2">
        <v>-5280</v>
      </c>
      <c r="CG14" s="2">
        <v>-2016</v>
      </c>
      <c r="CH14">
        <v>-672</v>
      </c>
      <c r="CI14" s="2">
        <v>1408</v>
      </c>
      <c r="CJ14" s="2">
        <v>2016</v>
      </c>
      <c r="CK14" s="2">
        <v>6720</v>
      </c>
      <c r="CL14" s="2">
        <v>7360</v>
      </c>
      <c r="CM14" s="2">
        <v>6080</v>
      </c>
      <c r="CN14" s="2">
        <v>7040</v>
      </c>
      <c r="CO14" s="2">
        <v>-17472</v>
      </c>
      <c r="CP14" s="2">
        <v>-16640</v>
      </c>
      <c r="CQ14" s="2">
        <v>-18304</v>
      </c>
      <c r="CR14" s="2">
        <v>-18656</v>
      </c>
      <c r="CS14" s="2">
        <v>-16960</v>
      </c>
      <c r="CT14" s="2">
        <v>-19008</v>
      </c>
      <c r="CU14" s="2">
        <v>-18400</v>
      </c>
      <c r="CV14" s="2">
        <v>-16800</v>
      </c>
      <c r="CW14" s="2">
        <v>-16800</v>
      </c>
      <c r="CX14" s="2">
        <v>-17600</v>
      </c>
      <c r="CY14" s="2">
        <v>-16000</v>
      </c>
      <c r="CZ14" s="2">
        <v>-17600</v>
      </c>
      <c r="DA14" s="2">
        <v>-32000</v>
      </c>
      <c r="DB14" s="2">
        <v>-32000</v>
      </c>
      <c r="DC14" s="2">
        <v>-36800</v>
      </c>
      <c r="DD14" s="2">
        <v>-35200</v>
      </c>
      <c r="DE14" s="2">
        <v>-32000</v>
      </c>
      <c r="DF14" s="2">
        <v>-35200</v>
      </c>
      <c r="DG14" s="2">
        <v>-33600</v>
      </c>
      <c r="DH14" s="2">
        <v>-35200</v>
      </c>
      <c r="DI14" s="2">
        <v>-33600</v>
      </c>
      <c r="DJ14" s="2">
        <v>-33600</v>
      </c>
      <c r="DK14" s="2">
        <v>-33600</v>
      </c>
      <c r="DL14" s="2">
        <v>-36800</v>
      </c>
      <c r="DM14" s="2">
        <v>-1668458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M15"/>
  <sheetViews>
    <sheetView workbookViewId="0"/>
  </sheetViews>
  <sheetFormatPr defaultRowHeight="12.75" x14ac:dyDescent="0.2"/>
  <sheetData>
    <row r="1" spans="1:117" x14ac:dyDescent="0.2">
      <c r="B1" s="1">
        <v>37043</v>
      </c>
      <c r="C1" s="1">
        <v>37073</v>
      </c>
      <c r="D1" s="1">
        <v>37104</v>
      </c>
      <c r="E1" s="1">
        <v>37135</v>
      </c>
      <c r="F1" s="1">
        <v>37165</v>
      </c>
      <c r="G1" s="1">
        <v>37196</v>
      </c>
      <c r="H1" s="1">
        <v>37226</v>
      </c>
      <c r="I1" s="1">
        <v>37257</v>
      </c>
      <c r="J1" s="1">
        <v>37288</v>
      </c>
      <c r="K1" s="1">
        <v>37316</v>
      </c>
      <c r="L1" s="1">
        <v>37347</v>
      </c>
      <c r="M1" s="1">
        <v>37377</v>
      </c>
      <c r="N1" s="1">
        <v>37408</v>
      </c>
      <c r="O1" s="1">
        <v>37438</v>
      </c>
      <c r="P1" s="1">
        <v>37469</v>
      </c>
      <c r="Q1" s="1">
        <v>37500</v>
      </c>
      <c r="R1" s="1">
        <v>37530</v>
      </c>
      <c r="S1" s="1">
        <v>37561</v>
      </c>
      <c r="T1" s="1">
        <v>37591</v>
      </c>
      <c r="U1" s="1">
        <v>37622</v>
      </c>
      <c r="V1" s="1">
        <v>37653</v>
      </c>
      <c r="W1" s="1">
        <v>37681</v>
      </c>
      <c r="X1" s="1">
        <v>37712</v>
      </c>
      <c r="Y1" s="1">
        <v>37742</v>
      </c>
      <c r="Z1" s="1">
        <v>37773</v>
      </c>
      <c r="AA1" s="1">
        <v>37803</v>
      </c>
      <c r="AB1" s="1">
        <v>37834</v>
      </c>
      <c r="AC1" s="1">
        <v>37865</v>
      </c>
      <c r="AD1" s="1">
        <v>37895</v>
      </c>
      <c r="AE1" s="1">
        <v>37926</v>
      </c>
      <c r="AF1" s="1">
        <v>37956</v>
      </c>
      <c r="AG1" s="1">
        <v>37987</v>
      </c>
      <c r="AH1" s="1">
        <v>38018</v>
      </c>
      <c r="AI1" s="1">
        <v>38047</v>
      </c>
      <c r="AJ1" s="1">
        <v>38078</v>
      </c>
      <c r="AK1" s="1">
        <v>38108</v>
      </c>
      <c r="AL1" s="1">
        <v>38139</v>
      </c>
      <c r="AM1" s="1">
        <v>38169</v>
      </c>
      <c r="AN1" s="1">
        <v>38200</v>
      </c>
      <c r="AO1" s="1">
        <v>38231</v>
      </c>
      <c r="AP1" s="1">
        <v>38261</v>
      </c>
      <c r="AQ1" s="1">
        <v>38292</v>
      </c>
      <c r="AR1" s="1">
        <v>38322</v>
      </c>
      <c r="AS1" s="1">
        <v>38353</v>
      </c>
      <c r="AT1" s="1">
        <v>38384</v>
      </c>
      <c r="AU1" s="1">
        <v>38412</v>
      </c>
      <c r="AV1" s="1">
        <v>38443</v>
      </c>
      <c r="AW1" s="1">
        <v>38473</v>
      </c>
      <c r="AX1" s="1">
        <v>38504</v>
      </c>
      <c r="AY1" s="1">
        <v>38534</v>
      </c>
      <c r="AZ1" s="1">
        <v>38565</v>
      </c>
      <c r="BA1" s="1">
        <v>38596</v>
      </c>
      <c r="BB1" s="1">
        <v>38626</v>
      </c>
      <c r="BC1" s="1">
        <v>38657</v>
      </c>
      <c r="BD1" s="1">
        <v>38687</v>
      </c>
      <c r="BE1" s="1">
        <v>38718</v>
      </c>
      <c r="BF1" s="1">
        <v>38749</v>
      </c>
      <c r="BG1" s="1">
        <v>38777</v>
      </c>
      <c r="BH1" s="1">
        <v>38808</v>
      </c>
      <c r="BI1" s="1">
        <v>38838</v>
      </c>
      <c r="BJ1" s="1">
        <v>38869</v>
      </c>
      <c r="BK1" s="1">
        <v>38899</v>
      </c>
      <c r="BL1" s="1">
        <v>38930</v>
      </c>
      <c r="BM1" s="1">
        <v>38961</v>
      </c>
      <c r="BN1" s="1">
        <v>38991</v>
      </c>
      <c r="BO1" s="1">
        <v>39022</v>
      </c>
      <c r="BP1" s="1">
        <v>39052</v>
      </c>
      <c r="BQ1" s="1">
        <v>39083</v>
      </c>
      <c r="BR1" s="1">
        <v>39114</v>
      </c>
      <c r="BS1" s="1">
        <v>39142</v>
      </c>
      <c r="BT1" s="1">
        <v>39173</v>
      </c>
      <c r="BU1" s="1">
        <v>39203</v>
      </c>
      <c r="BV1" s="1">
        <v>39234</v>
      </c>
      <c r="BW1" s="1">
        <v>39264</v>
      </c>
      <c r="BX1" s="1">
        <v>39295</v>
      </c>
      <c r="BY1" s="1">
        <v>39326</v>
      </c>
      <c r="BZ1" s="1">
        <v>39356</v>
      </c>
      <c r="CA1" s="1">
        <v>39387</v>
      </c>
      <c r="CB1" s="1">
        <v>39417</v>
      </c>
      <c r="CC1" s="1">
        <v>39448</v>
      </c>
      <c r="CD1" s="1">
        <v>39479</v>
      </c>
      <c r="CE1" s="1">
        <v>39508</v>
      </c>
      <c r="CF1" s="1">
        <v>39539</v>
      </c>
      <c r="CG1" s="1">
        <v>39569</v>
      </c>
      <c r="CH1" s="1">
        <v>39600</v>
      </c>
      <c r="CI1" s="1">
        <v>39630</v>
      </c>
      <c r="CJ1" s="1">
        <v>39661</v>
      </c>
      <c r="CK1" s="1">
        <v>39692</v>
      </c>
      <c r="CL1" s="1">
        <v>39722</v>
      </c>
      <c r="CM1" s="1">
        <v>39753</v>
      </c>
      <c r="CN1" s="1">
        <v>39783</v>
      </c>
      <c r="CO1" s="1">
        <v>39814</v>
      </c>
      <c r="CP1" s="1">
        <v>39845</v>
      </c>
      <c r="CQ1" s="1">
        <v>39873</v>
      </c>
      <c r="CR1" s="1">
        <v>39904</v>
      </c>
      <c r="CS1" s="1">
        <v>39934</v>
      </c>
      <c r="CT1" s="1">
        <v>39965</v>
      </c>
      <c r="CU1" s="1">
        <v>39995</v>
      </c>
      <c r="CV1" s="1">
        <v>40026</v>
      </c>
      <c r="CW1" s="1">
        <v>40057</v>
      </c>
      <c r="CX1" s="1">
        <v>40087</v>
      </c>
      <c r="CY1" s="1">
        <v>40118</v>
      </c>
      <c r="CZ1" s="1">
        <v>40148</v>
      </c>
      <c r="DA1" s="1">
        <v>40179</v>
      </c>
      <c r="DB1" s="1">
        <v>40210</v>
      </c>
      <c r="DC1" s="1">
        <v>40238</v>
      </c>
      <c r="DD1" s="1">
        <v>40269</v>
      </c>
      <c r="DE1" s="1">
        <v>40299</v>
      </c>
      <c r="DF1" s="1">
        <v>40330</v>
      </c>
      <c r="DG1" s="1">
        <v>40360</v>
      </c>
      <c r="DH1" s="1">
        <v>40391</v>
      </c>
      <c r="DI1" s="1">
        <v>40422</v>
      </c>
      <c r="DJ1" s="1">
        <v>40452</v>
      </c>
      <c r="DK1" s="1">
        <v>40483</v>
      </c>
      <c r="DL1" s="1">
        <v>40513</v>
      </c>
    </row>
    <row r="2" spans="1:117" x14ac:dyDescent="0.2">
      <c r="A2" t="s">
        <v>0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  <c r="AC2" t="s">
        <v>23</v>
      </c>
      <c r="AD2" t="s">
        <v>23</v>
      </c>
      <c r="AE2" t="s">
        <v>23</v>
      </c>
      <c r="AF2" t="s">
        <v>23</v>
      </c>
      <c r="AG2" t="s">
        <v>23</v>
      </c>
      <c r="AH2" t="s">
        <v>23</v>
      </c>
      <c r="AI2" t="s">
        <v>23</v>
      </c>
      <c r="AJ2" t="s">
        <v>23</v>
      </c>
      <c r="AK2" t="s">
        <v>23</v>
      </c>
      <c r="AL2" t="s">
        <v>23</v>
      </c>
      <c r="AM2" t="s">
        <v>23</v>
      </c>
      <c r="AN2" t="s">
        <v>23</v>
      </c>
      <c r="AO2" t="s">
        <v>23</v>
      </c>
      <c r="AP2" t="s">
        <v>23</v>
      </c>
      <c r="AQ2" t="s">
        <v>23</v>
      </c>
      <c r="AR2" t="s">
        <v>23</v>
      </c>
      <c r="AS2" t="s">
        <v>23</v>
      </c>
      <c r="AT2" t="s">
        <v>23</v>
      </c>
      <c r="AU2" t="s">
        <v>23</v>
      </c>
      <c r="AV2" t="s">
        <v>23</v>
      </c>
      <c r="AW2" t="s">
        <v>23</v>
      </c>
      <c r="AX2" t="s">
        <v>23</v>
      </c>
      <c r="AY2" t="s">
        <v>23</v>
      </c>
      <c r="AZ2" t="s">
        <v>23</v>
      </c>
      <c r="BA2" t="s">
        <v>23</v>
      </c>
      <c r="BB2" t="s">
        <v>23</v>
      </c>
      <c r="BC2" t="s">
        <v>23</v>
      </c>
      <c r="BD2" t="s">
        <v>23</v>
      </c>
      <c r="BE2" t="s">
        <v>23</v>
      </c>
      <c r="BF2" t="s">
        <v>23</v>
      </c>
      <c r="BG2" t="s">
        <v>23</v>
      </c>
      <c r="BH2" t="s">
        <v>23</v>
      </c>
      <c r="BI2" t="s">
        <v>23</v>
      </c>
      <c r="BJ2" t="s">
        <v>23</v>
      </c>
      <c r="BK2" t="s">
        <v>23</v>
      </c>
      <c r="BL2" t="s">
        <v>23</v>
      </c>
      <c r="BM2" t="s">
        <v>23</v>
      </c>
      <c r="BN2" t="s">
        <v>23</v>
      </c>
      <c r="BO2" t="s">
        <v>23</v>
      </c>
      <c r="BP2" t="s">
        <v>23</v>
      </c>
      <c r="BQ2" t="s">
        <v>23</v>
      </c>
      <c r="BR2" t="s">
        <v>23</v>
      </c>
      <c r="BS2" t="s">
        <v>23</v>
      </c>
      <c r="BT2" t="s">
        <v>23</v>
      </c>
      <c r="BU2" t="s">
        <v>23</v>
      </c>
      <c r="BV2" t="s">
        <v>23</v>
      </c>
      <c r="BW2" t="s">
        <v>23</v>
      </c>
      <c r="BX2" t="s">
        <v>23</v>
      </c>
      <c r="BY2" t="s">
        <v>23</v>
      </c>
      <c r="BZ2" t="s">
        <v>23</v>
      </c>
      <c r="CA2" t="s">
        <v>23</v>
      </c>
      <c r="CB2" t="s">
        <v>23</v>
      </c>
      <c r="CC2" t="s">
        <v>23</v>
      </c>
      <c r="CD2" t="s">
        <v>23</v>
      </c>
      <c r="CE2" t="s">
        <v>23</v>
      </c>
      <c r="CF2" t="s">
        <v>23</v>
      </c>
      <c r="CG2" t="s">
        <v>23</v>
      </c>
      <c r="CH2" t="s">
        <v>23</v>
      </c>
      <c r="CI2" t="s">
        <v>23</v>
      </c>
      <c r="CJ2" t="s">
        <v>23</v>
      </c>
      <c r="CK2" t="s">
        <v>23</v>
      </c>
      <c r="CL2" t="s">
        <v>23</v>
      </c>
      <c r="CM2" t="s">
        <v>23</v>
      </c>
      <c r="CN2" t="s">
        <v>23</v>
      </c>
      <c r="CO2" t="s">
        <v>23</v>
      </c>
      <c r="CP2" t="s">
        <v>23</v>
      </c>
      <c r="CQ2" t="s">
        <v>23</v>
      </c>
      <c r="CR2" t="s">
        <v>23</v>
      </c>
      <c r="CS2" t="s">
        <v>23</v>
      </c>
      <c r="CT2" t="s">
        <v>23</v>
      </c>
      <c r="CU2" t="s">
        <v>23</v>
      </c>
      <c r="CV2" t="s">
        <v>23</v>
      </c>
      <c r="CW2" t="s">
        <v>23</v>
      </c>
      <c r="CX2" t="s">
        <v>23</v>
      </c>
      <c r="CY2" t="s">
        <v>23</v>
      </c>
      <c r="CZ2" t="s">
        <v>23</v>
      </c>
      <c r="DA2" t="s">
        <v>23</v>
      </c>
      <c r="DB2" t="s">
        <v>23</v>
      </c>
      <c r="DC2" t="s">
        <v>23</v>
      </c>
      <c r="DD2" t="s">
        <v>23</v>
      </c>
      <c r="DE2" t="s">
        <v>23</v>
      </c>
      <c r="DF2" t="s">
        <v>23</v>
      </c>
      <c r="DG2" t="s">
        <v>23</v>
      </c>
      <c r="DH2" t="s">
        <v>23</v>
      </c>
      <c r="DI2" t="s">
        <v>23</v>
      </c>
      <c r="DJ2" t="s">
        <v>23</v>
      </c>
      <c r="DK2" t="s">
        <v>23</v>
      </c>
      <c r="DL2" t="s">
        <v>23</v>
      </c>
      <c r="DM2" t="s">
        <v>2</v>
      </c>
    </row>
    <row r="3" spans="1:117" x14ac:dyDescent="0.2">
      <c r="A3" t="s">
        <v>3</v>
      </c>
      <c r="B3" s="3">
        <v>-129121.82</v>
      </c>
      <c r="C3" s="2">
        <v>-62734</v>
      </c>
      <c r="D3" s="3">
        <v>-446935.63</v>
      </c>
      <c r="E3" s="3">
        <v>437524.59</v>
      </c>
      <c r="F3" s="3">
        <v>401432.69</v>
      </c>
      <c r="G3" s="3">
        <v>356786.48</v>
      </c>
      <c r="H3" s="3">
        <v>376646.29</v>
      </c>
      <c r="I3" s="3">
        <v>572363.13</v>
      </c>
      <c r="J3" s="3">
        <v>518620.6</v>
      </c>
      <c r="K3" s="3">
        <v>-154714.53</v>
      </c>
      <c r="L3" s="3">
        <v>-161486.68</v>
      </c>
      <c r="M3" s="3">
        <v>-312599.61</v>
      </c>
      <c r="N3" s="2">
        <v>-618983</v>
      </c>
      <c r="O3" s="3">
        <v>-230542.9</v>
      </c>
      <c r="P3" s="2">
        <v>-240033</v>
      </c>
      <c r="Q3" s="2">
        <v>52153</v>
      </c>
      <c r="R3" s="3">
        <v>-130233.88</v>
      </c>
      <c r="S3" s="3">
        <v>-112766.29</v>
      </c>
      <c r="T3" s="3">
        <v>-117865.76</v>
      </c>
      <c r="U3" s="3">
        <v>-204364.92</v>
      </c>
      <c r="V3" s="3">
        <v>-185003.14</v>
      </c>
      <c r="W3" s="3">
        <v>-239596.73</v>
      </c>
      <c r="X3" s="3">
        <v>-249855.32</v>
      </c>
      <c r="Y3" s="3">
        <v>-237354.81</v>
      </c>
      <c r="Z3" s="3">
        <v>-175435.25</v>
      </c>
      <c r="AA3" s="3">
        <v>163710.76</v>
      </c>
      <c r="AB3" s="3">
        <v>147401.65</v>
      </c>
      <c r="AC3" s="3">
        <v>-232811.24</v>
      </c>
      <c r="AD3" s="3">
        <v>-253711.94</v>
      </c>
      <c r="AE3" s="3">
        <v>-208567.32</v>
      </c>
      <c r="AF3" s="3">
        <v>-240275.76</v>
      </c>
      <c r="AG3" s="3">
        <v>6754.41</v>
      </c>
      <c r="AH3" s="2">
        <v>6402</v>
      </c>
      <c r="AI3" s="3">
        <v>7324.75</v>
      </c>
      <c r="AJ3" s="3">
        <v>6971.63</v>
      </c>
      <c r="AK3" s="3">
        <v>6305.3</v>
      </c>
      <c r="AL3" s="3">
        <v>-158130.47</v>
      </c>
      <c r="AM3" s="3">
        <v>-121668.75</v>
      </c>
      <c r="AN3" s="3">
        <v>-126801.06</v>
      </c>
      <c r="AO3" s="3">
        <v>6486.81</v>
      </c>
      <c r="AP3" s="3">
        <v>6452.94</v>
      </c>
      <c r="AQ3" s="3">
        <v>6420.15</v>
      </c>
      <c r="AR3" s="3">
        <v>6994.5</v>
      </c>
      <c r="AS3" s="3">
        <v>75399.89</v>
      </c>
      <c r="AT3" s="3">
        <v>71465.460000000006</v>
      </c>
      <c r="AU3" s="3">
        <v>81751.58</v>
      </c>
      <c r="AV3" s="3">
        <v>74260.850000000006</v>
      </c>
      <c r="AW3" s="3">
        <v>73867.61</v>
      </c>
      <c r="AX3" s="3">
        <v>62888.61</v>
      </c>
      <c r="AY3" s="3">
        <v>44117.61</v>
      </c>
      <c r="AZ3" s="3">
        <v>50464.75</v>
      </c>
      <c r="BA3" s="2">
        <v>72333</v>
      </c>
      <c r="BB3" s="3">
        <v>71943.09</v>
      </c>
      <c r="BC3" s="3">
        <v>71565.67</v>
      </c>
      <c r="BD3" s="3">
        <v>71175.62</v>
      </c>
      <c r="BE3" s="3">
        <v>-7000.77</v>
      </c>
      <c r="BF3" s="3">
        <v>-6634.21</v>
      </c>
      <c r="BG3" s="3">
        <v>-7587.1</v>
      </c>
      <c r="BH3" s="3">
        <v>-6561.93</v>
      </c>
      <c r="BI3" s="3">
        <v>-7178.88</v>
      </c>
      <c r="BJ3" s="3">
        <v>-7141.94</v>
      </c>
      <c r="BK3" s="3">
        <v>-6458.18</v>
      </c>
      <c r="BL3" s="3">
        <v>-7387.32</v>
      </c>
      <c r="BM3" s="3">
        <v>-6390.49</v>
      </c>
      <c r="BN3" s="3">
        <v>-6991.8</v>
      </c>
      <c r="BO3" s="3">
        <v>-6639.2</v>
      </c>
      <c r="BP3" s="3">
        <v>-6288.86</v>
      </c>
      <c r="BQ3" s="3">
        <v>44084.33</v>
      </c>
      <c r="BR3" s="3">
        <v>39879.56</v>
      </c>
      <c r="BS3" s="3">
        <v>43627.92</v>
      </c>
      <c r="BT3" s="3">
        <v>41423.94</v>
      </c>
      <c r="BU3" s="3">
        <v>43157.85</v>
      </c>
      <c r="BV3" s="3">
        <v>40976.11</v>
      </c>
      <c r="BW3" s="3">
        <v>40749.22</v>
      </c>
      <c r="BX3" s="3">
        <v>44382.12</v>
      </c>
      <c r="BY3" s="3">
        <v>36465.660000000003</v>
      </c>
      <c r="BZ3" s="3">
        <v>43895.71</v>
      </c>
      <c r="CA3" s="2">
        <v>39861</v>
      </c>
      <c r="CB3" s="3">
        <v>37749.050000000003</v>
      </c>
      <c r="CC3" s="3">
        <v>5489.33</v>
      </c>
      <c r="CD3" s="2">
        <v>5212</v>
      </c>
      <c r="CE3" s="3">
        <v>5182.38</v>
      </c>
      <c r="CF3" s="3">
        <v>5399.17</v>
      </c>
      <c r="CG3" s="2">
        <v>5125</v>
      </c>
      <c r="CH3" s="3">
        <v>5097.8500000000004</v>
      </c>
      <c r="CI3" s="3">
        <v>5311.52</v>
      </c>
      <c r="CJ3" s="3">
        <v>5042.42</v>
      </c>
      <c r="CK3" s="3">
        <v>5015.72</v>
      </c>
      <c r="CL3" s="3">
        <v>5463.3</v>
      </c>
      <c r="CM3" s="3">
        <v>4489.17</v>
      </c>
      <c r="CN3" s="3">
        <v>5169.37</v>
      </c>
      <c r="DM3" s="3">
        <v>-967619.28</v>
      </c>
    </row>
    <row r="4" spans="1:117" x14ac:dyDescent="0.2">
      <c r="A4" t="s">
        <v>4</v>
      </c>
      <c r="B4" s="3">
        <v>-10898.8</v>
      </c>
      <c r="C4" s="3">
        <v>-25767.56</v>
      </c>
      <c r="D4" s="3">
        <v>-28141.26</v>
      </c>
      <c r="E4" s="3">
        <v>-11673.34</v>
      </c>
      <c r="F4" s="3">
        <v>-11583.51</v>
      </c>
      <c r="G4" s="3">
        <v>-10844.79</v>
      </c>
      <c r="H4" s="3">
        <v>-12876.18</v>
      </c>
      <c r="I4" s="3">
        <v>-16021.85</v>
      </c>
      <c r="J4" s="3">
        <v>-14905.57</v>
      </c>
      <c r="K4" s="3">
        <v>-14676.9</v>
      </c>
      <c r="L4" s="2">
        <v>-16335</v>
      </c>
      <c r="M4" s="3">
        <v>-18695.39</v>
      </c>
      <c r="O4">
        <v>-335.1</v>
      </c>
      <c r="P4">
        <v>-333.64</v>
      </c>
      <c r="AA4">
        <v>-317.62</v>
      </c>
      <c r="AB4">
        <v>-301.64999999999998</v>
      </c>
      <c r="AM4">
        <v>-285.61</v>
      </c>
      <c r="AN4">
        <v>-297.56</v>
      </c>
      <c r="AY4">
        <v>-255.67</v>
      </c>
      <c r="AZ4">
        <v>-292.31</v>
      </c>
      <c r="BK4">
        <v>-239.73</v>
      </c>
      <c r="BL4">
        <v>-274.17</v>
      </c>
      <c r="BW4">
        <v>-236.09</v>
      </c>
      <c r="BX4">
        <v>-257</v>
      </c>
      <c r="CI4">
        <v>-231.47</v>
      </c>
      <c r="CJ4">
        <v>-219.7</v>
      </c>
      <c r="DM4" s="3">
        <v>-196297.48</v>
      </c>
    </row>
    <row r="5" spans="1:117" x14ac:dyDescent="0.2">
      <c r="A5" t="s">
        <v>5</v>
      </c>
      <c r="N5" s="3">
        <v>76339.320000000007</v>
      </c>
      <c r="O5" s="2">
        <v>33453</v>
      </c>
      <c r="P5" s="3">
        <v>33314.550000000003</v>
      </c>
      <c r="DM5" s="3">
        <v>143106.9</v>
      </c>
    </row>
    <row r="6" spans="1:117" x14ac:dyDescent="0.2">
      <c r="A6" t="s">
        <v>6</v>
      </c>
      <c r="B6" s="3">
        <v>-54128.73</v>
      </c>
      <c r="C6" s="3">
        <v>-216588.46</v>
      </c>
      <c r="D6" s="3">
        <v>-163680.81</v>
      </c>
      <c r="E6" s="3">
        <v>-110818.92</v>
      </c>
      <c r="F6" s="3">
        <v>-79501.399999999994</v>
      </c>
      <c r="G6" s="3">
        <v>-72353.81</v>
      </c>
      <c r="H6" s="3">
        <v>-69449.45</v>
      </c>
      <c r="I6" s="3">
        <v>-468701.43</v>
      </c>
      <c r="J6" s="3">
        <v>-424692.3</v>
      </c>
      <c r="K6" s="3">
        <v>-152415.18</v>
      </c>
      <c r="L6" s="3">
        <v>-159090.29999999999</v>
      </c>
      <c r="M6" s="3">
        <v>-91040.41</v>
      </c>
      <c r="N6" s="3">
        <v>-61071.46</v>
      </c>
      <c r="O6" s="3">
        <v>-217444.69</v>
      </c>
      <c r="P6" s="3">
        <v>-216544.59</v>
      </c>
      <c r="Q6" s="3">
        <v>-90485.67</v>
      </c>
      <c r="R6" s="3">
        <v>-103609.3</v>
      </c>
      <c r="S6" s="3">
        <v>-89710.51</v>
      </c>
      <c r="T6" s="3">
        <v>-93770.38</v>
      </c>
      <c r="U6" s="3">
        <v>-162970.43</v>
      </c>
      <c r="V6" s="3">
        <v>-147530.41</v>
      </c>
      <c r="W6" s="3">
        <v>-154180.65</v>
      </c>
      <c r="X6" s="3">
        <v>-160782.06</v>
      </c>
      <c r="Y6" s="2">
        <v>-152738</v>
      </c>
      <c r="Z6" s="3">
        <v>-136821.25</v>
      </c>
      <c r="AA6" s="3">
        <v>-206029.76</v>
      </c>
      <c r="AB6" s="3">
        <v>-195695.13</v>
      </c>
      <c r="AC6" s="3">
        <v>-119851.34</v>
      </c>
      <c r="AD6" s="2">
        <v>-130611</v>
      </c>
      <c r="AE6" s="3">
        <v>-107370.57</v>
      </c>
      <c r="AF6" s="3">
        <v>-123694.08</v>
      </c>
      <c r="AS6" s="3">
        <v>13809.5</v>
      </c>
      <c r="AT6" s="3">
        <v>13088.91</v>
      </c>
      <c r="AU6" s="3">
        <v>14972.82</v>
      </c>
      <c r="AV6" s="3">
        <v>13600.89</v>
      </c>
      <c r="AW6" s="3">
        <v>13528.87</v>
      </c>
      <c r="AX6" s="3">
        <v>14100.59</v>
      </c>
      <c r="AY6" s="3">
        <v>12750.75</v>
      </c>
      <c r="AZ6" s="3">
        <v>14585.19</v>
      </c>
      <c r="BA6" s="3">
        <v>13247.81</v>
      </c>
      <c r="BB6" s="3">
        <v>13176.39</v>
      </c>
      <c r="BC6" s="3">
        <v>13107.26</v>
      </c>
      <c r="BD6" s="3">
        <v>13035.83</v>
      </c>
      <c r="BE6" s="3">
        <v>-21280.77</v>
      </c>
      <c r="BF6" s="3">
        <v>-20166.61</v>
      </c>
      <c r="BG6" s="3">
        <v>-24189.93</v>
      </c>
      <c r="BH6" s="2">
        <v>-20681</v>
      </c>
      <c r="BI6" s="3">
        <v>-20222.759999999998</v>
      </c>
      <c r="BJ6" s="3">
        <v>-18790.169999999998</v>
      </c>
      <c r="BK6" s="2">
        <v>-15076</v>
      </c>
      <c r="BL6" s="3">
        <v>-16970.27</v>
      </c>
      <c r="BM6" s="3">
        <v>-18477.509999999998</v>
      </c>
      <c r="BN6" s="3">
        <v>-20474.490000000002</v>
      </c>
      <c r="BO6" s="3">
        <v>-19688.439999999999</v>
      </c>
      <c r="BP6" s="3">
        <v>-18414.939999999999</v>
      </c>
      <c r="BQ6" s="3">
        <v>-33655.24</v>
      </c>
      <c r="BR6" s="3">
        <v>-30445.26</v>
      </c>
      <c r="BS6" s="3">
        <v>-34319.599999999999</v>
      </c>
      <c r="BT6" s="3">
        <v>-32344.39</v>
      </c>
      <c r="BU6" s="3">
        <v>-31447.919999999998</v>
      </c>
      <c r="BV6" s="3">
        <v>-28669.38</v>
      </c>
      <c r="BW6" s="3">
        <v>-26623.69</v>
      </c>
      <c r="BX6" s="3">
        <v>-28738.48</v>
      </c>
      <c r="BY6" s="3">
        <v>-26996.38</v>
      </c>
      <c r="BZ6" s="3">
        <v>-32748.83</v>
      </c>
      <c r="CA6" s="3">
        <v>-29969.69</v>
      </c>
      <c r="CB6" s="2">
        <v>-28162</v>
      </c>
      <c r="CC6" s="3">
        <v>-7655.52</v>
      </c>
      <c r="CD6" s="3">
        <v>-7268.83</v>
      </c>
      <c r="CE6" s="2">
        <v>-8131</v>
      </c>
      <c r="CF6" s="3">
        <v>-8235.89</v>
      </c>
      <c r="CG6" s="3">
        <v>-5807.89</v>
      </c>
      <c r="CH6" s="3">
        <v>-4664.3999999999996</v>
      </c>
      <c r="CI6" s="3">
        <v>-3009.05</v>
      </c>
      <c r="CJ6" s="3">
        <v>-2636.41</v>
      </c>
      <c r="CO6" s="3">
        <v>-10667.79</v>
      </c>
      <c r="CP6" s="3">
        <v>-10109.06</v>
      </c>
      <c r="CQ6" s="3">
        <v>-11058.38</v>
      </c>
      <c r="CR6" s="2">
        <v>-10999</v>
      </c>
      <c r="CS6" s="3">
        <v>-9943.4500000000007</v>
      </c>
      <c r="CT6" s="3">
        <v>-10878.8</v>
      </c>
      <c r="CU6" s="3">
        <v>-11309.77</v>
      </c>
      <c r="CV6" s="3">
        <v>-10268.52</v>
      </c>
      <c r="CW6" s="3">
        <v>-10212.780000000001</v>
      </c>
      <c r="CX6" s="2">
        <v>-10639</v>
      </c>
      <c r="CY6" s="3">
        <v>-9619.08</v>
      </c>
      <c r="CZ6" s="3">
        <v>-10521.27</v>
      </c>
      <c r="DA6" s="3">
        <v>-19021.41</v>
      </c>
      <c r="DB6" s="2">
        <v>-18924</v>
      </c>
      <c r="DC6" s="3">
        <v>-21639.09</v>
      </c>
      <c r="DD6" s="3">
        <v>-20584.29</v>
      </c>
      <c r="DE6" s="3">
        <v>-18606.32</v>
      </c>
      <c r="DF6" s="3">
        <v>-20353.8</v>
      </c>
      <c r="DG6" s="3">
        <v>-19317.419999999998</v>
      </c>
      <c r="DH6" s="3">
        <v>-20121.22</v>
      </c>
      <c r="DI6" s="3">
        <v>-19099.79</v>
      </c>
      <c r="DJ6" s="3">
        <v>-18989.8</v>
      </c>
      <c r="DK6" s="3">
        <v>-18883.740000000002</v>
      </c>
      <c r="DL6" s="3">
        <v>-20562.61</v>
      </c>
      <c r="DM6" s="3">
        <v>-5578660.8099999996</v>
      </c>
    </row>
    <row r="7" spans="1:117" x14ac:dyDescent="0.2">
      <c r="A7" t="s">
        <v>7</v>
      </c>
      <c r="B7" s="3">
        <v>40596.550000000003</v>
      </c>
      <c r="E7" s="3">
        <v>-89853.18</v>
      </c>
      <c r="F7" s="3">
        <v>18068.5</v>
      </c>
      <c r="G7" s="2">
        <v>16444</v>
      </c>
      <c r="H7" s="3">
        <v>15606.62</v>
      </c>
      <c r="I7" s="3">
        <v>-17105.89</v>
      </c>
      <c r="J7" s="3">
        <v>-15499.72</v>
      </c>
      <c r="O7" s="3">
        <v>83632.570000000007</v>
      </c>
      <c r="P7" s="3">
        <v>83286.38</v>
      </c>
      <c r="AG7" s="3">
        <v>14683.49</v>
      </c>
      <c r="AH7" s="3">
        <v>13917.3</v>
      </c>
      <c r="AI7" s="3">
        <v>15923.36</v>
      </c>
      <c r="AJ7" s="3">
        <v>15155.71</v>
      </c>
      <c r="AK7" s="3">
        <v>13707.17</v>
      </c>
      <c r="AL7" s="3">
        <v>15002.89</v>
      </c>
      <c r="AM7" s="3">
        <v>14246.93</v>
      </c>
      <c r="AN7" s="3">
        <v>14847.9</v>
      </c>
      <c r="AO7" s="3">
        <v>14101.75</v>
      </c>
      <c r="AP7" s="3">
        <v>14028.14</v>
      </c>
      <c r="AQ7" s="3">
        <v>13956.85</v>
      </c>
      <c r="AR7" s="3">
        <v>15205.43</v>
      </c>
      <c r="AS7" s="3">
        <v>-20714.25</v>
      </c>
      <c r="AT7" s="3">
        <v>-19633.37</v>
      </c>
      <c r="AU7" s="3">
        <v>-22459.23</v>
      </c>
      <c r="AV7" s="3">
        <v>-20401.330000000002</v>
      </c>
      <c r="AW7" s="3">
        <v>-20293.3</v>
      </c>
      <c r="AX7" s="3">
        <v>-21150.880000000001</v>
      </c>
      <c r="AY7" s="3">
        <v>-19126.13</v>
      </c>
      <c r="AZ7" s="3">
        <v>-21877.78</v>
      </c>
      <c r="BA7" s="3">
        <v>-19871.71</v>
      </c>
      <c r="BB7" s="3">
        <v>-19764.59</v>
      </c>
      <c r="BC7" s="3">
        <v>-19660.900000000001</v>
      </c>
      <c r="BD7" s="3">
        <v>-19553.740000000002</v>
      </c>
      <c r="BE7" s="3">
        <v>-6482.19</v>
      </c>
      <c r="BF7" s="3">
        <v>-6142.79</v>
      </c>
      <c r="BG7" s="3">
        <v>-7025.09</v>
      </c>
      <c r="BH7" s="3">
        <v>-6075.86</v>
      </c>
      <c r="BI7" s="3">
        <v>-6647.11</v>
      </c>
      <c r="BJ7" s="3">
        <v>-6612.9</v>
      </c>
      <c r="BK7" s="3">
        <v>-5979.8</v>
      </c>
      <c r="BL7" s="3">
        <v>-6840.11</v>
      </c>
      <c r="BM7" s="3">
        <v>-5917.12</v>
      </c>
      <c r="BN7" s="3">
        <v>-6473.89</v>
      </c>
      <c r="BO7" s="3">
        <v>-6147.4</v>
      </c>
      <c r="BP7" s="2">
        <v>-5823</v>
      </c>
      <c r="BQ7" s="3">
        <v>-6370.57</v>
      </c>
      <c r="BR7" s="3">
        <v>-5762.94</v>
      </c>
      <c r="BS7" s="3">
        <v>-6304.61</v>
      </c>
      <c r="BT7" s="3">
        <v>-5986.12</v>
      </c>
      <c r="BU7" s="3">
        <v>-6236.68</v>
      </c>
      <c r="BV7" s="3">
        <v>-5921.4</v>
      </c>
      <c r="BW7" s="3">
        <v>-5888.62</v>
      </c>
      <c r="BX7" s="3">
        <v>-6413.6</v>
      </c>
      <c r="BY7" s="3">
        <v>-5269.6</v>
      </c>
      <c r="BZ7" s="3">
        <v>-6343.31</v>
      </c>
      <c r="CA7" s="3">
        <v>-5760.26</v>
      </c>
      <c r="CB7" s="3">
        <v>-5455.07</v>
      </c>
      <c r="CC7" s="3">
        <v>-5966.66</v>
      </c>
      <c r="CD7" s="3">
        <v>-5665.24</v>
      </c>
      <c r="CE7" s="2">
        <v>-5633</v>
      </c>
      <c r="CF7" s="3">
        <v>-5868.67</v>
      </c>
      <c r="CG7" s="3">
        <v>-5570.6</v>
      </c>
      <c r="CH7" s="3">
        <v>-5541.14</v>
      </c>
      <c r="CI7" s="3">
        <v>-5773.39</v>
      </c>
      <c r="CJ7" s="3">
        <v>-5480.89</v>
      </c>
      <c r="CK7" s="3">
        <v>-5451.87</v>
      </c>
      <c r="CL7" s="3">
        <v>-5938.37</v>
      </c>
      <c r="CM7" s="3">
        <v>-4879.53</v>
      </c>
      <c r="CN7" s="3">
        <v>-5618.88</v>
      </c>
      <c r="DM7" s="3">
        <v>-149822.75</v>
      </c>
    </row>
    <row r="8" spans="1:117" x14ac:dyDescent="0.2">
      <c r="A8" t="s">
        <v>8</v>
      </c>
      <c r="B8" s="3">
        <v>27064.37</v>
      </c>
      <c r="C8" s="3">
        <v>33321.300000000003</v>
      </c>
      <c r="D8" s="3">
        <v>36373.51</v>
      </c>
      <c r="E8" s="3">
        <v>29951.06</v>
      </c>
      <c r="F8" s="2">
        <v>36137</v>
      </c>
      <c r="DM8" s="3">
        <v>162847.24</v>
      </c>
    </row>
    <row r="9" spans="1:117" x14ac:dyDescent="0.2">
      <c r="A9" t="s">
        <v>9</v>
      </c>
      <c r="O9" s="3">
        <v>-16726.509999999998</v>
      </c>
      <c r="P9" s="3">
        <v>-16657.28</v>
      </c>
      <c r="DM9" s="3">
        <v>-33383.79</v>
      </c>
    </row>
    <row r="10" spans="1:117" x14ac:dyDescent="0.2">
      <c r="A10" t="s">
        <v>10</v>
      </c>
      <c r="B10" s="3">
        <v>2390.89</v>
      </c>
      <c r="DM10" s="3">
        <v>2390.89</v>
      </c>
    </row>
    <row r="11" spans="1:117" x14ac:dyDescent="0.2">
      <c r="A11" t="s">
        <v>12</v>
      </c>
      <c r="B11" s="3">
        <v>96615.81</v>
      </c>
      <c r="D11" s="3">
        <v>18186.759999999998</v>
      </c>
      <c r="N11" s="3">
        <v>85881.74</v>
      </c>
      <c r="O11" s="3">
        <v>47043.32</v>
      </c>
      <c r="P11" s="3">
        <v>46848.59</v>
      </c>
      <c r="U11" s="3">
        <v>137506.29999999999</v>
      </c>
      <c r="V11" s="3">
        <v>124478.79</v>
      </c>
      <c r="W11" s="3">
        <v>130089.92</v>
      </c>
      <c r="X11" s="3">
        <v>135659.85999999999</v>
      </c>
      <c r="Y11" s="3">
        <v>128872.66</v>
      </c>
      <c r="Z11" s="3">
        <v>128269.92</v>
      </c>
      <c r="AA11" s="3">
        <v>133721.24</v>
      </c>
      <c r="AB11" s="3">
        <v>127013.67</v>
      </c>
      <c r="AC11" s="3">
        <v>126405.72</v>
      </c>
      <c r="AD11" s="3">
        <v>137753.82999999999</v>
      </c>
      <c r="AE11" s="3">
        <v>113242.39</v>
      </c>
      <c r="AF11" s="3">
        <v>130458.6</v>
      </c>
      <c r="DM11" s="3">
        <v>1848049.11</v>
      </c>
    </row>
    <row r="12" spans="1:117" x14ac:dyDescent="0.2">
      <c r="A12" t="s">
        <v>24</v>
      </c>
      <c r="B12">
        <v>19.510000000000002</v>
      </c>
      <c r="C12" s="3">
        <v>1750.07</v>
      </c>
      <c r="D12" s="3">
        <v>2730.19</v>
      </c>
      <c r="M12">
        <v>-874.09</v>
      </c>
      <c r="N12" s="3">
        <v>-1232.55</v>
      </c>
      <c r="O12" s="3">
        <v>-1779.71</v>
      </c>
      <c r="P12" s="3">
        <v>-1780.24</v>
      </c>
      <c r="Q12">
        <v>-749.42</v>
      </c>
      <c r="R12">
        <v>-651.54</v>
      </c>
      <c r="Y12" s="3">
        <v>-1841.21</v>
      </c>
      <c r="Z12" s="3">
        <v>-2312.37</v>
      </c>
      <c r="AA12" s="2">
        <v>-3260</v>
      </c>
      <c r="AB12" s="3">
        <v>-3109.28</v>
      </c>
      <c r="AC12" s="3">
        <v>-1132.19</v>
      </c>
      <c r="AD12">
        <v>-915</v>
      </c>
      <c r="DM12" s="3">
        <v>-15137.78</v>
      </c>
    </row>
    <row r="13" spans="1:117" x14ac:dyDescent="0.2">
      <c r="A13" t="s">
        <v>13</v>
      </c>
      <c r="B13" s="3">
        <v>28432.73</v>
      </c>
      <c r="C13" s="3">
        <v>-2717.6</v>
      </c>
      <c r="D13" s="3">
        <v>-41638.53</v>
      </c>
      <c r="E13" s="2">
        <v>-254584</v>
      </c>
      <c r="I13" s="3">
        <v>68423.570000000007</v>
      </c>
      <c r="J13" s="3">
        <v>61998.879999999997</v>
      </c>
      <c r="K13" s="3">
        <v>-32428.76</v>
      </c>
      <c r="L13" s="3">
        <v>16924.5</v>
      </c>
      <c r="M13" s="3">
        <v>33718.67</v>
      </c>
      <c r="N13" s="3">
        <v>122142.92</v>
      </c>
      <c r="O13" s="2">
        <v>33453</v>
      </c>
      <c r="P13" s="3">
        <v>33314.550000000003</v>
      </c>
      <c r="Q13" s="3">
        <v>45242.83</v>
      </c>
      <c r="R13" s="3">
        <v>138145.74</v>
      </c>
      <c r="S13" s="2">
        <v>119614</v>
      </c>
      <c r="T13" s="3">
        <v>125027.17</v>
      </c>
      <c r="U13" s="3">
        <v>146673.39000000001</v>
      </c>
      <c r="V13" s="3">
        <v>132777.37</v>
      </c>
      <c r="W13" s="3">
        <v>185016.78</v>
      </c>
      <c r="X13" s="3">
        <v>192938.47</v>
      </c>
      <c r="Y13" s="2">
        <v>76369</v>
      </c>
      <c r="Z13" s="3">
        <v>76011.81</v>
      </c>
      <c r="AA13" s="3">
        <v>15848.44</v>
      </c>
      <c r="AB13" s="3">
        <v>15053.47</v>
      </c>
      <c r="AC13" s="3">
        <v>74907.09</v>
      </c>
      <c r="AD13" s="3">
        <v>146937.42000000001</v>
      </c>
      <c r="AE13" s="3">
        <v>120791.89</v>
      </c>
      <c r="AF13" s="3">
        <v>139155.84</v>
      </c>
      <c r="AG13" s="3">
        <v>58145.26</v>
      </c>
      <c r="AH13" s="3">
        <v>55111.11</v>
      </c>
      <c r="AI13" s="3">
        <v>63055.15</v>
      </c>
      <c r="AJ13" s="3">
        <v>59711.54</v>
      </c>
      <c r="AK13" s="3">
        <v>54004.49</v>
      </c>
      <c r="AL13" s="3">
        <v>-16205.52</v>
      </c>
      <c r="AM13" s="3">
        <v>12818.89</v>
      </c>
      <c r="AN13" s="3">
        <v>13657.67</v>
      </c>
      <c r="AO13" s="3">
        <v>55559.06</v>
      </c>
      <c r="AP13" s="3">
        <v>55268.72</v>
      </c>
      <c r="AQ13" s="3">
        <v>54988.15</v>
      </c>
      <c r="AR13" s="3">
        <v>59907.37</v>
      </c>
      <c r="AS13" s="3">
        <v>75398.649999999994</v>
      </c>
      <c r="AT13" s="3">
        <v>71464.289999999994</v>
      </c>
      <c r="AU13" s="3">
        <v>81750.259999999995</v>
      </c>
      <c r="AV13" s="3">
        <v>73986.87</v>
      </c>
      <c r="AW13" s="3">
        <v>73595.23</v>
      </c>
      <c r="AX13" s="3">
        <v>76422.86</v>
      </c>
      <c r="AY13" s="3">
        <v>68850.78</v>
      </c>
      <c r="AZ13" s="3">
        <v>79049.289999999994</v>
      </c>
      <c r="BA13" s="3">
        <v>72066.289999999994</v>
      </c>
      <c r="BB13" s="3">
        <v>71677.77</v>
      </c>
      <c r="BC13" s="3">
        <v>71301.72</v>
      </c>
      <c r="BD13" s="3">
        <v>70913.38</v>
      </c>
      <c r="BE13" s="3">
        <v>31891.19</v>
      </c>
      <c r="BF13" s="3">
        <v>30221.39</v>
      </c>
      <c r="BG13" s="3">
        <v>34562.129999999997</v>
      </c>
      <c r="BH13" s="3">
        <v>29648.22</v>
      </c>
      <c r="BI13" s="3">
        <v>32436.09</v>
      </c>
      <c r="BJ13" s="3">
        <v>32004.639999999999</v>
      </c>
      <c r="BK13" s="3">
        <v>28700.35</v>
      </c>
      <c r="BL13" s="3">
        <v>33103.85</v>
      </c>
      <c r="BM13" s="3">
        <v>28873.84</v>
      </c>
      <c r="BN13" s="3">
        <v>31590.84</v>
      </c>
      <c r="BO13" s="3">
        <v>29997.65</v>
      </c>
      <c r="BP13" s="3">
        <v>28414.86</v>
      </c>
      <c r="BQ13" s="3">
        <v>5859.76</v>
      </c>
      <c r="BR13" s="3">
        <v>5300.85</v>
      </c>
      <c r="BS13" s="2">
        <v>5799</v>
      </c>
      <c r="BT13" s="3">
        <v>5266.13</v>
      </c>
      <c r="BU13" s="3">
        <v>5486.55</v>
      </c>
      <c r="BV13" s="3">
        <v>4972.1099999999997</v>
      </c>
      <c r="BW13" s="3">
        <v>4708.1400000000003</v>
      </c>
      <c r="BX13" s="3">
        <v>5385.58</v>
      </c>
      <c r="BY13" s="3">
        <v>4635.54</v>
      </c>
      <c r="BZ13" s="3">
        <v>5580.32</v>
      </c>
      <c r="CA13" s="3">
        <v>5067.3900000000003</v>
      </c>
      <c r="CB13" s="2">
        <v>4799</v>
      </c>
      <c r="CC13" s="3">
        <v>5488.19</v>
      </c>
      <c r="CD13" s="3">
        <v>5210.9399999999996</v>
      </c>
      <c r="CE13" s="3">
        <v>5181.3</v>
      </c>
      <c r="CF13" s="3">
        <v>5162.7299999999996</v>
      </c>
      <c r="CG13" s="3">
        <v>4900.46</v>
      </c>
      <c r="CH13" s="3">
        <v>4652.6899999999996</v>
      </c>
      <c r="CI13" s="3">
        <v>4616.0600000000004</v>
      </c>
      <c r="CJ13" s="3">
        <v>4602.08</v>
      </c>
      <c r="CK13" s="3">
        <v>4796.1400000000003</v>
      </c>
      <c r="CL13" s="3">
        <v>5224.12</v>
      </c>
      <c r="CM13" s="3">
        <v>4292.42</v>
      </c>
      <c r="CN13" s="3">
        <v>4943.17</v>
      </c>
      <c r="CO13">
        <v>-427.78</v>
      </c>
      <c r="CP13">
        <v>-405.38</v>
      </c>
      <c r="CQ13">
        <v>-443.37</v>
      </c>
      <c r="CR13">
        <v>-661.48</v>
      </c>
      <c r="CS13">
        <v>-598.22</v>
      </c>
      <c r="CT13">
        <v>-872.35</v>
      </c>
      <c r="DM13" s="3">
        <v>3720017.12</v>
      </c>
    </row>
    <row r="14" spans="1:117" x14ac:dyDescent="0.2">
      <c r="A14" t="s">
        <v>14</v>
      </c>
      <c r="B14" s="3">
        <v>92337.25</v>
      </c>
      <c r="C14" s="3">
        <v>33321.300000000003</v>
      </c>
      <c r="D14" s="3">
        <v>36373.51</v>
      </c>
      <c r="E14" s="2">
        <v>-254584</v>
      </c>
      <c r="F14" s="3">
        <v>-18068.5</v>
      </c>
      <c r="G14" s="2">
        <v>-16444</v>
      </c>
      <c r="H14" s="3">
        <v>-15606.62</v>
      </c>
      <c r="I14" s="3">
        <v>-171058.92</v>
      </c>
      <c r="J14" s="3">
        <v>-154997.19</v>
      </c>
      <c r="U14" s="2">
        <v>-16297</v>
      </c>
      <c r="V14" s="2">
        <v>-14753</v>
      </c>
      <c r="W14" s="3">
        <v>-15418.06</v>
      </c>
      <c r="X14" s="3">
        <v>-16078.21</v>
      </c>
      <c r="Y14" s="3">
        <v>-15273.8</v>
      </c>
      <c r="Z14" s="3">
        <v>-15202.36</v>
      </c>
      <c r="AA14" s="3">
        <v>-15848.44</v>
      </c>
      <c r="AB14" s="3">
        <v>-15053.47</v>
      </c>
      <c r="AC14" s="3">
        <v>-14981.42</v>
      </c>
      <c r="AD14" s="3">
        <v>-16326.38</v>
      </c>
      <c r="AE14" s="3">
        <v>-13421.32</v>
      </c>
      <c r="AF14" s="3">
        <v>-15461.76</v>
      </c>
      <c r="DM14" s="3">
        <v>-652842.51</v>
      </c>
    </row>
    <row r="15" spans="1:117" x14ac:dyDescent="0.2">
      <c r="A15" t="s">
        <v>15</v>
      </c>
      <c r="B15" s="3">
        <v>93307.75</v>
      </c>
      <c r="C15" s="3">
        <v>-239414.92</v>
      </c>
      <c r="D15" s="3">
        <v>-586732.26</v>
      </c>
      <c r="E15" s="3">
        <v>-254037.78</v>
      </c>
      <c r="F15" s="3">
        <v>346484.78</v>
      </c>
      <c r="G15" s="3">
        <v>273587.88</v>
      </c>
      <c r="H15" s="3">
        <v>294320.65999999997</v>
      </c>
      <c r="I15" s="3">
        <v>-32101.39</v>
      </c>
      <c r="J15" s="3">
        <v>-29475.31</v>
      </c>
      <c r="K15" s="3">
        <v>-354235.38</v>
      </c>
      <c r="L15" s="3">
        <v>-319987.49</v>
      </c>
      <c r="M15" s="3">
        <v>-389490.84</v>
      </c>
      <c r="N15" s="2">
        <v>-396923</v>
      </c>
      <c r="O15" s="2">
        <v>-269247</v>
      </c>
      <c r="P15" s="3">
        <v>-278584.63</v>
      </c>
      <c r="Q15" s="3">
        <v>6160.78</v>
      </c>
      <c r="R15" s="2">
        <v>-96349</v>
      </c>
      <c r="S15" s="3">
        <v>-82862.78</v>
      </c>
      <c r="T15" s="2">
        <v>-86609</v>
      </c>
      <c r="U15" s="3">
        <v>-99452.7</v>
      </c>
      <c r="V15" s="3">
        <v>-90030.44</v>
      </c>
      <c r="W15" s="3">
        <v>-94088.74</v>
      </c>
      <c r="X15" s="3">
        <v>-98117.25</v>
      </c>
      <c r="Y15" s="3">
        <v>-201966.14</v>
      </c>
      <c r="Z15" s="3">
        <v>-125489.5</v>
      </c>
      <c r="AA15" s="3">
        <v>87824.66</v>
      </c>
      <c r="AB15" s="3">
        <v>75309.259999999995</v>
      </c>
      <c r="AC15" s="3">
        <v>-167463.38</v>
      </c>
      <c r="AD15" s="3">
        <v>-116873.12</v>
      </c>
      <c r="AE15" s="3">
        <v>-95324.93</v>
      </c>
      <c r="AF15" s="3">
        <v>-109817.15</v>
      </c>
      <c r="AG15" s="3">
        <v>79583.149999999994</v>
      </c>
      <c r="AH15" s="3">
        <v>75430.36</v>
      </c>
      <c r="AI15" s="3">
        <v>86303.26</v>
      </c>
      <c r="AJ15" s="3">
        <v>81838.880000000005</v>
      </c>
      <c r="AK15" s="2">
        <v>74017</v>
      </c>
      <c r="AL15" s="3">
        <v>-159333.09</v>
      </c>
      <c r="AM15" s="3">
        <v>-94888.54</v>
      </c>
      <c r="AN15" s="2">
        <v>-98593</v>
      </c>
      <c r="AO15" s="3">
        <v>76147.62</v>
      </c>
      <c r="AP15" s="3">
        <v>75749.8</v>
      </c>
      <c r="AQ15" s="3">
        <v>75365.149999999994</v>
      </c>
      <c r="AR15" s="3">
        <v>82107.3</v>
      </c>
      <c r="AS15" s="3">
        <v>143893.78</v>
      </c>
      <c r="AT15" s="3">
        <v>136385.29999999999</v>
      </c>
      <c r="AU15" s="3">
        <v>156015.43</v>
      </c>
      <c r="AV15" s="3">
        <v>141447.28</v>
      </c>
      <c r="AW15" s="3">
        <v>140698.41</v>
      </c>
      <c r="AX15" s="3">
        <v>132261.18</v>
      </c>
      <c r="AY15" s="3">
        <v>106337.34</v>
      </c>
      <c r="AZ15" s="3">
        <v>121929.13</v>
      </c>
      <c r="BA15" s="3">
        <v>137775.42000000001</v>
      </c>
      <c r="BB15" s="3">
        <v>137032.67000000001</v>
      </c>
      <c r="BC15" s="3">
        <v>136313.76</v>
      </c>
      <c r="BD15" s="3">
        <v>135571.07999999999</v>
      </c>
      <c r="BE15" s="3">
        <v>-2872.54</v>
      </c>
      <c r="BF15" s="3">
        <v>-2722.23</v>
      </c>
      <c r="BG15" s="2">
        <v>-4240</v>
      </c>
      <c r="BH15" s="3">
        <v>-3670.53</v>
      </c>
      <c r="BI15" s="3">
        <v>-1612.65</v>
      </c>
      <c r="BJ15">
        <v>-540.38</v>
      </c>
      <c r="BK15">
        <v>946.6</v>
      </c>
      <c r="BL15" s="2">
        <v>1632</v>
      </c>
      <c r="BM15" s="3">
        <v>-1911.29</v>
      </c>
      <c r="BN15" s="3">
        <v>-2349.35</v>
      </c>
      <c r="BO15" s="3">
        <v>-2477.38</v>
      </c>
      <c r="BP15" s="2">
        <v>-2112</v>
      </c>
      <c r="BQ15" s="3">
        <v>9918.2800000000007</v>
      </c>
      <c r="BR15" s="3">
        <v>8972.2099999999991</v>
      </c>
      <c r="BS15" s="3">
        <v>8802.7000000000007</v>
      </c>
      <c r="BT15" s="3">
        <v>8359.5499999999993</v>
      </c>
      <c r="BU15" s="3">
        <v>10959.8</v>
      </c>
      <c r="BV15" s="3">
        <v>11357.44</v>
      </c>
      <c r="BW15" s="2">
        <v>12709</v>
      </c>
      <c r="BX15" s="3">
        <v>14358.61</v>
      </c>
      <c r="BY15" s="3">
        <v>8835.2199999999993</v>
      </c>
      <c r="BZ15" s="3">
        <v>10383.89</v>
      </c>
      <c r="CA15" s="3">
        <v>9198.43</v>
      </c>
      <c r="CB15" s="2">
        <v>8931</v>
      </c>
      <c r="CC15" s="3">
        <v>-2644.66</v>
      </c>
      <c r="CD15" s="3">
        <v>-2511.11</v>
      </c>
      <c r="CE15" s="3">
        <v>-3400.34</v>
      </c>
      <c r="CF15" s="3">
        <v>-3542.65</v>
      </c>
      <c r="CG15" s="3">
        <v>-1353.08</v>
      </c>
      <c r="CH15">
        <v>-455</v>
      </c>
      <c r="CI15">
        <v>913.68</v>
      </c>
      <c r="CJ15" s="3">
        <v>1307.5</v>
      </c>
      <c r="CK15" s="2">
        <v>4360</v>
      </c>
      <c r="CL15" s="3">
        <v>4749.05</v>
      </c>
      <c r="CM15" s="3">
        <v>3902.06</v>
      </c>
      <c r="CN15" s="3">
        <v>4493.66</v>
      </c>
      <c r="CO15" s="3">
        <v>-11095.57</v>
      </c>
      <c r="CP15" s="3">
        <v>-10514.44</v>
      </c>
      <c r="CQ15" s="3">
        <v>-11501.74</v>
      </c>
      <c r="CR15" s="3">
        <v>-11660.46</v>
      </c>
      <c r="CS15" s="3">
        <v>-10541.67</v>
      </c>
      <c r="CT15" s="3">
        <v>-11751.15</v>
      </c>
      <c r="CU15" s="3">
        <v>-11309.77</v>
      </c>
      <c r="CV15" s="3">
        <v>-10268.52</v>
      </c>
      <c r="CW15" s="3">
        <v>-10212.780000000001</v>
      </c>
      <c r="CX15" s="2">
        <v>-10639</v>
      </c>
      <c r="CY15" s="3">
        <v>-9619.08</v>
      </c>
      <c r="CZ15" s="3">
        <v>-10521.27</v>
      </c>
      <c r="DA15" s="3">
        <v>-19021.41</v>
      </c>
      <c r="DB15" s="2">
        <v>-18924</v>
      </c>
      <c r="DC15" s="3">
        <v>-21639.09</v>
      </c>
      <c r="DD15" s="3">
        <v>-20584.29</v>
      </c>
      <c r="DE15" s="3">
        <v>-18606.32</v>
      </c>
      <c r="DF15" s="3">
        <v>-20353.8</v>
      </c>
      <c r="DG15" s="3">
        <v>-19317.419999999998</v>
      </c>
      <c r="DH15" s="3">
        <v>-20121.22</v>
      </c>
      <c r="DI15" s="3">
        <v>-19099.79</v>
      </c>
      <c r="DJ15" s="3">
        <v>-18989.8</v>
      </c>
      <c r="DK15" s="3">
        <v>-18883.740000000002</v>
      </c>
      <c r="DL15" s="3">
        <v>-20562.61</v>
      </c>
      <c r="DM15" s="3">
        <v>-1717353.13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M11"/>
  <sheetViews>
    <sheetView workbookViewId="0">
      <selection activeCell="M122" sqref="M122"/>
    </sheetView>
  </sheetViews>
  <sheetFormatPr defaultRowHeight="12.75" x14ac:dyDescent="0.2"/>
  <sheetData>
    <row r="1" spans="1:117" x14ac:dyDescent="0.2">
      <c r="B1" s="1">
        <v>37043</v>
      </c>
      <c r="C1" s="1">
        <v>37073</v>
      </c>
      <c r="D1" s="1">
        <v>37104</v>
      </c>
      <c r="E1" s="1">
        <v>37135</v>
      </c>
      <c r="F1" s="1">
        <v>37165</v>
      </c>
      <c r="G1" s="1">
        <v>37196</v>
      </c>
      <c r="H1" s="1">
        <v>37226</v>
      </c>
      <c r="I1" s="1">
        <v>37257</v>
      </c>
      <c r="J1" s="1">
        <v>37288</v>
      </c>
      <c r="K1" s="1">
        <v>37316</v>
      </c>
      <c r="L1" s="1">
        <v>37347</v>
      </c>
      <c r="M1" s="1">
        <v>37377</v>
      </c>
      <c r="N1" s="1">
        <v>37408</v>
      </c>
      <c r="O1" s="1">
        <v>37438</v>
      </c>
      <c r="P1" s="1">
        <v>37469</v>
      </c>
      <c r="Q1" s="1">
        <v>37500</v>
      </c>
      <c r="R1" s="1">
        <v>37530</v>
      </c>
      <c r="S1" s="1">
        <v>37561</v>
      </c>
      <c r="T1" s="1">
        <v>37591</v>
      </c>
      <c r="U1" s="1">
        <v>37622</v>
      </c>
      <c r="V1" s="1">
        <v>37653</v>
      </c>
      <c r="W1" s="1">
        <v>37681</v>
      </c>
      <c r="X1" s="1">
        <v>37712</v>
      </c>
      <c r="Y1" s="1">
        <v>37742</v>
      </c>
      <c r="Z1" s="1">
        <v>37773</v>
      </c>
      <c r="AA1" s="1">
        <v>37803</v>
      </c>
      <c r="AB1" s="1">
        <v>37834</v>
      </c>
      <c r="AC1" s="1">
        <v>37865</v>
      </c>
      <c r="AD1" s="1">
        <v>37895</v>
      </c>
      <c r="AE1" s="1">
        <v>37926</v>
      </c>
      <c r="AF1" s="1">
        <v>37956</v>
      </c>
      <c r="AG1" s="1">
        <v>37987</v>
      </c>
      <c r="AH1" s="1">
        <v>38018</v>
      </c>
      <c r="AI1" s="1">
        <v>38047</v>
      </c>
      <c r="AJ1" s="1">
        <v>38078</v>
      </c>
      <c r="AK1" s="1">
        <v>38108</v>
      </c>
      <c r="AL1" s="1">
        <v>38139</v>
      </c>
      <c r="AM1" s="1">
        <v>38169</v>
      </c>
      <c r="AN1" s="1">
        <v>38200</v>
      </c>
      <c r="AO1" s="1">
        <v>38231</v>
      </c>
      <c r="AP1" s="1">
        <v>38261</v>
      </c>
      <c r="AQ1" s="1">
        <v>38292</v>
      </c>
      <c r="AR1" s="1">
        <v>38322</v>
      </c>
      <c r="AS1" s="1">
        <v>38353</v>
      </c>
      <c r="AT1" s="1">
        <v>38384</v>
      </c>
      <c r="AU1" s="1">
        <v>38412</v>
      </c>
      <c r="AV1" s="1">
        <v>38443</v>
      </c>
      <c r="AW1" s="1">
        <v>38473</v>
      </c>
      <c r="AX1" s="1">
        <v>38504</v>
      </c>
      <c r="AY1" s="1">
        <v>38534</v>
      </c>
      <c r="AZ1" s="1">
        <v>38565</v>
      </c>
      <c r="BA1" s="1">
        <v>38596</v>
      </c>
      <c r="BB1" s="1">
        <v>38626</v>
      </c>
      <c r="BC1" s="1">
        <v>38657</v>
      </c>
      <c r="BD1" s="1">
        <v>38687</v>
      </c>
      <c r="BE1" s="1">
        <v>38718</v>
      </c>
      <c r="BF1" s="1">
        <v>38749</v>
      </c>
      <c r="BG1" s="1">
        <v>38777</v>
      </c>
      <c r="BH1" s="1">
        <v>38808</v>
      </c>
      <c r="BI1" s="1">
        <v>38838</v>
      </c>
      <c r="BJ1" s="1">
        <v>38869</v>
      </c>
      <c r="BK1" s="1">
        <v>38899</v>
      </c>
      <c r="BL1" s="1">
        <v>38930</v>
      </c>
      <c r="BM1" s="1">
        <v>38961</v>
      </c>
      <c r="BN1" s="1">
        <v>38991</v>
      </c>
      <c r="BO1" s="1">
        <v>39022</v>
      </c>
      <c r="BP1" s="1">
        <v>39052</v>
      </c>
      <c r="BQ1" s="1">
        <v>39083</v>
      </c>
      <c r="BR1" s="1">
        <v>39114</v>
      </c>
      <c r="BS1" s="1">
        <v>39142</v>
      </c>
      <c r="BT1" s="1">
        <v>39173</v>
      </c>
      <c r="BU1" s="1">
        <v>39203</v>
      </c>
      <c r="BV1" s="1">
        <v>39234</v>
      </c>
      <c r="BW1" s="1">
        <v>39264</v>
      </c>
      <c r="BX1" s="1">
        <v>39295</v>
      </c>
      <c r="BY1" s="1">
        <v>39326</v>
      </c>
      <c r="BZ1" s="1">
        <v>39356</v>
      </c>
      <c r="CA1" s="1">
        <v>39387</v>
      </c>
      <c r="CB1" s="1">
        <v>39417</v>
      </c>
      <c r="CC1" s="1">
        <v>39448</v>
      </c>
      <c r="CD1" s="1">
        <v>39479</v>
      </c>
      <c r="CE1" s="1">
        <v>39508</v>
      </c>
      <c r="CF1" s="1">
        <v>39539</v>
      </c>
      <c r="CG1" s="1">
        <v>39569</v>
      </c>
      <c r="CH1" s="1">
        <v>39600</v>
      </c>
      <c r="CI1" s="1">
        <v>39630</v>
      </c>
      <c r="CJ1" s="1">
        <v>39661</v>
      </c>
      <c r="CK1" s="1">
        <v>39692</v>
      </c>
      <c r="CL1" s="1">
        <v>39722</v>
      </c>
      <c r="CM1" s="1">
        <v>39753</v>
      </c>
      <c r="CN1" s="1">
        <v>39783</v>
      </c>
      <c r="CO1" s="1">
        <v>39814</v>
      </c>
      <c r="CP1" s="1">
        <v>39845</v>
      </c>
      <c r="CQ1" s="1">
        <v>39873</v>
      </c>
      <c r="CR1" s="1">
        <v>39904</v>
      </c>
      <c r="CS1" s="1">
        <v>39934</v>
      </c>
      <c r="CT1" s="1">
        <v>39965</v>
      </c>
      <c r="CU1" s="1">
        <v>39995</v>
      </c>
      <c r="CV1" s="1">
        <v>40026</v>
      </c>
      <c r="CW1" s="1">
        <v>40057</v>
      </c>
      <c r="CX1" s="1">
        <v>40087</v>
      </c>
      <c r="CY1" s="1">
        <v>40118</v>
      </c>
      <c r="CZ1" s="1">
        <v>40148</v>
      </c>
      <c r="DA1" s="1">
        <v>40179</v>
      </c>
      <c r="DB1" s="1">
        <v>40210</v>
      </c>
      <c r="DC1" s="1">
        <v>40238</v>
      </c>
      <c r="DD1" s="1">
        <v>40269</v>
      </c>
      <c r="DE1" s="1">
        <v>40299</v>
      </c>
      <c r="DF1" s="1">
        <v>40330</v>
      </c>
      <c r="DG1" s="1">
        <v>40360</v>
      </c>
      <c r="DH1" s="1">
        <v>40391</v>
      </c>
      <c r="DI1" s="1">
        <v>40422</v>
      </c>
      <c r="DJ1" s="1">
        <v>40452</v>
      </c>
      <c r="DK1" s="1">
        <v>40483</v>
      </c>
      <c r="DL1" s="1">
        <v>40513</v>
      </c>
    </row>
    <row r="2" spans="1:117" x14ac:dyDescent="0.2">
      <c r="A2" t="s">
        <v>0</v>
      </c>
      <c r="B2" t="s">
        <v>25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  <c r="AE2" t="s">
        <v>25</v>
      </c>
      <c r="AF2" t="s">
        <v>25</v>
      </c>
      <c r="AG2" t="s">
        <v>25</v>
      </c>
      <c r="AH2" t="s">
        <v>25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 t="s">
        <v>25</v>
      </c>
      <c r="BX2" t="s">
        <v>25</v>
      </c>
      <c r="BY2" t="s">
        <v>25</v>
      </c>
      <c r="BZ2" t="s">
        <v>25</v>
      </c>
      <c r="CA2" t="s">
        <v>25</v>
      </c>
      <c r="CB2" t="s">
        <v>25</v>
      </c>
      <c r="CC2" t="s">
        <v>25</v>
      </c>
      <c r="CD2" t="s">
        <v>25</v>
      </c>
      <c r="CE2" t="s">
        <v>25</v>
      </c>
      <c r="CF2" t="s">
        <v>25</v>
      </c>
      <c r="CG2" t="s">
        <v>25</v>
      </c>
      <c r="CH2" t="s">
        <v>25</v>
      </c>
      <c r="CI2" t="s">
        <v>25</v>
      </c>
      <c r="CJ2" t="s">
        <v>25</v>
      </c>
      <c r="CK2" t="s">
        <v>25</v>
      </c>
      <c r="CL2" t="s">
        <v>25</v>
      </c>
      <c r="CM2" t="s">
        <v>25</v>
      </c>
      <c r="CN2" t="s">
        <v>25</v>
      </c>
      <c r="CO2" t="s">
        <v>25</v>
      </c>
      <c r="CP2" t="s">
        <v>25</v>
      </c>
      <c r="CQ2" t="s">
        <v>25</v>
      </c>
      <c r="CR2" t="s">
        <v>25</v>
      </c>
      <c r="CS2" t="s">
        <v>25</v>
      </c>
      <c r="CT2" t="s">
        <v>25</v>
      </c>
      <c r="CU2" t="s">
        <v>25</v>
      </c>
      <c r="CV2" t="s">
        <v>25</v>
      </c>
      <c r="CW2" t="s">
        <v>25</v>
      </c>
      <c r="CX2" t="s">
        <v>25</v>
      </c>
      <c r="CY2" t="s">
        <v>25</v>
      </c>
      <c r="CZ2" t="s">
        <v>25</v>
      </c>
      <c r="DA2" t="s">
        <v>25</v>
      </c>
      <c r="DB2" t="s">
        <v>25</v>
      </c>
      <c r="DC2" t="s">
        <v>25</v>
      </c>
      <c r="DD2" t="s">
        <v>25</v>
      </c>
      <c r="DE2" t="s">
        <v>25</v>
      </c>
      <c r="DF2" t="s">
        <v>25</v>
      </c>
      <c r="DG2" t="s">
        <v>25</v>
      </c>
      <c r="DH2" t="s">
        <v>25</v>
      </c>
      <c r="DI2" t="s">
        <v>25</v>
      </c>
      <c r="DJ2" t="s">
        <v>25</v>
      </c>
      <c r="DK2" t="s">
        <v>25</v>
      </c>
      <c r="DL2" t="s">
        <v>25</v>
      </c>
      <c r="DM2" t="s">
        <v>2</v>
      </c>
    </row>
    <row r="3" spans="1:117" x14ac:dyDescent="0.2">
      <c r="A3" t="s">
        <v>3</v>
      </c>
      <c r="B3" s="2">
        <v>116000</v>
      </c>
      <c r="C3" s="2">
        <v>175600</v>
      </c>
      <c r="D3" s="2">
        <v>162800</v>
      </c>
      <c r="E3" s="2">
        <v>74400</v>
      </c>
      <c r="F3" s="2">
        <v>106727</v>
      </c>
      <c r="G3" s="2">
        <v>108000</v>
      </c>
      <c r="H3" s="2">
        <v>118400</v>
      </c>
      <c r="I3" s="2">
        <v>-30184</v>
      </c>
      <c r="J3" s="2">
        <v>-27104</v>
      </c>
      <c r="K3" s="2">
        <v>-31416</v>
      </c>
      <c r="L3" s="2">
        <v>-28259</v>
      </c>
      <c r="M3" s="2">
        <v>-30184</v>
      </c>
      <c r="N3" s="2">
        <v>-30800</v>
      </c>
      <c r="O3" s="2">
        <v>-30184</v>
      </c>
      <c r="P3" s="2">
        <v>-30184</v>
      </c>
      <c r="Q3" s="2">
        <v>-30800</v>
      </c>
      <c r="R3" s="2">
        <v>-29029</v>
      </c>
      <c r="S3" s="2">
        <v>-30800</v>
      </c>
      <c r="T3" s="2">
        <v>-31416</v>
      </c>
      <c r="U3" s="2">
        <v>-108584</v>
      </c>
      <c r="V3" s="2">
        <v>-97504</v>
      </c>
      <c r="W3" s="2">
        <v>-113016</v>
      </c>
      <c r="X3" s="2">
        <v>-101659</v>
      </c>
      <c r="Y3" s="2">
        <v>-113016</v>
      </c>
      <c r="Z3" s="2">
        <v>-106368</v>
      </c>
      <c r="AA3" s="2">
        <v>-108584</v>
      </c>
      <c r="AB3" s="2">
        <v>-113016</v>
      </c>
      <c r="AC3" s="2">
        <v>-106368</v>
      </c>
      <c r="AD3" s="2">
        <v>-104429</v>
      </c>
      <c r="AE3" s="2">
        <v>-115232</v>
      </c>
      <c r="AF3" s="2">
        <v>-108584</v>
      </c>
      <c r="AG3" s="2">
        <v>29784</v>
      </c>
      <c r="AH3" s="2">
        <v>27448</v>
      </c>
      <c r="AI3" s="2">
        <v>27448</v>
      </c>
      <c r="AJ3" s="2">
        <v>26791</v>
      </c>
      <c r="AK3" s="2">
        <v>30952</v>
      </c>
      <c r="AL3" s="2">
        <v>26864</v>
      </c>
      <c r="AM3" s="2">
        <v>29784</v>
      </c>
      <c r="AN3" s="2">
        <v>28616</v>
      </c>
      <c r="AO3" s="2">
        <v>28032</v>
      </c>
      <c r="AP3" s="2">
        <v>29857</v>
      </c>
      <c r="AQ3" s="2">
        <v>28032</v>
      </c>
      <c r="AR3" s="2">
        <v>27448</v>
      </c>
      <c r="AS3" s="2">
        <v>70584</v>
      </c>
      <c r="AT3" s="2">
        <v>60896</v>
      </c>
      <c r="AU3" s="2">
        <v>65048</v>
      </c>
      <c r="AV3" s="2">
        <v>66259</v>
      </c>
      <c r="AW3" s="2">
        <v>70584</v>
      </c>
      <c r="AX3" s="2">
        <v>63664</v>
      </c>
      <c r="AY3" s="2">
        <v>73352</v>
      </c>
      <c r="AZ3" s="2">
        <v>65048</v>
      </c>
      <c r="BA3" s="2">
        <v>66432</v>
      </c>
      <c r="BB3" s="2">
        <v>70757</v>
      </c>
      <c r="BC3" s="2">
        <v>66432</v>
      </c>
      <c r="BD3" s="2">
        <v>70584</v>
      </c>
      <c r="BE3" s="2">
        <v>29784</v>
      </c>
      <c r="BF3" s="2">
        <v>25696</v>
      </c>
      <c r="BG3" s="2">
        <v>27448</v>
      </c>
      <c r="BH3" s="2">
        <v>29127</v>
      </c>
      <c r="BI3" s="2">
        <v>28616</v>
      </c>
      <c r="BJ3" s="2">
        <v>26864</v>
      </c>
      <c r="BK3" s="2">
        <v>30952</v>
      </c>
      <c r="BL3" s="2">
        <v>27448</v>
      </c>
      <c r="BM3" s="2">
        <v>29200</v>
      </c>
      <c r="BN3" s="2">
        <v>28689</v>
      </c>
      <c r="BO3" s="2">
        <v>28032</v>
      </c>
      <c r="BP3" s="2">
        <v>30952</v>
      </c>
      <c r="BQ3" s="2">
        <v>9016</v>
      </c>
      <c r="BR3" s="2">
        <v>8096</v>
      </c>
      <c r="BS3" s="2">
        <v>9016</v>
      </c>
      <c r="BT3" s="2">
        <v>8809</v>
      </c>
      <c r="BU3" s="2">
        <v>9016</v>
      </c>
      <c r="BV3" s="2">
        <v>8832</v>
      </c>
      <c r="BW3" s="2">
        <v>9384</v>
      </c>
      <c r="BX3" s="2">
        <v>8648</v>
      </c>
      <c r="BY3" s="2">
        <v>9568</v>
      </c>
      <c r="BZ3" s="2">
        <v>8671</v>
      </c>
      <c r="CA3" s="2">
        <v>8832</v>
      </c>
      <c r="CB3" s="2">
        <v>9752</v>
      </c>
      <c r="CC3" s="2">
        <v>-10584</v>
      </c>
      <c r="CD3" s="2">
        <v>-9720</v>
      </c>
      <c r="CE3" s="2">
        <v>-11016</v>
      </c>
      <c r="CF3" s="2">
        <v>-9909</v>
      </c>
      <c r="CG3" s="2">
        <v>-11016</v>
      </c>
      <c r="CH3" s="2">
        <v>-10368</v>
      </c>
      <c r="CI3" s="2">
        <v>-10584</v>
      </c>
      <c r="CJ3" s="2">
        <v>-11016</v>
      </c>
      <c r="CK3" s="2">
        <v>-10368</v>
      </c>
      <c r="CL3" s="2">
        <v>-10179</v>
      </c>
      <c r="CM3" s="2">
        <v>-11232</v>
      </c>
      <c r="CN3" s="2">
        <v>-10584</v>
      </c>
      <c r="DM3" s="2">
        <v>679775</v>
      </c>
    </row>
    <row r="4" spans="1:117" x14ac:dyDescent="0.2">
      <c r="A4" t="s">
        <v>4</v>
      </c>
      <c r="B4" s="2">
        <v>-30400</v>
      </c>
      <c r="C4" s="2">
        <v>-40800</v>
      </c>
      <c r="D4" s="2">
        <v>-37600</v>
      </c>
      <c r="E4" s="2">
        <v>-48640</v>
      </c>
      <c r="F4" s="2">
        <v>-45380</v>
      </c>
      <c r="G4" s="2">
        <v>-47040</v>
      </c>
      <c r="H4" s="2">
        <v>-52960</v>
      </c>
      <c r="I4" s="2">
        <v>-47840</v>
      </c>
      <c r="J4" s="2">
        <v>-42880</v>
      </c>
      <c r="K4" s="2">
        <v>-50400</v>
      </c>
      <c r="L4" s="2">
        <v>-44380</v>
      </c>
      <c r="M4" s="2">
        <v>-47840</v>
      </c>
      <c r="N4" s="2">
        <v>-9600</v>
      </c>
      <c r="O4" s="2">
        <v>-8640</v>
      </c>
      <c r="P4" s="2">
        <v>-8640</v>
      </c>
      <c r="Q4" s="2">
        <v>-9600</v>
      </c>
      <c r="R4" s="2">
        <v>-7680</v>
      </c>
      <c r="S4" s="2">
        <v>-9600</v>
      </c>
      <c r="T4" s="2">
        <v>-9600</v>
      </c>
      <c r="U4" s="2">
        <v>-8640</v>
      </c>
      <c r="V4" s="2">
        <v>-7680</v>
      </c>
      <c r="W4" s="2">
        <v>-9600</v>
      </c>
      <c r="X4" s="2">
        <v>-7680</v>
      </c>
      <c r="Y4" s="2">
        <v>-9600</v>
      </c>
      <c r="Z4" s="2">
        <v>-8640</v>
      </c>
      <c r="AA4" s="2">
        <v>-8640</v>
      </c>
      <c r="AB4" s="2">
        <v>-9600</v>
      </c>
      <c r="AC4" s="2">
        <v>-8640</v>
      </c>
      <c r="AD4" s="2">
        <v>-7680</v>
      </c>
      <c r="AE4" s="2">
        <v>-10560</v>
      </c>
      <c r="AF4" s="2">
        <v>-8640</v>
      </c>
      <c r="DM4" s="2">
        <v>-705120</v>
      </c>
    </row>
    <row r="5" spans="1:117" x14ac:dyDescent="0.2">
      <c r="A5" t="s">
        <v>26</v>
      </c>
      <c r="B5" s="2">
        <v>-16800</v>
      </c>
      <c r="C5" s="2">
        <v>-21600</v>
      </c>
      <c r="D5" s="2">
        <v>-19200</v>
      </c>
      <c r="DM5" s="2">
        <v>-57600</v>
      </c>
    </row>
    <row r="6" spans="1:117" x14ac:dyDescent="0.2">
      <c r="A6" t="s">
        <v>6</v>
      </c>
      <c r="B6" s="2">
        <v>-9600</v>
      </c>
      <c r="C6" s="2">
        <v>-12400</v>
      </c>
      <c r="D6" s="2">
        <v>-12400</v>
      </c>
      <c r="E6" s="2">
        <v>-21200</v>
      </c>
      <c r="F6" s="2">
        <v>-18850</v>
      </c>
      <c r="G6" s="2">
        <v>-19600</v>
      </c>
      <c r="H6" s="2">
        <v>-21600</v>
      </c>
      <c r="I6" s="2">
        <v>-78800</v>
      </c>
      <c r="J6" s="2">
        <v>-70400</v>
      </c>
      <c r="K6" s="2">
        <v>-81600</v>
      </c>
      <c r="L6" s="2">
        <v>-73400</v>
      </c>
      <c r="M6" s="2">
        <v>-78800</v>
      </c>
      <c r="N6" s="2">
        <v>-80000</v>
      </c>
      <c r="O6" s="2">
        <v>-78800</v>
      </c>
      <c r="P6" s="2">
        <v>-78400</v>
      </c>
      <c r="Q6" s="2">
        <v>-80400</v>
      </c>
      <c r="R6" s="2">
        <v>-75400</v>
      </c>
      <c r="S6" s="2">
        <v>-80400</v>
      </c>
      <c r="T6" s="2">
        <v>-82000</v>
      </c>
      <c r="U6" s="2">
        <v>-20000</v>
      </c>
      <c r="V6" s="2">
        <v>-17600</v>
      </c>
      <c r="W6" s="2">
        <v>-20400</v>
      </c>
      <c r="X6" s="2">
        <v>-18350</v>
      </c>
      <c r="Y6" s="2">
        <v>-20800</v>
      </c>
      <c r="Z6" s="2">
        <v>-19200</v>
      </c>
      <c r="AA6" s="2">
        <v>-20000</v>
      </c>
      <c r="AB6" s="2">
        <v>-20400</v>
      </c>
      <c r="AC6" s="2">
        <v>-19600</v>
      </c>
      <c r="AD6" s="2">
        <v>-18850</v>
      </c>
      <c r="AE6" s="2">
        <v>-21200</v>
      </c>
      <c r="AF6" s="2">
        <v>-20000</v>
      </c>
      <c r="BE6" s="2">
        <v>-30600</v>
      </c>
      <c r="BF6" s="2">
        <v>-25696</v>
      </c>
      <c r="BG6" s="2">
        <v>-28200</v>
      </c>
      <c r="BH6" s="2">
        <v>-29550</v>
      </c>
      <c r="BI6" s="2">
        <v>-25480</v>
      </c>
      <c r="BJ6" s="2">
        <v>-22816</v>
      </c>
      <c r="BK6" s="2">
        <v>-25016</v>
      </c>
      <c r="BL6" s="2">
        <v>-22184</v>
      </c>
      <c r="BM6" s="2">
        <v>-26000</v>
      </c>
      <c r="BN6" s="2">
        <v>-25922</v>
      </c>
      <c r="BO6" s="2">
        <v>-28416</v>
      </c>
      <c r="BP6" s="2">
        <v>-30952</v>
      </c>
      <c r="BQ6" s="2">
        <v>-29400</v>
      </c>
      <c r="BR6" s="2">
        <v>-25696</v>
      </c>
      <c r="BS6" s="2">
        <v>-29400</v>
      </c>
      <c r="BT6" s="2">
        <v>-28366</v>
      </c>
      <c r="BU6" s="2">
        <v>-25480</v>
      </c>
      <c r="BV6" s="2">
        <v>-23808</v>
      </c>
      <c r="BW6" s="2">
        <v>-24072</v>
      </c>
      <c r="BX6" s="2">
        <v>-22184</v>
      </c>
      <c r="BY6" s="2">
        <v>-27040</v>
      </c>
      <c r="BZ6" s="2">
        <v>-24866</v>
      </c>
      <c r="CA6" s="2">
        <v>-28416</v>
      </c>
      <c r="CB6" s="2">
        <v>-30952</v>
      </c>
      <c r="CC6" s="2">
        <v>-29400</v>
      </c>
      <c r="CD6" s="2">
        <v>-26280</v>
      </c>
      <c r="CE6" s="2">
        <v>-30600</v>
      </c>
      <c r="CF6" s="2">
        <v>-27182</v>
      </c>
      <c r="CG6" s="2">
        <v>-26520</v>
      </c>
      <c r="CH6" s="2">
        <v>-23808</v>
      </c>
      <c r="CI6" s="2">
        <v>-23128</v>
      </c>
      <c r="CJ6" s="2">
        <v>-24072</v>
      </c>
      <c r="CK6" s="2">
        <v>-19200</v>
      </c>
      <c r="CL6" s="2">
        <v>-18850</v>
      </c>
      <c r="CM6" s="2">
        <v>-20800</v>
      </c>
      <c r="CN6" s="2">
        <v>-19600</v>
      </c>
      <c r="CO6" s="2">
        <v>-20400</v>
      </c>
      <c r="CP6" s="2">
        <v>-17600</v>
      </c>
      <c r="CQ6" s="2">
        <v>-19600</v>
      </c>
      <c r="CR6" s="2">
        <v>-18350</v>
      </c>
      <c r="CS6" s="2">
        <v>-21200</v>
      </c>
      <c r="CT6" s="2">
        <v>-18400</v>
      </c>
      <c r="CU6" s="2">
        <v>-18800</v>
      </c>
      <c r="CV6" s="2">
        <v>-20400</v>
      </c>
      <c r="CW6" s="2">
        <v>-19200</v>
      </c>
      <c r="CX6" s="2">
        <v>-19650</v>
      </c>
      <c r="CY6" s="2">
        <v>-20000</v>
      </c>
      <c r="CZ6" s="2">
        <v>-19600</v>
      </c>
      <c r="DA6" s="2">
        <v>-21200</v>
      </c>
      <c r="DB6" s="2">
        <v>-17600</v>
      </c>
      <c r="DC6" s="2">
        <v>-18800</v>
      </c>
      <c r="DD6" s="2">
        <v>-18350</v>
      </c>
      <c r="DE6" s="2">
        <v>-21200</v>
      </c>
      <c r="DF6" s="2">
        <v>-18400</v>
      </c>
      <c r="DG6" s="2">
        <v>-20400</v>
      </c>
      <c r="DH6" s="2">
        <v>-19600</v>
      </c>
      <c r="DI6" s="2">
        <v>-19200</v>
      </c>
      <c r="DJ6" s="2">
        <v>-20450</v>
      </c>
      <c r="DK6" s="2">
        <v>-19200</v>
      </c>
      <c r="DL6" s="2">
        <v>-18800</v>
      </c>
      <c r="DM6" s="2">
        <v>-2686802</v>
      </c>
    </row>
    <row r="7" spans="1:117" x14ac:dyDescent="0.2">
      <c r="A7" t="s">
        <v>8</v>
      </c>
      <c r="B7" s="2">
        <v>11200</v>
      </c>
      <c r="C7" s="2">
        <v>21600</v>
      </c>
      <c r="D7" s="2">
        <v>19200</v>
      </c>
      <c r="E7" s="2">
        <v>16000</v>
      </c>
      <c r="F7" s="2">
        <v>12800</v>
      </c>
      <c r="DM7" s="2">
        <v>80800</v>
      </c>
    </row>
    <row r="8" spans="1:117" x14ac:dyDescent="0.2">
      <c r="A8" t="s">
        <v>12</v>
      </c>
      <c r="B8" s="2">
        <v>-1100</v>
      </c>
      <c r="N8" s="2">
        <v>6000</v>
      </c>
      <c r="O8" s="2">
        <v>3300</v>
      </c>
      <c r="P8" s="2">
        <v>3300</v>
      </c>
      <c r="U8" s="2">
        <v>9900</v>
      </c>
      <c r="V8" s="2">
        <v>9000</v>
      </c>
      <c r="W8" s="2">
        <v>9450</v>
      </c>
      <c r="X8" s="2">
        <v>9900</v>
      </c>
      <c r="Y8" s="2">
        <v>9450</v>
      </c>
      <c r="Z8" s="2">
        <v>9450</v>
      </c>
      <c r="AA8" s="2">
        <v>9900</v>
      </c>
      <c r="AB8" s="2">
        <v>9450</v>
      </c>
      <c r="AC8" s="2">
        <v>9450</v>
      </c>
      <c r="AD8" s="2">
        <v>10350</v>
      </c>
      <c r="AE8" s="2">
        <v>8550</v>
      </c>
      <c r="AF8" s="2">
        <v>9900</v>
      </c>
      <c r="DM8" s="2">
        <v>126250</v>
      </c>
    </row>
    <row r="9" spans="1:117" x14ac:dyDescent="0.2">
      <c r="A9" t="s">
        <v>13</v>
      </c>
      <c r="B9" s="2">
        <v>15200</v>
      </c>
      <c r="C9" s="2">
        <v>20400</v>
      </c>
      <c r="D9" s="2">
        <v>18800</v>
      </c>
      <c r="E9" s="2">
        <v>20800</v>
      </c>
      <c r="F9" s="2">
        <v>18850</v>
      </c>
      <c r="G9" s="2">
        <v>19200</v>
      </c>
      <c r="H9" s="2">
        <v>21200</v>
      </c>
      <c r="U9" s="2">
        <v>9800</v>
      </c>
      <c r="V9" s="2">
        <v>8800</v>
      </c>
      <c r="W9" s="2">
        <v>10200</v>
      </c>
      <c r="X9" s="2">
        <v>9175</v>
      </c>
      <c r="Y9" s="2">
        <v>10200</v>
      </c>
      <c r="Z9" s="2">
        <v>9600</v>
      </c>
      <c r="AA9" s="2">
        <v>9800</v>
      </c>
      <c r="AB9" s="2">
        <v>10200</v>
      </c>
      <c r="AC9" s="2">
        <v>9600</v>
      </c>
      <c r="AD9" s="2">
        <v>9425</v>
      </c>
      <c r="AE9" s="2">
        <v>10400</v>
      </c>
      <c r="AF9" s="2">
        <v>9800</v>
      </c>
      <c r="DM9" s="2">
        <v>251450</v>
      </c>
    </row>
    <row r="10" spans="1:117" x14ac:dyDescent="0.2">
      <c r="A10" t="s">
        <v>14</v>
      </c>
      <c r="B10" s="2">
        <v>-46800</v>
      </c>
      <c r="C10" s="2">
        <v>20400</v>
      </c>
      <c r="D10" s="2">
        <v>18800</v>
      </c>
      <c r="E10" s="2">
        <v>20800</v>
      </c>
      <c r="F10" s="2">
        <v>-18850</v>
      </c>
      <c r="G10" s="2">
        <v>-19200</v>
      </c>
      <c r="H10" s="2">
        <v>-21200</v>
      </c>
      <c r="I10" s="2">
        <v>-39200</v>
      </c>
      <c r="J10" s="2">
        <v>-35200</v>
      </c>
      <c r="K10" s="2">
        <v>-40800</v>
      </c>
      <c r="L10" s="2">
        <v>-36700</v>
      </c>
      <c r="M10" s="2">
        <v>-39200</v>
      </c>
      <c r="N10" s="2">
        <v>-40000</v>
      </c>
      <c r="O10" s="2">
        <v>-39200</v>
      </c>
      <c r="P10" s="2">
        <v>-39200</v>
      </c>
      <c r="Q10" s="2">
        <v>-40000</v>
      </c>
      <c r="R10" s="2">
        <v>-37700</v>
      </c>
      <c r="S10" s="2">
        <v>-40000</v>
      </c>
      <c r="T10" s="2">
        <v>-40800</v>
      </c>
      <c r="DM10" s="2">
        <v>-514050</v>
      </c>
    </row>
    <row r="11" spans="1:117" x14ac:dyDescent="0.2">
      <c r="A11" t="s">
        <v>15</v>
      </c>
      <c r="B11" s="2">
        <v>37700</v>
      </c>
      <c r="C11" s="2">
        <v>163200</v>
      </c>
      <c r="D11" s="2">
        <v>150400</v>
      </c>
      <c r="E11" s="2">
        <v>62160</v>
      </c>
      <c r="F11" s="2">
        <v>55297</v>
      </c>
      <c r="G11" s="2">
        <v>41360</v>
      </c>
      <c r="H11" s="2">
        <v>43840</v>
      </c>
      <c r="I11" s="2">
        <v>-196024</v>
      </c>
      <c r="J11" s="2">
        <v>-175584</v>
      </c>
      <c r="K11" s="2">
        <v>-204216</v>
      </c>
      <c r="L11" s="2">
        <v>-182739</v>
      </c>
      <c r="M11" s="2">
        <v>-196024</v>
      </c>
      <c r="N11" s="2">
        <v>-154400</v>
      </c>
      <c r="O11" s="2">
        <v>-153524</v>
      </c>
      <c r="P11" s="2">
        <v>-153124</v>
      </c>
      <c r="Q11" s="2">
        <v>-160800</v>
      </c>
      <c r="R11" s="2">
        <v>-149809</v>
      </c>
      <c r="S11" s="2">
        <v>-160800</v>
      </c>
      <c r="T11" s="2">
        <v>-163816</v>
      </c>
      <c r="U11" s="2">
        <v>-117524</v>
      </c>
      <c r="V11" s="2">
        <v>-104984</v>
      </c>
      <c r="W11" s="2">
        <v>-123366</v>
      </c>
      <c r="X11" s="2">
        <v>-108614</v>
      </c>
      <c r="Y11" s="2">
        <v>-123766</v>
      </c>
      <c r="Z11" s="2">
        <v>-115158</v>
      </c>
      <c r="AA11" s="2">
        <v>-117524</v>
      </c>
      <c r="AB11" s="2">
        <v>-123366</v>
      </c>
      <c r="AC11" s="2">
        <v>-115558</v>
      </c>
      <c r="AD11" s="2">
        <v>-111184</v>
      </c>
      <c r="AE11" s="2">
        <v>-128042</v>
      </c>
      <c r="AF11" s="2">
        <v>-117524</v>
      </c>
      <c r="AG11" s="2">
        <v>29784</v>
      </c>
      <c r="AH11" s="2">
        <v>27448</v>
      </c>
      <c r="AI11" s="2">
        <v>27448</v>
      </c>
      <c r="AJ11" s="2">
        <v>26791</v>
      </c>
      <c r="AK11" s="2">
        <v>30952</v>
      </c>
      <c r="AL11" s="2">
        <v>26864</v>
      </c>
      <c r="AM11" s="2">
        <v>29784</v>
      </c>
      <c r="AN11" s="2">
        <v>28616</v>
      </c>
      <c r="AO11" s="2">
        <v>28032</v>
      </c>
      <c r="AP11" s="2">
        <v>29857</v>
      </c>
      <c r="AQ11" s="2">
        <v>28032</v>
      </c>
      <c r="AR11" s="2">
        <v>27448</v>
      </c>
      <c r="AS11" s="2">
        <v>70584</v>
      </c>
      <c r="AT11" s="2">
        <v>60896</v>
      </c>
      <c r="AU11" s="2">
        <v>65048</v>
      </c>
      <c r="AV11" s="2">
        <v>66259</v>
      </c>
      <c r="AW11" s="2">
        <v>70584</v>
      </c>
      <c r="AX11" s="2">
        <v>63664</v>
      </c>
      <c r="AY11" s="2">
        <v>73352</v>
      </c>
      <c r="AZ11" s="2">
        <v>65048</v>
      </c>
      <c r="BA11" s="2">
        <v>66432</v>
      </c>
      <c r="BB11" s="2">
        <v>70757</v>
      </c>
      <c r="BC11" s="2">
        <v>66432</v>
      </c>
      <c r="BD11" s="2">
        <v>70584</v>
      </c>
      <c r="BE11">
        <v>-816</v>
      </c>
      <c r="BG11">
        <v>-752</v>
      </c>
      <c r="BH11">
        <v>-423</v>
      </c>
      <c r="BI11" s="2">
        <v>3136</v>
      </c>
      <c r="BJ11" s="2">
        <v>4048</v>
      </c>
      <c r="BK11" s="2">
        <v>5936</v>
      </c>
      <c r="BL11" s="2">
        <v>5264</v>
      </c>
      <c r="BM11" s="2">
        <v>3200</v>
      </c>
      <c r="BN11" s="2">
        <v>2767</v>
      </c>
      <c r="BO11">
        <v>-384</v>
      </c>
      <c r="BQ11" s="2">
        <v>-20384</v>
      </c>
      <c r="BR11" s="2">
        <v>-17600</v>
      </c>
      <c r="BS11" s="2">
        <v>-20384</v>
      </c>
      <c r="BT11" s="2">
        <v>-19557</v>
      </c>
      <c r="BU11" s="2">
        <v>-16464</v>
      </c>
      <c r="BV11" s="2">
        <v>-14976</v>
      </c>
      <c r="BW11" s="2">
        <v>-14688</v>
      </c>
      <c r="BX11" s="2">
        <v>-13536</v>
      </c>
      <c r="BY11" s="2">
        <v>-17472</v>
      </c>
      <c r="BZ11" s="2">
        <v>-16195</v>
      </c>
      <c r="CA11" s="2">
        <v>-19584</v>
      </c>
      <c r="CB11" s="2">
        <v>-21200</v>
      </c>
      <c r="CC11" s="2">
        <v>-39984</v>
      </c>
      <c r="CD11" s="2">
        <v>-36000</v>
      </c>
      <c r="CE11" s="2">
        <v>-41616</v>
      </c>
      <c r="CF11" s="2">
        <v>-37091</v>
      </c>
      <c r="CG11" s="2">
        <v>-37536</v>
      </c>
      <c r="CH11" s="2">
        <v>-34176</v>
      </c>
      <c r="CI11" s="2">
        <v>-33712</v>
      </c>
      <c r="CJ11" s="2">
        <v>-35088</v>
      </c>
      <c r="CK11" s="2">
        <v>-29568</v>
      </c>
      <c r="CL11" s="2">
        <v>-29029</v>
      </c>
      <c r="CM11" s="2">
        <v>-32032</v>
      </c>
      <c r="CN11" s="2">
        <v>-30184</v>
      </c>
      <c r="CO11" s="2">
        <v>-20400</v>
      </c>
      <c r="CP11" s="2">
        <v>-17600</v>
      </c>
      <c r="CQ11" s="2">
        <v>-19600</v>
      </c>
      <c r="CR11" s="2">
        <v>-18350</v>
      </c>
      <c r="CS11" s="2">
        <v>-21200</v>
      </c>
      <c r="CT11" s="2">
        <v>-18400</v>
      </c>
      <c r="CU11" s="2">
        <v>-18800</v>
      </c>
      <c r="CV11" s="2">
        <v>-20400</v>
      </c>
      <c r="CW11" s="2">
        <v>-19200</v>
      </c>
      <c r="CX11" s="2">
        <v>-19650</v>
      </c>
      <c r="CY11" s="2">
        <v>-20000</v>
      </c>
      <c r="CZ11" s="2">
        <v>-19600</v>
      </c>
      <c r="DA11" s="2">
        <v>-21200</v>
      </c>
      <c r="DB11" s="2">
        <v>-17600</v>
      </c>
      <c r="DC11" s="2">
        <v>-18800</v>
      </c>
      <c r="DD11" s="2">
        <v>-18350</v>
      </c>
      <c r="DE11" s="2">
        <v>-21200</v>
      </c>
      <c r="DF11" s="2">
        <v>-18400</v>
      </c>
      <c r="DG11" s="2">
        <v>-20400</v>
      </c>
      <c r="DH11" s="2">
        <v>-19600</v>
      </c>
      <c r="DI11" s="2">
        <v>-19200</v>
      </c>
      <c r="DJ11" s="2">
        <v>-20450</v>
      </c>
      <c r="DK11" s="2">
        <v>-19200</v>
      </c>
      <c r="DL11" s="2">
        <v>-18800</v>
      </c>
      <c r="DM11" s="2">
        <v>-2825297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N18"/>
  <sheetViews>
    <sheetView workbookViewId="0">
      <selection activeCell="A18" sqref="A18"/>
    </sheetView>
  </sheetViews>
  <sheetFormatPr defaultRowHeight="12.75" x14ac:dyDescent="0.2"/>
  <cols>
    <col min="1" max="1" width="19.28515625" bestFit="1" customWidth="1"/>
    <col min="2" max="2" width="11.7109375" bestFit="1" customWidth="1"/>
    <col min="3" max="3" width="9.7109375" bestFit="1" customWidth="1"/>
    <col min="4" max="4" width="10.140625" bestFit="1" customWidth="1"/>
    <col min="7" max="12" width="9.7109375" bestFit="1" customWidth="1"/>
    <col min="13" max="13" width="8.140625" bestFit="1" customWidth="1"/>
    <col min="14" max="14" width="9.7109375" bestFit="1" customWidth="1"/>
    <col min="15" max="15" width="8.140625" bestFit="1" customWidth="1"/>
    <col min="18" max="18" width="8.140625" bestFit="1" customWidth="1"/>
    <col min="22" max="30" width="8.140625" bestFit="1" customWidth="1"/>
    <col min="34" max="42" width="8.140625" bestFit="1" customWidth="1"/>
    <col min="46" max="46" width="9.7109375" bestFit="1" customWidth="1"/>
    <col min="47" max="47" width="8.140625" bestFit="1" customWidth="1"/>
    <col min="48" max="57" width="9.7109375" bestFit="1" customWidth="1"/>
    <col min="58" max="66" width="8.140625" bestFit="1" customWidth="1"/>
    <col min="70" max="78" width="8.140625" bestFit="1" customWidth="1"/>
    <col min="82" max="90" width="8.140625" bestFit="1" customWidth="1"/>
    <col min="94" max="102" width="8.140625" bestFit="1" customWidth="1"/>
    <col min="106" max="114" width="8.140625" bestFit="1" customWidth="1"/>
    <col min="118" max="118" width="12.7109375" bestFit="1" customWidth="1"/>
  </cols>
  <sheetData>
    <row r="1" spans="1:118" x14ac:dyDescent="0.2">
      <c r="B1" s="1">
        <v>37043</v>
      </c>
      <c r="C1" s="1">
        <v>37073</v>
      </c>
      <c r="D1" s="1">
        <v>37104</v>
      </c>
      <c r="E1" s="1">
        <v>37135</v>
      </c>
      <c r="F1" s="1">
        <v>37165</v>
      </c>
      <c r="G1" s="1">
        <v>37196</v>
      </c>
      <c r="H1" s="1">
        <v>37226</v>
      </c>
      <c r="I1" s="1">
        <v>37257</v>
      </c>
      <c r="J1" s="1">
        <v>37288</v>
      </c>
      <c r="K1" s="1">
        <v>37316</v>
      </c>
      <c r="L1" s="1">
        <v>37347</v>
      </c>
      <c r="M1" s="1">
        <v>37377</v>
      </c>
      <c r="N1" s="1">
        <v>37408</v>
      </c>
      <c r="O1" s="1">
        <v>37438</v>
      </c>
      <c r="P1" s="1">
        <v>37469</v>
      </c>
      <c r="Q1" s="1">
        <v>37500</v>
      </c>
      <c r="R1" s="1">
        <v>37530</v>
      </c>
      <c r="S1" s="1">
        <v>37561</v>
      </c>
      <c r="T1" s="1">
        <v>37591</v>
      </c>
      <c r="U1" s="1">
        <v>37622</v>
      </c>
      <c r="V1" s="1">
        <v>37653</v>
      </c>
      <c r="W1" s="1">
        <v>37681</v>
      </c>
      <c r="X1" s="1">
        <v>37712</v>
      </c>
      <c r="Y1" s="1">
        <v>37742</v>
      </c>
      <c r="Z1" s="1">
        <v>37773</v>
      </c>
      <c r="AA1" s="1">
        <v>37803</v>
      </c>
      <c r="AB1" s="1">
        <v>37834</v>
      </c>
      <c r="AC1" s="1">
        <v>37865</v>
      </c>
      <c r="AD1" s="1">
        <v>37895</v>
      </c>
      <c r="AE1" s="1">
        <v>37926</v>
      </c>
      <c r="AF1" s="1">
        <v>37956</v>
      </c>
      <c r="AG1" s="1">
        <v>37987</v>
      </c>
      <c r="AH1" s="1">
        <v>38018</v>
      </c>
      <c r="AI1" s="1">
        <v>38047</v>
      </c>
      <c r="AJ1" s="1">
        <v>38078</v>
      </c>
      <c r="AK1" s="1">
        <v>38108</v>
      </c>
      <c r="AL1" s="1">
        <v>38139</v>
      </c>
      <c r="AM1" s="1">
        <v>38169</v>
      </c>
      <c r="AN1" s="1">
        <v>38200</v>
      </c>
      <c r="AO1" s="1">
        <v>38231</v>
      </c>
      <c r="AP1" s="1">
        <v>38261</v>
      </c>
      <c r="AQ1" s="1">
        <v>38292</v>
      </c>
      <c r="AR1" s="1">
        <v>38322</v>
      </c>
      <c r="AS1" s="1">
        <v>38353</v>
      </c>
      <c r="AT1" s="1">
        <v>38384</v>
      </c>
      <c r="AU1" s="1">
        <v>38412</v>
      </c>
      <c r="AV1" s="1">
        <v>38443</v>
      </c>
      <c r="AW1" s="1">
        <v>38473</v>
      </c>
      <c r="AX1" s="1">
        <v>38504</v>
      </c>
      <c r="AY1" s="1">
        <v>38534</v>
      </c>
      <c r="AZ1" s="1">
        <v>38565</v>
      </c>
      <c r="BA1" s="1">
        <v>38596</v>
      </c>
      <c r="BB1" s="1">
        <v>38626</v>
      </c>
      <c r="BC1" s="1">
        <v>38657</v>
      </c>
      <c r="BD1" s="1">
        <v>38687</v>
      </c>
      <c r="BE1" s="1">
        <v>38718</v>
      </c>
      <c r="BF1" s="1">
        <v>38749</v>
      </c>
      <c r="BG1" s="1">
        <v>38777</v>
      </c>
      <c r="BH1" s="1">
        <v>38808</v>
      </c>
      <c r="BI1" s="1">
        <v>38838</v>
      </c>
      <c r="BJ1" s="1">
        <v>38869</v>
      </c>
      <c r="BK1" s="1">
        <v>38899</v>
      </c>
      <c r="BL1" s="1">
        <v>38930</v>
      </c>
      <c r="BM1" s="1">
        <v>38961</v>
      </c>
      <c r="BN1" s="1">
        <v>38991</v>
      </c>
      <c r="BO1" s="1">
        <v>39022</v>
      </c>
      <c r="BP1" s="1">
        <v>39052</v>
      </c>
      <c r="BQ1" s="1">
        <v>39083</v>
      </c>
      <c r="BR1" s="1">
        <v>39114</v>
      </c>
      <c r="BS1" s="1">
        <v>39142</v>
      </c>
      <c r="BT1" s="1">
        <v>39173</v>
      </c>
      <c r="BU1" s="1">
        <v>39203</v>
      </c>
      <c r="BV1" s="1">
        <v>39234</v>
      </c>
      <c r="BW1" s="1">
        <v>39264</v>
      </c>
      <c r="BX1" s="1">
        <v>39295</v>
      </c>
      <c r="BY1" s="1">
        <v>39326</v>
      </c>
      <c r="BZ1" s="1">
        <v>39356</v>
      </c>
      <c r="CA1" s="1">
        <v>39387</v>
      </c>
      <c r="CB1" s="1">
        <v>39417</v>
      </c>
      <c r="CC1" s="1">
        <v>39448</v>
      </c>
      <c r="CD1" s="1">
        <v>39479</v>
      </c>
      <c r="CE1" s="1">
        <v>39508</v>
      </c>
      <c r="CF1" s="1">
        <v>39539</v>
      </c>
      <c r="CG1" s="1">
        <v>39569</v>
      </c>
      <c r="CH1" s="1">
        <v>39600</v>
      </c>
      <c r="CI1" s="1">
        <v>39630</v>
      </c>
      <c r="CJ1" s="1">
        <v>39661</v>
      </c>
      <c r="CK1" s="1">
        <v>39692</v>
      </c>
      <c r="CL1" s="1">
        <v>39722</v>
      </c>
      <c r="CM1" s="1">
        <v>39753</v>
      </c>
      <c r="CN1" s="1">
        <v>39783</v>
      </c>
      <c r="CO1" s="1">
        <v>39814</v>
      </c>
      <c r="CP1" s="1">
        <v>39845</v>
      </c>
      <c r="CQ1" s="1">
        <v>39873</v>
      </c>
      <c r="CR1" s="1">
        <v>39904</v>
      </c>
      <c r="CS1" s="1">
        <v>39934</v>
      </c>
      <c r="CT1" s="1">
        <v>39965</v>
      </c>
      <c r="CU1" s="1">
        <v>39995</v>
      </c>
      <c r="CV1" s="1">
        <v>40026</v>
      </c>
      <c r="CW1" s="1">
        <v>40057</v>
      </c>
      <c r="CX1" s="1">
        <v>40087</v>
      </c>
      <c r="CY1" s="1">
        <v>40118</v>
      </c>
      <c r="CZ1" s="1">
        <v>40148</v>
      </c>
      <c r="DA1" s="1">
        <v>40179</v>
      </c>
      <c r="DB1" s="1">
        <v>40210</v>
      </c>
      <c r="DC1" s="1">
        <v>40238</v>
      </c>
      <c r="DD1" s="1">
        <v>40269</v>
      </c>
      <c r="DE1" s="1">
        <v>40299</v>
      </c>
      <c r="DF1" s="1">
        <v>40330</v>
      </c>
      <c r="DG1" s="1">
        <v>40360</v>
      </c>
      <c r="DH1" s="1">
        <v>40391</v>
      </c>
      <c r="DI1" s="1">
        <v>40422</v>
      </c>
      <c r="DJ1" s="1">
        <v>40452</v>
      </c>
      <c r="DK1" s="1">
        <v>40483</v>
      </c>
      <c r="DL1" s="1">
        <v>40513</v>
      </c>
    </row>
    <row r="2" spans="1:118" x14ac:dyDescent="0.2">
      <c r="A2" t="s">
        <v>16</v>
      </c>
      <c r="B2" t="s">
        <v>47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K2" t="s">
        <v>47</v>
      </c>
      <c r="L2" t="s">
        <v>47</v>
      </c>
      <c r="M2" t="s">
        <v>47</v>
      </c>
      <c r="N2" t="s">
        <v>47</v>
      </c>
      <c r="O2" t="s">
        <v>47</v>
      </c>
      <c r="P2" t="s">
        <v>47</v>
      </c>
      <c r="Q2" t="s">
        <v>47</v>
      </c>
      <c r="R2" t="s">
        <v>47</v>
      </c>
      <c r="S2" t="s">
        <v>47</v>
      </c>
      <c r="T2" t="s">
        <v>47</v>
      </c>
      <c r="U2" t="s">
        <v>47</v>
      </c>
      <c r="V2" t="s">
        <v>47</v>
      </c>
      <c r="W2" t="s">
        <v>47</v>
      </c>
      <c r="X2" t="s">
        <v>47</v>
      </c>
      <c r="Y2" t="s">
        <v>47</v>
      </c>
      <c r="Z2" t="s">
        <v>47</v>
      </c>
      <c r="AA2" t="s">
        <v>47</v>
      </c>
      <c r="AB2" t="s">
        <v>47</v>
      </c>
      <c r="AC2" t="s">
        <v>47</v>
      </c>
      <c r="AD2" t="s">
        <v>47</v>
      </c>
      <c r="AE2" t="s">
        <v>47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 t="s">
        <v>47</v>
      </c>
      <c r="AN2" t="s">
        <v>47</v>
      </c>
      <c r="AO2" t="s">
        <v>47</v>
      </c>
      <c r="AP2" t="s">
        <v>47</v>
      </c>
      <c r="AQ2" t="s">
        <v>47</v>
      </c>
      <c r="AR2" t="s">
        <v>47</v>
      </c>
      <c r="AS2" t="s">
        <v>47</v>
      </c>
      <c r="AT2" t="s">
        <v>47</v>
      </c>
      <c r="AU2" t="s">
        <v>47</v>
      </c>
      <c r="AV2" t="s">
        <v>47</v>
      </c>
      <c r="AW2" t="s">
        <v>47</v>
      </c>
      <c r="AX2" t="s">
        <v>47</v>
      </c>
      <c r="AY2" t="s">
        <v>47</v>
      </c>
      <c r="AZ2" t="s">
        <v>47</v>
      </c>
      <c r="BA2" t="s">
        <v>47</v>
      </c>
      <c r="BB2" t="s">
        <v>47</v>
      </c>
      <c r="BC2" t="s">
        <v>47</v>
      </c>
      <c r="BD2" t="s">
        <v>47</v>
      </c>
      <c r="BE2" t="s">
        <v>47</v>
      </c>
      <c r="BF2" t="s">
        <v>47</v>
      </c>
      <c r="BG2" t="s">
        <v>47</v>
      </c>
      <c r="BH2" t="s">
        <v>47</v>
      </c>
      <c r="BI2" t="s">
        <v>47</v>
      </c>
      <c r="BJ2" t="s">
        <v>47</v>
      </c>
      <c r="BK2" t="s">
        <v>47</v>
      </c>
      <c r="BL2" t="s">
        <v>47</v>
      </c>
      <c r="BM2" t="s">
        <v>47</v>
      </c>
      <c r="BN2" t="s">
        <v>47</v>
      </c>
      <c r="BO2" t="s">
        <v>47</v>
      </c>
      <c r="BP2" t="s">
        <v>47</v>
      </c>
      <c r="BQ2" t="s">
        <v>47</v>
      </c>
      <c r="BR2" t="s">
        <v>47</v>
      </c>
      <c r="BS2" t="s">
        <v>47</v>
      </c>
      <c r="BT2" t="s">
        <v>47</v>
      </c>
      <c r="BU2" t="s">
        <v>47</v>
      </c>
      <c r="BV2" t="s">
        <v>47</v>
      </c>
      <c r="BW2" t="s">
        <v>47</v>
      </c>
      <c r="BX2" t="s">
        <v>47</v>
      </c>
      <c r="BY2" t="s">
        <v>47</v>
      </c>
      <c r="BZ2" t="s">
        <v>47</v>
      </c>
      <c r="CA2" t="s">
        <v>47</v>
      </c>
      <c r="CB2" t="s">
        <v>47</v>
      </c>
      <c r="CC2" t="s">
        <v>47</v>
      </c>
      <c r="CD2" t="s">
        <v>47</v>
      </c>
      <c r="CE2" t="s">
        <v>47</v>
      </c>
      <c r="CF2" t="s">
        <v>47</v>
      </c>
      <c r="CG2" t="s">
        <v>47</v>
      </c>
      <c r="CH2" t="s">
        <v>47</v>
      </c>
      <c r="CI2" t="s">
        <v>47</v>
      </c>
      <c r="CJ2" t="s">
        <v>47</v>
      </c>
      <c r="CK2" t="s">
        <v>47</v>
      </c>
      <c r="CL2" t="s">
        <v>47</v>
      </c>
      <c r="CM2" t="s">
        <v>47</v>
      </c>
      <c r="CN2" t="s">
        <v>47</v>
      </c>
      <c r="CO2" t="s">
        <v>47</v>
      </c>
      <c r="CP2" t="s">
        <v>47</v>
      </c>
      <c r="CQ2" t="s">
        <v>47</v>
      </c>
      <c r="CR2" t="s">
        <v>47</v>
      </c>
      <c r="CS2" t="s">
        <v>47</v>
      </c>
      <c r="CT2" t="s">
        <v>47</v>
      </c>
      <c r="CU2" t="s">
        <v>47</v>
      </c>
      <c r="CV2" t="s">
        <v>47</v>
      </c>
      <c r="CW2" t="s">
        <v>47</v>
      </c>
      <c r="CX2" t="s">
        <v>47</v>
      </c>
      <c r="CY2" t="s">
        <v>47</v>
      </c>
      <c r="CZ2" t="s">
        <v>47</v>
      </c>
      <c r="DA2" t="s">
        <v>47</v>
      </c>
      <c r="DB2" t="s">
        <v>47</v>
      </c>
      <c r="DC2" t="s">
        <v>47</v>
      </c>
      <c r="DD2" t="s">
        <v>47</v>
      </c>
      <c r="DE2" t="s">
        <v>47</v>
      </c>
      <c r="DF2" t="s">
        <v>47</v>
      </c>
      <c r="DG2" t="s">
        <v>47</v>
      </c>
      <c r="DH2" t="s">
        <v>47</v>
      </c>
      <c r="DI2" t="s">
        <v>47</v>
      </c>
      <c r="DJ2" t="s">
        <v>47</v>
      </c>
      <c r="DK2" t="s">
        <v>47</v>
      </c>
      <c r="DL2" t="s">
        <v>47</v>
      </c>
      <c r="DM2" t="s">
        <v>2</v>
      </c>
    </row>
    <row r="3" spans="1:118" x14ac:dyDescent="0.2">
      <c r="A3" t="s">
        <v>17</v>
      </c>
      <c r="B3" s="2">
        <v>-290000</v>
      </c>
      <c r="C3" s="3">
        <v>2356785.5</v>
      </c>
      <c r="D3" s="3">
        <v>2373844.42</v>
      </c>
      <c r="E3" s="3">
        <v>303515.94</v>
      </c>
      <c r="F3" s="3">
        <v>-205816.84</v>
      </c>
      <c r="G3" s="3">
        <v>-87058.77</v>
      </c>
      <c r="H3" s="3">
        <v>-128467.36</v>
      </c>
      <c r="I3" s="3">
        <v>-1961481.83</v>
      </c>
      <c r="J3" s="3">
        <v>-1611169.53</v>
      </c>
      <c r="K3" s="3">
        <v>-1948184.37</v>
      </c>
      <c r="L3" s="3">
        <v>869861.13</v>
      </c>
      <c r="M3" s="3">
        <v>972740.62</v>
      </c>
      <c r="N3" s="3">
        <v>863429.36</v>
      </c>
      <c r="O3" s="3">
        <v>817135.09</v>
      </c>
      <c r="P3" s="3">
        <v>813856.62</v>
      </c>
      <c r="Q3" s="3">
        <v>853230.27</v>
      </c>
      <c r="R3" s="3">
        <v>807258.43</v>
      </c>
      <c r="S3" s="3">
        <v>-577827.5</v>
      </c>
      <c r="T3" s="3">
        <v>-645674.67000000004</v>
      </c>
      <c r="U3" s="3">
        <v>-485089.28000000003</v>
      </c>
      <c r="V3" s="3">
        <v>-566450.07999999996</v>
      </c>
      <c r="W3" s="3">
        <v>-480849.71</v>
      </c>
      <c r="X3" s="3">
        <v>322134.26</v>
      </c>
      <c r="Y3" s="3">
        <v>375643.78</v>
      </c>
      <c r="Z3" s="3">
        <v>319143.67</v>
      </c>
      <c r="AA3" s="2">
        <v>372113</v>
      </c>
      <c r="AB3" s="3">
        <v>370310.06</v>
      </c>
      <c r="AC3" s="3">
        <v>314564.89</v>
      </c>
      <c r="AD3" s="3">
        <v>366728.87</v>
      </c>
      <c r="AE3" s="3">
        <v>-489518.29</v>
      </c>
      <c r="AF3" s="3">
        <v>-460572.87</v>
      </c>
      <c r="AS3" s="3">
        <v>-128505.39</v>
      </c>
      <c r="AT3" s="3">
        <v>-115455.86</v>
      </c>
      <c r="AU3" s="3">
        <v>-127211.39</v>
      </c>
      <c r="AV3" s="3">
        <v>-122456.21</v>
      </c>
      <c r="AW3" s="3">
        <v>-125893.17</v>
      </c>
      <c r="AX3" s="3">
        <v>-121186.52</v>
      </c>
      <c r="AY3" s="3">
        <v>-124584.67</v>
      </c>
      <c r="AZ3" s="3">
        <v>-123926.47</v>
      </c>
      <c r="BA3" s="3">
        <v>-119291.63</v>
      </c>
      <c r="BB3" s="3">
        <v>-122630.6</v>
      </c>
      <c r="BC3" s="3">
        <v>-118037.19</v>
      </c>
      <c r="BD3" s="3">
        <v>-121334.05</v>
      </c>
      <c r="DM3" s="3">
        <v>2063621.71</v>
      </c>
    </row>
    <row r="4" spans="1:118" x14ac:dyDescent="0.2">
      <c r="A4" t="s">
        <v>18</v>
      </c>
      <c r="C4" s="3">
        <v>8249586.1299999999</v>
      </c>
      <c r="D4" s="3">
        <v>12057653.1</v>
      </c>
      <c r="E4" s="3">
        <v>3856339.69</v>
      </c>
      <c r="F4" s="3">
        <v>-1778535.64</v>
      </c>
      <c r="G4" s="2">
        <v>-3307640</v>
      </c>
      <c r="H4" s="3">
        <v>-3005313.43</v>
      </c>
      <c r="I4" s="3">
        <v>578272.43999999994</v>
      </c>
      <c r="J4" s="3">
        <v>715027.14</v>
      </c>
      <c r="K4" s="3">
        <v>574352.16</v>
      </c>
      <c r="L4" s="3">
        <v>436063.82</v>
      </c>
      <c r="M4" s="3">
        <v>386294.71</v>
      </c>
      <c r="N4" s="3">
        <v>432839.55</v>
      </c>
      <c r="O4" s="3">
        <v>2296556.7200000002</v>
      </c>
      <c r="P4" s="3">
        <v>2287342.61</v>
      </c>
      <c r="Q4" s="3">
        <v>427726.72</v>
      </c>
      <c r="R4" s="3">
        <v>378748.12</v>
      </c>
      <c r="S4" s="3">
        <v>436678.92</v>
      </c>
      <c r="T4" s="3">
        <v>416101.62</v>
      </c>
      <c r="U4" s="2">
        <v>305513</v>
      </c>
      <c r="V4" s="3">
        <v>297154.14</v>
      </c>
      <c r="W4" s="3">
        <v>302842.84999999998</v>
      </c>
      <c r="X4" s="3">
        <v>299124.67</v>
      </c>
      <c r="Y4" s="3">
        <v>300056.93</v>
      </c>
      <c r="Z4" s="3">
        <v>296347.69</v>
      </c>
      <c r="AA4" s="3">
        <v>297236.64</v>
      </c>
      <c r="AB4" s="3">
        <v>295796.45</v>
      </c>
      <c r="AC4" s="2">
        <v>292096</v>
      </c>
      <c r="AD4" s="3">
        <v>292935.87</v>
      </c>
      <c r="AE4" s="3">
        <v>289260.81</v>
      </c>
      <c r="AF4" s="3">
        <v>290072.33</v>
      </c>
      <c r="AG4" s="3">
        <v>-136593.44</v>
      </c>
      <c r="AH4" s="3">
        <v>-127132.19</v>
      </c>
      <c r="AI4" s="3">
        <v>-135247.16</v>
      </c>
      <c r="AJ4" s="3">
        <v>-130215.18</v>
      </c>
      <c r="AK4" s="3">
        <v>-133894.09</v>
      </c>
      <c r="AL4" s="3">
        <v>-128910.43</v>
      </c>
      <c r="AM4" s="3">
        <v>-132545.1</v>
      </c>
      <c r="AN4" s="3">
        <v>-131863.67000000001</v>
      </c>
      <c r="AO4" s="3">
        <v>-126948.28</v>
      </c>
      <c r="AP4" s="3">
        <v>-130520.89</v>
      </c>
      <c r="AQ4" s="3">
        <v>-125654.28</v>
      </c>
      <c r="AR4" s="3">
        <v>-129184.83</v>
      </c>
      <c r="AS4" s="3">
        <v>-771032.33</v>
      </c>
      <c r="AT4" s="3">
        <v>-692735.14</v>
      </c>
      <c r="AU4" s="3">
        <v>-763268.31</v>
      </c>
      <c r="AV4" s="3">
        <v>-734737.24</v>
      </c>
      <c r="AW4" s="2">
        <v>-755359</v>
      </c>
      <c r="AX4" s="3">
        <v>-727119.14</v>
      </c>
      <c r="AY4" s="2">
        <v>-747508</v>
      </c>
      <c r="AZ4" s="3">
        <v>-743558.84</v>
      </c>
      <c r="BA4" s="3">
        <v>-715749.79</v>
      </c>
      <c r="BB4" s="3">
        <v>-735783.61</v>
      </c>
      <c r="BC4" s="3">
        <v>-708223.15</v>
      </c>
      <c r="BD4" s="3">
        <v>-728004.32</v>
      </c>
      <c r="DM4" s="3">
        <v>18604743.23</v>
      </c>
    </row>
    <row r="5" spans="1:118" x14ac:dyDescent="0.2">
      <c r="A5" t="s">
        <v>19</v>
      </c>
      <c r="C5" s="2">
        <v>3365159</v>
      </c>
      <c r="D5" s="3">
        <v>434757.59</v>
      </c>
      <c r="E5" s="2">
        <v>-24761</v>
      </c>
      <c r="F5" s="3">
        <v>-180171.31</v>
      </c>
      <c r="G5" s="3">
        <v>-172194.87</v>
      </c>
      <c r="H5" s="3">
        <v>-179003.13</v>
      </c>
      <c r="I5" s="3">
        <v>-17106.830000000002</v>
      </c>
      <c r="J5" s="3">
        <v>-185072.88</v>
      </c>
      <c r="K5" s="3">
        <v>-16990.86</v>
      </c>
      <c r="M5" s="3">
        <v>57831.29</v>
      </c>
      <c r="O5" s="3">
        <v>57395.24</v>
      </c>
      <c r="P5" s="2">
        <v>57165</v>
      </c>
      <c r="R5" s="3">
        <v>56701.51</v>
      </c>
      <c r="T5" s="2">
        <v>56222</v>
      </c>
      <c r="DM5" s="3">
        <v>3309930.66</v>
      </c>
    </row>
    <row r="6" spans="1:118" x14ac:dyDescent="0.2">
      <c r="A6" t="s">
        <v>92</v>
      </c>
      <c r="B6" s="2">
        <v>125000</v>
      </c>
      <c r="DM6" s="2">
        <v>125000</v>
      </c>
    </row>
    <row r="7" spans="1:118" x14ac:dyDescent="0.2">
      <c r="A7" t="s">
        <v>20</v>
      </c>
      <c r="C7" s="3">
        <v>468629.55</v>
      </c>
      <c r="D7" s="3">
        <v>437241.92</v>
      </c>
      <c r="E7" s="2">
        <v>237706</v>
      </c>
      <c r="F7" s="2">
        <v>148086</v>
      </c>
      <c r="G7" s="3">
        <v>59038.239999999998</v>
      </c>
      <c r="H7" s="3">
        <v>68658.73</v>
      </c>
      <c r="I7" s="3">
        <v>-39101.33</v>
      </c>
      <c r="J7" s="2">
        <v>-29222</v>
      </c>
      <c r="K7" s="3">
        <v>-48545.31</v>
      </c>
      <c r="L7" s="3">
        <v>-48367.59</v>
      </c>
      <c r="M7" s="3">
        <v>-48192.74</v>
      </c>
      <c r="N7" s="2">
        <v>-38408</v>
      </c>
      <c r="O7" s="3">
        <v>-19131.75</v>
      </c>
      <c r="P7" s="2">
        <v>-19055</v>
      </c>
      <c r="Q7" s="3">
        <v>-28465.71</v>
      </c>
      <c r="R7" s="3">
        <v>-28350.75</v>
      </c>
      <c r="S7" s="3">
        <v>-28229.72</v>
      </c>
      <c r="T7" s="2">
        <v>-28111</v>
      </c>
      <c r="U7" s="3">
        <v>93286.399999999994</v>
      </c>
      <c r="V7" s="3">
        <v>83574.600000000006</v>
      </c>
      <c r="W7" s="3">
        <v>64729.77</v>
      </c>
      <c r="X7" s="3">
        <v>73630.69</v>
      </c>
      <c r="Y7" s="3">
        <v>100782.48</v>
      </c>
      <c r="Z7" s="3">
        <v>109420.69</v>
      </c>
      <c r="AA7" s="3">
        <v>117987.06</v>
      </c>
      <c r="AB7" s="3">
        <v>126447.34</v>
      </c>
      <c r="AC7" s="3">
        <v>80888.11</v>
      </c>
      <c r="AD7" s="3">
        <v>71556.850000000006</v>
      </c>
      <c r="DM7" s="3">
        <v>1938483.61</v>
      </c>
    </row>
    <row r="8" spans="1:118" x14ac:dyDescent="0.2">
      <c r="A8" t="s">
        <v>21</v>
      </c>
      <c r="I8" s="3">
        <v>227276.46</v>
      </c>
      <c r="J8" s="3">
        <v>204554.23999999999</v>
      </c>
      <c r="K8" s="3">
        <v>225735.67999999999</v>
      </c>
      <c r="L8" s="3">
        <v>217654.16</v>
      </c>
      <c r="M8" s="3">
        <v>224096.25</v>
      </c>
      <c r="N8" s="3">
        <v>216044.82</v>
      </c>
      <c r="O8" s="3">
        <v>222406.56</v>
      </c>
      <c r="P8" s="3">
        <v>221514.23</v>
      </c>
      <c r="Q8" s="3">
        <v>213492.83</v>
      </c>
      <c r="R8" s="3">
        <v>219718.34</v>
      </c>
      <c r="S8" s="3">
        <v>211722.88</v>
      </c>
      <c r="T8" s="3">
        <v>217860.14</v>
      </c>
      <c r="DM8" s="3">
        <v>2622076.59</v>
      </c>
    </row>
    <row r="9" spans="1:118" x14ac:dyDescent="0.2">
      <c r="A9" t="s">
        <v>22</v>
      </c>
      <c r="C9" s="3">
        <v>-236807.49</v>
      </c>
      <c r="D9" s="3">
        <v>178871.69</v>
      </c>
      <c r="E9" s="3">
        <v>282275.92</v>
      </c>
      <c r="F9" s="3">
        <v>-1372263.66</v>
      </c>
      <c r="G9" s="3">
        <v>14759.56</v>
      </c>
      <c r="H9" s="3">
        <v>7356.29</v>
      </c>
      <c r="I9" s="3">
        <v>21994.5</v>
      </c>
      <c r="J9" s="3">
        <v>-9740.68</v>
      </c>
      <c r="K9" s="3">
        <v>31554.45</v>
      </c>
      <c r="L9" s="3">
        <v>-773881.45</v>
      </c>
      <c r="M9" s="3">
        <v>-1238553.47</v>
      </c>
      <c r="N9" s="3">
        <v>-777761.35</v>
      </c>
      <c r="O9" s="3">
        <v>-664828.21</v>
      </c>
      <c r="P9" s="3">
        <v>-662160.81999999995</v>
      </c>
      <c r="Q9" s="3">
        <v>-1062719.8700000001</v>
      </c>
      <c r="R9" s="3">
        <v>-793821.12</v>
      </c>
      <c r="S9" s="3">
        <v>-771612.28</v>
      </c>
      <c r="T9" s="3">
        <v>-787107.59</v>
      </c>
      <c r="V9" s="3">
        <v>9286.07</v>
      </c>
      <c r="W9" s="3">
        <v>27741.33</v>
      </c>
      <c r="X9" s="3">
        <v>18407.669999999998</v>
      </c>
      <c r="Y9" s="2">
        <v>-9162</v>
      </c>
      <c r="Z9" s="3">
        <v>-18236.78</v>
      </c>
      <c r="AA9" s="3">
        <v>-27227.78</v>
      </c>
      <c r="AB9" s="3">
        <v>-36127.81</v>
      </c>
      <c r="AC9" s="3">
        <v>8987.57</v>
      </c>
      <c r="AD9" s="3">
        <v>17889.21</v>
      </c>
      <c r="AE9" s="3">
        <v>89003.33</v>
      </c>
      <c r="AF9" s="3">
        <v>88571.71</v>
      </c>
      <c r="AG9" s="3">
        <v>-136593.44</v>
      </c>
      <c r="AH9" s="3">
        <v>-127132.19</v>
      </c>
      <c r="AI9" s="3">
        <v>-135247.16</v>
      </c>
      <c r="AJ9" s="3">
        <v>-130215.18</v>
      </c>
      <c r="AK9" s="3">
        <v>-133894.09</v>
      </c>
      <c r="AL9" s="3">
        <v>-128910.43</v>
      </c>
      <c r="AM9" s="3">
        <v>-132545.1</v>
      </c>
      <c r="AN9" s="3">
        <v>-131863.67000000001</v>
      </c>
      <c r="AO9" s="3">
        <v>-126948.28</v>
      </c>
      <c r="AP9" s="3">
        <v>-130520.9</v>
      </c>
      <c r="AQ9" s="3">
        <v>-125654.28</v>
      </c>
      <c r="AR9" s="3">
        <v>-129184.83</v>
      </c>
      <c r="DM9" s="3">
        <v>-10014022.66</v>
      </c>
    </row>
    <row r="10" spans="1:118" x14ac:dyDescent="0.2">
      <c r="A10" t="s">
        <v>93</v>
      </c>
      <c r="C10" s="2">
        <v>3400057</v>
      </c>
      <c r="DM10" s="2">
        <v>3400057</v>
      </c>
    </row>
    <row r="11" spans="1:118" x14ac:dyDescent="0.2">
      <c r="A11" t="s">
        <v>15</v>
      </c>
      <c r="B11" s="2">
        <v>-165000</v>
      </c>
      <c r="C11" s="3">
        <v>17603409.68</v>
      </c>
      <c r="D11" s="3">
        <v>15482368.720000001</v>
      </c>
      <c r="E11" s="3">
        <v>4655076.54</v>
      </c>
      <c r="F11" s="3">
        <v>-3388701.45</v>
      </c>
      <c r="G11" s="3">
        <v>-3493095.84</v>
      </c>
      <c r="H11" s="3">
        <v>-3236768.89</v>
      </c>
      <c r="I11" s="3">
        <v>-1190146.6000000001</v>
      </c>
      <c r="J11" s="3">
        <v>-915623.75</v>
      </c>
      <c r="K11" s="3">
        <v>-1182078.25</v>
      </c>
      <c r="L11" s="3">
        <v>701330.07</v>
      </c>
      <c r="M11" s="3">
        <v>354216.65</v>
      </c>
      <c r="N11" s="3">
        <v>696144.42</v>
      </c>
      <c r="O11" s="3">
        <v>2709533.66</v>
      </c>
      <c r="P11" s="3">
        <v>2698662.62</v>
      </c>
      <c r="Q11" s="3">
        <v>403264.24</v>
      </c>
      <c r="R11" s="3">
        <v>640254.53</v>
      </c>
      <c r="S11" s="3">
        <v>-729267.71</v>
      </c>
      <c r="T11" s="3">
        <v>-770709.52</v>
      </c>
      <c r="U11" s="3">
        <v>-86289.919999999998</v>
      </c>
      <c r="V11" s="3">
        <v>-176435.27</v>
      </c>
      <c r="W11" s="3">
        <v>-85535.77</v>
      </c>
      <c r="X11" s="3">
        <v>713297.29</v>
      </c>
      <c r="Y11" s="3">
        <v>767321.15</v>
      </c>
      <c r="Z11" s="3">
        <v>706675.26</v>
      </c>
      <c r="AA11" s="2">
        <v>760109</v>
      </c>
      <c r="AB11" s="2">
        <v>756426</v>
      </c>
      <c r="AC11" s="3">
        <v>696536.54</v>
      </c>
      <c r="AD11" s="3">
        <v>749110.81</v>
      </c>
      <c r="AE11" s="3">
        <v>-111254.16</v>
      </c>
      <c r="AF11" s="3">
        <v>-81928.83</v>
      </c>
      <c r="AG11" s="3">
        <v>-273186.89</v>
      </c>
      <c r="AH11" s="3">
        <v>-254264.38</v>
      </c>
      <c r="AI11" s="3">
        <v>-270494.32</v>
      </c>
      <c r="AJ11" s="3">
        <v>-260430.36</v>
      </c>
      <c r="AK11" s="3">
        <v>-267788.18</v>
      </c>
      <c r="AL11" s="3">
        <v>-257820.86</v>
      </c>
      <c r="AM11" s="3">
        <v>-265090.2</v>
      </c>
      <c r="AN11" s="3">
        <v>-263727.33</v>
      </c>
      <c r="AO11" s="3">
        <v>-253896.57</v>
      </c>
      <c r="AP11" s="3">
        <v>-261041.79</v>
      </c>
      <c r="AQ11" s="3">
        <v>-251308.56</v>
      </c>
      <c r="AR11" s="3">
        <v>-258369.67</v>
      </c>
      <c r="AS11" s="3">
        <v>-899537.72</v>
      </c>
      <c r="AT11" s="2">
        <v>-808191</v>
      </c>
      <c r="AU11" s="3">
        <v>-890479.7</v>
      </c>
      <c r="AV11" s="3">
        <v>-857193.44</v>
      </c>
      <c r="AW11" s="3">
        <v>-881252.18</v>
      </c>
      <c r="AX11" s="3">
        <v>-848305.66</v>
      </c>
      <c r="AY11" s="3">
        <v>-872092.69</v>
      </c>
      <c r="AZ11" s="3">
        <v>-867485.31</v>
      </c>
      <c r="BA11" s="3">
        <v>-835041.42</v>
      </c>
      <c r="BB11" s="3">
        <v>-858414.21</v>
      </c>
      <c r="BC11" s="3">
        <v>-826260.34</v>
      </c>
      <c r="BD11" s="3">
        <v>-849338.37</v>
      </c>
      <c r="DM11" s="3">
        <v>22049890.100000001</v>
      </c>
    </row>
    <row r="12" spans="1:118" x14ac:dyDescent="0.2"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DN12" s="3"/>
    </row>
    <row r="17" spans="1:117" x14ac:dyDescent="0.2">
      <c r="B17">
        <f>YEAR(B1)</f>
        <v>2001</v>
      </c>
      <c r="C17">
        <f t="shared" ref="C17:BN17" si="0">YEAR(C1)</f>
        <v>2001</v>
      </c>
      <c r="D17">
        <f t="shared" si="0"/>
        <v>2001</v>
      </c>
      <c r="E17">
        <f t="shared" si="0"/>
        <v>2001</v>
      </c>
      <c r="F17">
        <f t="shared" si="0"/>
        <v>2001</v>
      </c>
      <c r="G17">
        <f t="shared" si="0"/>
        <v>2001</v>
      </c>
      <c r="H17">
        <f t="shared" si="0"/>
        <v>2001</v>
      </c>
      <c r="I17">
        <f t="shared" si="0"/>
        <v>2002</v>
      </c>
      <c r="J17">
        <f t="shared" si="0"/>
        <v>2002</v>
      </c>
      <c r="K17">
        <f t="shared" si="0"/>
        <v>2002</v>
      </c>
      <c r="L17">
        <f t="shared" si="0"/>
        <v>2002</v>
      </c>
      <c r="M17">
        <f t="shared" si="0"/>
        <v>2002</v>
      </c>
      <c r="N17">
        <f t="shared" si="0"/>
        <v>2002</v>
      </c>
      <c r="O17">
        <f t="shared" si="0"/>
        <v>2002</v>
      </c>
      <c r="P17">
        <f t="shared" si="0"/>
        <v>2002</v>
      </c>
      <c r="Q17">
        <f t="shared" si="0"/>
        <v>2002</v>
      </c>
      <c r="R17">
        <f t="shared" si="0"/>
        <v>2002</v>
      </c>
      <c r="S17">
        <f t="shared" si="0"/>
        <v>2002</v>
      </c>
      <c r="T17">
        <f t="shared" si="0"/>
        <v>2002</v>
      </c>
      <c r="U17">
        <f t="shared" si="0"/>
        <v>2003</v>
      </c>
      <c r="V17">
        <f t="shared" si="0"/>
        <v>2003</v>
      </c>
      <c r="W17">
        <f t="shared" si="0"/>
        <v>2003</v>
      </c>
      <c r="X17">
        <f t="shared" si="0"/>
        <v>2003</v>
      </c>
      <c r="Y17">
        <f t="shared" si="0"/>
        <v>2003</v>
      </c>
      <c r="Z17">
        <f t="shared" si="0"/>
        <v>2003</v>
      </c>
      <c r="AA17">
        <f t="shared" si="0"/>
        <v>2003</v>
      </c>
      <c r="AB17">
        <f t="shared" si="0"/>
        <v>2003</v>
      </c>
      <c r="AC17">
        <f t="shared" si="0"/>
        <v>2003</v>
      </c>
      <c r="AD17">
        <f t="shared" si="0"/>
        <v>2003</v>
      </c>
      <c r="AE17">
        <f t="shared" si="0"/>
        <v>2003</v>
      </c>
      <c r="AF17">
        <f t="shared" si="0"/>
        <v>2003</v>
      </c>
      <c r="AG17">
        <f t="shared" si="0"/>
        <v>2004</v>
      </c>
      <c r="AH17">
        <f t="shared" si="0"/>
        <v>2004</v>
      </c>
      <c r="AI17">
        <f t="shared" si="0"/>
        <v>2004</v>
      </c>
      <c r="AJ17">
        <f t="shared" si="0"/>
        <v>2004</v>
      </c>
      <c r="AK17">
        <f t="shared" si="0"/>
        <v>2004</v>
      </c>
      <c r="AL17">
        <f t="shared" si="0"/>
        <v>2004</v>
      </c>
      <c r="AM17">
        <f t="shared" si="0"/>
        <v>2004</v>
      </c>
      <c r="AN17">
        <f t="shared" si="0"/>
        <v>2004</v>
      </c>
      <c r="AO17">
        <f t="shared" si="0"/>
        <v>2004</v>
      </c>
      <c r="AP17">
        <f t="shared" si="0"/>
        <v>2004</v>
      </c>
      <c r="AQ17">
        <f t="shared" si="0"/>
        <v>2004</v>
      </c>
      <c r="AR17">
        <f t="shared" si="0"/>
        <v>2004</v>
      </c>
      <c r="AS17">
        <f t="shared" si="0"/>
        <v>2005</v>
      </c>
      <c r="AT17">
        <f t="shared" si="0"/>
        <v>2005</v>
      </c>
      <c r="AU17">
        <f t="shared" si="0"/>
        <v>2005</v>
      </c>
      <c r="AV17">
        <f t="shared" si="0"/>
        <v>2005</v>
      </c>
      <c r="AW17">
        <f t="shared" si="0"/>
        <v>2005</v>
      </c>
      <c r="AX17">
        <f t="shared" si="0"/>
        <v>2005</v>
      </c>
      <c r="AY17">
        <f t="shared" si="0"/>
        <v>2005</v>
      </c>
      <c r="AZ17">
        <f t="shared" si="0"/>
        <v>2005</v>
      </c>
      <c r="BA17">
        <f t="shared" si="0"/>
        <v>2005</v>
      </c>
      <c r="BB17">
        <f t="shared" si="0"/>
        <v>2005</v>
      </c>
      <c r="BC17">
        <f t="shared" si="0"/>
        <v>2005</v>
      </c>
      <c r="BD17">
        <f t="shared" si="0"/>
        <v>2005</v>
      </c>
      <c r="BE17">
        <f t="shared" si="0"/>
        <v>2006</v>
      </c>
      <c r="BF17">
        <f t="shared" si="0"/>
        <v>2006</v>
      </c>
      <c r="BG17">
        <f t="shared" si="0"/>
        <v>2006</v>
      </c>
      <c r="BH17">
        <f t="shared" si="0"/>
        <v>2006</v>
      </c>
      <c r="BI17">
        <f t="shared" si="0"/>
        <v>2006</v>
      </c>
      <c r="BJ17">
        <f t="shared" si="0"/>
        <v>2006</v>
      </c>
      <c r="BK17">
        <f t="shared" si="0"/>
        <v>2006</v>
      </c>
      <c r="BL17">
        <f t="shared" si="0"/>
        <v>2006</v>
      </c>
      <c r="BM17">
        <f t="shared" si="0"/>
        <v>2006</v>
      </c>
      <c r="BN17">
        <f t="shared" si="0"/>
        <v>2006</v>
      </c>
      <c r="BO17">
        <f t="shared" ref="BO17:DM17" si="1">YEAR(BO1)</f>
        <v>2006</v>
      </c>
      <c r="BP17">
        <f t="shared" si="1"/>
        <v>2006</v>
      </c>
      <c r="BQ17">
        <f t="shared" si="1"/>
        <v>2007</v>
      </c>
      <c r="BR17">
        <f t="shared" si="1"/>
        <v>2007</v>
      </c>
      <c r="BS17">
        <f t="shared" si="1"/>
        <v>2007</v>
      </c>
      <c r="BT17">
        <f t="shared" si="1"/>
        <v>2007</v>
      </c>
      <c r="BU17">
        <f t="shared" si="1"/>
        <v>2007</v>
      </c>
      <c r="BV17">
        <f t="shared" si="1"/>
        <v>2007</v>
      </c>
      <c r="BW17">
        <f t="shared" si="1"/>
        <v>2007</v>
      </c>
      <c r="BX17">
        <f t="shared" si="1"/>
        <v>2007</v>
      </c>
      <c r="BY17">
        <f t="shared" si="1"/>
        <v>2007</v>
      </c>
      <c r="BZ17">
        <f t="shared" si="1"/>
        <v>2007</v>
      </c>
      <c r="CA17">
        <f t="shared" si="1"/>
        <v>2007</v>
      </c>
      <c r="CB17">
        <f t="shared" si="1"/>
        <v>2007</v>
      </c>
      <c r="CC17">
        <f t="shared" si="1"/>
        <v>2008</v>
      </c>
      <c r="CD17">
        <f t="shared" si="1"/>
        <v>2008</v>
      </c>
      <c r="CE17">
        <f t="shared" si="1"/>
        <v>2008</v>
      </c>
      <c r="CF17">
        <f t="shared" si="1"/>
        <v>2008</v>
      </c>
      <c r="CG17">
        <f t="shared" si="1"/>
        <v>2008</v>
      </c>
      <c r="CH17">
        <f t="shared" si="1"/>
        <v>2008</v>
      </c>
      <c r="CI17">
        <f t="shared" si="1"/>
        <v>2008</v>
      </c>
      <c r="CJ17">
        <f t="shared" si="1"/>
        <v>2008</v>
      </c>
      <c r="CK17">
        <f t="shared" si="1"/>
        <v>2008</v>
      </c>
      <c r="CL17">
        <f t="shared" si="1"/>
        <v>2008</v>
      </c>
      <c r="CM17">
        <f t="shared" si="1"/>
        <v>2008</v>
      </c>
      <c r="CN17">
        <f t="shared" si="1"/>
        <v>2008</v>
      </c>
      <c r="CO17">
        <f t="shared" si="1"/>
        <v>2009</v>
      </c>
      <c r="CP17">
        <f t="shared" si="1"/>
        <v>2009</v>
      </c>
      <c r="CQ17">
        <f t="shared" si="1"/>
        <v>2009</v>
      </c>
      <c r="CR17">
        <f t="shared" si="1"/>
        <v>2009</v>
      </c>
      <c r="CS17">
        <f t="shared" si="1"/>
        <v>2009</v>
      </c>
      <c r="CT17">
        <f t="shared" si="1"/>
        <v>2009</v>
      </c>
      <c r="CU17">
        <f t="shared" si="1"/>
        <v>2009</v>
      </c>
      <c r="CV17">
        <f t="shared" si="1"/>
        <v>2009</v>
      </c>
      <c r="CW17">
        <f t="shared" si="1"/>
        <v>2009</v>
      </c>
      <c r="CX17">
        <f t="shared" si="1"/>
        <v>2009</v>
      </c>
      <c r="CY17">
        <f t="shared" si="1"/>
        <v>2009</v>
      </c>
      <c r="CZ17">
        <f t="shared" si="1"/>
        <v>2009</v>
      </c>
      <c r="DA17">
        <f t="shared" si="1"/>
        <v>2010</v>
      </c>
      <c r="DB17">
        <f t="shared" si="1"/>
        <v>2010</v>
      </c>
      <c r="DC17">
        <f t="shared" si="1"/>
        <v>2010</v>
      </c>
      <c r="DD17">
        <f t="shared" si="1"/>
        <v>2010</v>
      </c>
      <c r="DE17">
        <f t="shared" si="1"/>
        <v>2010</v>
      </c>
      <c r="DF17">
        <f t="shared" si="1"/>
        <v>2010</v>
      </c>
      <c r="DG17">
        <f t="shared" si="1"/>
        <v>2010</v>
      </c>
      <c r="DH17">
        <f t="shared" si="1"/>
        <v>2010</v>
      </c>
      <c r="DI17">
        <f t="shared" si="1"/>
        <v>2010</v>
      </c>
      <c r="DJ17">
        <f t="shared" si="1"/>
        <v>2010</v>
      </c>
      <c r="DK17">
        <f t="shared" si="1"/>
        <v>2010</v>
      </c>
      <c r="DL17">
        <f t="shared" si="1"/>
        <v>2010</v>
      </c>
      <c r="DM17">
        <f t="shared" si="1"/>
        <v>1900</v>
      </c>
    </row>
    <row r="18" spans="1:117" x14ac:dyDescent="0.2">
      <c r="A18" t="s">
        <v>18</v>
      </c>
      <c r="B18">
        <f>B4/10000</f>
        <v>0</v>
      </c>
      <c r="C18">
        <f t="shared" ref="C18:BN18" si="2">C4/10000</f>
        <v>824.95861300000001</v>
      </c>
      <c r="D18">
        <f t="shared" si="2"/>
        <v>1205.76531</v>
      </c>
      <c r="E18">
        <f t="shared" si="2"/>
        <v>385.63396899999998</v>
      </c>
      <c r="F18">
        <f t="shared" si="2"/>
        <v>-177.85356399999998</v>
      </c>
      <c r="G18">
        <f t="shared" si="2"/>
        <v>-330.76400000000001</v>
      </c>
      <c r="H18">
        <f t="shared" si="2"/>
        <v>-300.53134299999999</v>
      </c>
      <c r="I18">
        <f t="shared" si="2"/>
        <v>57.827243999999993</v>
      </c>
      <c r="J18">
        <f t="shared" si="2"/>
        <v>71.502713999999997</v>
      </c>
      <c r="K18">
        <f t="shared" si="2"/>
        <v>57.435216000000004</v>
      </c>
      <c r="L18">
        <f t="shared" si="2"/>
        <v>43.606382000000004</v>
      </c>
      <c r="M18">
        <f t="shared" si="2"/>
        <v>38.629471000000002</v>
      </c>
      <c r="N18">
        <f t="shared" si="2"/>
        <v>43.283954999999999</v>
      </c>
      <c r="O18">
        <f t="shared" si="2"/>
        <v>229.65567200000001</v>
      </c>
      <c r="P18">
        <f t="shared" si="2"/>
        <v>228.73426099999998</v>
      </c>
      <c r="Q18">
        <f t="shared" si="2"/>
        <v>42.772672</v>
      </c>
      <c r="R18">
        <f t="shared" si="2"/>
        <v>37.874811999999999</v>
      </c>
      <c r="S18">
        <f t="shared" si="2"/>
        <v>43.667891999999995</v>
      </c>
      <c r="T18">
        <f t="shared" si="2"/>
        <v>41.610162000000003</v>
      </c>
      <c r="U18">
        <f t="shared" si="2"/>
        <v>30.551300000000001</v>
      </c>
      <c r="V18">
        <f t="shared" si="2"/>
        <v>29.715414000000003</v>
      </c>
      <c r="W18">
        <f t="shared" si="2"/>
        <v>30.284284999999997</v>
      </c>
      <c r="X18">
        <f t="shared" si="2"/>
        <v>29.912466999999999</v>
      </c>
      <c r="Y18">
        <f t="shared" si="2"/>
        <v>30.005693000000001</v>
      </c>
      <c r="Z18">
        <f t="shared" si="2"/>
        <v>29.634768999999999</v>
      </c>
      <c r="AA18">
        <f t="shared" si="2"/>
        <v>29.723664000000003</v>
      </c>
      <c r="AB18">
        <f t="shared" si="2"/>
        <v>29.579645000000003</v>
      </c>
      <c r="AC18">
        <f t="shared" si="2"/>
        <v>29.209599999999998</v>
      </c>
      <c r="AD18">
        <f t="shared" si="2"/>
        <v>29.293586999999999</v>
      </c>
      <c r="AE18">
        <f t="shared" si="2"/>
        <v>28.926081</v>
      </c>
      <c r="AF18">
        <f t="shared" si="2"/>
        <v>29.007233000000003</v>
      </c>
      <c r="AG18">
        <f t="shared" si="2"/>
        <v>-13.659344000000001</v>
      </c>
      <c r="AH18">
        <f t="shared" si="2"/>
        <v>-12.713219</v>
      </c>
      <c r="AI18">
        <f t="shared" si="2"/>
        <v>-13.524716</v>
      </c>
      <c r="AJ18">
        <f t="shared" si="2"/>
        <v>-13.021517999999999</v>
      </c>
      <c r="AK18">
        <f t="shared" si="2"/>
        <v>-13.389408999999999</v>
      </c>
      <c r="AL18">
        <f t="shared" si="2"/>
        <v>-12.891043</v>
      </c>
      <c r="AM18">
        <f t="shared" si="2"/>
        <v>-13.25451</v>
      </c>
      <c r="AN18">
        <f t="shared" si="2"/>
        <v>-13.186367000000001</v>
      </c>
      <c r="AO18">
        <f t="shared" si="2"/>
        <v>-12.694827999999999</v>
      </c>
      <c r="AP18">
        <f t="shared" si="2"/>
        <v>-13.052089</v>
      </c>
      <c r="AQ18">
        <f t="shared" si="2"/>
        <v>-12.565428000000001</v>
      </c>
      <c r="AR18">
        <f t="shared" si="2"/>
        <v>-12.918483</v>
      </c>
      <c r="AS18">
        <f t="shared" si="2"/>
        <v>-77.103232999999989</v>
      </c>
      <c r="AT18">
        <f t="shared" si="2"/>
        <v>-69.273514000000006</v>
      </c>
      <c r="AU18">
        <f t="shared" si="2"/>
        <v>-76.326830999999999</v>
      </c>
      <c r="AV18">
        <f t="shared" si="2"/>
        <v>-73.473724000000004</v>
      </c>
      <c r="AW18">
        <f t="shared" si="2"/>
        <v>-75.535899999999998</v>
      </c>
      <c r="AX18">
        <f t="shared" si="2"/>
        <v>-72.711914000000007</v>
      </c>
      <c r="AY18">
        <f t="shared" si="2"/>
        <v>-74.750799999999998</v>
      </c>
      <c r="AZ18">
        <f t="shared" si="2"/>
        <v>-74.355884000000003</v>
      </c>
      <c r="BA18">
        <f t="shared" si="2"/>
        <v>-71.574978999999999</v>
      </c>
      <c r="BB18">
        <f t="shared" si="2"/>
        <v>-73.578361000000001</v>
      </c>
      <c r="BC18">
        <f t="shared" si="2"/>
        <v>-70.822315000000003</v>
      </c>
      <c r="BD18">
        <f t="shared" si="2"/>
        <v>-72.800432000000001</v>
      </c>
      <c r="BE18">
        <f t="shared" si="2"/>
        <v>0</v>
      </c>
      <c r="BF18">
        <f t="shared" si="2"/>
        <v>0</v>
      </c>
      <c r="BG18">
        <f t="shared" si="2"/>
        <v>0</v>
      </c>
      <c r="BH18">
        <f t="shared" si="2"/>
        <v>0</v>
      </c>
      <c r="BI18">
        <f t="shared" si="2"/>
        <v>0</v>
      </c>
      <c r="BJ18">
        <f t="shared" si="2"/>
        <v>0</v>
      </c>
      <c r="BK18">
        <f t="shared" si="2"/>
        <v>0</v>
      </c>
      <c r="BL18">
        <f t="shared" si="2"/>
        <v>0</v>
      </c>
      <c r="BM18">
        <f t="shared" si="2"/>
        <v>0</v>
      </c>
      <c r="BN18">
        <f t="shared" si="2"/>
        <v>0</v>
      </c>
      <c r="BO18">
        <f t="shared" ref="BO18:DM18" si="3">BO4/10000</f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3"/>
        <v>0</v>
      </c>
      <c r="BV18">
        <f t="shared" si="3"/>
        <v>0</v>
      </c>
      <c r="BW18">
        <f t="shared" si="3"/>
        <v>0</v>
      </c>
      <c r="BX18">
        <f t="shared" si="3"/>
        <v>0</v>
      </c>
      <c r="BY18">
        <f t="shared" si="3"/>
        <v>0</v>
      </c>
      <c r="BZ18">
        <f t="shared" si="3"/>
        <v>0</v>
      </c>
      <c r="CA18">
        <f t="shared" si="3"/>
        <v>0</v>
      </c>
      <c r="CB18">
        <f t="shared" si="3"/>
        <v>0</v>
      </c>
      <c r="CC18">
        <f t="shared" si="3"/>
        <v>0</v>
      </c>
      <c r="CD18">
        <f t="shared" si="3"/>
        <v>0</v>
      </c>
      <c r="CE18">
        <f t="shared" si="3"/>
        <v>0</v>
      </c>
      <c r="CF18">
        <f t="shared" si="3"/>
        <v>0</v>
      </c>
      <c r="CG18">
        <f t="shared" si="3"/>
        <v>0</v>
      </c>
      <c r="CH18">
        <f t="shared" si="3"/>
        <v>0</v>
      </c>
      <c r="CI18">
        <f t="shared" si="3"/>
        <v>0</v>
      </c>
      <c r="CJ18">
        <f t="shared" si="3"/>
        <v>0</v>
      </c>
      <c r="CK18">
        <f t="shared" si="3"/>
        <v>0</v>
      </c>
      <c r="CL18">
        <f t="shared" si="3"/>
        <v>0</v>
      </c>
      <c r="CM18">
        <f t="shared" si="3"/>
        <v>0</v>
      </c>
      <c r="CN18">
        <f t="shared" si="3"/>
        <v>0</v>
      </c>
      <c r="CO18">
        <f t="shared" si="3"/>
        <v>0</v>
      </c>
      <c r="CP18">
        <f t="shared" si="3"/>
        <v>0</v>
      </c>
      <c r="CQ18">
        <f t="shared" si="3"/>
        <v>0</v>
      </c>
      <c r="CR18">
        <f t="shared" si="3"/>
        <v>0</v>
      </c>
      <c r="CS18">
        <f t="shared" si="3"/>
        <v>0</v>
      </c>
      <c r="CT18">
        <f t="shared" si="3"/>
        <v>0</v>
      </c>
      <c r="CU18">
        <f t="shared" si="3"/>
        <v>0</v>
      </c>
      <c r="CV18">
        <f t="shared" si="3"/>
        <v>0</v>
      </c>
      <c r="CW18">
        <f t="shared" si="3"/>
        <v>0</v>
      </c>
      <c r="CX18">
        <f t="shared" si="3"/>
        <v>0</v>
      </c>
      <c r="CY18">
        <f t="shared" si="3"/>
        <v>0</v>
      </c>
      <c r="CZ18">
        <f t="shared" si="3"/>
        <v>0</v>
      </c>
      <c r="DA18">
        <f t="shared" si="3"/>
        <v>0</v>
      </c>
      <c r="DB18">
        <f t="shared" si="3"/>
        <v>0</v>
      </c>
      <c r="DC18">
        <f t="shared" si="3"/>
        <v>0</v>
      </c>
      <c r="DD18">
        <f t="shared" si="3"/>
        <v>0</v>
      </c>
      <c r="DE18">
        <f t="shared" si="3"/>
        <v>0</v>
      </c>
      <c r="DF18">
        <f t="shared" si="3"/>
        <v>0</v>
      </c>
      <c r="DG18">
        <f t="shared" si="3"/>
        <v>0</v>
      </c>
      <c r="DH18">
        <f t="shared" si="3"/>
        <v>0</v>
      </c>
      <c r="DI18">
        <f t="shared" si="3"/>
        <v>0</v>
      </c>
      <c r="DJ18">
        <f t="shared" si="3"/>
        <v>0</v>
      </c>
      <c r="DK18">
        <f t="shared" si="3"/>
        <v>0</v>
      </c>
      <c r="DL18">
        <f t="shared" si="3"/>
        <v>0</v>
      </c>
      <c r="DM18">
        <f t="shared" si="3"/>
        <v>1860.4743230000001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882"/>
  <sheetViews>
    <sheetView zoomScale="75" workbookViewId="0">
      <pane xSplit="3" ySplit="1" topLeftCell="D2" activePane="bottomRight" state="frozen"/>
      <selection activeCell="M122" sqref="M122"/>
      <selection pane="topRight" activeCell="M122" sqref="M122"/>
      <selection pane="bottomLeft" activeCell="M122" sqref="M122"/>
      <selection pane="bottomRight" activeCell="E13" sqref="E13"/>
    </sheetView>
  </sheetViews>
  <sheetFormatPr defaultColWidth="8.7109375" defaultRowHeight="12.75" x14ac:dyDescent="0.2"/>
  <cols>
    <col min="1" max="3" width="9.140625" customWidth="1"/>
    <col min="4" max="4" width="8.7109375" customWidth="1"/>
    <col min="5" max="18" width="13.28515625" style="7" customWidth="1"/>
    <col min="19" max="20" width="13.28515625" customWidth="1"/>
  </cols>
  <sheetData>
    <row r="1" spans="1:19" x14ac:dyDescent="0.2">
      <c r="E1" s="12" t="s">
        <v>3</v>
      </c>
      <c r="F1" s="12" t="s">
        <v>112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26</v>
      </c>
      <c r="M1" s="12" t="s">
        <v>125</v>
      </c>
      <c r="N1" s="12" t="s">
        <v>124</v>
      </c>
      <c r="O1" s="12" t="s">
        <v>78</v>
      </c>
      <c r="P1" s="12" t="s">
        <v>113</v>
      </c>
      <c r="Q1" s="12" t="s">
        <v>13</v>
      </c>
      <c r="R1" s="12" t="s">
        <v>14</v>
      </c>
    </row>
    <row r="2" spans="1:19" s="5" customFormat="1" x14ac:dyDescent="0.2">
      <c r="A2" s="5" t="s">
        <v>40</v>
      </c>
      <c r="E2" s="13" t="str">
        <f t="shared" ref="E2:R2" si="0">E$1</f>
        <v>CINERGY</v>
      </c>
      <c r="F2" s="13" t="str">
        <f t="shared" si="0"/>
        <v>Manitoba</v>
      </c>
      <c r="G2" s="13" t="str">
        <f t="shared" si="0"/>
        <v>ERCOT</v>
      </c>
      <c r="H2" s="13" t="str">
        <f t="shared" si="0"/>
        <v>INTO COMED</v>
      </c>
      <c r="I2" s="13" t="str">
        <f t="shared" si="0"/>
        <v>INTO TVA</v>
      </c>
      <c r="J2" s="13" t="str">
        <f t="shared" si="0"/>
        <v>MAPP</v>
      </c>
      <c r="K2" s="13" t="str">
        <f t="shared" si="0"/>
        <v>NEPOOL</v>
      </c>
      <c r="L2" s="13" t="str">
        <f t="shared" si="0"/>
        <v>INTO AEP</v>
      </c>
      <c r="M2" s="13" t="str">
        <f t="shared" si="0"/>
        <v>NY Zone A</v>
      </c>
      <c r="N2" s="13" t="str">
        <f t="shared" si="0"/>
        <v>NY Zone G</v>
      </c>
      <c r="O2" s="13" t="str">
        <f t="shared" si="0"/>
        <v>SOCO</v>
      </c>
      <c r="P2" s="13" t="str">
        <f t="shared" si="0"/>
        <v>NSP</v>
      </c>
      <c r="Q2" s="13" t="str">
        <f t="shared" si="0"/>
        <v>SPP</v>
      </c>
      <c r="R2" s="13" t="str">
        <f t="shared" si="0"/>
        <v>WESTERN HUB</v>
      </c>
    </row>
    <row r="3" spans="1:19" s="8" customFormat="1" x14ac:dyDescent="0.2">
      <c r="A3" s="11">
        <v>2001</v>
      </c>
      <c r="B3" s="8">
        <f>IF(B1=12,1,B1+1)</f>
        <v>1</v>
      </c>
      <c r="C3" s="9">
        <f t="shared" ref="C3:C34" si="1">DATE(A3,B3,1)</f>
        <v>36892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4"/>
    </row>
    <row r="4" spans="1:19" s="8" customFormat="1" x14ac:dyDescent="0.2">
      <c r="A4" s="8">
        <f t="shared" ref="A4:A35" si="2">IF(B3=12,A3+1,A3)</f>
        <v>2001</v>
      </c>
      <c r="B4" s="8">
        <f t="shared" ref="B4:B35" si="3">IF(B3=12,1,B3+1)</f>
        <v>2</v>
      </c>
      <c r="C4" s="9">
        <f t="shared" si="1"/>
        <v>36923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R4" s="14"/>
    </row>
    <row r="5" spans="1:19" s="8" customFormat="1" x14ac:dyDescent="0.2">
      <c r="A5" s="8">
        <f t="shared" si="2"/>
        <v>2001</v>
      </c>
      <c r="B5" s="8">
        <f t="shared" si="3"/>
        <v>3</v>
      </c>
      <c r="C5" s="9">
        <f t="shared" si="1"/>
        <v>36951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  <c r="R5" s="14"/>
    </row>
    <row r="6" spans="1:19" s="8" customFormat="1" x14ac:dyDescent="0.2">
      <c r="A6" s="8">
        <f t="shared" si="2"/>
        <v>2001</v>
      </c>
      <c r="B6" s="8">
        <f t="shared" si="3"/>
        <v>4</v>
      </c>
      <c r="C6" s="9">
        <f t="shared" si="1"/>
        <v>36982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4"/>
    </row>
    <row r="7" spans="1:19" s="8" customFormat="1" x14ac:dyDescent="0.2">
      <c r="A7" s="8">
        <f t="shared" si="2"/>
        <v>2001</v>
      </c>
      <c r="B7" s="8">
        <f t="shared" si="3"/>
        <v>5</v>
      </c>
      <c r="C7" s="9">
        <f t="shared" si="1"/>
        <v>37012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5"/>
      <c r="R7" s="14"/>
      <c r="S7" s="10"/>
    </row>
    <row r="8" spans="1:19" s="8" customFormat="1" x14ac:dyDescent="0.2">
      <c r="A8" s="8">
        <f t="shared" si="2"/>
        <v>2001</v>
      </c>
      <c r="B8" s="8">
        <f t="shared" si="3"/>
        <v>6</v>
      </c>
      <c r="C8" s="9">
        <f t="shared" si="1"/>
        <v>37043</v>
      </c>
      <c r="D8" s="8">
        <v>2</v>
      </c>
      <c r="E8" s="14">
        <f>IF(ISNA(VLOOKUP(E$1,'delta-old'!$A$3:$DQ$20,$D8,FALSE)),0,VLOOKUP(E$1,'delta-old'!$A$3:$DQ$20,$D8,FALSE))</f>
        <v>-129121.82</v>
      </c>
      <c r="F8" s="14">
        <f>IF(ISNA(VLOOKUP(F$1,'peak-old'!$A$3:$DQ$20,$D8,FALSE)),0,VLOOKUP(F$1,'peak-old'!$A$3:$DQ$20,$D8,FALSE))</f>
        <v>0</v>
      </c>
      <c r="G8" s="14">
        <f>IF(ISNA(VLOOKUP(G$1,'peak-old'!$A$3:$DQ$20,$D8,FALSE)),0,VLOOKUP(G$1,'peak-old'!$A$3:$DQ$20,$D8,FALSE))</f>
        <v>0</v>
      </c>
      <c r="H8" s="14">
        <f>IF(ISNA(VLOOKUP(H$1,'peak-old'!$A$3:$DQ$20,$D8,FALSE)),0,VLOOKUP(H$1,'peak-old'!$A$3:$DQ$20,$D8,FALSE))</f>
        <v>-54400</v>
      </c>
      <c r="I8" s="14">
        <f>IF(ISNA(VLOOKUP(I$1,'peak-old'!$A$3:$DQ$20,$D8,FALSE)),0,VLOOKUP(I$1,'peak-old'!$A$3:$DQ$20,$D8,FALSE))</f>
        <v>40800</v>
      </c>
      <c r="J8" s="14">
        <f>IF(ISNA(VLOOKUP(J$1,'peak-old'!$A$3:$DQ$20,$D8,FALSE)),0,VLOOKUP(J$1,'peak-old'!$A$3:$DQ$20,$D8,FALSE))</f>
        <v>27200</v>
      </c>
      <c r="K8" s="14">
        <f>IF(ISNA(VLOOKUP(K$1,'peak-old'!$A$3:$DQ$20,$D8,FALSE)),0,VLOOKUP(K$1,'peak-old'!$A$3:$DQ$20,$D8,FALSE))</f>
        <v>0</v>
      </c>
      <c r="L8" s="14">
        <f>IF(ISNA(VLOOKUP(L$1,'peak-old'!$A$3:$DQ$20,$D8,FALSE)),0,VLOOKUP(L$1,'peak-old'!$A$3:$DQ$20,$D8,FALSE))</f>
        <v>0</v>
      </c>
      <c r="M8" s="14">
        <f>IF(ISNA(VLOOKUP(M$1,'peak-old'!$A$3:$DQ$20,$D8,FALSE)),0,VLOOKUP(M$1,'peak-old'!$A$3:$DQ$20,$D8,FALSE))</f>
        <v>0</v>
      </c>
      <c r="N8" s="14">
        <f>IF(ISNA(VLOOKUP(N$1,'peak-old'!$A$3:$DQ$20,$D8,FALSE)),0,VLOOKUP(N$1,'peak-old'!$A$3:$DQ$20,$D8,FALSE))</f>
        <v>0</v>
      </c>
      <c r="O8" s="14">
        <f>IF(ISNA(VLOOKUP(O$1,'peak-old'!$A$3:$DQ$20,$D8,FALSE)),0,VLOOKUP(O$1,'peak-old'!$A$3:$DQ$20,$D8,FALSE))</f>
        <v>0</v>
      </c>
      <c r="P8" s="14">
        <f>IF(ISNA(VLOOKUP(P$1,'peak-old'!$A$3:$DQ$20,$D8,FALSE)),0,VLOOKUP(P$1,'peak-old'!$A$3:$DQ$20,$D8,FALSE))</f>
        <v>0</v>
      </c>
      <c r="Q8" s="15">
        <f>IF(ISNA(VLOOKUP(Q$1,'delta-old'!$A$3:$DQ$20,$D8,FALSE)),0,VLOOKUP(Q$1,'delta-old'!$A$3:$DQ$20,$D8,FALSE))</f>
        <v>28432.73</v>
      </c>
      <c r="R8" s="14">
        <f>IF(ISNA(VLOOKUP(R$1,'peak-old'!$A$3:$DQ$20,$D8,FALSE)),0,VLOOKUP(R$1,'peak-old'!$A$3:$DQ$20,$D8,FALSE))</f>
        <v>92800</v>
      </c>
      <c r="S8" s="10"/>
    </row>
    <row r="9" spans="1:19" s="8" customFormat="1" x14ac:dyDescent="0.2">
      <c r="A9" s="8">
        <f t="shared" si="2"/>
        <v>2001</v>
      </c>
      <c r="B9" s="8">
        <f t="shared" si="3"/>
        <v>7</v>
      </c>
      <c r="C9" s="9">
        <f t="shared" si="1"/>
        <v>37073</v>
      </c>
      <c r="D9" s="8">
        <f t="shared" ref="D9:D39" si="4">D8+1</f>
        <v>3</v>
      </c>
      <c r="E9" s="14">
        <f>IF(ISNA(VLOOKUP(E$1,'delta-old'!$A$3:$DQ$20,$D9,FALSE)),0,VLOOKUP(E$1,'delta-old'!$A$3:$DQ$20,$D9,FALSE))</f>
        <v>-62734</v>
      </c>
      <c r="F9" s="14">
        <f>IF(ISNA(VLOOKUP(F$1,'peak-old'!$A$3:$DQ$20,$D9,FALSE)),0,VLOOKUP(F$1,'peak-old'!$A$3:$DQ$20,$D9,FALSE))</f>
        <v>0</v>
      </c>
      <c r="G9" s="14">
        <f>IF(ISNA(VLOOKUP(G$1,'peak-old'!$A$3:$DQ$20,$D9,FALSE)),0,VLOOKUP(G$1,'peak-old'!$A$3:$DQ$20,$D9,FALSE))</f>
        <v>0</v>
      </c>
      <c r="H9" s="14">
        <f>IF(ISNA(VLOOKUP(H$1,'peak-old'!$A$3:$DQ$20,$D9,FALSE)),0,VLOOKUP(H$1,'peak-old'!$A$3:$DQ$20,$D9,FALSE))</f>
        <v>-218400</v>
      </c>
      <c r="I9" s="14">
        <f>IF(ISNA(VLOOKUP(I$1,'peak-old'!$A$3:$DQ$20,$D9,FALSE)),0,VLOOKUP(I$1,'peak-old'!$A$3:$DQ$20,$D9,FALSE))</f>
        <v>0</v>
      </c>
      <c r="J9" s="14">
        <f>IF(ISNA(VLOOKUP(J$1,'peak-old'!$A$3:$DQ$20,$D9,FALSE)),0,VLOOKUP(J$1,'peak-old'!$A$3:$DQ$20,$D9,FALSE))</f>
        <v>33600</v>
      </c>
      <c r="K9" s="14">
        <f>IF(ISNA(VLOOKUP(K$1,'peak-old'!$A$3:$DQ$20,$D9,FALSE)),0,VLOOKUP(K$1,'peak-old'!$A$3:$DQ$20,$D9,FALSE))</f>
        <v>0</v>
      </c>
      <c r="L9" s="14">
        <f>IF(ISNA(VLOOKUP(L$1,'peak-old'!$A$3:$DQ$20,$D9,FALSE)),0,VLOOKUP(L$1,'peak-old'!$A$3:$DQ$20,$D9,FALSE))</f>
        <v>0</v>
      </c>
      <c r="M9" s="14">
        <f>IF(ISNA(VLOOKUP(M$1,'peak-old'!$A$3:$DQ$20,$D9,FALSE)),0,VLOOKUP(M$1,'peak-old'!$A$3:$DQ$20,$D9,FALSE))</f>
        <v>0</v>
      </c>
      <c r="N9" s="14">
        <f>IF(ISNA(VLOOKUP(N$1,'peak-old'!$A$3:$DQ$20,$D9,FALSE)),0,VLOOKUP(N$1,'peak-old'!$A$3:$DQ$20,$D9,FALSE))</f>
        <v>0</v>
      </c>
      <c r="O9" s="14">
        <f>IF(ISNA(VLOOKUP(O$1,'peak-old'!$A$3:$DQ$20,$D9,FALSE)),0,VLOOKUP(O$1,'peak-old'!$A$3:$DQ$20,$D9,FALSE))</f>
        <v>0</v>
      </c>
      <c r="P9" s="14">
        <f>IF(ISNA(VLOOKUP(P$1,'peak-old'!$A$3:$DQ$20,$D9,FALSE)),0,VLOOKUP(P$1,'peak-old'!$A$3:$DQ$20,$D9,FALSE))</f>
        <v>0</v>
      </c>
      <c r="Q9" s="15">
        <f>IF(ISNA(VLOOKUP(Q$1,'delta-old'!$A$3:$DQ$20,$D9,FALSE)),0,VLOOKUP(Q$1,'delta-old'!$A$3:$DQ$20,$D9,FALSE))</f>
        <v>-2717.6</v>
      </c>
      <c r="R9" s="14">
        <f>IF(ISNA(VLOOKUP(R$1,'peak-old'!$A$3:$DQ$20,$D9,FALSE)),0,VLOOKUP(R$1,'peak-old'!$A$3:$DQ$20,$D9,FALSE))</f>
        <v>33600</v>
      </c>
      <c r="S9" s="10"/>
    </row>
    <row r="10" spans="1:19" s="8" customFormat="1" x14ac:dyDescent="0.2">
      <c r="A10" s="8">
        <f t="shared" si="2"/>
        <v>2001</v>
      </c>
      <c r="B10" s="8">
        <f t="shared" si="3"/>
        <v>8</v>
      </c>
      <c r="C10" s="9">
        <f t="shared" si="1"/>
        <v>37104</v>
      </c>
      <c r="D10" s="8">
        <f t="shared" si="4"/>
        <v>4</v>
      </c>
      <c r="E10" s="14">
        <f>IF(ISNA(VLOOKUP(E$1,'delta-old'!$A$3:$DQ$20,$D10,FALSE)),0,VLOOKUP(E$1,'delta-old'!$A$3:$DQ$20,$D10,FALSE))</f>
        <v>-446935.63</v>
      </c>
      <c r="F10" s="14">
        <f>IF(ISNA(VLOOKUP(F$1,'peak-old'!$A$3:$DQ$20,$D10,FALSE)),0,VLOOKUP(F$1,'peak-old'!$A$3:$DQ$20,$D10,FALSE))</f>
        <v>0</v>
      </c>
      <c r="G10" s="14">
        <f>IF(ISNA(VLOOKUP(G$1,'peak-old'!$A$3:$DQ$20,$D10,FALSE)),0,VLOOKUP(G$1,'peak-old'!$A$3:$DQ$20,$D10,FALSE))</f>
        <v>0</v>
      </c>
      <c r="H10" s="14">
        <f>IF(ISNA(VLOOKUP(H$1,'peak-old'!$A$3:$DQ$20,$D10,FALSE)),0,VLOOKUP(H$1,'peak-old'!$A$3:$DQ$20,$D10,FALSE))</f>
        <v>-165600</v>
      </c>
      <c r="I10" s="14">
        <f>IF(ISNA(VLOOKUP(I$1,'peak-old'!$A$3:$DQ$20,$D10,FALSE)),0,VLOOKUP(I$1,'peak-old'!$A$3:$DQ$20,$D10,FALSE))</f>
        <v>0</v>
      </c>
      <c r="J10" s="14">
        <f>IF(ISNA(VLOOKUP(J$1,'peak-old'!$A$3:$DQ$20,$D10,FALSE)),0,VLOOKUP(J$1,'peak-old'!$A$3:$DQ$20,$D10,FALSE))</f>
        <v>36800</v>
      </c>
      <c r="K10" s="14">
        <f>IF(ISNA(VLOOKUP(K$1,'peak-old'!$A$3:$DQ$20,$D10,FALSE)),0,VLOOKUP(K$1,'peak-old'!$A$3:$DQ$20,$D10,FALSE))</f>
        <v>0</v>
      </c>
      <c r="L10" s="14">
        <f>IF(ISNA(VLOOKUP(L$1,'peak-old'!$A$3:$DQ$20,$D10,FALSE)),0,VLOOKUP(L$1,'peak-old'!$A$3:$DQ$20,$D10,FALSE))</f>
        <v>0</v>
      </c>
      <c r="M10" s="14">
        <f>IF(ISNA(VLOOKUP(M$1,'peak-old'!$A$3:$DQ$20,$D10,FALSE)),0,VLOOKUP(M$1,'peak-old'!$A$3:$DQ$20,$D10,FALSE))</f>
        <v>0</v>
      </c>
      <c r="N10" s="14">
        <f>IF(ISNA(VLOOKUP(N$1,'peak-old'!$A$3:$DQ$20,$D10,FALSE)),0,VLOOKUP(N$1,'peak-old'!$A$3:$DQ$20,$D10,FALSE))</f>
        <v>0</v>
      </c>
      <c r="O10" s="14">
        <f>IF(ISNA(VLOOKUP(O$1,'peak-old'!$A$3:$DQ$20,$D10,FALSE)),0,VLOOKUP(O$1,'peak-old'!$A$3:$DQ$20,$D10,FALSE))</f>
        <v>0</v>
      </c>
      <c r="P10" s="14">
        <f>IF(ISNA(VLOOKUP(P$1,'peak-old'!$A$3:$DQ$20,$D10,FALSE)),0,VLOOKUP(P$1,'peak-old'!$A$3:$DQ$20,$D10,FALSE))</f>
        <v>0</v>
      </c>
      <c r="Q10" s="15">
        <f>IF(ISNA(VLOOKUP(Q$1,'delta-old'!$A$3:$DQ$20,$D10,FALSE)),0,VLOOKUP(Q$1,'delta-old'!$A$3:$DQ$20,$D10,FALSE))</f>
        <v>-41638.53</v>
      </c>
      <c r="R10" s="14">
        <f>IF(ISNA(VLOOKUP(R$1,'peak-old'!$A$3:$DQ$20,$D10,FALSE)),0,VLOOKUP(R$1,'peak-old'!$A$3:$DQ$20,$D10,FALSE))</f>
        <v>36800</v>
      </c>
      <c r="S10" s="10"/>
    </row>
    <row r="11" spans="1:19" s="8" customFormat="1" x14ac:dyDescent="0.2">
      <c r="A11" s="8">
        <f t="shared" si="2"/>
        <v>2001</v>
      </c>
      <c r="B11" s="8">
        <f t="shared" si="3"/>
        <v>9</v>
      </c>
      <c r="C11" s="9">
        <f t="shared" si="1"/>
        <v>37135</v>
      </c>
      <c r="D11" s="8">
        <f t="shared" si="4"/>
        <v>5</v>
      </c>
      <c r="E11" s="14">
        <f>IF(ISNA(VLOOKUP(E$1,'delta-old'!$A$3:$DQ$20,$D11,FALSE)),0,VLOOKUP(E$1,'delta-old'!$A$3:$DQ$20,$D11,FALSE))</f>
        <v>437524.59</v>
      </c>
      <c r="F11" s="14">
        <f>IF(ISNA(VLOOKUP(F$1,'peak-old'!$A$3:$DQ$20,$D11,FALSE)),0,VLOOKUP(F$1,'peak-old'!$A$3:$DQ$20,$D11,FALSE))</f>
        <v>0</v>
      </c>
      <c r="G11" s="14">
        <f>IF(ISNA(VLOOKUP(G$1,'peak-old'!$A$3:$DQ$20,$D11,FALSE)),0,VLOOKUP(G$1,'peak-old'!$A$3:$DQ$20,$D11,FALSE))</f>
        <v>0</v>
      </c>
      <c r="H11" s="14">
        <f>IF(ISNA(VLOOKUP(H$1,'peak-old'!$A$3:$DQ$20,$D11,FALSE)),0,VLOOKUP(H$1,'peak-old'!$A$3:$DQ$20,$D11,FALSE))</f>
        <v>-112480</v>
      </c>
      <c r="I11" s="14">
        <f>IF(ISNA(VLOOKUP(I$1,'peak-old'!$A$3:$DQ$20,$D11,FALSE)),0,VLOOKUP(I$1,'peak-old'!$A$3:$DQ$20,$D11,FALSE))</f>
        <v>-91200</v>
      </c>
      <c r="J11" s="14">
        <f>IF(ISNA(VLOOKUP(J$1,'peak-old'!$A$3:$DQ$20,$D11,FALSE)),0,VLOOKUP(J$1,'peak-old'!$A$3:$DQ$20,$D11,FALSE))</f>
        <v>30400</v>
      </c>
      <c r="K11" s="14">
        <f>IF(ISNA(VLOOKUP(K$1,'peak-old'!$A$3:$DQ$20,$D11,FALSE)),0,VLOOKUP(K$1,'peak-old'!$A$3:$DQ$20,$D11,FALSE))</f>
        <v>0</v>
      </c>
      <c r="L11" s="14">
        <f>IF(ISNA(VLOOKUP(L$1,'peak-old'!$A$3:$DQ$20,$D11,FALSE)),0,VLOOKUP(L$1,'peak-old'!$A$3:$DQ$20,$D11,FALSE))</f>
        <v>0</v>
      </c>
      <c r="M11" s="14">
        <f>IF(ISNA(VLOOKUP(M$1,'peak-old'!$A$3:$DQ$20,$D11,FALSE)),0,VLOOKUP(M$1,'peak-old'!$A$3:$DQ$20,$D11,FALSE))</f>
        <v>0</v>
      </c>
      <c r="N11" s="14">
        <f>IF(ISNA(VLOOKUP(N$1,'peak-old'!$A$3:$DQ$20,$D11,FALSE)),0,VLOOKUP(N$1,'peak-old'!$A$3:$DQ$20,$D11,FALSE))</f>
        <v>0</v>
      </c>
      <c r="O11" s="14">
        <f>IF(ISNA(VLOOKUP(O$1,'peak-old'!$A$3:$DQ$20,$D11,FALSE)),0,VLOOKUP(O$1,'peak-old'!$A$3:$DQ$20,$D11,FALSE))</f>
        <v>0</v>
      </c>
      <c r="P11" s="14">
        <f>IF(ISNA(VLOOKUP(P$1,'peak-old'!$A$3:$DQ$20,$D11,FALSE)),0,VLOOKUP(P$1,'peak-old'!$A$3:$DQ$20,$D11,FALSE))</f>
        <v>0</v>
      </c>
      <c r="Q11" s="15">
        <f>IF(ISNA(VLOOKUP(Q$1,'delta-old'!$A$3:$DQ$20,$D11,FALSE)),0,VLOOKUP(Q$1,'delta-old'!$A$3:$DQ$20,$D11,FALSE))</f>
        <v>-254584</v>
      </c>
      <c r="R11" s="14">
        <f>IF(ISNA(VLOOKUP(R$1,'peak-old'!$A$3:$DQ$20,$D11,FALSE)),0,VLOOKUP(R$1,'peak-old'!$A$3:$DQ$20,$D11,FALSE))</f>
        <v>-258400</v>
      </c>
      <c r="S11" s="10"/>
    </row>
    <row r="12" spans="1:19" s="8" customFormat="1" x14ac:dyDescent="0.2">
      <c r="A12" s="8">
        <f t="shared" si="2"/>
        <v>2001</v>
      </c>
      <c r="B12" s="8">
        <f t="shared" si="3"/>
        <v>10</v>
      </c>
      <c r="C12" s="9">
        <f t="shared" si="1"/>
        <v>37165</v>
      </c>
      <c r="D12" s="8">
        <f t="shared" si="4"/>
        <v>6</v>
      </c>
      <c r="E12" s="14">
        <f>IF(ISNA(VLOOKUP(E$1,'delta-old'!$A$3:$DQ$20,$D12,FALSE)),0,VLOOKUP(E$1,'delta-old'!$A$3:$DQ$20,$D12,FALSE))</f>
        <v>401432.69</v>
      </c>
      <c r="F12" s="14">
        <f>IF(ISNA(VLOOKUP(F$1,'peak-old'!$A$3:$DQ$20,$D12,FALSE)),0,VLOOKUP(F$1,'peak-old'!$A$3:$DQ$20,$D12,FALSE))</f>
        <v>0</v>
      </c>
      <c r="G12" s="14">
        <f>IF(ISNA(VLOOKUP(G$1,'peak-old'!$A$3:$DQ$20,$D12,FALSE)),0,VLOOKUP(G$1,'peak-old'!$A$3:$DQ$20,$D12,FALSE))</f>
        <v>0</v>
      </c>
      <c r="H12" s="14">
        <f>IF(ISNA(VLOOKUP(H$1,'peak-old'!$A$3:$DQ$20,$D12,FALSE)),0,VLOOKUP(H$1,'peak-old'!$A$3:$DQ$20,$D12,FALSE))</f>
        <v>-80960</v>
      </c>
      <c r="I12" s="14">
        <f>IF(ISNA(VLOOKUP(I$1,'peak-old'!$A$3:$DQ$20,$D12,FALSE)),0,VLOOKUP(I$1,'peak-old'!$A$3:$DQ$20,$D12,FALSE))</f>
        <v>18400</v>
      </c>
      <c r="J12" s="14">
        <f>IF(ISNA(VLOOKUP(J$1,'peak-old'!$A$3:$DQ$20,$D12,FALSE)),0,VLOOKUP(J$1,'peak-old'!$A$3:$DQ$20,$D12,FALSE))</f>
        <v>36800</v>
      </c>
      <c r="K12" s="14">
        <f>IF(ISNA(VLOOKUP(K$1,'peak-old'!$A$3:$DQ$20,$D12,FALSE)),0,VLOOKUP(K$1,'peak-old'!$A$3:$DQ$20,$D12,FALSE))</f>
        <v>0</v>
      </c>
      <c r="L12" s="14">
        <f>IF(ISNA(VLOOKUP(L$1,'peak-old'!$A$3:$DQ$20,$D12,FALSE)),0,VLOOKUP(L$1,'peak-old'!$A$3:$DQ$20,$D12,FALSE))</f>
        <v>0</v>
      </c>
      <c r="M12" s="14">
        <f>IF(ISNA(VLOOKUP(M$1,'peak-old'!$A$3:$DQ$20,$D12,FALSE)),0,VLOOKUP(M$1,'peak-old'!$A$3:$DQ$20,$D12,FALSE))</f>
        <v>0</v>
      </c>
      <c r="N12" s="14">
        <f>IF(ISNA(VLOOKUP(N$1,'peak-old'!$A$3:$DQ$20,$D12,FALSE)),0,VLOOKUP(N$1,'peak-old'!$A$3:$DQ$20,$D12,FALSE))</f>
        <v>0</v>
      </c>
      <c r="O12" s="14">
        <f>IF(ISNA(VLOOKUP(O$1,'peak-old'!$A$3:$DQ$20,$D12,FALSE)),0,VLOOKUP(O$1,'peak-old'!$A$3:$DQ$20,$D12,FALSE))</f>
        <v>0</v>
      </c>
      <c r="P12" s="14">
        <f>IF(ISNA(VLOOKUP(P$1,'peak-old'!$A$3:$DQ$20,$D12,FALSE)),0,VLOOKUP(P$1,'peak-old'!$A$3:$DQ$20,$D12,FALSE))</f>
        <v>0</v>
      </c>
      <c r="Q12" s="15">
        <f>IF(ISNA(VLOOKUP(Q$1,'delta-old'!$A$3:$DQ$20,$D12,FALSE)),0,VLOOKUP(Q$1,'delta-old'!$A$3:$DQ$20,$D12,FALSE))</f>
        <v>0</v>
      </c>
      <c r="R12" s="14">
        <f>IF(ISNA(VLOOKUP(R$1,'peak-old'!$A$3:$DQ$20,$D12,FALSE)),0,VLOOKUP(R$1,'peak-old'!$A$3:$DQ$20,$D12,FALSE))</f>
        <v>-18400</v>
      </c>
      <c r="S12" s="10"/>
    </row>
    <row r="13" spans="1:19" s="8" customFormat="1" x14ac:dyDescent="0.2">
      <c r="A13" s="8">
        <f t="shared" si="2"/>
        <v>2001</v>
      </c>
      <c r="B13" s="8">
        <f t="shared" si="3"/>
        <v>11</v>
      </c>
      <c r="C13" s="9">
        <f t="shared" si="1"/>
        <v>37196</v>
      </c>
      <c r="D13" s="8">
        <f t="shared" si="4"/>
        <v>7</v>
      </c>
      <c r="E13" s="14">
        <f>IF(ISNA(VLOOKUP(E$1,'delta-old'!$A$3:$DQ$20,$D13,FALSE)),0,VLOOKUP(E$1,'delta-old'!$A$3:$DQ$20,$D13,FALSE))</f>
        <v>356786.48</v>
      </c>
      <c r="F13" s="14">
        <f>IF(ISNA(VLOOKUP(F$1,'peak-old'!$A$3:$DQ$20,$D13,FALSE)),0,VLOOKUP(F$1,'peak-old'!$A$3:$DQ$20,$D13,FALSE))</f>
        <v>0</v>
      </c>
      <c r="G13" s="14">
        <f>IF(ISNA(VLOOKUP(G$1,'peak-old'!$A$3:$DQ$20,$D13,FALSE)),0,VLOOKUP(G$1,'peak-old'!$A$3:$DQ$20,$D13,FALSE))</f>
        <v>0</v>
      </c>
      <c r="H13" s="14">
        <f>IF(ISNA(VLOOKUP(H$1,'peak-old'!$A$3:$DQ$20,$D13,FALSE)),0,VLOOKUP(H$1,'peak-old'!$A$3:$DQ$20,$D13,FALSE))</f>
        <v>-73920</v>
      </c>
      <c r="I13" s="14">
        <f>IF(ISNA(VLOOKUP(I$1,'peak-old'!$A$3:$DQ$20,$D13,FALSE)),0,VLOOKUP(I$1,'peak-old'!$A$3:$DQ$20,$D13,FALSE))</f>
        <v>16800</v>
      </c>
      <c r="J13" s="14">
        <f>IF(ISNA(VLOOKUP(J$1,'peak-old'!$A$3:$DQ$20,$D13,FALSE)),0,VLOOKUP(J$1,'peak-old'!$A$3:$DQ$20,$D13,FALSE))</f>
        <v>0</v>
      </c>
      <c r="K13" s="14">
        <f>IF(ISNA(VLOOKUP(K$1,'peak-old'!$A$3:$DQ$20,$D13,FALSE)),0,VLOOKUP(K$1,'peak-old'!$A$3:$DQ$20,$D13,FALSE))</f>
        <v>0</v>
      </c>
      <c r="L13" s="14">
        <f>IF(ISNA(VLOOKUP(L$1,'peak-old'!$A$3:$DQ$20,$D13,FALSE)),0,VLOOKUP(L$1,'peak-old'!$A$3:$DQ$20,$D13,FALSE))</f>
        <v>0</v>
      </c>
      <c r="M13" s="14">
        <f>IF(ISNA(VLOOKUP(M$1,'peak-old'!$A$3:$DQ$20,$D13,FALSE)),0,VLOOKUP(M$1,'peak-old'!$A$3:$DQ$20,$D13,FALSE))</f>
        <v>0</v>
      </c>
      <c r="N13" s="14">
        <f>IF(ISNA(VLOOKUP(N$1,'peak-old'!$A$3:$DQ$20,$D13,FALSE)),0,VLOOKUP(N$1,'peak-old'!$A$3:$DQ$20,$D13,FALSE))</f>
        <v>0</v>
      </c>
      <c r="O13" s="14">
        <f>IF(ISNA(VLOOKUP(O$1,'peak-old'!$A$3:$DQ$20,$D13,FALSE)),0,VLOOKUP(O$1,'peak-old'!$A$3:$DQ$20,$D13,FALSE))</f>
        <v>0</v>
      </c>
      <c r="P13" s="14">
        <f>IF(ISNA(VLOOKUP(P$1,'peak-old'!$A$3:$DQ$20,$D13,FALSE)),0,VLOOKUP(P$1,'peak-old'!$A$3:$DQ$20,$D13,FALSE))</f>
        <v>0</v>
      </c>
      <c r="Q13" s="15">
        <f>IF(ISNA(VLOOKUP(Q$1,'delta-old'!$A$3:$DQ$20,$D13,FALSE)),0,VLOOKUP(Q$1,'delta-old'!$A$3:$DQ$20,$D13,FALSE))</f>
        <v>0</v>
      </c>
      <c r="R13" s="14">
        <f>IF(ISNA(VLOOKUP(R$1,'peak-old'!$A$3:$DQ$20,$D13,FALSE)),0,VLOOKUP(R$1,'peak-old'!$A$3:$DQ$20,$D13,FALSE))</f>
        <v>-16800</v>
      </c>
      <c r="S13" s="10"/>
    </row>
    <row r="14" spans="1:19" s="8" customFormat="1" x14ac:dyDescent="0.2">
      <c r="A14" s="8">
        <f t="shared" si="2"/>
        <v>2001</v>
      </c>
      <c r="B14" s="8">
        <f t="shared" si="3"/>
        <v>12</v>
      </c>
      <c r="C14" s="9">
        <f t="shared" si="1"/>
        <v>37226</v>
      </c>
      <c r="D14" s="8">
        <f t="shared" si="4"/>
        <v>8</v>
      </c>
      <c r="E14" s="14">
        <f>IF(ISNA(VLOOKUP(E$1,'delta-old'!$A$3:$DQ$20,$D14,FALSE)),0,VLOOKUP(E$1,'delta-old'!$A$3:$DQ$20,$D14,FALSE))</f>
        <v>376646.29</v>
      </c>
      <c r="F14" s="14">
        <f>IF(ISNA(VLOOKUP(F$1,'peak-old'!$A$3:$DQ$20,$D14,FALSE)),0,VLOOKUP(F$1,'peak-old'!$A$3:$DQ$20,$D14,FALSE))</f>
        <v>0</v>
      </c>
      <c r="G14" s="14">
        <f>IF(ISNA(VLOOKUP(G$1,'peak-old'!$A$3:$DQ$20,$D14,FALSE)),0,VLOOKUP(G$1,'peak-old'!$A$3:$DQ$20,$D14,FALSE))</f>
        <v>0</v>
      </c>
      <c r="H14" s="14">
        <f>IF(ISNA(VLOOKUP(H$1,'peak-old'!$A$3:$DQ$20,$D14,FALSE)),0,VLOOKUP(H$1,'peak-old'!$A$3:$DQ$20,$D14,FALSE))</f>
        <v>-71200</v>
      </c>
      <c r="I14" s="14">
        <f>IF(ISNA(VLOOKUP(I$1,'peak-old'!$A$3:$DQ$20,$D14,FALSE)),0,VLOOKUP(I$1,'peak-old'!$A$3:$DQ$20,$D14,FALSE))</f>
        <v>16000</v>
      </c>
      <c r="J14" s="14">
        <f>IF(ISNA(VLOOKUP(J$1,'peak-old'!$A$3:$DQ$20,$D14,FALSE)),0,VLOOKUP(J$1,'peak-old'!$A$3:$DQ$20,$D14,FALSE))</f>
        <v>0</v>
      </c>
      <c r="K14" s="14">
        <f>IF(ISNA(VLOOKUP(K$1,'peak-old'!$A$3:$DQ$20,$D14,FALSE)),0,VLOOKUP(K$1,'peak-old'!$A$3:$DQ$20,$D14,FALSE))</f>
        <v>0</v>
      </c>
      <c r="L14" s="14">
        <f>IF(ISNA(VLOOKUP(L$1,'peak-old'!$A$3:$DQ$20,$D14,FALSE)),0,VLOOKUP(L$1,'peak-old'!$A$3:$DQ$20,$D14,FALSE))</f>
        <v>0</v>
      </c>
      <c r="M14" s="14">
        <f>IF(ISNA(VLOOKUP(M$1,'peak-old'!$A$3:$DQ$20,$D14,FALSE)),0,VLOOKUP(M$1,'peak-old'!$A$3:$DQ$20,$D14,FALSE))</f>
        <v>0</v>
      </c>
      <c r="N14" s="14">
        <f>IF(ISNA(VLOOKUP(N$1,'peak-old'!$A$3:$DQ$20,$D14,FALSE)),0,VLOOKUP(N$1,'peak-old'!$A$3:$DQ$20,$D14,FALSE))</f>
        <v>0</v>
      </c>
      <c r="O14" s="14">
        <f>IF(ISNA(VLOOKUP(O$1,'peak-old'!$A$3:$DQ$20,$D14,FALSE)),0,VLOOKUP(O$1,'peak-old'!$A$3:$DQ$20,$D14,FALSE))</f>
        <v>0</v>
      </c>
      <c r="P14" s="14">
        <f>IF(ISNA(VLOOKUP(P$1,'peak-old'!$A$3:$DQ$20,$D14,FALSE)),0,VLOOKUP(P$1,'peak-old'!$A$3:$DQ$20,$D14,FALSE))</f>
        <v>0</v>
      </c>
      <c r="Q14" s="15">
        <f>IF(ISNA(VLOOKUP(Q$1,'delta-old'!$A$3:$DQ$20,$D14,FALSE)),0,VLOOKUP(Q$1,'delta-old'!$A$3:$DQ$20,$D14,FALSE))</f>
        <v>0</v>
      </c>
      <c r="R14" s="14">
        <f>IF(ISNA(VLOOKUP(R$1,'peak-old'!$A$3:$DQ$20,$D14,FALSE)),0,VLOOKUP(R$1,'peak-old'!$A$3:$DQ$20,$D14,FALSE))</f>
        <v>-16000</v>
      </c>
      <c r="S14" s="10"/>
    </row>
    <row r="15" spans="1:19" s="8" customFormat="1" x14ac:dyDescent="0.2">
      <c r="A15" s="8">
        <f t="shared" si="2"/>
        <v>2002</v>
      </c>
      <c r="B15" s="8">
        <f t="shared" si="3"/>
        <v>1</v>
      </c>
      <c r="C15" s="9">
        <f t="shared" si="1"/>
        <v>37257</v>
      </c>
      <c r="D15" s="8">
        <f t="shared" si="4"/>
        <v>9</v>
      </c>
      <c r="E15" s="14">
        <f>IF(ISNA(VLOOKUP(E$1,'delta-old'!$A$3:$DQ$20,$D15,FALSE)),0,VLOOKUP(E$1,'delta-old'!$A$3:$DQ$20,$D15,FALSE))</f>
        <v>572363.13</v>
      </c>
      <c r="F15" s="14">
        <f>IF(ISNA(VLOOKUP(F$1,'peak-old'!$A$3:$DQ$20,$D15,FALSE)),0,VLOOKUP(F$1,'peak-old'!$A$3:$DQ$20,$D15,FALSE))</f>
        <v>0</v>
      </c>
      <c r="G15" s="14">
        <f>IF(ISNA(VLOOKUP(G$1,'peak-old'!$A$3:$DQ$20,$D15,FALSE)),0,VLOOKUP(G$1,'peak-old'!$A$3:$DQ$20,$D15,FALSE))</f>
        <v>0</v>
      </c>
      <c r="H15" s="14">
        <f>IF(ISNA(VLOOKUP(H$1,'peak-old'!$A$3:$DQ$20,$D15,FALSE)),0,VLOOKUP(H$1,'peak-old'!$A$3:$DQ$20,$D15,FALSE))</f>
        <v>-482240</v>
      </c>
      <c r="I15" s="14">
        <f>IF(ISNA(VLOOKUP(I$1,'peak-old'!$A$3:$DQ$20,$D15,FALSE)),0,VLOOKUP(I$1,'peak-old'!$A$3:$DQ$20,$D15,FALSE))</f>
        <v>-17600</v>
      </c>
      <c r="J15" s="14">
        <f>IF(ISNA(VLOOKUP(J$1,'peak-old'!$A$3:$DQ$20,$D15,FALSE)),0,VLOOKUP(J$1,'peak-old'!$A$3:$DQ$20,$D15,FALSE))</f>
        <v>0</v>
      </c>
      <c r="K15" s="14">
        <f>IF(ISNA(VLOOKUP(K$1,'peak-old'!$A$3:$DQ$20,$D15,FALSE)),0,VLOOKUP(K$1,'peak-old'!$A$3:$DQ$20,$D15,FALSE))</f>
        <v>0</v>
      </c>
      <c r="L15" s="14">
        <f>IF(ISNA(VLOOKUP(L$1,'peak-old'!$A$3:$DQ$20,$D15,FALSE)),0,VLOOKUP(L$1,'peak-old'!$A$3:$DQ$20,$D15,FALSE))</f>
        <v>0</v>
      </c>
      <c r="M15" s="14">
        <f>IF(ISNA(VLOOKUP(M$1,'peak-old'!$A$3:$DQ$20,$D15,FALSE)),0,VLOOKUP(M$1,'peak-old'!$A$3:$DQ$20,$D15,FALSE))</f>
        <v>0</v>
      </c>
      <c r="N15" s="14">
        <f>IF(ISNA(VLOOKUP(N$1,'peak-old'!$A$3:$DQ$20,$D15,FALSE)),0,VLOOKUP(N$1,'peak-old'!$A$3:$DQ$20,$D15,FALSE))</f>
        <v>0</v>
      </c>
      <c r="O15" s="14">
        <f>IF(ISNA(VLOOKUP(O$1,'peak-old'!$A$3:$DQ$20,$D15,FALSE)),0,VLOOKUP(O$1,'peak-old'!$A$3:$DQ$20,$D15,FALSE))</f>
        <v>0</v>
      </c>
      <c r="P15" s="14">
        <f>IF(ISNA(VLOOKUP(P$1,'peak-old'!$A$3:$DQ$20,$D15,FALSE)),0,VLOOKUP(P$1,'peak-old'!$A$3:$DQ$20,$D15,FALSE))</f>
        <v>0</v>
      </c>
      <c r="Q15" s="15">
        <f>IF(ISNA(VLOOKUP(Q$1,'delta-old'!$A$3:$DQ$20,$D15,FALSE)),0,VLOOKUP(Q$1,'delta-old'!$A$3:$DQ$20,$D15,FALSE))</f>
        <v>68423.570000000007</v>
      </c>
      <c r="R15" s="14">
        <f>IF(ISNA(VLOOKUP(R$1,'peak-old'!$A$3:$DQ$20,$D15,FALSE)),0,VLOOKUP(R$1,'peak-old'!$A$3:$DQ$20,$D15,FALSE))</f>
        <v>-176000</v>
      </c>
      <c r="S15" s="10"/>
    </row>
    <row r="16" spans="1:19" s="8" customFormat="1" x14ac:dyDescent="0.2">
      <c r="A16" s="8">
        <f t="shared" si="2"/>
        <v>2002</v>
      </c>
      <c r="B16" s="8">
        <f t="shared" si="3"/>
        <v>2</v>
      </c>
      <c r="C16" s="9">
        <f t="shared" si="1"/>
        <v>37288</v>
      </c>
      <c r="D16" s="8">
        <f t="shared" si="4"/>
        <v>10</v>
      </c>
      <c r="E16" s="14">
        <f>IF(ISNA(VLOOKUP(E$1,'delta-old'!$A$3:$DQ$20,$D16,FALSE)),0,VLOOKUP(E$1,'delta-old'!$A$3:$DQ$20,$D16,FALSE))</f>
        <v>518620.6</v>
      </c>
      <c r="F16" s="14">
        <f>IF(ISNA(VLOOKUP(F$1,'peak-old'!$A$3:$DQ$20,$D16,FALSE)),0,VLOOKUP(F$1,'peak-old'!$A$3:$DQ$20,$D16,FALSE))</f>
        <v>0</v>
      </c>
      <c r="G16" s="14">
        <f>IF(ISNA(VLOOKUP(G$1,'peak-old'!$A$3:$DQ$20,$D16,FALSE)),0,VLOOKUP(G$1,'peak-old'!$A$3:$DQ$20,$D16,FALSE))</f>
        <v>0</v>
      </c>
      <c r="H16" s="14">
        <f>IF(ISNA(VLOOKUP(H$1,'peak-old'!$A$3:$DQ$20,$D16,FALSE)),0,VLOOKUP(H$1,'peak-old'!$A$3:$DQ$20,$D16,FALSE))</f>
        <v>-438400</v>
      </c>
      <c r="I16" s="14">
        <f>IF(ISNA(VLOOKUP(I$1,'peak-old'!$A$3:$DQ$20,$D16,FALSE)),0,VLOOKUP(I$1,'peak-old'!$A$3:$DQ$20,$D16,FALSE))</f>
        <v>-16000</v>
      </c>
      <c r="J16" s="14">
        <f>IF(ISNA(VLOOKUP(J$1,'peak-old'!$A$3:$DQ$20,$D16,FALSE)),0,VLOOKUP(J$1,'peak-old'!$A$3:$DQ$20,$D16,FALSE))</f>
        <v>0</v>
      </c>
      <c r="K16" s="14">
        <f>IF(ISNA(VLOOKUP(K$1,'peak-old'!$A$3:$DQ$20,$D16,FALSE)),0,VLOOKUP(K$1,'peak-old'!$A$3:$DQ$20,$D16,FALSE))</f>
        <v>0</v>
      </c>
      <c r="L16" s="14">
        <f>IF(ISNA(VLOOKUP(L$1,'peak-old'!$A$3:$DQ$20,$D16,FALSE)),0,VLOOKUP(L$1,'peak-old'!$A$3:$DQ$20,$D16,FALSE))</f>
        <v>0</v>
      </c>
      <c r="M16" s="14">
        <f>IF(ISNA(VLOOKUP(M$1,'peak-old'!$A$3:$DQ$20,$D16,FALSE)),0,VLOOKUP(M$1,'peak-old'!$A$3:$DQ$20,$D16,FALSE))</f>
        <v>0</v>
      </c>
      <c r="N16" s="14">
        <f>IF(ISNA(VLOOKUP(N$1,'peak-old'!$A$3:$DQ$20,$D16,FALSE)),0,VLOOKUP(N$1,'peak-old'!$A$3:$DQ$20,$D16,FALSE))</f>
        <v>0</v>
      </c>
      <c r="O16" s="14">
        <f>IF(ISNA(VLOOKUP(O$1,'peak-old'!$A$3:$DQ$20,$D16,FALSE)),0,VLOOKUP(O$1,'peak-old'!$A$3:$DQ$20,$D16,FALSE))</f>
        <v>0</v>
      </c>
      <c r="P16" s="14">
        <f>IF(ISNA(VLOOKUP(P$1,'peak-old'!$A$3:$DQ$20,$D16,FALSE)),0,VLOOKUP(P$1,'peak-old'!$A$3:$DQ$20,$D16,FALSE))</f>
        <v>0</v>
      </c>
      <c r="Q16" s="15">
        <f>IF(ISNA(VLOOKUP(Q$1,'delta-old'!$A$3:$DQ$20,$D16,FALSE)),0,VLOOKUP(Q$1,'delta-old'!$A$3:$DQ$20,$D16,FALSE))</f>
        <v>61998.879999999997</v>
      </c>
      <c r="R16" s="14">
        <f>IF(ISNA(VLOOKUP(R$1,'peak-old'!$A$3:$DQ$20,$D16,FALSE)),0,VLOOKUP(R$1,'peak-old'!$A$3:$DQ$20,$D16,FALSE))</f>
        <v>-160000</v>
      </c>
      <c r="S16" s="10"/>
    </row>
    <row r="17" spans="1:19" s="8" customFormat="1" x14ac:dyDescent="0.2">
      <c r="A17" s="8">
        <f t="shared" si="2"/>
        <v>2002</v>
      </c>
      <c r="B17" s="8">
        <f t="shared" si="3"/>
        <v>3</v>
      </c>
      <c r="C17" s="9">
        <f t="shared" si="1"/>
        <v>37316</v>
      </c>
      <c r="D17" s="8">
        <f t="shared" si="4"/>
        <v>11</v>
      </c>
      <c r="E17" s="14">
        <f>IF(ISNA(VLOOKUP(E$1,'delta-old'!$A$3:$DQ$20,$D17,FALSE)),0,VLOOKUP(E$1,'delta-old'!$A$3:$DQ$20,$D17,FALSE))</f>
        <v>-154714.53</v>
      </c>
      <c r="F17" s="14">
        <f>IF(ISNA(VLOOKUP(F$1,'peak-old'!$A$3:$DQ$20,$D17,FALSE)),0,VLOOKUP(F$1,'peak-old'!$A$3:$DQ$20,$D17,FALSE))</f>
        <v>0</v>
      </c>
      <c r="G17" s="14">
        <f>IF(ISNA(VLOOKUP(G$1,'peak-old'!$A$3:$DQ$20,$D17,FALSE)),0,VLOOKUP(G$1,'peak-old'!$A$3:$DQ$20,$D17,FALSE))</f>
        <v>0</v>
      </c>
      <c r="H17" s="14">
        <f>IF(ISNA(VLOOKUP(H$1,'peak-old'!$A$3:$DQ$20,$D17,FALSE)),0,VLOOKUP(H$1,'peak-old'!$A$3:$DQ$20,$D17,FALSE))</f>
        <v>-157920</v>
      </c>
      <c r="I17" s="14">
        <f>IF(ISNA(VLOOKUP(I$1,'peak-old'!$A$3:$DQ$20,$D17,FALSE)),0,VLOOKUP(I$1,'peak-old'!$A$3:$DQ$20,$D17,FALSE))</f>
        <v>0</v>
      </c>
      <c r="J17" s="14">
        <f>IF(ISNA(VLOOKUP(J$1,'peak-old'!$A$3:$DQ$20,$D17,FALSE)),0,VLOOKUP(J$1,'peak-old'!$A$3:$DQ$20,$D17,FALSE))</f>
        <v>0</v>
      </c>
      <c r="K17" s="14">
        <f>IF(ISNA(VLOOKUP(K$1,'peak-old'!$A$3:$DQ$20,$D17,FALSE)),0,VLOOKUP(K$1,'peak-old'!$A$3:$DQ$20,$D17,FALSE))</f>
        <v>0</v>
      </c>
      <c r="L17" s="14">
        <f>IF(ISNA(VLOOKUP(L$1,'peak-old'!$A$3:$DQ$20,$D17,FALSE)),0,VLOOKUP(L$1,'peak-old'!$A$3:$DQ$20,$D17,FALSE))</f>
        <v>0</v>
      </c>
      <c r="M17" s="14">
        <f>IF(ISNA(VLOOKUP(M$1,'peak-old'!$A$3:$DQ$20,$D17,FALSE)),0,VLOOKUP(M$1,'peak-old'!$A$3:$DQ$20,$D17,FALSE))</f>
        <v>0</v>
      </c>
      <c r="N17" s="14">
        <f>IF(ISNA(VLOOKUP(N$1,'peak-old'!$A$3:$DQ$20,$D17,FALSE)),0,VLOOKUP(N$1,'peak-old'!$A$3:$DQ$20,$D17,FALSE))</f>
        <v>0</v>
      </c>
      <c r="O17" s="14">
        <f>IF(ISNA(VLOOKUP(O$1,'peak-old'!$A$3:$DQ$20,$D17,FALSE)),0,VLOOKUP(O$1,'peak-old'!$A$3:$DQ$20,$D17,FALSE))</f>
        <v>0</v>
      </c>
      <c r="P17" s="14">
        <f>IF(ISNA(VLOOKUP(P$1,'peak-old'!$A$3:$DQ$20,$D17,FALSE)),0,VLOOKUP(P$1,'peak-old'!$A$3:$DQ$20,$D17,FALSE))</f>
        <v>0</v>
      </c>
      <c r="Q17" s="15">
        <f>IF(ISNA(VLOOKUP(Q$1,'delta-old'!$A$3:$DQ$20,$D17,FALSE)),0,VLOOKUP(Q$1,'delta-old'!$A$3:$DQ$20,$D17,FALSE))</f>
        <v>-32428.76</v>
      </c>
      <c r="R17" s="14">
        <f>IF(ISNA(VLOOKUP(R$1,'peak-old'!$A$3:$DQ$20,$D17,FALSE)),0,VLOOKUP(R$1,'peak-old'!$A$3:$DQ$20,$D17,FALSE))</f>
        <v>0</v>
      </c>
      <c r="S17" s="10"/>
    </row>
    <row r="18" spans="1:19" s="8" customFormat="1" x14ac:dyDescent="0.2">
      <c r="A18" s="8">
        <f t="shared" si="2"/>
        <v>2002</v>
      </c>
      <c r="B18" s="8">
        <f t="shared" si="3"/>
        <v>4</v>
      </c>
      <c r="C18" s="9">
        <f t="shared" si="1"/>
        <v>37347</v>
      </c>
      <c r="D18" s="8">
        <f t="shared" si="4"/>
        <v>12</v>
      </c>
      <c r="E18" s="14">
        <f>IF(ISNA(VLOOKUP(E$1,'delta-old'!$A$3:$DQ$20,$D18,FALSE)),0,VLOOKUP(E$1,'delta-old'!$A$3:$DQ$20,$D18,FALSE))</f>
        <v>-161486.68</v>
      </c>
      <c r="F18" s="14">
        <f>IF(ISNA(VLOOKUP(F$1,'peak-old'!$A$3:$DQ$20,$D18,FALSE)),0,VLOOKUP(F$1,'peak-old'!$A$3:$DQ$20,$D18,FALSE))</f>
        <v>0</v>
      </c>
      <c r="G18" s="14">
        <f>IF(ISNA(VLOOKUP(G$1,'peak-old'!$A$3:$DQ$20,$D18,FALSE)),0,VLOOKUP(G$1,'peak-old'!$A$3:$DQ$20,$D18,FALSE))</f>
        <v>0</v>
      </c>
      <c r="H18" s="14">
        <f>IF(ISNA(VLOOKUP(H$1,'peak-old'!$A$3:$DQ$20,$D18,FALSE)),0,VLOOKUP(H$1,'peak-old'!$A$3:$DQ$20,$D18,FALSE))</f>
        <v>-165440</v>
      </c>
      <c r="I18" s="14">
        <f>IF(ISNA(VLOOKUP(I$1,'peak-old'!$A$3:$DQ$20,$D18,FALSE)),0,VLOOKUP(I$1,'peak-old'!$A$3:$DQ$20,$D18,FALSE))</f>
        <v>0</v>
      </c>
      <c r="J18" s="14">
        <f>IF(ISNA(VLOOKUP(J$1,'peak-old'!$A$3:$DQ$20,$D18,FALSE)),0,VLOOKUP(J$1,'peak-old'!$A$3:$DQ$20,$D18,FALSE))</f>
        <v>0</v>
      </c>
      <c r="K18" s="14">
        <f>IF(ISNA(VLOOKUP(K$1,'peak-old'!$A$3:$DQ$20,$D18,FALSE)),0,VLOOKUP(K$1,'peak-old'!$A$3:$DQ$20,$D18,FALSE))</f>
        <v>0</v>
      </c>
      <c r="L18" s="14">
        <f>IF(ISNA(VLOOKUP(L$1,'peak-old'!$A$3:$DQ$20,$D18,FALSE)),0,VLOOKUP(L$1,'peak-old'!$A$3:$DQ$20,$D18,FALSE))</f>
        <v>0</v>
      </c>
      <c r="M18" s="14">
        <f>IF(ISNA(VLOOKUP(M$1,'peak-old'!$A$3:$DQ$20,$D18,FALSE)),0,VLOOKUP(M$1,'peak-old'!$A$3:$DQ$20,$D18,FALSE))</f>
        <v>0</v>
      </c>
      <c r="N18" s="14">
        <f>IF(ISNA(VLOOKUP(N$1,'peak-old'!$A$3:$DQ$20,$D18,FALSE)),0,VLOOKUP(N$1,'peak-old'!$A$3:$DQ$20,$D18,FALSE))</f>
        <v>0</v>
      </c>
      <c r="O18" s="14">
        <f>IF(ISNA(VLOOKUP(O$1,'peak-old'!$A$3:$DQ$20,$D18,FALSE)),0,VLOOKUP(O$1,'peak-old'!$A$3:$DQ$20,$D18,FALSE))</f>
        <v>0</v>
      </c>
      <c r="P18" s="14">
        <f>IF(ISNA(VLOOKUP(P$1,'peak-old'!$A$3:$DQ$20,$D18,FALSE)),0,VLOOKUP(P$1,'peak-old'!$A$3:$DQ$20,$D18,FALSE))</f>
        <v>0</v>
      </c>
      <c r="Q18" s="15">
        <f>IF(ISNA(VLOOKUP(Q$1,'delta-old'!$A$3:$DQ$20,$D18,FALSE)),0,VLOOKUP(Q$1,'delta-old'!$A$3:$DQ$20,$D18,FALSE))</f>
        <v>16924.5</v>
      </c>
      <c r="R18" s="14">
        <f>IF(ISNA(VLOOKUP(R$1,'peak-old'!$A$3:$DQ$20,$D18,FALSE)),0,VLOOKUP(R$1,'peak-old'!$A$3:$DQ$20,$D18,FALSE))</f>
        <v>0</v>
      </c>
      <c r="S18" s="10"/>
    </row>
    <row r="19" spans="1:19" s="8" customFormat="1" x14ac:dyDescent="0.2">
      <c r="A19" s="8">
        <f t="shared" si="2"/>
        <v>2002</v>
      </c>
      <c r="B19" s="8">
        <f t="shared" si="3"/>
        <v>5</v>
      </c>
      <c r="C19" s="9">
        <f t="shared" si="1"/>
        <v>37377</v>
      </c>
      <c r="D19" s="8">
        <f t="shared" si="4"/>
        <v>13</v>
      </c>
      <c r="E19" s="14">
        <f>IF(ISNA(VLOOKUP(E$1,'delta-old'!$A$3:$DQ$20,$D19,FALSE)),0,VLOOKUP(E$1,'delta-old'!$A$3:$DQ$20,$D19,FALSE))</f>
        <v>-312599.61</v>
      </c>
      <c r="F19" s="14">
        <f>IF(ISNA(VLOOKUP(F$1,'peak-old'!$A$3:$DQ$20,$D19,FALSE)),0,VLOOKUP(F$1,'peak-old'!$A$3:$DQ$20,$D19,FALSE))</f>
        <v>0</v>
      </c>
      <c r="G19" s="14">
        <f>IF(ISNA(VLOOKUP(G$1,'peak-old'!$A$3:$DQ$20,$D19,FALSE)),0,VLOOKUP(G$1,'peak-old'!$A$3:$DQ$20,$D19,FALSE))</f>
        <v>0</v>
      </c>
      <c r="H19" s="14">
        <f>IF(ISNA(VLOOKUP(H$1,'peak-old'!$A$3:$DQ$20,$D19,FALSE)),0,VLOOKUP(H$1,'peak-old'!$A$3:$DQ$20,$D19,FALSE))</f>
        <v>-95040</v>
      </c>
      <c r="I19" s="14">
        <f>IF(ISNA(VLOOKUP(I$1,'peak-old'!$A$3:$DQ$20,$D19,FALSE)),0,VLOOKUP(I$1,'peak-old'!$A$3:$DQ$20,$D19,FALSE))</f>
        <v>0</v>
      </c>
      <c r="J19" s="14">
        <f>IF(ISNA(VLOOKUP(J$1,'peak-old'!$A$3:$DQ$20,$D19,FALSE)),0,VLOOKUP(J$1,'peak-old'!$A$3:$DQ$20,$D19,FALSE))</f>
        <v>0</v>
      </c>
      <c r="K19" s="14">
        <f>IF(ISNA(VLOOKUP(K$1,'peak-old'!$A$3:$DQ$20,$D19,FALSE)),0,VLOOKUP(K$1,'peak-old'!$A$3:$DQ$20,$D19,FALSE))</f>
        <v>0</v>
      </c>
      <c r="L19" s="14">
        <f>IF(ISNA(VLOOKUP(L$1,'peak-old'!$A$3:$DQ$20,$D19,FALSE)),0,VLOOKUP(L$1,'peak-old'!$A$3:$DQ$20,$D19,FALSE))</f>
        <v>0</v>
      </c>
      <c r="M19" s="14">
        <f>IF(ISNA(VLOOKUP(M$1,'peak-old'!$A$3:$DQ$20,$D19,FALSE)),0,VLOOKUP(M$1,'peak-old'!$A$3:$DQ$20,$D19,FALSE))</f>
        <v>0</v>
      </c>
      <c r="N19" s="14">
        <f>IF(ISNA(VLOOKUP(N$1,'peak-old'!$A$3:$DQ$20,$D19,FALSE)),0,VLOOKUP(N$1,'peak-old'!$A$3:$DQ$20,$D19,FALSE))</f>
        <v>0</v>
      </c>
      <c r="O19" s="14">
        <f>IF(ISNA(VLOOKUP(O$1,'peak-old'!$A$3:$DQ$20,$D19,FALSE)),0,VLOOKUP(O$1,'peak-old'!$A$3:$DQ$20,$D19,FALSE))</f>
        <v>0</v>
      </c>
      <c r="P19" s="14">
        <f>IF(ISNA(VLOOKUP(P$1,'peak-old'!$A$3:$DQ$20,$D19,FALSE)),0,VLOOKUP(P$1,'peak-old'!$A$3:$DQ$20,$D19,FALSE))</f>
        <v>0</v>
      </c>
      <c r="Q19" s="15">
        <f>IF(ISNA(VLOOKUP(Q$1,'delta-old'!$A$3:$DQ$20,$D19,FALSE)),0,VLOOKUP(Q$1,'delta-old'!$A$3:$DQ$20,$D19,FALSE))</f>
        <v>33718.67</v>
      </c>
      <c r="R19" s="14">
        <f>IF(ISNA(VLOOKUP(R$1,'peak-old'!$A$3:$DQ$20,$D19,FALSE)),0,VLOOKUP(R$1,'peak-old'!$A$3:$DQ$20,$D19,FALSE))</f>
        <v>0</v>
      </c>
      <c r="S19" s="10"/>
    </row>
    <row r="20" spans="1:19" s="8" customFormat="1" x14ac:dyDescent="0.2">
      <c r="A20" s="8">
        <f t="shared" si="2"/>
        <v>2002</v>
      </c>
      <c r="B20" s="8">
        <f t="shared" si="3"/>
        <v>6</v>
      </c>
      <c r="C20" s="9">
        <f t="shared" si="1"/>
        <v>37408</v>
      </c>
      <c r="D20" s="8">
        <f t="shared" si="4"/>
        <v>14</v>
      </c>
      <c r="E20" s="14">
        <f>IF(ISNA(VLOOKUP(E$1,'delta-old'!$A$3:$DQ$20,$D20,FALSE)),0,VLOOKUP(E$1,'delta-old'!$A$3:$DQ$20,$D20,FALSE))</f>
        <v>-618983</v>
      </c>
      <c r="F20" s="14">
        <f>IF(ISNA(VLOOKUP(F$1,'peak-old'!$A$3:$DQ$20,$D20,FALSE)),0,VLOOKUP(F$1,'peak-old'!$A$3:$DQ$20,$D20,FALSE))</f>
        <v>0</v>
      </c>
      <c r="G20" s="14">
        <f>IF(ISNA(VLOOKUP(G$1,'peak-old'!$A$3:$DQ$20,$D20,FALSE)),0,VLOOKUP(G$1,'peak-old'!$A$3:$DQ$20,$D20,FALSE))</f>
        <v>80000</v>
      </c>
      <c r="H20" s="14">
        <f>IF(ISNA(VLOOKUP(H$1,'peak-old'!$A$3:$DQ$20,$D20,FALSE)),0,VLOOKUP(H$1,'peak-old'!$A$3:$DQ$20,$D20,FALSE))</f>
        <v>-64000</v>
      </c>
      <c r="I20" s="14">
        <f>IF(ISNA(VLOOKUP(I$1,'peak-old'!$A$3:$DQ$20,$D20,FALSE)),0,VLOOKUP(I$1,'peak-old'!$A$3:$DQ$20,$D20,FALSE))</f>
        <v>0</v>
      </c>
      <c r="J20" s="14">
        <f>IF(ISNA(VLOOKUP(J$1,'peak-old'!$A$3:$DQ$20,$D20,FALSE)),0,VLOOKUP(J$1,'peak-old'!$A$3:$DQ$20,$D20,FALSE))</f>
        <v>0</v>
      </c>
      <c r="K20" s="14">
        <f>IF(ISNA(VLOOKUP(K$1,'peak-old'!$A$3:$DQ$20,$D20,FALSE)),0,VLOOKUP(K$1,'peak-old'!$A$3:$DQ$20,$D20,FALSE))</f>
        <v>0</v>
      </c>
      <c r="L20" s="14">
        <f>IF(ISNA(VLOOKUP(L$1,'peak-old'!$A$3:$DQ$20,$D20,FALSE)),0,VLOOKUP(L$1,'peak-old'!$A$3:$DQ$20,$D20,FALSE))</f>
        <v>0</v>
      </c>
      <c r="M20" s="14">
        <f>IF(ISNA(VLOOKUP(M$1,'peak-old'!$A$3:$DQ$20,$D20,FALSE)),0,VLOOKUP(M$1,'peak-old'!$A$3:$DQ$20,$D20,FALSE))</f>
        <v>0</v>
      </c>
      <c r="N20" s="14">
        <f>IF(ISNA(VLOOKUP(N$1,'peak-old'!$A$3:$DQ$20,$D20,FALSE)),0,VLOOKUP(N$1,'peak-old'!$A$3:$DQ$20,$D20,FALSE))</f>
        <v>0</v>
      </c>
      <c r="O20" s="14">
        <f>IF(ISNA(VLOOKUP(O$1,'peak-old'!$A$3:$DQ$20,$D20,FALSE)),0,VLOOKUP(O$1,'peak-old'!$A$3:$DQ$20,$D20,FALSE))</f>
        <v>0</v>
      </c>
      <c r="P20" s="14">
        <f>IF(ISNA(VLOOKUP(P$1,'peak-old'!$A$3:$DQ$20,$D20,FALSE)),0,VLOOKUP(P$1,'peak-old'!$A$3:$DQ$20,$D20,FALSE))</f>
        <v>0</v>
      </c>
      <c r="Q20" s="15">
        <f>IF(ISNA(VLOOKUP(Q$1,'delta-old'!$A$3:$DQ$20,$D20,FALSE)),0,VLOOKUP(Q$1,'delta-old'!$A$3:$DQ$20,$D20,FALSE))</f>
        <v>122142.92</v>
      </c>
      <c r="R20" s="14">
        <f>IF(ISNA(VLOOKUP(R$1,'peak-old'!$A$3:$DQ$20,$D20,FALSE)),0,VLOOKUP(R$1,'peak-old'!$A$3:$DQ$20,$D20,FALSE))</f>
        <v>0</v>
      </c>
      <c r="S20" s="10"/>
    </row>
    <row r="21" spans="1:19" s="8" customFormat="1" x14ac:dyDescent="0.2">
      <c r="A21" s="8">
        <f t="shared" si="2"/>
        <v>2002</v>
      </c>
      <c r="B21" s="8">
        <f t="shared" si="3"/>
        <v>7</v>
      </c>
      <c r="C21" s="9">
        <f t="shared" si="1"/>
        <v>37438</v>
      </c>
      <c r="D21" s="8">
        <f t="shared" si="4"/>
        <v>15</v>
      </c>
      <c r="E21" s="14">
        <f>IF(ISNA(VLOOKUP(E$1,'delta-old'!$A$3:$DQ$20,$D21,FALSE)),0,VLOOKUP(E$1,'delta-old'!$A$3:$DQ$20,$D21,FALSE))</f>
        <v>-230542.9</v>
      </c>
      <c r="F21" s="14">
        <f>IF(ISNA(VLOOKUP(F$1,'peak-old'!$A$3:$DQ$20,$D21,FALSE)),0,VLOOKUP(F$1,'peak-old'!$A$3:$DQ$20,$D21,FALSE))</f>
        <v>0</v>
      </c>
      <c r="G21" s="14">
        <f>IF(ISNA(VLOOKUP(G$1,'peak-old'!$A$3:$DQ$20,$D21,FALSE)),0,VLOOKUP(G$1,'peak-old'!$A$3:$DQ$20,$D21,FALSE))</f>
        <v>35200</v>
      </c>
      <c r="H21" s="14">
        <f>IF(ISNA(VLOOKUP(H$1,'peak-old'!$A$3:$DQ$20,$D21,FALSE)),0,VLOOKUP(H$1,'peak-old'!$A$3:$DQ$20,$D21,FALSE))</f>
        <v>-228800</v>
      </c>
      <c r="I21" s="14">
        <f>IF(ISNA(VLOOKUP(I$1,'peak-old'!$A$3:$DQ$20,$D21,FALSE)),0,VLOOKUP(I$1,'peak-old'!$A$3:$DQ$20,$D21,FALSE))</f>
        <v>88000</v>
      </c>
      <c r="J21" s="14">
        <f>IF(ISNA(VLOOKUP(J$1,'peak-old'!$A$3:$DQ$20,$D21,FALSE)),0,VLOOKUP(J$1,'peak-old'!$A$3:$DQ$20,$D21,FALSE))</f>
        <v>0</v>
      </c>
      <c r="K21" s="14">
        <f>IF(ISNA(VLOOKUP(K$1,'peak-old'!$A$3:$DQ$20,$D21,FALSE)),0,VLOOKUP(K$1,'peak-old'!$A$3:$DQ$20,$D21,FALSE))</f>
        <v>-17600</v>
      </c>
      <c r="L21" s="14">
        <f>IF(ISNA(VLOOKUP(L$1,'peak-old'!$A$3:$DQ$20,$D21,FALSE)),0,VLOOKUP(L$1,'peak-old'!$A$3:$DQ$20,$D21,FALSE))</f>
        <v>0</v>
      </c>
      <c r="M21" s="14">
        <f>IF(ISNA(VLOOKUP(M$1,'peak-old'!$A$3:$DQ$20,$D21,FALSE)),0,VLOOKUP(M$1,'peak-old'!$A$3:$DQ$20,$D21,FALSE))</f>
        <v>0</v>
      </c>
      <c r="N21" s="14">
        <f>IF(ISNA(VLOOKUP(N$1,'peak-old'!$A$3:$DQ$20,$D21,FALSE)),0,VLOOKUP(N$1,'peak-old'!$A$3:$DQ$20,$D21,FALSE))</f>
        <v>0</v>
      </c>
      <c r="O21" s="14">
        <f>IF(ISNA(VLOOKUP(O$1,'peak-old'!$A$3:$DQ$20,$D21,FALSE)),0,VLOOKUP(O$1,'peak-old'!$A$3:$DQ$20,$D21,FALSE))</f>
        <v>0</v>
      </c>
      <c r="P21" s="14">
        <f>IF(ISNA(VLOOKUP(P$1,'peak-old'!$A$3:$DQ$20,$D21,FALSE)),0,VLOOKUP(P$1,'peak-old'!$A$3:$DQ$20,$D21,FALSE))</f>
        <v>0</v>
      </c>
      <c r="Q21" s="15">
        <f>IF(ISNA(VLOOKUP(Q$1,'delta-old'!$A$3:$DQ$20,$D21,FALSE)),0,VLOOKUP(Q$1,'delta-old'!$A$3:$DQ$20,$D21,FALSE))</f>
        <v>33453</v>
      </c>
      <c r="R21" s="14">
        <f>IF(ISNA(VLOOKUP(R$1,'peak-old'!$A$3:$DQ$20,$D21,FALSE)),0,VLOOKUP(R$1,'peak-old'!$A$3:$DQ$20,$D21,FALSE))</f>
        <v>0</v>
      </c>
      <c r="S21" s="10"/>
    </row>
    <row r="22" spans="1:19" s="8" customFormat="1" x14ac:dyDescent="0.2">
      <c r="A22" s="8">
        <f t="shared" si="2"/>
        <v>2002</v>
      </c>
      <c r="B22" s="8">
        <f t="shared" si="3"/>
        <v>8</v>
      </c>
      <c r="C22" s="9">
        <f t="shared" si="1"/>
        <v>37469</v>
      </c>
      <c r="D22" s="8">
        <f t="shared" si="4"/>
        <v>16</v>
      </c>
      <c r="E22" s="14">
        <f>IF(ISNA(VLOOKUP(E$1,'delta-old'!$A$3:$DQ$20,$D22,FALSE)),0,VLOOKUP(E$1,'delta-old'!$A$3:$DQ$20,$D22,FALSE))</f>
        <v>-240033</v>
      </c>
      <c r="F22" s="14">
        <f>IF(ISNA(VLOOKUP(F$1,'peak-old'!$A$3:$DQ$20,$D22,FALSE)),0,VLOOKUP(F$1,'peak-old'!$A$3:$DQ$20,$D22,FALSE))</f>
        <v>0</v>
      </c>
      <c r="G22" s="14">
        <f>IF(ISNA(VLOOKUP(G$1,'peak-old'!$A$3:$DQ$20,$D22,FALSE)),0,VLOOKUP(G$1,'peak-old'!$A$3:$DQ$20,$D22,FALSE))</f>
        <v>35200</v>
      </c>
      <c r="H22" s="14">
        <f>IF(ISNA(VLOOKUP(H$1,'peak-old'!$A$3:$DQ$20,$D22,FALSE)),0,VLOOKUP(H$1,'peak-old'!$A$3:$DQ$20,$D22,FALSE))</f>
        <v>-228800</v>
      </c>
      <c r="I22" s="14">
        <f>IF(ISNA(VLOOKUP(I$1,'peak-old'!$A$3:$DQ$20,$D22,FALSE)),0,VLOOKUP(I$1,'peak-old'!$A$3:$DQ$20,$D22,FALSE))</f>
        <v>88000</v>
      </c>
      <c r="J22" s="14">
        <f>IF(ISNA(VLOOKUP(J$1,'peak-old'!$A$3:$DQ$20,$D22,FALSE)),0,VLOOKUP(J$1,'peak-old'!$A$3:$DQ$20,$D22,FALSE))</f>
        <v>0</v>
      </c>
      <c r="K22" s="14">
        <f>IF(ISNA(VLOOKUP(K$1,'peak-old'!$A$3:$DQ$20,$D22,FALSE)),0,VLOOKUP(K$1,'peak-old'!$A$3:$DQ$20,$D22,FALSE))</f>
        <v>-17600</v>
      </c>
      <c r="L22" s="14">
        <f>IF(ISNA(VLOOKUP(L$1,'peak-old'!$A$3:$DQ$20,$D22,FALSE)),0,VLOOKUP(L$1,'peak-old'!$A$3:$DQ$20,$D22,FALSE))</f>
        <v>0</v>
      </c>
      <c r="M22" s="14">
        <f>IF(ISNA(VLOOKUP(M$1,'peak-old'!$A$3:$DQ$20,$D22,FALSE)),0,VLOOKUP(M$1,'peak-old'!$A$3:$DQ$20,$D22,FALSE))</f>
        <v>0</v>
      </c>
      <c r="N22" s="14">
        <f>IF(ISNA(VLOOKUP(N$1,'peak-old'!$A$3:$DQ$20,$D22,FALSE)),0,VLOOKUP(N$1,'peak-old'!$A$3:$DQ$20,$D22,FALSE))</f>
        <v>0</v>
      </c>
      <c r="O22" s="14">
        <f>IF(ISNA(VLOOKUP(O$1,'peak-old'!$A$3:$DQ$20,$D22,FALSE)),0,VLOOKUP(O$1,'peak-old'!$A$3:$DQ$20,$D22,FALSE))</f>
        <v>0</v>
      </c>
      <c r="P22" s="14">
        <f>IF(ISNA(VLOOKUP(P$1,'peak-old'!$A$3:$DQ$20,$D22,FALSE)),0,VLOOKUP(P$1,'peak-old'!$A$3:$DQ$20,$D22,FALSE))</f>
        <v>0</v>
      </c>
      <c r="Q22" s="15">
        <f>IF(ISNA(VLOOKUP(Q$1,'delta-old'!$A$3:$DQ$20,$D22,FALSE)),0,VLOOKUP(Q$1,'delta-old'!$A$3:$DQ$20,$D22,FALSE))</f>
        <v>33314.550000000003</v>
      </c>
      <c r="R22" s="14">
        <f>IF(ISNA(VLOOKUP(R$1,'peak-old'!$A$3:$DQ$20,$D22,FALSE)),0,VLOOKUP(R$1,'peak-old'!$A$3:$DQ$20,$D22,FALSE))</f>
        <v>0</v>
      </c>
      <c r="S22" s="10"/>
    </row>
    <row r="23" spans="1:19" s="8" customFormat="1" x14ac:dyDescent="0.2">
      <c r="A23" s="8">
        <f t="shared" si="2"/>
        <v>2002</v>
      </c>
      <c r="B23" s="8">
        <f t="shared" si="3"/>
        <v>9</v>
      </c>
      <c r="C23" s="9">
        <f t="shared" si="1"/>
        <v>37500</v>
      </c>
      <c r="D23" s="8">
        <f t="shared" si="4"/>
        <v>17</v>
      </c>
      <c r="E23" s="14">
        <f>IF(ISNA(VLOOKUP(E$1,'delta-old'!$A$3:$DQ$20,$D23,FALSE)),0,VLOOKUP(E$1,'delta-old'!$A$3:$DQ$20,$D23,FALSE))</f>
        <v>52153</v>
      </c>
      <c r="F23" s="14">
        <f>IF(ISNA(VLOOKUP(F$1,'peak-old'!$A$3:$DQ$20,$D23,FALSE)),0,VLOOKUP(F$1,'peak-old'!$A$3:$DQ$20,$D23,FALSE))</f>
        <v>0</v>
      </c>
      <c r="G23" s="14">
        <f>IF(ISNA(VLOOKUP(G$1,'peak-old'!$A$3:$DQ$20,$D23,FALSE)),0,VLOOKUP(G$1,'peak-old'!$A$3:$DQ$20,$D23,FALSE))</f>
        <v>0</v>
      </c>
      <c r="H23" s="14">
        <f>IF(ISNA(VLOOKUP(H$1,'peak-old'!$A$3:$DQ$20,$D23,FALSE)),0,VLOOKUP(H$1,'peak-old'!$A$3:$DQ$20,$D23,FALSE))</f>
        <v>-96000</v>
      </c>
      <c r="I23" s="14">
        <f>IF(ISNA(VLOOKUP(I$1,'peak-old'!$A$3:$DQ$20,$D23,FALSE)),0,VLOOKUP(I$1,'peak-old'!$A$3:$DQ$20,$D23,FALSE))</f>
        <v>0</v>
      </c>
      <c r="J23" s="14">
        <f>IF(ISNA(VLOOKUP(J$1,'peak-old'!$A$3:$DQ$20,$D23,FALSE)),0,VLOOKUP(J$1,'peak-old'!$A$3:$DQ$20,$D23,FALSE))</f>
        <v>0</v>
      </c>
      <c r="K23" s="14">
        <f>IF(ISNA(VLOOKUP(K$1,'peak-old'!$A$3:$DQ$20,$D23,FALSE)),0,VLOOKUP(K$1,'peak-old'!$A$3:$DQ$20,$D23,FALSE))</f>
        <v>0</v>
      </c>
      <c r="L23" s="14">
        <f>IF(ISNA(VLOOKUP(L$1,'peak-old'!$A$3:$DQ$20,$D23,FALSE)),0,VLOOKUP(L$1,'peak-old'!$A$3:$DQ$20,$D23,FALSE))</f>
        <v>0</v>
      </c>
      <c r="M23" s="14">
        <f>IF(ISNA(VLOOKUP(M$1,'peak-old'!$A$3:$DQ$20,$D23,FALSE)),0,VLOOKUP(M$1,'peak-old'!$A$3:$DQ$20,$D23,FALSE))</f>
        <v>0</v>
      </c>
      <c r="N23" s="14">
        <f>IF(ISNA(VLOOKUP(N$1,'peak-old'!$A$3:$DQ$20,$D23,FALSE)),0,VLOOKUP(N$1,'peak-old'!$A$3:$DQ$20,$D23,FALSE))</f>
        <v>0</v>
      </c>
      <c r="O23" s="14">
        <f>IF(ISNA(VLOOKUP(O$1,'peak-old'!$A$3:$DQ$20,$D23,FALSE)),0,VLOOKUP(O$1,'peak-old'!$A$3:$DQ$20,$D23,FALSE))</f>
        <v>0</v>
      </c>
      <c r="P23" s="14">
        <f>IF(ISNA(VLOOKUP(P$1,'peak-old'!$A$3:$DQ$20,$D23,FALSE)),0,VLOOKUP(P$1,'peak-old'!$A$3:$DQ$20,$D23,FALSE))</f>
        <v>0</v>
      </c>
      <c r="Q23" s="15">
        <f>IF(ISNA(VLOOKUP(Q$1,'delta-old'!$A$3:$DQ$20,$D23,FALSE)),0,VLOOKUP(Q$1,'delta-old'!$A$3:$DQ$20,$D23,FALSE))</f>
        <v>45242.83</v>
      </c>
      <c r="R23" s="14">
        <f>IF(ISNA(VLOOKUP(R$1,'peak-old'!$A$3:$DQ$20,$D23,FALSE)),0,VLOOKUP(R$1,'peak-old'!$A$3:$DQ$20,$D23,FALSE))</f>
        <v>0</v>
      </c>
      <c r="S23" s="10"/>
    </row>
    <row r="24" spans="1:19" s="8" customFormat="1" x14ac:dyDescent="0.2">
      <c r="A24" s="8">
        <f t="shared" si="2"/>
        <v>2002</v>
      </c>
      <c r="B24" s="8">
        <f t="shared" si="3"/>
        <v>10</v>
      </c>
      <c r="C24" s="9">
        <f t="shared" si="1"/>
        <v>37530</v>
      </c>
      <c r="D24" s="8">
        <f t="shared" si="4"/>
        <v>18</v>
      </c>
      <c r="E24" s="14">
        <f>IF(ISNA(VLOOKUP(E$1,'delta-old'!$A$3:$DQ$20,$D24,FALSE)),0,VLOOKUP(E$1,'delta-old'!$A$3:$DQ$20,$D24,FALSE))</f>
        <v>-130233.88</v>
      </c>
      <c r="F24" s="14">
        <f>IF(ISNA(VLOOKUP(F$1,'peak-old'!$A$3:$DQ$20,$D24,FALSE)),0,VLOOKUP(F$1,'peak-old'!$A$3:$DQ$20,$D24,FALSE))</f>
        <v>0</v>
      </c>
      <c r="G24" s="14">
        <f>IF(ISNA(VLOOKUP(G$1,'peak-old'!$A$3:$DQ$20,$D24,FALSE)),0,VLOOKUP(G$1,'peak-old'!$A$3:$DQ$20,$D24,FALSE))</f>
        <v>0</v>
      </c>
      <c r="H24" s="14">
        <f>IF(ISNA(VLOOKUP(H$1,'peak-old'!$A$3:$DQ$20,$D24,FALSE)),0,VLOOKUP(H$1,'peak-old'!$A$3:$DQ$20,$D24,FALSE))</f>
        <v>-110400</v>
      </c>
      <c r="I24" s="14">
        <f>IF(ISNA(VLOOKUP(I$1,'peak-old'!$A$3:$DQ$20,$D24,FALSE)),0,VLOOKUP(I$1,'peak-old'!$A$3:$DQ$20,$D24,FALSE))</f>
        <v>0</v>
      </c>
      <c r="J24" s="14">
        <f>IF(ISNA(VLOOKUP(J$1,'peak-old'!$A$3:$DQ$20,$D24,FALSE)),0,VLOOKUP(J$1,'peak-old'!$A$3:$DQ$20,$D24,FALSE))</f>
        <v>0</v>
      </c>
      <c r="K24" s="14">
        <f>IF(ISNA(VLOOKUP(K$1,'peak-old'!$A$3:$DQ$20,$D24,FALSE)),0,VLOOKUP(K$1,'peak-old'!$A$3:$DQ$20,$D24,FALSE))</f>
        <v>0</v>
      </c>
      <c r="L24" s="14">
        <f>IF(ISNA(VLOOKUP(L$1,'peak-old'!$A$3:$DQ$20,$D24,FALSE)),0,VLOOKUP(L$1,'peak-old'!$A$3:$DQ$20,$D24,FALSE))</f>
        <v>0</v>
      </c>
      <c r="M24" s="14">
        <f>IF(ISNA(VLOOKUP(M$1,'peak-old'!$A$3:$DQ$20,$D24,FALSE)),0,VLOOKUP(M$1,'peak-old'!$A$3:$DQ$20,$D24,FALSE))</f>
        <v>0</v>
      </c>
      <c r="N24" s="14">
        <f>IF(ISNA(VLOOKUP(N$1,'peak-old'!$A$3:$DQ$20,$D24,FALSE)),0,VLOOKUP(N$1,'peak-old'!$A$3:$DQ$20,$D24,FALSE))</f>
        <v>0</v>
      </c>
      <c r="O24" s="14">
        <f>IF(ISNA(VLOOKUP(O$1,'peak-old'!$A$3:$DQ$20,$D24,FALSE)),0,VLOOKUP(O$1,'peak-old'!$A$3:$DQ$20,$D24,FALSE))</f>
        <v>0</v>
      </c>
      <c r="P24" s="14">
        <f>IF(ISNA(VLOOKUP(P$1,'peak-old'!$A$3:$DQ$20,$D24,FALSE)),0,VLOOKUP(P$1,'peak-old'!$A$3:$DQ$20,$D24,FALSE))</f>
        <v>0</v>
      </c>
      <c r="Q24" s="15">
        <f>IF(ISNA(VLOOKUP(Q$1,'delta-old'!$A$3:$DQ$20,$D24,FALSE)),0,VLOOKUP(Q$1,'delta-old'!$A$3:$DQ$20,$D24,FALSE))</f>
        <v>138145.74</v>
      </c>
      <c r="R24" s="14">
        <f>IF(ISNA(VLOOKUP(R$1,'peak-old'!$A$3:$DQ$20,$D24,FALSE)),0,VLOOKUP(R$1,'peak-old'!$A$3:$DQ$20,$D24,FALSE))</f>
        <v>0</v>
      </c>
      <c r="S24" s="10"/>
    </row>
    <row r="25" spans="1:19" s="8" customFormat="1" x14ac:dyDescent="0.2">
      <c r="A25" s="8">
        <f t="shared" si="2"/>
        <v>2002</v>
      </c>
      <c r="B25" s="8">
        <f t="shared" si="3"/>
        <v>11</v>
      </c>
      <c r="C25" s="9">
        <f t="shared" si="1"/>
        <v>37561</v>
      </c>
      <c r="D25" s="8">
        <f t="shared" si="4"/>
        <v>19</v>
      </c>
      <c r="E25" s="14">
        <f>IF(ISNA(VLOOKUP(E$1,'delta-old'!$A$3:$DQ$20,$D25,FALSE)),0,VLOOKUP(E$1,'delta-old'!$A$3:$DQ$20,$D25,FALSE))</f>
        <v>-112766.29</v>
      </c>
      <c r="F25" s="14">
        <f>IF(ISNA(VLOOKUP(F$1,'peak-old'!$A$3:$DQ$20,$D25,FALSE)),0,VLOOKUP(F$1,'peak-old'!$A$3:$DQ$20,$D25,FALSE))</f>
        <v>0</v>
      </c>
      <c r="G25" s="14">
        <f>IF(ISNA(VLOOKUP(G$1,'peak-old'!$A$3:$DQ$20,$D25,FALSE)),0,VLOOKUP(G$1,'peak-old'!$A$3:$DQ$20,$D25,FALSE))</f>
        <v>0</v>
      </c>
      <c r="H25" s="14">
        <f>IF(ISNA(VLOOKUP(H$1,'peak-old'!$A$3:$DQ$20,$D25,FALSE)),0,VLOOKUP(H$1,'peak-old'!$A$3:$DQ$20,$D25,FALSE))</f>
        <v>-96000</v>
      </c>
      <c r="I25" s="14">
        <f>IF(ISNA(VLOOKUP(I$1,'peak-old'!$A$3:$DQ$20,$D25,FALSE)),0,VLOOKUP(I$1,'peak-old'!$A$3:$DQ$20,$D25,FALSE))</f>
        <v>0</v>
      </c>
      <c r="J25" s="14">
        <f>IF(ISNA(VLOOKUP(J$1,'peak-old'!$A$3:$DQ$20,$D25,FALSE)),0,VLOOKUP(J$1,'peak-old'!$A$3:$DQ$20,$D25,FALSE))</f>
        <v>0</v>
      </c>
      <c r="K25" s="14">
        <f>IF(ISNA(VLOOKUP(K$1,'peak-old'!$A$3:$DQ$20,$D25,FALSE)),0,VLOOKUP(K$1,'peak-old'!$A$3:$DQ$20,$D25,FALSE))</f>
        <v>0</v>
      </c>
      <c r="L25" s="14">
        <f>IF(ISNA(VLOOKUP(L$1,'peak-old'!$A$3:$DQ$20,$D25,FALSE)),0,VLOOKUP(L$1,'peak-old'!$A$3:$DQ$20,$D25,FALSE))</f>
        <v>0</v>
      </c>
      <c r="M25" s="14">
        <f>IF(ISNA(VLOOKUP(M$1,'peak-old'!$A$3:$DQ$20,$D25,FALSE)),0,VLOOKUP(M$1,'peak-old'!$A$3:$DQ$20,$D25,FALSE))</f>
        <v>0</v>
      </c>
      <c r="N25" s="14">
        <f>IF(ISNA(VLOOKUP(N$1,'peak-old'!$A$3:$DQ$20,$D25,FALSE)),0,VLOOKUP(N$1,'peak-old'!$A$3:$DQ$20,$D25,FALSE))</f>
        <v>0</v>
      </c>
      <c r="O25" s="14">
        <f>IF(ISNA(VLOOKUP(O$1,'peak-old'!$A$3:$DQ$20,$D25,FALSE)),0,VLOOKUP(O$1,'peak-old'!$A$3:$DQ$20,$D25,FALSE))</f>
        <v>0</v>
      </c>
      <c r="P25" s="14">
        <f>IF(ISNA(VLOOKUP(P$1,'peak-old'!$A$3:$DQ$20,$D25,FALSE)),0,VLOOKUP(P$1,'peak-old'!$A$3:$DQ$20,$D25,FALSE))</f>
        <v>0</v>
      </c>
      <c r="Q25" s="15">
        <f>IF(ISNA(VLOOKUP(Q$1,'delta-old'!$A$3:$DQ$20,$D25,FALSE)),0,VLOOKUP(Q$1,'delta-old'!$A$3:$DQ$20,$D25,FALSE))</f>
        <v>119614</v>
      </c>
      <c r="R25" s="14">
        <f>IF(ISNA(VLOOKUP(R$1,'peak-old'!$A$3:$DQ$20,$D25,FALSE)),0,VLOOKUP(R$1,'peak-old'!$A$3:$DQ$20,$D25,FALSE))</f>
        <v>0</v>
      </c>
      <c r="S25" s="10"/>
    </row>
    <row r="26" spans="1:19" s="8" customFormat="1" x14ac:dyDescent="0.2">
      <c r="A26" s="8">
        <f t="shared" si="2"/>
        <v>2002</v>
      </c>
      <c r="B26" s="8">
        <f t="shared" si="3"/>
        <v>12</v>
      </c>
      <c r="C26" s="9">
        <f t="shared" si="1"/>
        <v>37591</v>
      </c>
      <c r="D26" s="8">
        <f t="shared" si="4"/>
        <v>20</v>
      </c>
      <c r="E26" s="14">
        <f>IF(ISNA(VLOOKUP(E$1,'delta-old'!$A$3:$DQ$20,$D26,FALSE)),0,VLOOKUP(E$1,'delta-old'!$A$3:$DQ$20,$D26,FALSE))</f>
        <v>-117865.76</v>
      </c>
      <c r="F26" s="14">
        <f>IF(ISNA(VLOOKUP(F$1,'peak-old'!$A$3:$DQ$20,$D26,FALSE)),0,VLOOKUP(F$1,'peak-old'!$A$3:$DQ$20,$D26,FALSE))</f>
        <v>0</v>
      </c>
      <c r="G26" s="14">
        <f>IF(ISNA(VLOOKUP(G$1,'peak-old'!$A$3:$DQ$20,$D26,FALSE)),0,VLOOKUP(G$1,'peak-old'!$A$3:$DQ$20,$D26,FALSE))</f>
        <v>0</v>
      </c>
      <c r="H26" s="14">
        <f>IF(ISNA(VLOOKUP(H$1,'peak-old'!$A$3:$DQ$20,$D26,FALSE)),0,VLOOKUP(H$1,'peak-old'!$A$3:$DQ$20,$D26,FALSE))</f>
        <v>-100800</v>
      </c>
      <c r="I26" s="14">
        <f>IF(ISNA(VLOOKUP(I$1,'peak-old'!$A$3:$DQ$20,$D26,FALSE)),0,VLOOKUP(I$1,'peak-old'!$A$3:$DQ$20,$D26,FALSE))</f>
        <v>0</v>
      </c>
      <c r="J26" s="14">
        <f>IF(ISNA(VLOOKUP(J$1,'peak-old'!$A$3:$DQ$20,$D26,FALSE)),0,VLOOKUP(J$1,'peak-old'!$A$3:$DQ$20,$D26,FALSE))</f>
        <v>0</v>
      </c>
      <c r="K26" s="14">
        <f>IF(ISNA(VLOOKUP(K$1,'peak-old'!$A$3:$DQ$20,$D26,FALSE)),0,VLOOKUP(K$1,'peak-old'!$A$3:$DQ$20,$D26,FALSE))</f>
        <v>0</v>
      </c>
      <c r="L26" s="14">
        <f>IF(ISNA(VLOOKUP(L$1,'peak-old'!$A$3:$DQ$20,$D26,FALSE)),0,VLOOKUP(L$1,'peak-old'!$A$3:$DQ$20,$D26,FALSE))</f>
        <v>0</v>
      </c>
      <c r="M26" s="14">
        <f>IF(ISNA(VLOOKUP(M$1,'peak-old'!$A$3:$DQ$20,$D26,FALSE)),0,VLOOKUP(M$1,'peak-old'!$A$3:$DQ$20,$D26,FALSE))</f>
        <v>0</v>
      </c>
      <c r="N26" s="14">
        <f>IF(ISNA(VLOOKUP(N$1,'peak-old'!$A$3:$DQ$20,$D26,FALSE)),0,VLOOKUP(N$1,'peak-old'!$A$3:$DQ$20,$D26,FALSE))</f>
        <v>0</v>
      </c>
      <c r="O26" s="14">
        <f>IF(ISNA(VLOOKUP(O$1,'peak-old'!$A$3:$DQ$20,$D26,FALSE)),0,VLOOKUP(O$1,'peak-old'!$A$3:$DQ$20,$D26,FALSE))</f>
        <v>0</v>
      </c>
      <c r="P26" s="14">
        <f>IF(ISNA(VLOOKUP(P$1,'peak-old'!$A$3:$DQ$20,$D26,FALSE)),0,VLOOKUP(P$1,'peak-old'!$A$3:$DQ$20,$D26,FALSE))</f>
        <v>0</v>
      </c>
      <c r="Q26" s="15">
        <f>IF(ISNA(VLOOKUP(Q$1,'delta-old'!$A$3:$DQ$20,$D26,FALSE)),0,VLOOKUP(Q$1,'delta-old'!$A$3:$DQ$20,$D26,FALSE))</f>
        <v>125027.17</v>
      </c>
      <c r="R26" s="14">
        <f>IF(ISNA(VLOOKUP(R$1,'peak-old'!$A$3:$DQ$20,$D26,FALSE)),0,VLOOKUP(R$1,'peak-old'!$A$3:$DQ$20,$D26,FALSE))</f>
        <v>0</v>
      </c>
      <c r="S26" s="10"/>
    </row>
    <row r="27" spans="1:19" s="8" customFormat="1" x14ac:dyDescent="0.2">
      <c r="A27" s="8">
        <f t="shared" si="2"/>
        <v>2003</v>
      </c>
      <c r="B27" s="8">
        <f t="shared" si="3"/>
        <v>1</v>
      </c>
      <c r="C27" s="9">
        <f t="shared" si="1"/>
        <v>37622</v>
      </c>
      <c r="D27" s="8">
        <f t="shared" si="4"/>
        <v>21</v>
      </c>
      <c r="E27" s="14">
        <f>IF(ISNA(VLOOKUP(E$1,'delta-old'!$A$3:$DQ$20,$D27,FALSE)),0,VLOOKUP(E$1,'delta-old'!$A$3:$DQ$20,$D27,FALSE))</f>
        <v>-204364.92</v>
      </c>
      <c r="F27" s="14">
        <f>IF(ISNA(VLOOKUP(F$1,'peak-old'!$A$3:$DQ$20,$D27,FALSE)),0,VLOOKUP(F$1,'peak-old'!$A$3:$DQ$20,$D27,FALSE))</f>
        <v>0</v>
      </c>
      <c r="G27" s="14">
        <f>IF(ISNA(VLOOKUP(G$1,'peak-old'!$A$3:$DQ$20,$D27,FALSE)),0,VLOOKUP(G$1,'peak-old'!$A$3:$DQ$20,$D27,FALSE))</f>
        <v>0</v>
      </c>
      <c r="H27" s="14">
        <f>IF(ISNA(VLOOKUP(H$1,'peak-old'!$A$3:$DQ$20,$D27,FALSE)),0,VLOOKUP(H$1,'peak-old'!$A$3:$DQ$20,$D27,FALSE))</f>
        <v>-176000</v>
      </c>
      <c r="I27" s="14">
        <f>IF(ISNA(VLOOKUP(I$1,'peak-old'!$A$3:$DQ$20,$D27,FALSE)),0,VLOOKUP(I$1,'peak-old'!$A$3:$DQ$20,$D27,FALSE))</f>
        <v>0</v>
      </c>
      <c r="J27" s="14">
        <f>IF(ISNA(VLOOKUP(J$1,'peak-old'!$A$3:$DQ$20,$D27,FALSE)),0,VLOOKUP(J$1,'peak-old'!$A$3:$DQ$20,$D27,FALSE))</f>
        <v>0</v>
      </c>
      <c r="K27" s="14">
        <f>IF(ISNA(VLOOKUP(K$1,'peak-old'!$A$3:$DQ$20,$D27,FALSE)),0,VLOOKUP(K$1,'peak-old'!$A$3:$DQ$20,$D27,FALSE))</f>
        <v>0</v>
      </c>
      <c r="L27" s="14">
        <f>IF(ISNA(VLOOKUP(L$1,'peak-old'!$A$3:$DQ$20,$D27,FALSE)),0,VLOOKUP(L$1,'peak-old'!$A$3:$DQ$20,$D27,FALSE))</f>
        <v>0</v>
      </c>
      <c r="M27" s="14">
        <f>IF(ISNA(VLOOKUP(M$1,'peak-old'!$A$3:$DQ$20,$D27,FALSE)),0,VLOOKUP(M$1,'peak-old'!$A$3:$DQ$20,$D27,FALSE))</f>
        <v>0</v>
      </c>
      <c r="N27" s="14">
        <f>IF(ISNA(VLOOKUP(N$1,'peak-old'!$A$3:$DQ$20,$D27,FALSE)),0,VLOOKUP(N$1,'peak-old'!$A$3:$DQ$20,$D27,FALSE))</f>
        <v>0</v>
      </c>
      <c r="O27" s="14">
        <f>IF(ISNA(VLOOKUP(O$1,'peak-old'!$A$3:$DQ$20,$D27,FALSE)),0,VLOOKUP(O$1,'peak-old'!$A$3:$DQ$20,$D27,FALSE))</f>
        <v>0</v>
      </c>
      <c r="P27" s="14">
        <f>IF(ISNA(VLOOKUP(P$1,'peak-old'!$A$3:$DQ$20,$D27,FALSE)),0,VLOOKUP(P$1,'peak-old'!$A$3:$DQ$20,$D27,FALSE))</f>
        <v>0</v>
      </c>
      <c r="Q27" s="15">
        <f>IF(ISNA(VLOOKUP(Q$1,'delta-old'!$A$3:$DQ$20,$D27,FALSE)),0,VLOOKUP(Q$1,'delta-old'!$A$3:$DQ$20,$D27,FALSE))</f>
        <v>146673.39000000001</v>
      </c>
      <c r="R27" s="14">
        <f>IF(ISNA(VLOOKUP(R$1,'peak-old'!$A$3:$DQ$20,$D27,FALSE)),0,VLOOKUP(R$1,'peak-old'!$A$3:$DQ$20,$D27,FALSE))</f>
        <v>-17600</v>
      </c>
      <c r="S27" s="10"/>
    </row>
    <row r="28" spans="1:19" s="8" customFormat="1" x14ac:dyDescent="0.2">
      <c r="A28" s="8">
        <f t="shared" si="2"/>
        <v>2003</v>
      </c>
      <c r="B28" s="8">
        <f t="shared" si="3"/>
        <v>2</v>
      </c>
      <c r="C28" s="9">
        <f t="shared" si="1"/>
        <v>37653</v>
      </c>
      <c r="D28" s="8">
        <f t="shared" si="4"/>
        <v>22</v>
      </c>
      <c r="E28" s="14">
        <f>IF(ISNA(VLOOKUP(E$1,'delta-old'!$A$3:$DQ$20,$D28,FALSE)),0,VLOOKUP(E$1,'delta-old'!$A$3:$DQ$20,$D28,FALSE))</f>
        <v>-185003.14</v>
      </c>
      <c r="F28" s="14">
        <f>IF(ISNA(VLOOKUP(F$1,'peak-old'!$A$3:$DQ$20,$D28,FALSE)),0,VLOOKUP(F$1,'peak-old'!$A$3:$DQ$20,$D28,FALSE))</f>
        <v>0</v>
      </c>
      <c r="G28" s="14">
        <f>IF(ISNA(VLOOKUP(G$1,'peak-old'!$A$3:$DQ$20,$D28,FALSE)),0,VLOOKUP(G$1,'peak-old'!$A$3:$DQ$20,$D28,FALSE))</f>
        <v>0</v>
      </c>
      <c r="H28" s="14">
        <f>IF(ISNA(VLOOKUP(H$1,'peak-old'!$A$3:$DQ$20,$D28,FALSE)),0,VLOOKUP(H$1,'peak-old'!$A$3:$DQ$20,$D28,FALSE))</f>
        <v>-160000</v>
      </c>
      <c r="I28" s="14">
        <f>IF(ISNA(VLOOKUP(I$1,'peak-old'!$A$3:$DQ$20,$D28,FALSE)),0,VLOOKUP(I$1,'peak-old'!$A$3:$DQ$20,$D28,FALSE))</f>
        <v>0</v>
      </c>
      <c r="J28" s="14">
        <f>IF(ISNA(VLOOKUP(J$1,'peak-old'!$A$3:$DQ$20,$D28,FALSE)),0,VLOOKUP(J$1,'peak-old'!$A$3:$DQ$20,$D28,FALSE))</f>
        <v>0</v>
      </c>
      <c r="K28" s="14">
        <f>IF(ISNA(VLOOKUP(K$1,'peak-old'!$A$3:$DQ$20,$D28,FALSE)),0,VLOOKUP(K$1,'peak-old'!$A$3:$DQ$20,$D28,FALSE))</f>
        <v>0</v>
      </c>
      <c r="L28" s="14">
        <f>IF(ISNA(VLOOKUP(L$1,'peak-old'!$A$3:$DQ$20,$D28,FALSE)),0,VLOOKUP(L$1,'peak-old'!$A$3:$DQ$20,$D28,FALSE))</f>
        <v>0</v>
      </c>
      <c r="M28" s="14">
        <f>IF(ISNA(VLOOKUP(M$1,'peak-old'!$A$3:$DQ$20,$D28,FALSE)),0,VLOOKUP(M$1,'peak-old'!$A$3:$DQ$20,$D28,FALSE))</f>
        <v>0</v>
      </c>
      <c r="N28" s="14">
        <f>IF(ISNA(VLOOKUP(N$1,'peak-old'!$A$3:$DQ$20,$D28,FALSE)),0,VLOOKUP(N$1,'peak-old'!$A$3:$DQ$20,$D28,FALSE))</f>
        <v>0</v>
      </c>
      <c r="O28" s="14">
        <f>IF(ISNA(VLOOKUP(O$1,'peak-old'!$A$3:$DQ$20,$D28,FALSE)),0,VLOOKUP(O$1,'peak-old'!$A$3:$DQ$20,$D28,FALSE))</f>
        <v>0</v>
      </c>
      <c r="P28" s="14">
        <f>IF(ISNA(VLOOKUP(P$1,'peak-old'!$A$3:$DQ$20,$D28,FALSE)),0,VLOOKUP(P$1,'peak-old'!$A$3:$DQ$20,$D28,FALSE))</f>
        <v>0</v>
      </c>
      <c r="Q28" s="15">
        <f>IF(ISNA(VLOOKUP(Q$1,'delta-old'!$A$3:$DQ$20,$D28,FALSE)),0,VLOOKUP(Q$1,'delta-old'!$A$3:$DQ$20,$D28,FALSE))</f>
        <v>132777.37</v>
      </c>
      <c r="R28" s="14">
        <f>IF(ISNA(VLOOKUP(R$1,'peak-old'!$A$3:$DQ$20,$D28,FALSE)),0,VLOOKUP(R$1,'peak-old'!$A$3:$DQ$20,$D28,FALSE))</f>
        <v>-16000</v>
      </c>
      <c r="S28" s="10"/>
    </row>
    <row r="29" spans="1:19" s="8" customFormat="1" x14ac:dyDescent="0.2">
      <c r="A29" s="8">
        <f t="shared" si="2"/>
        <v>2003</v>
      </c>
      <c r="B29" s="8">
        <f t="shared" si="3"/>
        <v>3</v>
      </c>
      <c r="C29" s="9">
        <f t="shared" si="1"/>
        <v>37681</v>
      </c>
      <c r="D29" s="8">
        <f t="shared" si="4"/>
        <v>23</v>
      </c>
      <c r="E29" s="14">
        <f>IF(ISNA(VLOOKUP(E$1,'delta-old'!$A$3:$DQ$20,$D29,FALSE)),0,VLOOKUP(E$1,'delta-old'!$A$3:$DQ$20,$D29,FALSE))</f>
        <v>-239596.73</v>
      </c>
      <c r="F29" s="14">
        <f>IF(ISNA(VLOOKUP(F$1,'peak-old'!$A$3:$DQ$20,$D29,FALSE)),0,VLOOKUP(F$1,'peak-old'!$A$3:$DQ$20,$D29,FALSE))</f>
        <v>0</v>
      </c>
      <c r="G29" s="14">
        <f>IF(ISNA(VLOOKUP(G$1,'peak-old'!$A$3:$DQ$20,$D29,FALSE)),0,VLOOKUP(G$1,'peak-old'!$A$3:$DQ$20,$D29,FALSE))</f>
        <v>0</v>
      </c>
      <c r="H29" s="14">
        <f>IF(ISNA(VLOOKUP(H$1,'peak-old'!$A$3:$DQ$20,$D29,FALSE)),0,VLOOKUP(H$1,'peak-old'!$A$3:$DQ$20,$D29,FALSE))</f>
        <v>-168000</v>
      </c>
      <c r="I29" s="14">
        <f>IF(ISNA(VLOOKUP(I$1,'peak-old'!$A$3:$DQ$20,$D29,FALSE)),0,VLOOKUP(I$1,'peak-old'!$A$3:$DQ$20,$D29,FALSE))</f>
        <v>0</v>
      </c>
      <c r="J29" s="14">
        <f>IF(ISNA(VLOOKUP(J$1,'peak-old'!$A$3:$DQ$20,$D29,FALSE)),0,VLOOKUP(J$1,'peak-old'!$A$3:$DQ$20,$D29,FALSE))</f>
        <v>0</v>
      </c>
      <c r="K29" s="14">
        <f>IF(ISNA(VLOOKUP(K$1,'peak-old'!$A$3:$DQ$20,$D29,FALSE)),0,VLOOKUP(K$1,'peak-old'!$A$3:$DQ$20,$D29,FALSE))</f>
        <v>0</v>
      </c>
      <c r="L29" s="14">
        <f>IF(ISNA(VLOOKUP(L$1,'peak-old'!$A$3:$DQ$20,$D29,FALSE)),0,VLOOKUP(L$1,'peak-old'!$A$3:$DQ$20,$D29,FALSE))</f>
        <v>0</v>
      </c>
      <c r="M29" s="14">
        <f>IF(ISNA(VLOOKUP(M$1,'peak-old'!$A$3:$DQ$20,$D29,FALSE)),0,VLOOKUP(M$1,'peak-old'!$A$3:$DQ$20,$D29,FALSE))</f>
        <v>0</v>
      </c>
      <c r="N29" s="14">
        <f>IF(ISNA(VLOOKUP(N$1,'peak-old'!$A$3:$DQ$20,$D29,FALSE)),0,VLOOKUP(N$1,'peak-old'!$A$3:$DQ$20,$D29,FALSE))</f>
        <v>0</v>
      </c>
      <c r="O29" s="14">
        <f>IF(ISNA(VLOOKUP(O$1,'peak-old'!$A$3:$DQ$20,$D29,FALSE)),0,VLOOKUP(O$1,'peak-old'!$A$3:$DQ$20,$D29,FALSE))</f>
        <v>0</v>
      </c>
      <c r="P29" s="14">
        <f>IF(ISNA(VLOOKUP(P$1,'peak-old'!$A$3:$DQ$20,$D29,FALSE)),0,VLOOKUP(P$1,'peak-old'!$A$3:$DQ$20,$D29,FALSE))</f>
        <v>0</v>
      </c>
      <c r="Q29" s="15">
        <f>IF(ISNA(VLOOKUP(Q$1,'delta-old'!$A$3:$DQ$20,$D29,FALSE)),0,VLOOKUP(Q$1,'delta-old'!$A$3:$DQ$20,$D29,FALSE))</f>
        <v>185016.78</v>
      </c>
      <c r="R29" s="14">
        <f>IF(ISNA(VLOOKUP(R$1,'peak-old'!$A$3:$DQ$20,$D29,FALSE)),0,VLOOKUP(R$1,'peak-old'!$A$3:$DQ$20,$D29,FALSE))</f>
        <v>-16800</v>
      </c>
      <c r="S29" s="10"/>
    </row>
    <row r="30" spans="1:19" s="8" customFormat="1" x14ac:dyDescent="0.2">
      <c r="A30" s="8">
        <f t="shared" si="2"/>
        <v>2003</v>
      </c>
      <c r="B30" s="8">
        <f t="shared" si="3"/>
        <v>4</v>
      </c>
      <c r="C30" s="9">
        <f t="shared" si="1"/>
        <v>37712</v>
      </c>
      <c r="D30" s="8">
        <f t="shared" si="4"/>
        <v>24</v>
      </c>
      <c r="E30" s="14">
        <f>IF(ISNA(VLOOKUP(E$1,'delta-old'!$A$3:$DQ$20,$D30,FALSE)),0,VLOOKUP(E$1,'delta-old'!$A$3:$DQ$20,$D30,FALSE))</f>
        <v>-249855.32</v>
      </c>
      <c r="F30" s="14">
        <f>IF(ISNA(VLOOKUP(F$1,'peak-old'!$A$3:$DQ$20,$D30,FALSE)),0,VLOOKUP(F$1,'peak-old'!$A$3:$DQ$20,$D30,FALSE))</f>
        <v>0</v>
      </c>
      <c r="G30" s="14">
        <f>IF(ISNA(VLOOKUP(G$1,'peak-old'!$A$3:$DQ$20,$D30,FALSE)),0,VLOOKUP(G$1,'peak-old'!$A$3:$DQ$20,$D30,FALSE))</f>
        <v>0</v>
      </c>
      <c r="H30" s="14">
        <f>IF(ISNA(VLOOKUP(H$1,'peak-old'!$A$3:$DQ$20,$D30,FALSE)),0,VLOOKUP(H$1,'peak-old'!$A$3:$DQ$20,$D30,FALSE))</f>
        <v>-176000</v>
      </c>
      <c r="I30" s="14">
        <f>IF(ISNA(VLOOKUP(I$1,'peak-old'!$A$3:$DQ$20,$D30,FALSE)),0,VLOOKUP(I$1,'peak-old'!$A$3:$DQ$20,$D30,FALSE))</f>
        <v>0</v>
      </c>
      <c r="J30" s="14">
        <f>IF(ISNA(VLOOKUP(J$1,'peak-old'!$A$3:$DQ$20,$D30,FALSE)),0,VLOOKUP(J$1,'peak-old'!$A$3:$DQ$20,$D30,FALSE))</f>
        <v>0</v>
      </c>
      <c r="K30" s="14">
        <f>IF(ISNA(VLOOKUP(K$1,'peak-old'!$A$3:$DQ$20,$D30,FALSE)),0,VLOOKUP(K$1,'peak-old'!$A$3:$DQ$20,$D30,FALSE))</f>
        <v>0</v>
      </c>
      <c r="L30" s="14">
        <f>IF(ISNA(VLOOKUP(L$1,'peak-old'!$A$3:$DQ$20,$D30,FALSE)),0,VLOOKUP(L$1,'peak-old'!$A$3:$DQ$20,$D30,FALSE))</f>
        <v>0</v>
      </c>
      <c r="M30" s="14">
        <f>IF(ISNA(VLOOKUP(M$1,'peak-old'!$A$3:$DQ$20,$D30,FALSE)),0,VLOOKUP(M$1,'peak-old'!$A$3:$DQ$20,$D30,FALSE))</f>
        <v>0</v>
      </c>
      <c r="N30" s="14">
        <f>IF(ISNA(VLOOKUP(N$1,'peak-old'!$A$3:$DQ$20,$D30,FALSE)),0,VLOOKUP(N$1,'peak-old'!$A$3:$DQ$20,$D30,FALSE))</f>
        <v>0</v>
      </c>
      <c r="O30" s="14">
        <f>IF(ISNA(VLOOKUP(O$1,'peak-old'!$A$3:$DQ$20,$D30,FALSE)),0,VLOOKUP(O$1,'peak-old'!$A$3:$DQ$20,$D30,FALSE))</f>
        <v>0</v>
      </c>
      <c r="P30" s="14">
        <f>IF(ISNA(VLOOKUP(P$1,'peak-old'!$A$3:$DQ$20,$D30,FALSE)),0,VLOOKUP(P$1,'peak-old'!$A$3:$DQ$20,$D30,FALSE))</f>
        <v>0</v>
      </c>
      <c r="Q30" s="15">
        <f>IF(ISNA(VLOOKUP(Q$1,'delta-old'!$A$3:$DQ$20,$D30,FALSE)),0,VLOOKUP(Q$1,'delta-old'!$A$3:$DQ$20,$D30,FALSE))</f>
        <v>192938.47</v>
      </c>
      <c r="R30" s="14">
        <f>IF(ISNA(VLOOKUP(R$1,'peak-old'!$A$3:$DQ$20,$D30,FALSE)),0,VLOOKUP(R$1,'peak-old'!$A$3:$DQ$20,$D30,FALSE))</f>
        <v>-17600</v>
      </c>
      <c r="S30" s="10"/>
    </row>
    <row r="31" spans="1:19" s="8" customFormat="1" x14ac:dyDescent="0.2">
      <c r="A31" s="8">
        <f t="shared" si="2"/>
        <v>2003</v>
      </c>
      <c r="B31" s="8">
        <f t="shared" si="3"/>
        <v>5</v>
      </c>
      <c r="C31" s="9">
        <f t="shared" si="1"/>
        <v>37742</v>
      </c>
      <c r="D31" s="8">
        <f t="shared" si="4"/>
        <v>25</v>
      </c>
      <c r="E31" s="14">
        <f>IF(ISNA(VLOOKUP(E$1,'delta-old'!$A$3:$DQ$20,$D31,FALSE)),0,VLOOKUP(E$1,'delta-old'!$A$3:$DQ$20,$D31,FALSE))</f>
        <v>-237354.81</v>
      </c>
      <c r="F31" s="14">
        <f>IF(ISNA(VLOOKUP(F$1,'peak-old'!$A$3:$DQ$20,$D31,FALSE)),0,VLOOKUP(F$1,'peak-old'!$A$3:$DQ$20,$D31,FALSE))</f>
        <v>0</v>
      </c>
      <c r="G31" s="14">
        <f>IF(ISNA(VLOOKUP(G$1,'peak-old'!$A$3:$DQ$20,$D31,FALSE)),0,VLOOKUP(G$1,'peak-old'!$A$3:$DQ$20,$D31,FALSE))</f>
        <v>0</v>
      </c>
      <c r="H31" s="14">
        <f>IF(ISNA(VLOOKUP(H$1,'peak-old'!$A$3:$DQ$20,$D31,FALSE)),0,VLOOKUP(H$1,'peak-old'!$A$3:$DQ$20,$D31,FALSE))</f>
        <v>-168000</v>
      </c>
      <c r="I31" s="14">
        <f>IF(ISNA(VLOOKUP(I$1,'peak-old'!$A$3:$DQ$20,$D31,FALSE)),0,VLOOKUP(I$1,'peak-old'!$A$3:$DQ$20,$D31,FALSE))</f>
        <v>0</v>
      </c>
      <c r="J31" s="14">
        <f>IF(ISNA(VLOOKUP(J$1,'peak-old'!$A$3:$DQ$20,$D31,FALSE)),0,VLOOKUP(J$1,'peak-old'!$A$3:$DQ$20,$D31,FALSE))</f>
        <v>0</v>
      </c>
      <c r="K31" s="14">
        <f>IF(ISNA(VLOOKUP(K$1,'peak-old'!$A$3:$DQ$20,$D31,FALSE)),0,VLOOKUP(K$1,'peak-old'!$A$3:$DQ$20,$D31,FALSE))</f>
        <v>0</v>
      </c>
      <c r="L31" s="14">
        <f>IF(ISNA(VLOOKUP(L$1,'peak-old'!$A$3:$DQ$20,$D31,FALSE)),0,VLOOKUP(L$1,'peak-old'!$A$3:$DQ$20,$D31,FALSE))</f>
        <v>0</v>
      </c>
      <c r="M31" s="14">
        <f>IF(ISNA(VLOOKUP(M$1,'peak-old'!$A$3:$DQ$20,$D31,FALSE)),0,VLOOKUP(M$1,'peak-old'!$A$3:$DQ$20,$D31,FALSE))</f>
        <v>0</v>
      </c>
      <c r="N31" s="14">
        <f>IF(ISNA(VLOOKUP(N$1,'peak-old'!$A$3:$DQ$20,$D31,FALSE)),0,VLOOKUP(N$1,'peak-old'!$A$3:$DQ$20,$D31,FALSE))</f>
        <v>0</v>
      </c>
      <c r="O31" s="14">
        <f>IF(ISNA(VLOOKUP(O$1,'peak-old'!$A$3:$DQ$20,$D31,FALSE)),0,VLOOKUP(O$1,'peak-old'!$A$3:$DQ$20,$D31,FALSE))</f>
        <v>0</v>
      </c>
      <c r="P31" s="14">
        <f>IF(ISNA(VLOOKUP(P$1,'peak-old'!$A$3:$DQ$20,$D31,FALSE)),0,VLOOKUP(P$1,'peak-old'!$A$3:$DQ$20,$D31,FALSE))</f>
        <v>0</v>
      </c>
      <c r="Q31" s="15">
        <f>IF(ISNA(VLOOKUP(Q$1,'delta-old'!$A$3:$DQ$20,$D31,FALSE)),0,VLOOKUP(Q$1,'delta-old'!$A$3:$DQ$20,$D31,FALSE))</f>
        <v>76369</v>
      </c>
      <c r="R31" s="14">
        <f>IF(ISNA(VLOOKUP(R$1,'peak-old'!$A$3:$DQ$20,$D31,FALSE)),0,VLOOKUP(R$1,'peak-old'!$A$3:$DQ$20,$D31,FALSE))</f>
        <v>-16800</v>
      </c>
      <c r="S31" s="10"/>
    </row>
    <row r="32" spans="1:19" s="8" customFormat="1" x14ac:dyDescent="0.2">
      <c r="A32" s="8">
        <f t="shared" si="2"/>
        <v>2003</v>
      </c>
      <c r="B32" s="8">
        <f t="shared" si="3"/>
        <v>6</v>
      </c>
      <c r="C32" s="9">
        <f t="shared" si="1"/>
        <v>37773</v>
      </c>
      <c r="D32" s="8">
        <f t="shared" si="4"/>
        <v>26</v>
      </c>
      <c r="E32" s="14">
        <f>IF(ISNA(VLOOKUP(E$1,'delta-old'!$A$3:$DQ$20,$D32,FALSE)),0,VLOOKUP(E$1,'delta-old'!$A$3:$DQ$20,$D32,FALSE))</f>
        <v>-175435.25</v>
      </c>
      <c r="F32" s="14">
        <f>IF(ISNA(VLOOKUP(F$1,'peak-old'!$A$3:$DQ$20,$D32,FALSE)),0,VLOOKUP(F$1,'peak-old'!$A$3:$DQ$20,$D32,FALSE))</f>
        <v>0</v>
      </c>
      <c r="G32" s="14">
        <f>IF(ISNA(VLOOKUP(G$1,'peak-old'!$A$3:$DQ$20,$D32,FALSE)),0,VLOOKUP(G$1,'peak-old'!$A$3:$DQ$20,$D32,FALSE))</f>
        <v>0</v>
      </c>
      <c r="H32" s="14">
        <f>IF(ISNA(VLOOKUP(H$1,'peak-old'!$A$3:$DQ$20,$D32,FALSE)),0,VLOOKUP(H$1,'peak-old'!$A$3:$DQ$20,$D32,FALSE))</f>
        <v>-151200</v>
      </c>
      <c r="I32" s="14">
        <f>IF(ISNA(VLOOKUP(I$1,'peak-old'!$A$3:$DQ$20,$D32,FALSE)),0,VLOOKUP(I$1,'peak-old'!$A$3:$DQ$20,$D32,FALSE))</f>
        <v>0</v>
      </c>
      <c r="J32" s="14">
        <f>IF(ISNA(VLOOKUP(J$1,'peak-old'!$A$3:$DQ$20,$D32,FALSE)),0,VLOOKUP(J$1,'peak-old'!$A$3:$DQ$20,$D32,FALSE))</f>
        <v>0</v>
      </c>
      <c r="K32" s="14">
        <f>IF(ISNA(VLOOKUP(K$1,'peak-old'!$A$3:$DQ$20,$D32,FALSE)),0,VLOOKUP(K$1,'peak-old'!$A$3:$DQ$20,$D32,FALSE))</f>
        <v>0</v>
      </c>
      <c r="L32" s="14">
        <f>IF(ISNA(VLOOKUP(L$1,'peak-old'!$A$3:$DQ$20,$D32,FALSE)),0,VLOOKUP(L$1,'peak-old'!$A$3:$DQ$20,$D32,FALSE))</f>
        <v>0</v>
      </c>
      <c r="M32" s="14">
        <f>IF(ISNA(VLOOKUP(M$1,'peak-old'!$A$3:$DQ$20,$D32,FALSE)),0,VLOOKUP(M$1,'peak-old'!$A$3:$DQ$20,$D32,FALSE))</f>
        <v>0</v>
      </c>
      <c r="N32" s="14">
        <f>IF(ISNA(VLOOKUP(N$1,'peak-old'!$A$3:$DQ$20,$D32,FALSE)),0,VLOOKUP(N$1,'peak-old'!$A$3:$DQ$20,$D32,FALSE))</f>
        <v>0</v>
      </c>
      <c r="O32" s="14">
        <f>IF(ISNA(VLOOKUP(O$1,'peak-old'!$A$3:$DQ$20,$D32,FALSE)),0,VLOOKUP(O$1,'peak-old'!$A$3:$DQ$20,$D32,FALSE))</f>
        <v>0</v>
      </c>
      <c r="P32" s="14">
        <f>IF(ISNA(VLOOKUP(P$1,'peak-old'!$A$3:$DQ$20,$D32,FALSE)),0,VLOOKUP(P$1,'peak-old'!$A$3:$DQ$20,$D32,FALSE))</f>
        <v>0</v>
      </c>
      <c r="Q32" s="15">
        <f>IF(ISNA(VLOOKUP(Q$1,'delta-old'!$A$3:$DQ$20,$D32,FALSE)),0,VLOOKUP(Q$1,'delta-old'!$A$3:$DQ$20,$D32,FALSE))</f>
        <v>76011.81</v>
      </c>
      <c r="R32" s="14">
        <f>IF(ISNA(VLOOKUP(R$1,'peak-old'!$A$3:$DQ$20,$D32,FALSE)),0,VLOOKUP(R$1,'peak-old'!$A$3:$DQ$20,$D32,FALSE))</f>
        <v>-16800</v>
      </c>
      <c r="S32" s="10"/>
    </row>
    <row r="33" spans="1:19" s="8" customFormat="1" x14ac:dyDescent="0.2">
      <c r="A33" s="8">
        <f t="shared" si="2"/>
        <v>2003</v>
      </c>
      <c r="B33" s="8">
        <f t="shared" si="3"/>
        <v>7</v>
      </c>
      <c r="C33" s="9">
        <f t="shared" si="1"/>
        <v>37803</v>
      </c>
      <c r="D33" s="8">
        <f t="shared" si="4"/>
        <v>27</v>
      </c>
      <c r="E33" s="14">
        <f>IF(ISNA(VLOOKUP(E$1,'delta-old'!$A$3:$DQ$20,$D33,FALSE)),0,VLOOKUP(E$1,'delta-old'!$A$3:$DQ$20,$D33,FALSE))</f>
        <v>163710.76</v>
      </c>
      <c r="F33" s="14">
        <f>IF(ISNA(VLOOKUP(F$1,'peak-old'!$A$3:$DQ$20,$D33,FALSE)),0,VLOOKUP(F$1,'peak-old'!$A$3:$DQ$20,$D33,FALSE))</f>
        <v>0</v>
      </c>
      <c r="G33" s="14">
        <f>IF(ISNA(VLOOKUP(G$1,'peak-old'!$A$3:$DQ$20,$D33,FALSE)),0,VLOOKUP(G$1,'peak-old'!$A$3:$DQ$20,$D33,FALSE))</f>
        <v>0</v>
      </c>
      <c r="H33" s="14">
        <f>IF(ISNA(VLOOKUP(H$1,'peak-old'!$A$3:$DQ$20,$D33,FALSE)),0,VLOOKUP(H$1,'peak-old'!$A$3:$DQ$20,$D33,FALSE))</f>
        <v>-228800</v>
      </c>
      <c r="I33" s="14">
        <f>IF(ISNA(VLOOKUP(I$1,'peak-old'!$A$3:$DQ$20,$D33,FALSE)),0,VLOOKUP(I$1,'peak-old'!$A$3:$DQ$20,$D33,FALSE))</f>
        <v>0</v>
      </c>
      <c r="J33" s="14">
        <f>IF(ISNA(VLOOKUP(J$1,'peak-old'!$A$3:$DQ$20,$D33,FALSE)),0,VLOOKUP(J$1,'peak-old'!$A$3:$DQ$20,$D33,FALSE))</f>
        <v>0</v>
      </c>
      <c r="K33" s="14">
        <f>IF(ISNA(VLOOKUP(K$1,'peak-old'!$A$3:$DQ$20,$D33,FALSE)),0,VLOOKUP(K$1,'peak-old'!$A$3:$DQ$20,$D33,FALSE))</f>
        <v>0</v>
      </c>
      <c r="L33" s="14">
        <f>IF(ISNA(VLOOKUP(L$1,'peak-old'!$A$3:$DQ$20,$D33,FALSE)),0,VLOOKUP(L$1,'peak-old'!$A$3:$DQ$20,$D33,FALSE))</f>
        <v>0</v>
      </c>
      <c r="M33" s="14">
        <f>IF(ISNA(VLOOKUP(M$1,'peak-old'!$A$3:$DQ$20,$D33,FALSE)),0,VLOOKUP(M$1,'peak-old'!$A$3:$DQ$20,$D33,FALSE))</f>
        <v>0</v>
      </c>
      <c r="N33" s="14">
        <f>IF(ISNA(VLOOKUP(N$1,'peak-old'!$A$3:$DQ$20,$D33,FALSE)),0,VLOOKUP(N$1,'peak-old'!$A$3:$DQ$20,$D33,FALSE))</f>
        <v>0</v>
      </c>
      <c r="O33" s="14">
        <f>IF(ISNA(VLOOKUP(O$1,'peak-old'!$A$3:$DQ$20,$D33,FALSE)),0,VLOOKUP(O$1,'peak-old'!$A$3:$DQ$20,$D33,FALSE))</f>
        <v>0</v>
      </c>
      <c r="P33" s="14">
        <f>IF(ISNA(VLOOKUP(P$1,'peak-old'!$A$3:$DQ$20,$D33,FALSE)),0,VLOOKUP(P$1,'peak-old'!$A$3:$DQ$20,$D33,FALSE))</f>
        <v>0</v>
      </c>
      <c r="Q33" s="15">
        <f>IF(ISNA(VLOOKUP(Q$1,'delta-old'!$A$3:$DQ$20,$D33,FALSE)),0,VLOOKUP(Q$1,'delta-old'!$A$3:$DQ$20,$D33,FALSE))</f>
        <v>15848.44</v>
      </c>
      <c r="R33" s="14">
        <f>IF(ISNA(VLOOKUP(R$1,'peak-old'!$A$3:$DQ$20,$D33,FALSE)),0,VLOOKUP(R$1,'peak-old'!$A$3:$DQ$20,$D33,FALSE))</f>
        <v>-17600</v>
      </c>
      <c r="S33" s="10"/>
    </row>
    <row r="34" spans="1:19" s="8" customFormat="1" x14ac:dyDescent="0.2">
      <c r="A34" s="8">
        <f t="shared" si="2"/>
        <v>2003</v>
      </c>
      <c r="B34" s="8">
        <f t="shared" si="3"/>
        <v>8</v>
      </c>
      <c r="C34" s="9">
        <f t="shared" si="1"/>
        <v>37834</v>
      </c>
      <c r="D34" s="8">
        <f t="shared" si="4"/>
        <v>28</v>
      </c>
      <c r="E34" s="14">
        <f>IF(ISNA(VLOOKUP(E$1,'delta-old'!$A$3:$DQ$20,$D34,FALSE)),0,VLOOKUP(E$1,'delta-old'!$A$3:$DQ$20,$D34,FALSE))</f>
        <v>147401.65</v>
      </c>
      <c r="F34" s="14">
        <f>IF(ISNA(VLOOKUP(F$1,'peak-old'!$A$3:$DQ$20,$D34,FALSE)),0,VLOOKUP(F$1,'peak-old'!$A$3:$DQ$20,$D34,FALSE))</f>
        <v>0</v>
      </c>
      <c r="G34" s="14">
        <f>IF(ISNA(VLOOKUP(G$1,'peak-old'!$A$3:$DQ$20,$D34,FALSE)),0,VLOOKUP(G$1,'peak-old'!$A$3:$DQ$20,$D34,FALSE))</f>
        <v>0</v>
      </c>
      <c r="H34" s="14">
        <f>IF(ISNA(VLOOKUP(H$1,'peak-old'!$A$3:$DQ$20,$D34,FALSE)),0,VLOOKUP(H$1,'peak-old'!$A$3:$DQ$20,$D34,FALSE))</f>
        <v>-218400</v>
      </c>
      <c r="I34" s="14">
        <f>IF(ISNA(VLOOKUP(I$1,'peak-old'!$A$3:$DQ$20,$D34,FALSE)),0,VLOOKUP(I$1,'peak-old'!$A$3:$DQ$20,$D34,FALSE))</f>
        <v>0</v>
      </c>
      <c r="J34" s="14">
        <f>IF(ISNA(VLOOKUP(J$1,'peak-old'!$A$3:$DQ$20,$D34,FALSE)),0,VLOOKUP(J$1,'peak-old'!$A$3:$DQ$20,$D34,FALSE))</f>
        <v>0</v>
      </c>
      <c r="K34" s="14">
        <f>IF(ISNA(VLOOKUP(K$1,'peak-old'!$A$3:$DQ$20,$D34,FALSE)),0,VLOOKUP(K$1,'peak-old'!$A$3:$DQ$20,$D34,FALSE))</f>
        <v>0</v>
      </c>
      <c r="L34" s="14">
        <f>IF(ISNA(VLOOKUP(L$1,'peak-old'!$A$3:$DQ$20,$D34,FALSE)),0,VLOOKUP(L$1,'peak-old'!$A$3:$DQ$20,$D34,FALSE))</f>
        <v>0</v>
      </c>
      <c r="M34" s="14">
        <f>IF(ISNA(VLOOKUP(M$1,'peak-old'!$A$3:$DQ$20,$D34,FALSE)),0,VLOOKUP(M$1,'peak-old'!$A$3:$DQ$20,$D34,FALSE))</f>
        <v>0</v>
      </c>
      <c r="N34" s="14">
        <f>IF(ISNA(VLOOKUP(N$1,'peak-old'!$A$3:$DQ$20,$D34,FALSE)),0,VLOOKUP(N$1,'peak-old'!$A$3:$DQ$20,$D34,FALSE))</f>
        <v>0</v>
      </c>
      <c r="O34" s="14">
        <f>IF(ISNA(VLOOKUP(O$1,'peak-old'!$A$3:$DQ$20,$D34,FALSE)),0,VLOOKUP(O$1,'peak-old'!$A$3:$DQ$20,$D34,FALSE))</f>
        <v>0</v>
      </c>
      <c r="P34" s="14">
        <f>IF(ISNA(VLOOKUP(P$1,'peak-old'!$A$3:$DQ$20,$D34,FALSE)),0,VLOOKUP(P$1,'peak-old'!$A$3:$DQ$20,$D34,FALSE))</f>
        <v>0</v>
      </c>
      <c r="Q34" s="15">
        <f>IF(ISNA(VLOOKUP(Q$1,'delta-old'!$A$3:$DQ$20,$D34,FALSE)),0,VLOOKUP(Q$1,'delta-old'!$A$3:$DQ$20,$D34,FALSE))</f>
        <v>15053.47</v>
      </c>
      <c r="R34" s="14">
        <f>IF(ISNA(VLOOKUP(R$1,'peak-old'!$A$3:$DQ$20,$D34,FALSE)),0,VLOOKUP(R$1,'peak-old'!$A$3:$DQ$20,$D34,FALSE))</f>
        <v>-16800</v>
      </c>
      <c r="S34" s="10"/>
    </row>
    <row r="35" spans="1:19" s="8" customFormat="1" x14ac:dyDescent="0.2">
      <c r="A35" s="8">
        <f t="shared" si="2"/>
        <v>2003</v>
      </c>
      <c r="B35" s="8">
        <f t="shared" si="3"/>
        <v>9</v>
      </c>
      <c r="C35" s="9">
        <f t="shared" ref="C35:C66" si="5">DATE(A35,B35,1)</f>
        <v>37865</v>
      </c>
      <c r="D35" s="8">
        <f t="shared" si="4"/>
        <v>29</v>
      </c>
      <c r="E35" s="14">
        <f>IF(ISNA(VLOOKUP(E$1,'delta-old'!$A$3:$DQ$20,$D35,FALSE)),0,VLOOKUP(E$1,'delta-old'!$A$3:$DQ$20,$D35,FALSE))</f>
        <v>-232811.24</v>
      </c>
      <c r="F35" s="14">
        <f>IF(ISNA(VLOOKUP(F$1,'peak-old'!$A$3:$DQ$20,$D35,FALSE)),0,VLOOKUP(F$1,'peak-old'!$A$3:$DQ$20,$D35,FALSE))</f>
        <v>0</v>
      </c>
      <c r="G35" s="14">
        <f>IF(ISNA(VLOOKUP(G$1,'peak-old'!$A$3:$DQ$20,$D35,FALSE)),0,VLOOKUP(G$1,'peak-old'!$A$3:$DQ$20,$D35,FALSE))</f>
        <v>0</v>
      </c>
      <c r="H35" s="14">
        <f>IF(ISNA(VLOOKUP(H$1,'peak-old'!$A$3:$DQ$20,$D35,FALSE)),0,VLOOKUP(H$1,'peak-old'!$A$3:$DQ$20,$D35,FALSE))</f>
        <v>-134400</v>
      </c>
      <c r="I35" s="14">
        <f>IF(ISNA(VLOOKUP(I$1,'peak-old'!$A$3:$DQ$20,$D35,FALSE)),0,VLOOKUP(I$1,'peak-old'!$A$3:$DQ$20,$D35,FALSE))</f>
        <v>0</v>
      </c>
      <c r="J35" s="14">
        <f>IF(ISNA(VLOOKUP(J$1,'peak-old'!$A$3:$DQ$20,$D35,FALSE)),0,VLOOKUP(J$1,'peak-old'!$A$3:$DQ$20,$D35,FALSE))</f>
        <v>0</v>
      </c>
      <c r="K35" s="14">
        <f>IF(ISNA(VLOOKUP(K$1,'peak-old'!$A$3:$DQ$20,$D35,FALSE)),0,VLOOKUP(K$1,'peak-old'!$A$3:$DQ$20,$D35,FALSE))</f>
        <v>0</v>
      </c>
      <c r="L35" s="14">
        <f>IF(ISNA(VLOOKUP(L$1,'peak-old'!$A$3:$DQ$20,$D35,FALSE)),0,VLOOKUP(L$1,'peak-old'!$A$3:$DQ$20,$D35,FALSE))</f>
        <v>0</v>
      </c>
      <c r="M35" s="14">
        <f>IF(ISNA(VLOOKUP(M$1,'peak-old'!$A$3:$DQ$20,$D35,FALSE)),0,VLOOKUP(M$1,'peak-old'!$A$3:$DQ$20,$D35,FALSE))</f>
        <v>0</v>
      </c>
      <c r="N35" s="14">
        <f>IF(ISNA(VLOOKUP(N$1,'peak-old'!$A$3:$DQ$20,$D35,FALSE)),0,VLOOKUP(N$1,'peak-old'!$A$3:$DQ$20,$D35,FALSE))</f>
        <v>0</v>
      </c>
      <c r="O35" s="14">
        <f>IF(ISNA(VLOOKUP(O$1,'peak-old'!$A$3:$DQ$20,$D35,FALSE)),0,VLOOKUP(O$1,'peak-old'!$A$3:$DQ$20,$D35,FALSE))</f>
        <v>0</v>
      </c>
      <c r="P35" s="14">
        <f>IF(ISNA(VLOOKUP(P$1,'peak-old'!$A$3:$DQ$20,$D35,FALSE)),0,VLOOKUP(P$1,'peak-old'!$A$3:$DQ$20,$D35,FALSE))</f>
        <v>0</v>
      </c>
      <c r="Q35" s="15">
        <f>IF(ISNA(VLOOKUP(Q$1,'delta-old'!$A$3:$DQ$20,$D35,FALSE)),0,VLOOKUP(Q$1,'delta-old'!$A$3:$DQ$20,$D35,FALSE))</f>
        <v>74907.09</v>
      </c>
      <c r="R35" s="14">
        <f>IF(ISNA(VLOOKUP(R$1,'peak-old'!$A$3:$DQ$20,$D35,FALSE)),0,VLOOKUP(R$1,'peak-old'!$A$3:$DQ$20,$D35,FALSE))</f>
        <v>-16800</v>
      </c>
      <c r="S35" s="10"/>
    </row>
    <row r="36" spans="1:19" s="8" customFormat="1" x14ac:dyDescent="0.2">
      <c r="A36" s="8">
        <f t="shared" ref="A36:A67" si="6">IF(B35=12,A35+1,A35)</f>
        <v>2003</v>
      </c>
      <c r="B36" s="8">
        <f t="shared" ref="B36:B67" si="7">IF(B35=12,1,B35+1)</f>
        <v>10</v>
      </c>
      <c r="C36" s="9">
        <f t="shared" si="5"/>
        <v>37895</v>
      </c>
      <c r="D36" s="8">
        <f t="shared" si="4"/>
        <v>30</v>
      </c>
      <c r="E36" s="14">
        <f>IF(ISNA(VLOOKUP(E$1,'delta-old'!$A$3:$DQ$20,$D36,FALSE)),0,VLOOKUP(E$1,'delta-old'!$A$3:$DQ$20,$D36,FALSE))</f>
        <v>-253711.94</v>
      </c>
      <c r="F36" s="14">
        <f>IF(ISNA(VLOOKUP(F$1,'peak-old'!$A$3:$DQ$20,$D36,FALSE)),0,VLOOKUP(F$1,'peak-old'!$A$3:$DQ$20,$D36,FALSE))</f>
        <v>0</v>
      </c>
      <c r="G36" s="14">
        <f>IF(ISNA(VLOOKUP(G$1,'peak-old'!$A$3:$DQ$20,$D36,FALSE)),0,VLOOKUP(G$1,'peak-old'!$A$3:$DQ$20,$D36,FALSE))</f>
        <v>0</v>
      </c>
      <c r="H36" s="14">
        <f>IF(ISNA(VLOOKUP(H$1,'peak-old'!$A$3:$DQ$20,$D36,FALSE)),0,VLOOKUP(H$1,'peak-old'!$A$3:$DQ$20,$D36,FALSE))</f>
        <v>-147200</v>
      </c>
      <c r="I36" s="14">
        <f>IF(ISNA(VLOOKUP(I$1,'peak-old'!$A$3:$DQ$20,$D36,FALSE)),0,VLOOKUP(I$1,'peak-old'!$A$3:$DQ$20,$D36,FALSE))</f>
        <v>0</v>
      </c>
      <c r="J36" s="14">
        <f>IF(ISNA(VLOOKUP(J$1,'peak-old'!$A$3:$DQ$20,$D36,FALSE)),0,VLOOKUP(J$1,'peak-old'!$A$3:$DQ$20,$D36,FALSE))</f>
        <v>0</v>
      </c>
      <c r="K36" s="14">
        <f>IF(ISNA(VLOOKUP(K$1,'peak-old'!$A$3:$DQ$20,$D36,FALSE)),0,VLOOKUP(K$1,'peak-old'!$A$3:$DQ$20,$D36,FALSE))</f>
        <v>0</v>
      </c>
      <c r="L36" s="14">
        <f>IF(ISNA(VLOOKUP(L$1,'peak-old'!$A$3:$DQ$20,$D36,FALSE)),0,VLOOKUP(L$1,'peak-old'!$A$3:$DQ$20,$D36,FALSE))</f>
        <v>0</v>
      </c>
      <c r="M36" s="14">
        <f>IF(ISNA(VLOOKUP(M$1,'peak-old'!$A$3:$DQ$20,$D36,FALSE)),0,VLOOKUP(M$1,'peak-old'!$A$3:$DQ$20,$D36,FALSE))</f>
        <v>0</v>
      </c>
      <c r="N36" s="14">
        <f>IF(ISNA(VLOOKUP(N$1,'peak-old'!$A$3:$DQ$20,$D36,FALSE)),0,VLOOKUP(N$1,'peak-old'!$A$3:$DQ$20,$D36,FALSE))</f>
        <v>0</v>
      </c>
      <c r="O36" s="14">
        <f>IF(ISNA(VLOOKUP(O$1,'peak-old'!$A$3:$DQ$20,$D36,FALSE)),0,VLOOKUP(O$1,'peak-old'!$A$3:$DQ$20,$D36,FALSE))</f>
        <v>0</v>
      </c>
      <c r="P36" s="14">
        <f>IF(ISNA(VLOOKUP(P$1,'peak-old'!$A$3:$DQ$20,$D36,FALSE)),0,VLOOKUP(P$1,'peak-old'!$A$3:$DQ$20,$D36,FALSE))</f>
        <v>0</v>
      </c>
      <c r="Q36" s="15">
        <f>IF(ISNA(VLOOKUP(Q$1,'delta-old'!$A$3:$DQ$20,$D36,FALSE)),0,VLOOKUP(Q$1,'delta-old'!$A$3:$DQ$20,$D36,FALSE))</f>
        <v>146937.42000000001</v>
      </c>
      <c r="R36" s="14">
        <f>IF(ISNA(VLOOKUP(R$1,'peak-old'!$A$3:$DQ$20,$D36,FALSE)),0,VLOOKUP(R$1,'peak-old'!$A$3:$DQ$20,$D36,FALSE))</f>
        <v>-18400</v>
      </c>
      <c r="S36" s="10"/>
    </row>
    <row r="37" spans="1:19" s="8" customFormat="1" x14ac:dyDescent="0.2">
      <c r="A37" s="8">
        <f t="shared" si="6"/>
        <v>2003</v>
      </c>
      <c r="B37" s="8">
        <f t="shared" si="7"/>
        <v>11</v>
      </c>
      <c r="C37" s="9">
        <f t="shared" si="5"/>
        <v>37926</v>
      </c>
      <c r="D37" s="8">
        <f t="shared" si="4"/>
        <v>31</v>
      </c>
      <c r="E37" s="14">
        <f>IF(ISNA(VLOOKUP(E$1,'delta-old'!$A$3:$DQ$20,$D37,FALSE)),0,VLOOKUP(E$1,'delta-old'!$A$3:$DQ$20,$D37,FALSE))</f>
        <v>-208567.32</v>
      </c>
      <c r="F37" s="14">
        <f>IF(ISNA(VLOOKUP(F$1,'peak-old'!$A$3:$DQ$20,$D37,FALSE)),0,VLOOKUP(F$1,'peak-old'!$A$3:$DQ$20,$D37,FALSE))</f>
        <v>0</v>
      </c>
      <c r="G37" s="14">
        <f>IF(ISNA(VLOOKUP(G$1,'peak-old'!$A$3:$DQ$20,$D37,FALSE)),0,VLOOKUP(G$1,'peak-old'!$A$3:$DQ$20,$D37,FALSE))</f>
        <v>0</v>
      </c>
      <c r="H37" s="14">
        <f>IF(ISNA(VLOOKUP(H$1,'peak-old'!$A$3:$DQ$20,$D37,FALSE)),0,VLOOKUP(H$1,'peak-old'!$A$3:$DQ$20,$D37,FALSE))</f>
        <v>-121600</v>
      </c>
      <c r="I37" s="14">
        <f>IF(ISNA(VLOOKUP(I$1,'peak-old'!$A$3:$DQ$20,$D37,FALSE)),0,VLOOKUP(I$1,'peak-old'!$A$3:$DQ$20,$D37,FALSE))</f>
        <v>0</v>
      </c>
      <c r="J37" s="14">
        <f>IF(ISNA(VLOOKUP(J$1,'peak-old'!$A$3:$DQ$20,$D37,FALSE)),0,VLOOKUP(J$1,'peak-old'!$A$3:$DQ$20,$D37,FALSE))</f>
        <v>0</v>
      </c>
      <c r="K37" s="14">
        <f>IF(ISNA(VLOOKUP(K$1,'peak-old'!$A$3:$DQ$20,$D37,FALSE)),0,VLOOKUP(K$1,'peak-old'!$A$3:$DQ$20,$D37,FALSE))</f>
        <v>0</v>
      </c>
      <c r="L37" s="14">
        <f>IF(ISNA(VLOOKUP(L$1,'peak-old'!$A$3:$DQ$20,$D37,FALSE)),0,VLOOKUP(L$1,'peak-old'!$A$3:$DQ$20,$D37,FALSE))</f>
        <v>0</v>
      </c>
      <c r="M37" s="14">
        <f>IF(ISNA(VLOOKUP(M$1,'peak-old'!$A$3:$DQ$20,$D37,FALSE)),0,VLOOKUP(M$1,'peak-old'!$A$3:$DQ$20,$D37,FALSE))</f>
        <v>0</v>
      </c>
      <c r="N37" s="14">
        <f>IF(ISNA(VLOOKUP(N$1,'peak-old'!$A$3:$DQ$20,$D37,FALSE)),0,VLOOKUP(N$1,'peak-old'!$A$3:$DQ$20,$D37,FALSE))</f>
        <v>0</v>
      </c>
      <c r="O37" s="14">
        <f>IF(ISNA(VLOOKUP(O$1,'peak-old'!$A$3:$DQ$20,$D37,FALSE)),0,VLOOKUP(O$1,'peak-old'!$A$3:$DQ$20,$D37,FALSE))</f>
        <v>0</v>
      </c>
      <c r="P37" s="14">
        <f>IF(ISNA(VLOOKUP(P$1,'peak-old'!$A$3:$DQ$20,$D37,FALSE)),0,VLOOKUP(P$1,'peak-old'!$A$3:$DQ$20,$D37,FALSE))</f>
        <v>0</v>
      </c>
      <c r="Q37" s="15">
        <f>IF(ISNA(VLOOKUP(Q$1,'delta-old'!$A$3:$DQ$20,$D37,FALSE)),0,VLOOKUP(Q$1,'delta-old'!$A$3:$DQ$20,$D37,FALSE))</f>
        <v>120791.89</v>
      </c>
      <c r="R37" s="14">
        <f>IF(ISNA(VLOOKUP(R$1,'peak-old'!$A$3:$DQ$20,$D37,FALSE)),0,VLOOKUP(R$1,'peak-old'!$A$3:$DQ$20,$D37,FALSE))</f>
        <v>-15200</v>
      </c>
      <c r="S37" s="10"/>
    </row>
    <row r="38" spans="1:19" s="8" customFormat="1" x14ac:dyDescent="0.2">
      <c r="A38" s="8">
        <f t="shared" si="6"/>
        <v>2003</v>
      </c>
      <c r="B38" s="8">
        <f t="shared" si="7"/>
        <v>12</v>
      </c>
      <c r="C38" s="9">
        <f t="shared" si="5"/>
        <v>37956</v>
      </c>
      <c r="D38" s="8">
        <f t="shared" si="4"/>
        <v>32</v>
      </c>
      <c r="E38" s="14">
        <f>IF(ISNA(VLOOKUP(E$1,'delta-old'!$A$3:$DQ$20,$D38,FALSE)),0,VLOOKUP(E$1,'delta-old'!$A$3:$DQ$20,$D38,FALSE))</f>
        <v>-240275.76</v>
      </c>
      <c r="F38" s="14">
        <f>IF(ISNA(VLOOKUP(F$1,'peak-old'!$A$3:$DQ$20,$D38,FALSE)),0,VLOOKUP(F$1,'peak-old'!$A$3:$DQ$20,$D38,FALSE))</f>
        <v>0</v>
      </c>
      <c r="G38" s="14">
        <f>IF(ISNA(VLOOKUP(G$1,'peak-old'!$A$3:$DQ$20,$D38,FALSE)),0,VLOOKUP(G$1,'peak-old'!$A$3:$DQ$20,$D38,FALSE))</f>
        <v>0</v>
      </c>
      <c r="H38" s="14">
        <f>IF(ISNA(VLOOKUP(H$1,'peak-old'!$A$3:$DQ$20,$D38,FALSE)),0,VLOOKUP(H$1,'peak-old'!$A$3:$DQ$20,$D38,FALSE))</f>
        <v>-140800</v>
      </c>
      <c r="I38" s="14">
        <f>IF(ISNA(VLOOKUP(I$1,'peak-old'!$A$3:$DQ$20,$D38,FALSE)),0,VLOOKUP(I$1,'peak-old'!$A$3:$DQ$20,$D38,FALSE))</f>
        <v>0</v>
      </c>
      <c r="J38" s="14">
        <f>IF(ISNA(VLOOKUP(J$1,'peak-old'!$A$3:$DQ$20,$D38,FALSE)),0,VLOOKUP(J$1,'peak-old'!$A$3:$DQ$20,$D38,FALSE))</f>
        <v>0</v>
      </c>
      <c r="K38" s="14">
        <f>IF(ISNA(VLOOKUP(K$1,'peak-old'!$A$3:$DQ$20,$D38,FALSE)),0,VLOOKUP(K$1,'peak-old'!$A$3:$DQ$20,$D38,FALSE))</f>
        <v>0</v>
      </c>
      <c r="L38" s="14">
        <f>IF(ISNA(VLOOKUP(L$1,'peak-old'!$A$3:$DQ$20,$D38,FALSE)),0,VLOOKUP(L$1,'peak-old'!$A$3:$DQ$20,$D38,FALSE))</f>
        <v>0</v>
      </c>
      <c r="M38" s="14">
        <f>IF(ISNA(VLOOKUP(M$1,'peak-old'!$A$3:$DQ$20,$D38,FALSE)),0,VLOOKUP(M$1,'peak-old'!$A$3:$DQ$20,$D38,FALSE))</f>
        <v>0</v>
      </c>
      <c r="N38" s="14">
        <f>IF(ISNA(VLOOKUP(N$1,'peak-old'!$A$3:$DQ$20,$D38,FALSE)),0,VLOOKUP(N$1,'peak-old'!$A$3:$DQ$20,$D38,FALSE))</f>
        <v>0</v>
      </c>
      <c r="O38" s="14">
        <f>IF(ISNA(VLOOKUP(O$1,'peak-old'!$A$3:$DQ$20,$D38,FALSE)),0,VLOOKUP(O$1,'peak-old'!$A$3:$DQ$20,$D38,FALSE))</f>
        <v>0</v>
      </c>
      <c r="P38" s="14">
        <f>IF(ISNA(VLOOKUP(P$1,'peak-old'!$A$3:$DQ$20,$D38,FALSE)),0,VLOOKUP(P$1,'peak-old'!$A$3:$DQ$20,$D38,FALSE))</f>
        <v>0</v>
      </c>
      <c r="Q38" s="15">
        <f>IF(ISNA(VLOOKUP(Q$1,'delta-old'!$A$3:$DQ$20,$D38,FALSE)),0,VLOOKUP(Q$1,'delta-old'!$A$3:$DQ$20,$D38,FALSE))</f>
        <v>139155.84</v>
      </c>
      <c r="R38" s="14">
        <f>IF(ISNA(VLOOKUP(R$1,'peak-old'!$A$3:$DQ$20,$D38,FALSE)),0,VLOOKUP(R$1,'peak-old'!$A$3:$DQ$20,$D38,FALSE))</f>
        <v>-17600</v>
      </c>
      <c r="S38" s="10"/>
    </row>
    <row r="39" spans="1:19" s="8" customFormat="1" x14ac:dyDescent="0.2">
      <c r="A39" s="8">
        <f t="shared" si="6"/>
        <v>2004</v>
      </c>
      <c r="B39" s="8">
        <f t="shared" si="7"/>
        <v>1</v>
      </c>
      <c r="C39" s="9">
        <f t="shared" si="5"/>
        <v>37987</v>
      </c>
      <c r="D39" s="8">
        <f t="shared" si="4"/>
        <v>33</v>
      </c>
      <c r="E39" s="14">
        <f>IF(ISNA(VLOOKUP(E$1,'delta-old'!$A$3:$DQ$20,$D39,FALSE)),0,VLOOKUP(E$1,'delta-old'!$A$3:$DQ$20,$D39,FALSE))</f>
        <v>6754.41</v>
      </c>
      <c r="F39" s="14">
        <f>IF(ISNA(VLOOKUP(F$1,'peak-old'!$A$3:$DQ$20,$D39,FALSE)),0,VLOOKUP(F$1,'peak-old'!$A$3:$DQ$20,$D39,FALSE))</f>
        <v>0</v>
      </c>
      <c r="G39" s="14">
        <f>IF(ISNA(VLOOKUP(G$1,'peak-old'!$A$3:$DQ$20,$D39,FALSE)),0,VLOOKUP(G$1,'peak-old'!$A$3:$DQ$20,$D39,FALSE))</f>
        <v>0</v>
      </c>
      <c r="H39" s="14">
        <f>IF(ISNA(VLOOKUP(H$1,'peak-old'!$A$3:$DQ$20,$D39,FALSE)),0,VLOOKUP(H$1,'peak-old'!$A$3:$DQ$20,$D39,FALSE))</f>
        <v>0</v>
      </c>
      <c r="I39" s="14">
        <f>IF(ISNA(VLOOKUP(I$1,'peak-old'!$A$3:$DQ$20,$D39,FALSE)),0,VLOOKUP(I$1,'peak-old'!$A$3:$DQ$20,$D39,FALSE))</f>
        <v>16800</v>
      </c>
      <c r="J39" s="14">
        <f>IF(ISNA(VLOOKUP(J$1,'peak-old'!$A$3:$DQ$20,$D39,FALSE)),0,VLOOKUP(J$1,'peak-old'!$A$3:$DQ$20,$D39,FALSE))</f>
        <v>0</v>
      </c>
      <c r="K39" s="14">
        <f>IF(ISNA(VLOOKUP(K$1,'peak-old'!$A$3:$DQ$20,$D39,FALSE)),0,VLOOKUP(K$1,'peak-old'!$A$3:$DQ$20,$D39,FALSE))</f>
        <v>0</v>
      </c>
      <c r="L39" s="14">
        <f>IF(ISNA(VLOOKUP(L$1,'peak-old'!$A$3:$DQ$20,$D39,FALSE)),0,VLOOKUP(L$1,'peak-old'!$A$3:$DQ$20,$D39,FALSE))</f>
        <v>0</v>
      </c>
      <c r="M39" s="14">
        <f>IF(ISNA(VLOOKUP(M$1,'peak-old'!$A$3:$DQ$20,$D39,FALSE)),0,VLOOKUP(M$1,'peak-old'!$A$3:$DQ$20,$D39,FALSE))</f>
        <v>0</v>
      </c>
      <c r="N39" s="14">
        <f>IF(ISNA(VLOOKUP(N$1,'peak-old'!$A$3:$DQ$20,$D39,FALSE)),0,VLOOKUP(N$1,'peak-old'!$A$3:$DQ$20,$D39,FALSE))</f>
        <v>0</v>
      </c>
      <c r="O39" s="14">
        <f>IF(ISNA(VLOOKUP(O$1,'peak-old'!$A$3:$DQ$20,$D39,FALSE)),0,VLOOKUP(O$1,'peak-old'!$A$3:$DQ$20,$D39,FALSE))</f>
        <v>0</v>
      </c>
      <c r="P39" s="14">
        <f>IF(ISNA(VLOOKUP(P$1,'peak-old'!$A$3:$DQ$20,$D39,FALSE)),0,VLOOKUP(P$1,'peak-old'!$A$3:$DQ$20,$D39,FALSE))</f>
        <v>0</v>
      </c>
      <c r="Q39" s="15">
        <f>IF(ISNA(VLOOKUP(Q$1,'delta-old'!$A$3:$DQ$20,$D39,FALSE)),0,VLOOKUP(Q$1,'delta-old'!$A$3:$DQ$20,$D39,FALSE))</f>
        <v>58145.26</v>
      </c>
      <c r="R39" s="14">
        <f>IF(ISNA(VLOOKUP(R$1,'peak-old'!$A$3:$DQ$20,$D39,FALSE)),0,VLOOKUP(R$1,'peak-old'!$A$3:$DQ$20,$D39,FALSE))</f>
        <v>0</v>
      </c>
      <c r="S39" s="10"/>
    </row>
    <row r="40" spans="1:19" s="8" customFormat="1" x14ac:dyDescent="0.2">
      <c r="A40" s="8">
        <f t="shared" si="6"/>
        <v>2004</v>
      </c>
      <c r="B40" s="8">
        <f t="shared" si="7"/>
        <v>2</v>
      </c>
      <c r="C40" s="9">
        <f t="shared" si="5"/>
        <v>38018</v>
      </c>
      <c r="D40" s="8">
        <f t="shared" ref="D40:D71" si="8">D39+1</f>
        <v>34</v>
      </c>
      <c r="E40" s="14">
        <f>IF(ISNA(VLOOKUP(E$1,'delta-old'!$A$3:$DQ$20,$D40,FALSE)),0,VLOOKUP(E$1,'delta-old'!$A$3:$DQ$20,$D40,FALSE))</f>
        <v>6402</v>
      </c>
      <c r="F40" s="14">
        <f>IF(ISNA(VLOOKUP(F$1,'peak-old'!$A$3:$DQ$20,$D40,FALSE)),0,VLOOKUP(F$1,'peak-old'!$A$3:$DQ$20,$D40,FALSE))</f>
        <v>0</v>
      </c>
      <c r="G40" s="14">
        <f>IF(ISNA(VLOOKUP(G$1,'peak-old'!$A$3:$DQ$20,$D40,FALSE)),0,VLOOKUP(G$1,'peak-old'!$A$3:$DQ$20,$D40,FALSE))</f>
        <v>0</v>
      </c>
      <c r="H40" s="14">
        <f>IF(ISNA(VLOOKUP(H$1,'peak-old'!$A$3:$DQ$20,$D40,FALSE)),0,VLOOKUP(H$1,'peak-old'!$A$3:$DQ$20,$D40,FALSE))</f>
        <v>0</v>
      </c>
      <c r="I40" s="14">
        <f>IF(ISNA(VLOOKUP(I$1,'peak-old'!$A$3:$DQ$20,$D40,FALSE)),0,VLOOKUP(I$1,'peak-old'!$A$3:$DQ$20,$D40,FALSE))</f>
        <v>16000</v>
      </c>
      <c r="J40" s="14">
        <f>IF(ISNA(VLOOKUP(J$1,'peak-old'!$A$3:$DQ$20,$D40,FALSE)),0,VLOOKUP(J$1,'peak-old'!$A$3:$DQ$20,$D40,FALSE))</f>
        <v>0</v>
      </c>
      <c r="K40" s="14">
        <f>IF(ISNA(VLOOKUP(K$1,'peak-old'!$A$3:$DQ$20,$D40,FALSE)),0,VLOOKUP(K$1,'peak-old'!$A$3:$DQ$20,$D40,FALSE))</f>
        <v>0</v>
      </c>
      <c r="L40" s="14">
        <f>IF(ISNA(VLOOKUP(L$1,'peak-old'!$A$3:$DQ$20,$D40,FALSE)),0,VLOOKUP(L$1,'peak-old'!$A$3:$DQ$20,$D40,FALSE))</f>
        <v>0</v>
      </c>
      <c r="M40" s="14">
        <f>IF(ISNA(VLOOKUP(M$1,'peak-old'!$A$3:$DQ$20,$D40,FALSE)),0,VLOOKUP(M$1,'peak-old'!$A$3:$DQ$20,$D40,FALSE))</f>
        <v>0</v>
      </c>
      <c r="N40" s="14">
        <f>IF(ISNA(VLOOKUP(N$1,'peak-old'!$A$3:$DQ$20,$D40,FALSE)),0,VLOOKUP(N$1,'peak-old'!$A$3:$DQ$20,$D40,FALSE))</f>
        <v>0</v>
      </c>
      <c r="O40" s="14">
        <f>IF(ISNA(VLOOKUP(O$1,'peak-old'!$A$3:$DQ$20,$D40,FALSE)),0,VLOOKUP(O$1,'peak-old'!$A$3:$DQ$20,$D40,FALSE))</f>
        <v>0</v>
      </c>
      <c r="P40" s="14">
        <f>IF(ISNA(VLOOKUP(P$1,'peak-old'!$A$3:$DQ$20,$D40,FALSE)),0,VLOOKUP(P$1,'peak-old'!$A$3:$DQ$20,$D40,FALSE))</f>
        <v>0</v>
      </c>
      <c r="Q40" s="15">
        <f>IF(ISNA(VLOOKUP(Q$1,'delta-old'!$A$3:$DQ$20,$D40,FALSE)),0,VLOOKUP(Q$1,'delta-old'!$A$3:$DQ$20,$D40,FALSE))</f>
        <v>55111.11</v>
      </c>
      <c r="R40" s="14">
        <f>IF(ISNA(VLOOKUP(R$1,'peak-old'!$A$3:$DQ$20,$D40,FALSE)),0,VLOOKUP(R$1,'peak-old'!$A$3:$DQ$20,$D40,FALSE))</f>
        <v>0</v>
      </c>
      <c r="S40" s="10"/>
    </row>
    <row r="41" spans="1:19" s="8" customFormat="1" x14ac:dyDescent="0.2">
      <c r="A41" s="8">
        <f t="shared" si="6"/>
        <v>2004</v>
      </c>
      <c r="B41" s="8">
        <f t="shared" si="7"/>
        <v>3</v>
      </c>
      <c r="C41" s="9">
        <f t="shared" si="5"/>
        <v>38047</v>
      </c>
      <c r="D41" s="8">
        <f t="shared" si="8"/>
        <v>35</v>
      </c>
      <c r="E41" s="14">
        <f>IF(ISNA(VLOOKUP(E$1,'delta-old'!$A$3:$DQ$20,$D41,FALSE)),0,VLOOKUP(E$1,'delta-old'!$A$3:$DQ$20,$D41,FALSE))</f>
        <v>7324.75</v>
      </c>
      <c r="F41" s="14">
        <f>IF(ISNA(VLOOKUP(F$1,'peak-old'!$A$3:$DQ$20,$D41,FALSE)),0,VLOOKUP(F$1,'peak-old'!$A$3:$DQ$20,$D41,FALSE))</f>
        <v>0</v>
      </c>
      <c r="G41" s="14">
        <f>IF(ISNA(VLOOKUP(G$1,'peak-old'!$A$3:$DQ$20,$D41,FALSE)),0,VLOOKUP(G$1,'peak-old'!$A$3:$DQ$20,$D41,FALSE))</f>
        <v>0</v>
      </c>
      <c r="H41" s="14">
        <f>IF(ISNA(VLOOKUP(H$1,'peak-old'!$A$3:$DQ$20,$D41,FALSE)),0,VLOOKUP(H$1,'peak-old'!$A$3:$DQ$20,$D41,FALSE))</f>
        <v>0</v>
      </c>
      <c r="I41" s="14">
        <f>IF(ISNA(VLOOKUP(I$1,'peak-old'!$A$3:$DQ$20,$D41,FALSE)),0,VLOOKUP(I$1,'peak-old'!$A$3:$DQ$20,$D41,FALSE))</f>
        <v>18400</v>
      </c>
      <c r="J41" s="14">
        <f>IF(ISNA(VLOOKUP(J$1,'peak-old'!$A$3:$DQ$20,$D41,FALSE)),0,VLOOKUP(J$1,'peak-old'!$A$3:$DQ$20,$D41,FALSE))</f>
        <v>0</v>
      </c>
      <c r="K41" s="14">
        <f>IF(ISNA(VLOOKUP(K$1,'peak-old'!$A$3:$DQ$20,$D41,FALSE)),0,VLOOKUP(K$1,'peak-old'!$A$3:$DQ$20,$D41,FALSE))</f>
        <v>0</v>
      </c>
      <c r="L41" s="14">
        <f>IF(ISNA(VLOOKUP(L$1,'peak-old'!$A$3:$DQ$20,$D41,FALSE)),0,VLOOKUP(L$1,'peak-old'!$A$3:$DQ$20,$D41,FALSE))</f>
        <v>0</v>
      </c>
      <c r="M41" s="14">
        <f>IF(ISNA(VLOOKUP(M$1,'peak-old'!$A$3:$DQ$20,$D41,FALSE)),0,VLOOKUP(M$1,'peak-old'!$A$3:$DQ$20,$D41,FALSE))</f>
        <v>0</v>
      </c>
      <c r="N41" s="14">
        <f>IF(ISNA(VLOOKUP(N$1,'peak-old'!$A$3:$DQ$20,$D41,FALSE)),0,VLOOKUP(N$1,'peak-old'!$A$3:$DQ$20,$D41,FALSE))</f>
        <v>0</v>
      </c>
      <c r="O41" s="14">
        <f>IF(ISNA(VLOOKUP(O$1,'peak-old'!$A$3:$DQ$20,$D41,FALSE)),0,VLOOKUP(O$1,'peak-old'!$A$3:$DQ$20,$D41,FALSE))</f>
        <v>0</v>
      </c>
      <c r="P41" s="14">
        <f>IF(ISNA(VLOOKUP(P$1,'peak-old'!$A$3:$DQ$20,$D41,FALSE)),0,VLOOKUP(P$1,'peak-old'!$A$3:$DQ$20,$D41,FALSE))</f>
        <v>0</v>
      </c>
      <c r="Q41" s="15">
        <f>IF(ISNA(VLOOKUP(Q$1,'delta-old'!$A$3:$DQ$20,$D41,FALSE)),0,VLOOKUP(Q$1,'delta-old'!$A$3:$DQ$20,$D41,FALSE))</f>
        <v>63055.15</v>
      </c>
      <c r="R41" s="14">
        <f>IF(ISNA(VLOOKUP(R$1,'peak-old'!$A$3:$DQ$20,$D41,FALSE)),0,VLOOKUP(R$1,'peak-old'!$A$3:$DQ$20,$D41,FALSE))</f>
        <v>0</v>
      </c>
      <c r="S41" s="10"/>
    </row>
    <row r="42" spans="1:19" s="8" customFormat="1" x14ac:dyDescent="0.2">
      <c r="A42" s="8">
        <f t="shared" si="6"/>
        <v>2004</v>
      </c>
      <c r="B42" s="8">
        <f t="shared" si="7"/>
        <v>4</v>
      </c>
      <c r="C42" s="9">
        <f t="shared" si="5"/>
        <v>38078</v>
      </c>
      <c r="D42" s="8">
        <f t="shared" si="8"/>
        <v>36</v>
      </c>
      <c r="E42" s="14">
        <f>IF(ISNA(VLOOKUP(E$1,'delta-old'!$A$3:$DQ$20,$D42,FALSE)),0,VLOOKUP(E$1,'delta-old'!$A$3:$DQ$20,$D42,FALSE))</f>
        <v>6971.63</v>
      </c>
      <c r="F42" s="14">
        <f>IF(ISNA(VLOOKUP(F$1,'peak-old'!$A$3:$DQ$20,$D42,FALSE)),0,VLOOKUP(F$1,'peak-old'!$A$3:$DQ$20,$D42,FALSE))</f>
        <v>0</v>
      </c>
      <c r="G42" s="14">
        <f>IF(ISNA(VLOOKUP(G$1,'peak-old'!$A$3:$DQ$20,$D42,FALSE)),0,VLOOKUP(G$1,'peak-old'!$A$3:$DQ$20,$D42,FALSE))</f>
        <v>0</v>
      </c>
      <c r="H42" s="14">
        <f>IF(ISNA(VLOOKUP(H$1,'peak-old'!$A$3:$DQ$20,$D42,FALSE)),0,VLOOKUP(H$1,'peak-old'!$A$3:$DQ$20,$D42,FALSE))</f>
        <v>0</v>
      </c>
      <c r="I42" s="14">
        <f>IF(ISNA(VLOOKUP(I$1,'peak-old'!$A$3:$DQ$20,$D42,FALSE)),0,VLOOKUP(I$1,'peak-old'!$A$3:$DQ$20,$D42,FALSE))</f>
        <v>17600</v>
      </c>
      <c r="J42" s="14">
        <f>IF(ISNA(VLOOKUP(J$1,'peak-old'!$A$3:$DQ$20,$D42,FALSE)),0,VLOOKUP(J$1,'peak-old'!$A$3:$DQ$20,$D42,FALSE))</f>
        <v>0</v>
      </c>
      <c r="K42" s="14">
        <f>IF(ISNA(VLOOKUP(K$1,'peak-old'!$A$3:$DQ$20,$D42,FALSE)),0,VLOOKUP(K$1,'peak-old'!$A$3:$DQ$20,$D42,FALSE))</f>
        <v>0</v>
      </c>
      <c r="L42" s="14">
        <f>IF(ISNA(VLOOKUP(L$1,'peak-old'!$A$3:$DQ$20,$D42,FALSE)),0,VLOOKUP(L$1,'peak-old'!$A$3:$DQ$20,$D42,FALSE))</f>
        <v>0</v>
      </c>
      <c r="M42" s="14">
        <f>IF(ISNA(VLOOKUP(M$1,'peak-old'!$A$3:$DQ$20,$D42,FALSE)),0,VLOOKUP(M$1,'peak-old'!$A$3:$DQ$20,$D42,FALSE))</f>
        <v>0</v>
      </c>
      <c r="N42" s="14">
        <f>IF(ISNA(VLOOKUP(N$1,'peak-old'!$A$3:$DQ$20,$D42,FALSE)),0,VLOOKUP(N$1,'peak-old'!$A$3:$DQ$20,$D42,FALSE))</f>
        <v>0</v>
      </c>
      <c r="O42" s="14">
        <f>IF(ISNA(VLOOKUP(O$1,'peak-old'!$A$3:$DQ$20,$D42,FALSE)),0,VLOOKUP(O$1,'peak-old'!$A$3:$DQ$20,$D42,FALSE))</f>
        <v>0</v>
      </c>
      <c r="P42" s="14">
        <f>IF(ISNA(VLOOKUP(P$1,'peak-old'!$A$3:$DQ$20,$D42,FALSE)),0,VLOOKUP(P$1,'peak-old'!$A$3:$DQ$20,$D42,FALSE))</f>
        <v>0</v>
      </c>
      <c r="Q42" s="15">
        <f>IF(ISNA(VLOOKUP(Q$1,'delta-old'!$A$3:$DQ$20,$D42,FALSE)),0,VLOOKUP(Q$1,'delta-old'!$A$3:$DQ$20,$D42,FALSE))</f>
        <v>59711.54</v>
      </c>
      <c r="R42" s="14">
        <f>IF(ISNA(VLOOKUP(R$1,'peak-old'!$A$3:$DQ$20,$D42,FALSE)),0,VLOOKUP(R$1,'peak-old'!$A$3:$DQ$20,$D42,FALSE))</f>
        <v>0</v>
      </c>
      <c r="S42" s="10"/>
    </row>
    <row r="43" spans="1:19" s="8" customFormat="1" x14ac:dyDescent="0.2">
      <c r="A43" s="8">
        <f t="shared" si="6"/>
        <v>2004</v>
      </c>
      <c r="B43" s="8">
        <f t="shared" si="7"/>
        <v>5</v>
      </c>
      <c r="C43" s="9">
        <f t="shared" si="5"/>
        <v>38108</v>
      </c>
      <c r="D43" s="8">
        <f t="shared" si="8"/>
        <v>37</v>
      </c>
      <c r="E43" s="14">
        <f>IF(ISNA(VLOOKUP(E$1,'delta-old'!$A$3:$DQ$20,$D43,FALSE)),0,VLOOKUP(E$1,'delta-old'!$A$3:$DQ$20,$D43,FALSE))</f>
        <v>6305.3</v>
      </c>
      <c r="F43" s="14">
        <f>IF(ISNA(VLOOKUP(F$1,'peak-old'!$A$3:$DQ$20,$D43,FALSE)),0,VLOOKUP(F$1,'peak-old'!$A$3:$DQ$20,$D43,FALSE))</f>
        <v>0</v>
      </c>
      <c r="G43" s="14">
        <f>IF(ISNA(VLOOKUP(G$1,'peak-old'!$A$3:$DQ$20,$D43,FALSE)),0,VLOOKUP(G$1,'peak-old'!$A$3:$DQ$20,$D43,FALSE))</f>
        <v>0</v>
      </c>
      <c r="H43" s="14">
        <f>IF(ISNA(VLOOKUP(H$1,'peak-old'!$A$3:$DQ$20,$D43,FALSE)),0,VLOOKUP(H$1,'peak-old'!$A$3:$DQ$20,$D43,FALSE))</f>
        <v>0</v>
      </c>
      <c r="I43" s="14">
        <f>IF(ISNA(VLOOKUP(I$1,'peak-old'!$A$3:$DQ$20,$D43,FALSE)),0,VLOOKUP(I$1,'peak-old'!$A$3:$DQ$20,$D43,FALSE))</f>
        <v>16000</v>
      </c>
      <c r="J43" s="14">
        <f>IF(ISNA(VLOOKUP(J$1,'peak-old'!$A$3:$DQ$20,$D43,FALSE)),0,VLOOKUP(J$1,'peak-old'!$A$3:$DQ$20,$D43,FALSE))</f>
        <v>0</v>
      </c>
      <c r="K43" s="14">
        <f>IF(ISNA(VLOOKUP(K$1,'peak-old'!$A$3:$DQ$20,$D43,FALSE)),0,VLOOKUP(K$1,'peak-old'!$A$3:$DQ$20,$D43,FALSE))</f>
        <v>0</v>
      </c>
      <c r="L43" s="14">
        <f>IF(ISNA(VLOOKUP(L$1,'peak-old'!$A$3:$DQ$20,$D43,FALSE)),0,VLOOKUP(L$1,'peak-old'!$A$3:$DQ$20,$D43,FALSE))</f>
        <v>0</v>
      </c>
      <c r="M43" s="14">
        <f>IF(ISNA(VLOOKUP(M$1,'peak-old'!$A$3:$DQ$20,$D43,FALSE)),0,VLOOKUP(M$1,'peak-old'!$A$3:$DQ$20,$D43,FALSE))</f>
        <v>0</v>
      </c>
      <c r="N43" s="14">
        <f>IF(ISNA(VLOOKUP(N$1,'peak-old'!$A$3:$DQ$20,$D43,FALSE)),0,VLOOKUP(N$1,'peak-old'!$A$3:$DQ$20,$D43,FALSE))</f>
        <v>0</v>
      </c>
      <c r="O43" s="14">
        <f>IF(ISNA(VLOOKUP(O$1,'peak-old'!$A$3:$DQ$20,$D43,FALSE)),0,VLOOKUP(O$1,'peak-old'!$A$3:$DQ$20,$D43,FALSE))</f>
        <v>0</v>
      </c>
      <c r="P43" s="14">
        <f>IF(ISNA(VLOOKUP(P$1,'peak-old'!$A$3:$DQ$20,$D43,FALSE)),0,VLOOKUP(P$1,'peak-old'!$A$3:$DQ$20,$D43,FALSE))</f>
        <v>0</v>
      </c>
      <c r="Q43" s="15">
        <f>IF(ISNA(VLOOKUP(Q$1,'delta-old'!$A$3:$DQ$20,$D43,FALSE)),0,VLOOKUP(Q$1,'delta-old'!$A$3:$DQ$20,$D43,FALSE))</f>
        <v>54004.49</v>
      </c>
      <c r="R43" s="14">
        <f>IF(ISNA(VLOOKUP(R$1,'peak-old'!$A$3:$DQ$20,$D43,FALSE)),0,VLOOKUP(R$1,'peak-old'!$A$3:$DQ$20,$D43,FALSE))</f>
        <v>0</v>
      </c>
      <c r="S43" s="10"/>
    </row>
    <row r="44" spans="1:19" s="8" customFormat="1" x14ac:dyDescent="0.2">
      <c r="A44" s="8">
        <f t="shared" si="6"/>
        <v>2004</v>
      </c>
      <c r="B44" s="8">
        <f t="shared" si="7"/>
        <v>6</v>
      </c>
      <c r="C44" s="9">
        <f t="shared" si="5"/>
        <v>38139</v>
      </c>
      <c r="D44" s="8">
        <f t="shared" si="8"/>
        <v>38</v>
      </c>
      <c r="E44" s="14">
        <f>IF(ISNA(VLOOKUP(E$1,'delta-old'!$A$3:$DQ$20,$D44,FALSE)),0,VLOOKUP(E$1,'delta-old'!$A$3:$DQ$20,$D44,FALSE))</f>
        <v>-158130.47</v>
      </c>
      <c r="F44" s="14">
        <f>IF(ISNA(VLOOKUP(F$1,'peak-old'!$A$3:$DQ$20,$D44,FALSE)),0,VLOOKUP(F$1,'peak-old'!$A$3:$DQ$20,$D44,FALSE))</f>
        <v>0</v>
      </c>
      <c r="G44" s="14">
        <f>IF(ISNA(VLOOKUP(G$1,'peak-old'!$A$3:$DQ$20,$D44,FALSE)),0,VLOOKUP(G$1,'peak-old'!$A$3:$DQ$20,$D44,FALSE))</f>
        <v>0</v>
      </c>
      <c r="H44" s="14">
        <f>IF(ISNA(VLOOKUP(H$1,'peak-old'!$A$3:$DQ$20,$D44,FALSE)),0,VLOOKUP(H$1,'peak-old'!$A$3:$DQ$20,$D44,FALSE))</f>
        <v>0</v>
      </c>
      <c r="I44" s="14">
        <f>IF(ISNA(VLOOKUP(I$1,'peak-old'!$A$3:$DQ$20,$D44,FALSE)),0,VLOOKUP(I$1,'peak-old'!$A$3:$DQ$20,$D44,FALSE))</f>
        <v>17600</v>
      </c>
      <c r="J44" s="14">
        <f>IF(ISNA(VLOOKUP(J$1,'peak-old'!$A$3:$DQ$20,$D44,FALSE)),0,VLOOKUP(J$1,'peak-old'!$A$3:$DQ$20,$D44,FALSE))</f>
        <v>0</v>
      </c>
      <c r="K44" s="14">
        <f>IF(ISNA(VLOOKUP(K$1,'peak-old'!$A$3:$DQ$20,$D44,FALSE)),0,VLOOKUP(K$1,'peak-old'!$A$3:$DQ$20,$D44,FALSE))</f>
        <v>0</v>
      </c>
      <c r="L44" s="14">
        <f>IF(ISNA(VLOOKUP(L$1,'peak-old'!$A$3:$DQ$20,$D44,FALSE)),0,VLOOKUP(L$1,'peak-old'!$A$3:$DQ$20,$D44,FALSE))</f>
        <v>0</v>
      </c>
      <c r="M44" s="14">
        <f>IF(ISNA(VLOOKUP(M$1,'peak-old'!$A$3:$DQ$20,$D44,FALSE)),0,VLOOKUP(M$1,'peak-old'!$A$3:$DQ$20,$D44,FALSE))</f>
        <v>0</v>
      </c>
      <c r="N44" s="14">
        <f>IF(ISNA(VLOOKUP(N$1,'peak-old'!$A$3:$DQ$20,$D44,FALSE)),0,VLOOKUP(N$1,'peak-old'!$A$3:$DQ$20,$D44,FALSE))</f>
        <v>0</v>
      </c>
      <c r="O44" s="14">
        <f>IF(ISNA(VLOOKUP(O$1,'peak-old'!$A$3:$DQ$20,$D44,FALSE)),0,VLOOKUP(O$1,'peak-old'!$A$3:$DQ$20,$D44,FALSE))</f>
        <v>0</v>
      </c>
      <c r="P44" s="14">
        <f>IF(ISNA(VLOOKUP(P$1,'peak-old'!$A$3:$DQ$20,$D44,FALSE)),0,VLOOKUP(P$1,'peak-old'!$A$3:$DQ$20,$D44,FALSE))</f>
        <v>0</v>
      </c>
      <c r="Q44" s="15">
        <f>IF(ISNA(VLOOKUP(Q$1,'delta-old'!$A$3:$DQ$20,$D44,FALSE)),0,VLOOKUP(Q$1,'delta-old'!$A$3:$DQ$20,$D44,FALSE))</f>
        <v>-16205.52</v>
      </c>
      <c r="R44" s="14">
        <f>IF(ISNA(VLOOKUP(R$1,'peak-old'!$A$3:$DQ$20,$D44,FALSE)),0,VLOOKUP(R$1,'peak-old'!$A$3:$DQ$20,$D44,FALSE))</f>
        <v>0</v>
      </c>
      <c r="S44" s="10"/>
    </row>
    <row r="45" spans="1:19" s="8" customFormat="1" x14ac:dyDescent="0.2">
      <c r="A45" s="8">
        <f t="shared" si="6"/>
        <v>2004</v>
      </c>
      <c r="B45" s="8">
        <f t="shared" si="7"/>
        <v>7</v>
      </c>
      <c r="C45" s="9">
        <f t="shared" si="5"/>
        <v>38169</v>
      </c>
      <c r="D45" s="8">
        <f t="shared" si="8"/>
        <v>39</v>
      </c>
      <c r="E45" s="14">
        <f>IF(ISNA(VLOOKUP(E$1,'delta-old'!$A$3:$DQ$20,$D45,FALSE)),0,VLOOKUP(E$1,'delta-old'!$A$3:$DQ$20,$D45,FALSE))</f>
        <v>-121668.75</v>
      </c>
      <c r="F45" s="14">
        <f>IF(ISNA(VLOOKUP(F$1,'peak-old'!$A$3:$DQ$20,$D45,FALSE)),0,VLOOKUP(F$1,'peak-old'!$A$3:$DQ$20,$D45,FALSE))</f>
        <v>0</v>
      </c>
      <c r="G45" s="14">
        <f>IF(ISNA(VLOOKUP(G$1,'peak-old'!$A$3:$DQ$20,$D45,FALSE)),0,VLOOKUP(G$1,'peak-old'!$A$3:$DQ$20,$D45,FALSE))</f>
        <v>0</v>
      </c>
      <c r="H45" s="14">
        <f>IF(ISNA(VLOOKUP(H$1,'peak-old'!$A$3:$DQ$20,$D45,FALSE)),0,VLOOKUP(H$1,'peak-old'!$A$3:$DQ$20,$D45,FALSE))</f>
        <v>0</v>
      </c>
      <c r="I45" s="14">
        <f>IF(ISNA(VLOOKUP(I$1,'peak-old'!$A$3:$DQ$20,$D45,FALSE)),0,VLOOKUP(I$1,'peak-old'!$A$3:$DQ$20,$D45,FALSE))</f>
        <v>16800</v>
      </c>
      <c r="J45" s="14">
        <f>IF(ISNA(VLOOKUP(J$1,'peak-old'!$A$3:$DQ$20,$D45,FALSE)),0,VLOOKUP(J$1,'peak-old'!$A$3:$DQ$20,$D45,FALSE))</f>
        <v>0</v>
      </c>
      <c r="K45" s="14">
        <f>IF(ISNA(VLOOKUP(K$1,'peak-old'!$A$3:$DQ$20,$D45,FALSE)),0,VLOOKUP(K$1,'peak-old'!$A$3:$DQ$20,$D45,FALSE))</f>
        <v>0</v>
      </c>
      <c r="L45" s="14">
        <f>IF(ISNA(VLOOKUP(L$1,'peak-old'!$A$3:$DQ$20,$D45,FALSE)),0,VLOOKUP(L$1,'peak-old'!$A$3:$DQ$20,$D45,FALSE))</f>
        <v>0</v>
      </c>
      <c r="M45" s="14">
        <f>IF(ISNA(VLOOKUP(M$1,'peak-old'!$A$3:$DQ$20,$D45,FALSE)),0,VLOOKUP(M$1,'peak-old'!$A$3:$DQ$20,$D45,FALSE))</f>
        <v>0</v>
      </c>
      <c r="N45" s="14">
        <f>IF(ISNA(VLOOKUP(N$1,'peak-old'!$A$3:$DQ$20,$D45,FALSE)),0,VLOOKUP(N$1,'peak-old'!$A$3:$DQ$20,$D45,FALSE))</f>
        <v>0</v>
      </c>
      <c r="O45" s="14">
        <f>IF(ISNA(VLOOKUP(O$1,'peak-old'!$A$3:$DQ$20,$D45,FALSE)),0,VLOOKUP(O$1,'peak-old'!$A$3:$DQ$20,$D45,FALSE))</f>
        <v>0</v>
      </c>
      <c r="P45" s="14">
        <f>IF(ISNA(VLOOKUP(P$1,'peak-old'!$A$3:$DQ$20,$D45,FALSE)),0,VLOOKUP(P$1,'peak-old'!$A$3:$DQ$20,$D45,FALSE))</f>
        <v>0</v>
      </c>
      <c r="Q45" s="15">
        <f>IF(ISNA(VLOOKUP(Q$1,'delta-old'!$A$3:$DQ$20,$D45,FALSE)),0,VLOOKUP(Q$1,'delta-old'!$A$3:$DQ$20,$D45,FALSE))</f>
        <v>12818.89</v>
      </c>
      <c r="R45" s="14">
        <f>IF(ISNA(VLOOKUP(R$1,'peak-old'!$A$3:$DQ$20,$D45,FALSE)),0,VLOOKUP(R$1,'peak-old'!$A$3:$DQ$20,$D45,FALSE))</f>
        <v>0</v>
      </c>
      <c r="S45" s="10"/>
    </row>
    <row r="46" spans="1:19" s="8" customFormat="1" x14ac:dyDescent="0.2">
      <c r="A46" s="8">
        <f t="shared" si="6"/>
        <v>2004</v>
      </c>
      <c r="B46" s="8">
        <f t="shared" si="7"/>
        <v>8</v>
      </c>
      <c r="C46" s="9">
        <f t="shared" si="5"/>
        <v>38200</v>
      </c>
      <c r="D46" s="8">
        <f t="shared" si="8"/>
        <v>40</v>
      </c>
      <c r="E46" s="14">
        <f>IF(ISNA(VLOOKUP(E$1,'delta-old'!$A$3:$DQ$20,$D46,FALSE)),0,VLOOKUP(E$1,'delta-old'!$A$3:$DQ$20,$D46,FALSE))</f>
        <v>-126801.06</v>
      </c>
      <c r="F46" s="14">
        <f>IF(ISNA(VLOOKUP(F$1,'peak-old'!$A$3:$DQ$20,$D46,FALSE)),0,VLOOKUP(F$1,'peak-old'!$A$3:$DQ$20,$D46,FALSE))</f>
        <v>0</v>
      </c>
      <c r="G46" s="14">
        <f>IF(ISNA(VLOOKUP(G$1,'peak-old'!$A$3:$DQ$20,$D46,FALSE)),0,VLOOKUP(G$1,'peak-old'!$A$3:$DQ$20,$D46,FALSE))</f>
        <v>0</v>
      </c>
      <c r="H46" s="14">
        <f>IF(ISNA(VLOOKUP(H$1,'peak-old'!$A$3:$DQ$20,$D46,FALSE)),0,VLOOKUP(H$1,'peak-old'!$A$3:$DQ$20,$D46,FALSE))</f>
        <v>0</v>
      </c>
      <c r="I46" s="14">
        <f>IF(ISNA(VLOOKUP(I$1,'peak-old'!$A$3:$DQ$20,$D46,FALSE)),0,VLOOKUP(I$1,'peak-old'!$A$3:$DQ$20,$D46,FALSE))</f>
        <v>17600</v>
      </c>
      <c r="J46" s="14">
        <f>IF(ISNA(VLOOKUP(J$1,'peak-old'!$A$3:$DQ$20,$D46,FALSE)),0,VLOOKUP(J$1,'peak-old'!$A$3:$DQ$20,$D46,FALSE))</f>
        <v>0</v>
      </c>
      <c r="K46" s="14">
        <f>IF(ISNA(VLOOKUP(K$1,'peak-old'!$A$3:$DQ$20,$D46,FALSE)),0,VLOOKUP(K$1,'peak-old'!$A$3:$DQ$20,$D46,FALSE))</f>
        <v>0</v>
      </c>
      <c r="L46" s="14">
        <f>IF(ISNA(VLOOKUP(L$1,'peak-old'!$A$3:$DQ$20,$D46,FALSE)),0,VLOOKUP(L$1,'peak-old'!$A$3:$DQ$20,$D46,FALSE))</f>
        <v>0</v>
      </c>
      <c r="M46" s="14">
        <f>IF(ISNA(VLOOKUP(M$1,'peak-old'!$A$3:$DQ$20,$D46,FALSE)),0,VLOOKUP(M$1,'peak-old'!$A$3:$DQ$20,$D46,FALSE))</f>
        <v>0</v>
      </c>
      <c r="N46" s="14">
        <f>IF(ISNA(VLOOKUP(N$1,'peak-old'!$A$3:$DQ$20,$D46,FALSE)),0,VLOOKUP(N$1,'peak-old'!$A$3:$DQ$20,$D46,FALSE))</f>
        <v>0</v>
      </c>
      <c r="O46" s="14">
        <f>IF(ISNA(VLOOKUP(O$1,'peak-old'!$A$3:$DQ$20,$D46,FALSE)),0,VLOOKUP(O$1,'peak-old'!$A$3:$DQ$20,$D46,FALSE))</f>
        <v>0</v>
      </c>
      <c r="P46" s="14">
        <f>IF(ISNA(VLOOKUP(P$1,'peak-old'!$A$3:$DQ$20,$D46,FALSE)),0,VLOOKUP(P$1,'peak-old'!$A$3:$DQ$20,$D46,FALSE))</f>
        <v>0</v>
      </c>
      <c r="Q46" s="15">
        <f>IF(ISNA(VLOOKUP(Q$1,'delta-old'!$A$3:$DQ$20,$D46,FALSE)),0,VLOOKUP(Q$1,'delta-old'!$A$3:$DQ$20,$D46,FALSE))</f>
        <v>13657.67</v>
      </c>
      <c r="R46" s="14">
        <f>IF(ISNA(VLOOKUP(R$1,'peak-old'!$A$3:$DQ$20,$D46,FALSE)),0,VLOOKUP(R$1,'peak-old'!$A$3:$DQ$20,$D46,FALSE))</f>
        <v>0</v>
      </c>
      <c r="S46" s="10"/>
    </row>
    <row r="47" spans="1:19" s="8" customFormat="1" x14ac:dyDescent="0.2">
      <c r="A47" s="8">
        <f t="shared" si="6"/>
        <v>2004</v>
      </c>
      <c r="B47" s="8">
        <f t="shared" si="7"/>
        <v>9</v>
      </c>
      <c r="C47" s="9">
        <f t="shared" si="5"/>
        <v>38231</v>
      </c>
      <c r="D47" s="8">
        <f t="shared" si="8"/>
        <v>41</v>
      </c>
      <c r="E47" s="14">
        <f>IF(ISNA(VLOOKUP(E$1,'delta-old'!$A$3:$DQ$20,$D47,FALSE)),0,VLOOKUP(E$1,'delta-old'!$A$3:$DQ$20,$D47,FALSE))</f>
        <v>6486.81</v>
      </c>
      <c r="F47" s="14">
        <f>IF(ISNA(VLOOKUP(F$1,'peak-old'!$A$3:$DQ$20,$D47,FALSE)),0,VLOOKUP(F$1,'peak-old'!$A$3:$DQ$20,$D47,FALSE))</f>
        <v>0</v>
      </c>
      <c r="G47" s="14">
        <f>IF(ISNA(VLOOKUP(G$1,'peak-old'!$A$3:$DQ$20,$D47,FALSE)),0,VLOOKUP(G$1,'peak-old'!$A$3:$DQ$20,$D47,FALSE))</f>
        <v>0</v>
      </c>
      <c r="H47" s="14">
        <f>IF(ISNA(VLOOKUP(H$1,'peak-old'!$A$3:$DQ$20,$D47,FALSE)),0,VLOOKUP(H$1,'peak-old'!$A$3:$DQ$20,$D47,FALSE))</f>
        <v>0</v>
      </c>
      <c r="I47" s="14">
        <f>IF(ISNA(VLOOKUP(I$1,'peak-old'!$A$3:$DQ$20,$D47,FALSE)),0,VLOOKUP(I$1,'peak-old'!$A$3:$DQ$20,$D47,FALSE))</f>
        <v>16800</v>
      </c>
      <c r="J47" s="14">
        <f>IF(ISNA(VLOOKUP(J$1,'peak-old'!$A$3:$DQ$20,$D47,FALSE)),0,VLOOKUP(J$1,'peak-old'!$A$3:$DQ$20,$D47,FALSE))</f>
        <v>0</v>
      </c>
      <c r="K47" s="14">
        <f>IF(ISNA(VLOOKUP(K$1,'peak-old'!$A$3:$DQ$20,$D47,FALSE)),0,VLOOKUP(K$1,'peak-old'!$A$3:$DQ$20,$D47,FALSE))</f>
        <v>0</v>
      </c>
      <c r="L47" s="14">
        <f>IF(ISNA(VLOOKUP(L$1,'peak-old'!$A$3:$DQ$20,$D47,FALSE)),0,VLOOKUP(L$1,'peak-old'!$A$3:$DQ$20,$D47,FALSE))</f>
        <v>0</v>
      </c>
      <c r="M47" s="14">
        <f>IF(ISNA(VLOOKUP(M$1,'peak-old'!$A$3:$DQ$20,$D47,FALSE)),0,VLOOKUP(M$1,'peak-old'!$A$3:$DQ$20,$D47,FALSE))</f>
        <v>0</v>
      </c>
      <c r="N47" s="14">
        <f>IF(ISNA(VLOOKUP(N$1,'peak-old'!$A$3:$DQ$20,$D47,FALSE)),0,VLOOKUP(N$1,'peak-old'!$A$3:$DQ$20,$D47,FALSE))</f>
        <v>0</v>
      </c>
      <c r="O47" s="14">
        <f>IF(ISNA(VLOOKUP(O$1,'peak-old'!$A$3:$DQ$20,$D47,FALSE)),0,VLOOKUP(O$1,'peak-old'!$A$3:$DQ$20,$D47,FALSE))</f>
        <v>0</v>
      </c>
      <c r="P47" s="14">
        <f>IF(ISNA(VLOOKUP(P$1,'peak-old'!$A$3:$DQ$20,$D47,FALSE)),0,VLOOKUP(P$1,'peak-old'!$A$3:$DQ$20,$D47,FALSE))</f>
        <v>0</v>
      </c>
      <c r="Q47" s="15">
        <f>IF(ISNA(VLOOKUP(Q$1,'delta-old'!$A$3:$DQ$20,$D47,FALSE)),0,VLOOKUP(Q$1,'delta-old'!$A$3:$DQ$20,$D47,FALSE))</f>
        <v>55559.06</v>
      </c>
      <c r="R47" s="14">
        <f>IF(ISNA(VLOOKUP(R$1,'peak-old'!$A$3:$DQ$20,$D47,FALSE)),0,VLOOKUP(R$1,'peak-old'!$A$3:$DQ$20,$D47,FALSE))</f>
        <v>0</v>
      </c>
      <c r="S47" s="10"/>
    </row>
    <row r="48" spans="1:19" s="8" customFormat="1" x14ac:dyDescent="0.2">
      <c r="A48" s="8">
        <f t="shared" si="6"/>
        <v>2004</v>
      </c>
      <c r="B48" s="8">
        <f t="shared" si="7"/>
        <v>10</v>
      </c>
      <c r="C48" s="9">
        <f t="shared" si="5"/>
        <v>38261</v>
      </c>
      <c r="D48" s="8">
        <f t="shared" si="8"/>
        <v>42</v>
      </c>
      <c r="E48" s="14">
        <f>IF(ISNA(VLOOKUP(E$1,'delta-old'!$A$3:$DQ$20,$D48,FALSE)),0,VLOOKUP(E$1,'delta-old'!$A$3:$DQ$20,$D48,FALSE))</f>
        <v>6452.94</v>
      </c>
      <c r="F48" s="14">
        <f>IF(ISNA(VLOOKUP(F$1,'peak-old'!$A$3:$DQ$20,$D48,FALSE)),0,VLOOKUP(F$1,'peak-old'!$A$3:$DQ$20,$D48,FALSE))</f>
        <v>0</v>
      </c>
      <c r="G48" s="14">
        <f>IF(ISNA(VLOOKUP(G$1,'peak-old'!$A$3:$DQ$20,$D48,FALSE)),0,VLOOKUP(G$1,'peak-old'!$A$3:$DQ$20,$D48,FALSE))</f>
        <v>0</v>
      </c>
      <c r="H48" s="14">
        <f>IF(ISNA(VLOOKUP(H$1,'peak-old'!$A$3:$DQ$20,$D48,FALSE)),0,VLOOKUP(H$1,'peak-old'!$A$3:$DQ$20,$D48,FALSE))</f>
        <v>0</v>
      </c>
      <c r="I48" s="14">
        <f>IF(ISNA(VLOOKUP(I$1,'peak-old'!$A$3:$DQ$20,$D48,FALSE)),0,VLOOKUP(I$1,'peak-old'!$A$3:$DQ$20,$D48,FALSE))</f>
        <v>16800</v>
      </c>
      <c r="J48" s="14">
        <f>IF(ISNA(VLOOKUP(J$1,'peak-old'!$A$3:$DQ$20,$D48,FALSE)),0,VLOOKUP(J$1,'peak-old'!$A$3:$DQ$20,$D48,FALSE))</f>
        <v>0</v>
      </c>
      <c r="K48" s="14">
        <f>IF(ISNA(VLOOKUP(K$1,'peak-old'!$A$3:$DQ$20,$D48,FALSE)),0,VLOOKUP(K$1,'peak-old'!$A$3:$DQ$20,$D48,FALSE))</f>
        <v>0</v>
      </c>
      <c r="L48" s="14">
        <f>IF(ISNA(VLOOKUP(L$1,'peak-old'!$A$3:$DQ$20,$D48,FALSE)),0,VLOOKUP(L$1,'peak-old'!$A$3:$DQ$20,$D48,FALSE))</f>
        <v>0</v>
      </c>
      <c r="M48" s="14">
        <f>IF(ISNA(VLOOKUP(M$1,'peak-old'!$A$3:$DQ$20,$D48,FALSE)),0,VLOOKUP(M$1,'peak-old'!$A$3:$DQ$20,$D48,FALSE))</f>
        <v>0</v>
      </c>
      <c r="N48" s="14">
        <f>IF(ISNA(VLOOKUP(N$1,'peak-old'!$A$3:$DQ$20,$D48,FALSE)),0,VLOOKUP(N$1,'peak-old'!$A$3:$DQ$20,$D48,FALSE))</f>
        <v>0</v>
      </c>
      <c r="O48" s="14">
        <f>IF(ISNA(VLOOKUP(O$1,'peak-old'!$A$3:$DQ$20,$D48,FALSE)),0,VLOOKUP(O$1,'peak-old'!$A$3:$DQ$20,$D48,FALSE))</f>
        <v>0</v>
      </c>
      <c r="P48" s="14">
        <f>IF(ISNA(VLOOKUP(P$1,'peak-old'!$A$3:$DQ$20,$D48,FALSE)),0,VLOOKUP(P$1,'peak-old'!$A$3:$DQ$20,$D48,FALSE))</f>
        <v>0</v>
      </c>
      <c r="Q48" s="15">
        <f>IF(ISNA(VLOOKUP(Q$1,'delta-old'!$A$3:$DQ$20,$D48,FALSE)),0,VLOOKUP(Q$1,'delta-old'!$A$3:$DQ$20,$D48,FALSE))</f>
        <v>55268.72</v>
      </c>
      <c r="R48" s="14">
        <f>IF(ISNA(VLOOKUP(R$1,'peak-old'!$A$3:$DQ$20,$D48,FALSE)),0,VLOOKUP(R$1,'peak-old'!$A$3:$DQ$20,$D48,FALSE))</f>
        <v>0</v>
      </c>
      <c r="S48" s="10"/>
    </row>
    <row r="49" spans="1:19" s="8" customFormat="1" x14ac:dyDescent="0.2">
      <c r="A49" s="8">
        <f t="shared" si="6"/>
        <v>2004</v>
      </c>
      <c r="B49" s="8">
        <f t="shared" si="7"/>
        <v>11</v>
      </c>
      <c r="C49" s="9">
        <f t="shared" si="5"/>
        <v>38292</v>
      </c>
      <c r="D49" s="8">
        <f t="shared" si="8"/>
        <v>43</v>
      </c>
      <c r="E49" s="14">
        <f>IF(ISNA(VLOOKUP(E$1,'delta-old'!$A$3:$DQ$20,$D49,FALSE)),0,VLOOKUP(E$1,'delta-old'!$A$3:$DQ$20,$D49,FALSE))</f>
        <v>6420.15</v>
      </c>
      <c r="F49" s="14">
        <f>IF(ISNA(VLOOKUP(F$1,'peak-old'!$A$3:$DQ$20,$D49,FALSE)),0,VLOOKUP(F$1,'peak-old'!$A$3:$DQ$20,$D49,FALSE))</f>
        <v>0</v>
      </c>
      <c r="G49" s="14">
        <f>IF(ISNA(VLOOKUP(G$1,'peak-old'!$A$3:$DQ$20,$D49,FALSE)),0,VLOOKUP(G$1,'peak-old'!$A$3:$DQ$20,$D49,FALSE))</f>
        <v>0</v>
      </c>
      <c r="H49" s="14">
        <f>IF(ISNA(VLOOKUP(H$1,'peak-old'!$A$3:$DQ$20,$D49,FALSE)),0,VLOOKUP(H$1,'peak-old'!$A$3:$DQ$20,$D49,FALSE))</f>
        <v>0</v>
      </c>
      <c r="I49" s="14">
        <f>IF(ISNA(VLOOKUP(I$1,'peak-old'!$A$3:$DQ$20,$D49,FALSE)),0,VLOOKUP(I$1,'peak-old'!$A$3:$DQ$20,$D49,FALSE))</f>
        <v>16800</v>
      </c>
      <c r="J49" s="14">
        <f>IF(ISNA(VLOOKUP(J$1,'peak-old'!$A$3:$DQ$20,$D49,FALSE)),0,VLOOKUP(J$1,'peak-old'!$A$3:$DQ$20,$D49,FALSE))</f>
        <v>0</v>
      </c>
      <c r="K49" s="14">
        <f>IF(ISNA(VLOOKUP(K$1,'peak-old'!$A$3:$DQ$20,$D49,FALSE)),0,VLOOKUP(K$1,'peak-old'!$A$3:$DQ$20,$D49,FALSE))</f>
        <v>0</v>
      </c>
      <c r="L49" s="14">
        <f>IF(ISNA(VLOOKUP(L$1,'peak-old'!$A$3:$DQ$20,$D49,FALSE)),0,VLOOKUP(L$1,'peak-old'!$A$3:$DQ$20,$D49,FALSE))</f>
        <v>0</v>
      </c>
      <c r="M49" s="14">
        <f>IF(ISNA(VLOOKUP(M$1,'peak-old'!$A$3:$DQ$20,$D49,FALSE)),0,VLOOKUP(M$1,'peak-old'!$A$3:$DQ$20,$D49,FALSE))</f>
        <v>0</v>
      </c>
      <c r="N49" s="14">
        <f>IF(ISNA(VLOOKUP(N$1,'peak-old'!$A$3:$DQ$20,$D49,FALSE)),0,VLOOKUP(N$1,'peak-old'!$A$3:$DQ$20,$D49,FALSE))</f>
        <v>0</v>
      </c>
      <c r="O49" s="14">
        <f>IF(ISNA(VLOOKUP(O$1,'peak-old'!$A$3:$DQ$20,$D49,FALSE)),0,VLOOKUP(O$1,'peak-old'!$A$3:$DQ$20,$D49,FALSE))</f>
        <v>0</v>
      </c>
      <c r="P49" s="14">
        <f>IF(ISNA(VLOOKUP(P$1,'peak-old'!$A$3:$DQ$20,$D49,FALSE)),0,VLOOKUP(P$1,'peak-old'!$A$3:$DQ$20,$D49,FALSE))</f>
        <v>0</v>
      </c>
      <c r="Q49" s="15">
        <f>IF(ISNA(VLOOKUP(Q$1,'delta-old'!$A$3:$DQ$20,$D49,FALSE)),0,VLOOKUP(Q$1,'delta-old'!$A$3:$DQ$20,$D49,FALSE))</f>
        <v>54988.15</v>
      </c>
      <c r="R49" s="14">
        <f>IF(ISNA(VLOOKUP(R$1,'peak-old'!$A$3:$DQ$20,$D49,FALSE)),0,VLOOKUP(R$1,'peak-old'!$A$3:$DQ$20,$D49,FALSE))</f>
        <v>0</v>
      </c>
      <c r="S49" s="10"/>
    </row>
    <row r="50" spans="1:19" s="8" customFormat="1" x14ac:dyDescent="0.2">
      <c r="A50" s="8">
        <f t="shared" si="6"/>
        <v>2004</v>
      </c>
      <c r="B50" s="8">
        <f t="shared" si="7"/>
        <v>12</v>
      </c>
      <c r="C50" s="9">
        <f t="shared" si="5"/>
        <v>38322</v>
      </c>
      <c r="D50" s="8">
        <f t="shared" si="8"/>
        <v>44</v>
      </c>
      <c r="E50" s="14">
        <f>IF(ISNA(VLOOKUP(E$1,'delta-old'!$A$3:$DQ$20,$D50,FALSE)),0,VLOOKUP(E$1,'delta-old'!$A$3:$DQ$20,$D50,FALSE))</f>
        <v>6994.5</v>
      </c>
      <c r="F50" s="14">
        <f>IF(ISNA(VLOOKUP(F$1,'peak-old'!$A$3:$DQ$20,$D50,FALSE)),0,VLOOKUP(F$1,'peak-old'!$A$3:$DQ$20,$D50,FALSE))</f>
        <v>0</v>
      </c>
      <c r="G50" s="14">
        <f>IF(ISNA(VLOOKUP(G$1,'peak-old'!$A$3:$DQ$20,$D50,FALSE)),0,VLOOKUP(G$1,'peak-old'!$A$3:$DQ$20,$D50,FALSE))</f>
        <v>0</v>
      </c>
      <c r="H50" s="14">
        <f>IF(ISNA(VLOOKUP(H$1,'peak-old'!$A$3:$DQ$20,$D50,FALSE)),0,VLOOKUP(H$1,'peak-old'!$A$3:$DQ$20,$D50,FALSE))</f>
        <v>0</v>
      </c>
      <c r="I50" s="14">
        <f>IF(ISNA(VLOOKUP(I$1,'peak-old'!$A$3:$DQ$20,$D50,FALSE)),0,VLOOKUP(I$1,'peak-old'!$A$3:$DQ$20,$D50,FALSE))</f>
        <v>18400</v>
      </c>
      <c r="J50" s="14">
        <f>IF(ISNA(VLOOKUP(J$1,'peak-old'!$A$3:$DQ$20,$D50,FALSE)),0,VLOOKUP(J$1,'peak-old'!$A$3:$DQ$20,$D50,FALSE))</f>
        <v>0</v>
      </c>
      <c r="K50" s="14">
        <f>IF(ISNA(VLOOKUP(K$1,'peak-old'!$A$3:$DQ$20,$D50,FALSE)),0,VLOOKUP(K$1,'peak-old'!$A$3:$DQ$20,$D50,FALSE))</f>
        <v>0</v>
      </c>
      <c r="L50" s="14">
        <f>IF(ISNA(VLOOKUP(L$1,'peak-old'!$A$3:$DQ$20,$D50,FALSE)),0,VLOOKUP(L$1,'peak-old'!$A$3:$DQ$20,$D50,FALSE))</f>
        <v>0</v>
      </c>
      <c r="M50" s="14">
        <f>IF(ISNA(VLOOKUP(M$1,'peak-old'!$A$3:$DQ$20,$D50,FALSE)),0,VLOOKUP(M$1,'peak-old'!$A$3:$DQ$20,$D50,FALSE))</f>
        <v>0</v>
      </c>
      <c r="N50" s="14">
        <f>IF(ISNA(VLOOKUP(N$1,'peak-old'!$A$3:$DQ$20,$D50,FALSE)),0,VLOOKUP(N$1,'peak-old'!$A$3:$DQ$20,$D50,FALSE))</f>
        <v>0</v>
      </c>
      <c r="O50" s="14">
        <f>IF(ISNA(VLOOKUP(O$1,'peak-old'!$A$3:$DQ$20,$D50,FALSE)),0,VLOOKUP(O$1,'peak-old'!$A$3:$DQ$20,$D50,FALSE))</f>
        <v>0</v>
      </c>
      <c r="P50" s="14">
        <f>IF(ISNA(VLOOKUP(P$1,'peak-old'!$A$3:$DQ$20,$D50,FALSE)),0,VLOOKUP(P$1,'peak-old'!$A$3:$DQ$20,$D50,FALSE))</f>
        <v>0</v>
      </c>
      <c r="Q50" s="15">
        <f>IF(ISNA(VLOOKUP(Q$1,'delta-old'!$A$3:$DQ$20,$D50,FALSE)),0,VLOOKUP(Q$1,'delta-old'!$A$3:$DQ$20,$D50,FALSE))</f>
        <v>59907.37</v>
      </c>
      <c r="R50" s="14">
        <f>IF(ISNA(VLOOKUP(R$1,'peak-old'!$A$3:$DQ$20,$D50,FALSE)),0,VLOOKUP(R$1,'peak-old'!$A$3:$DQ$20,$D50,FALSE))</f>
        <v>0</v>
      </c>
      <c r="S50" s="10"/>
    </row>
    <row r="51" spans="1:19" s="8" customFormat="1" x14ac:dyDescent="0.2">
      <c r="A51" s="8">
        <f t="shared" si="6"/>
        <v>2005</v>
      </c>
      <c r="B51" s="8">
        <f t="shared" si="7"/>
        <v>1</v>
      </c>
      <c r="C51" s="9">
        <f t="shared" si="5"/>
        <v>38353</v>
      </c>
      <c r="D51" s="8">
        <f t="shared" si="8"/>
        <v>45</v>
      </c>
      <c r="E51" s="14">
        <f>IF(ISNA(VLOOKUP(E$1,'delta-old'!$A$3:$DQ$20,$D51,FALSE)),0,VLOOKUP(E$1,'delta-old'!$A$3:$DQ$20,$D51,FALSE))</f>
        <v>75399.89</v>
      </c>
      <c r="F51" s="14">
        <f>IF(ISNA(VLOOKUP(F$1,'peak-old'!$A$3:$DQ$20,$D51,FALSE)),0,VLOOKUP(F$1,'peak-old'!$A$3:$DQ$20,$D51,FALSE))</f>
        <v>0</v>
      </c>
      <c r="G51" s="14">
        <f>IF(ISNA(VLOOKUP(G$1,'peak-old'!$A$3:$DQ$20,$D51,FALSE)),0,VLOOKUP(G$1,'peak-old'!$A$3:$DQ$20,$D51,FALSE))</f>
        <v>0</v>
      </c>
      <c r="H51" s="14">
        <f>IF(ISNA(VLOOKUP(H$1,'peak-old'!$A$3:$DQ$20,$D51,FALSE)),0,VLOOKUP(H$1,'peak-old'!$A$3:$DQ$20,$D51,FALSE))</f>
        <v>16800</v>
      </c>
      <c r="I51" s="14">
        <f>IF(ISNA(VLOOKUP(I$1,'peak-old'!$A$3:$DQ$20,$D51,FALSE)),0,VLOOKUP(I$1,'peak-old'!$A$3:$DQ$20,$D51,FALSE))</f>
        <v>-25200</v>
      </c>
      <c r="J51" s="14">
        <f>IF(ISNA(VLOOKUP(J$1,'peak-old'!$A$3:$DQ$20,$D51,FALSE)),0,VLOOKUP(J$1,'peak-old'!$A$3:$DQ$20,$D51,FALSE))</f>
        <v>0</v>
      </c>
      <c r="K51" s="14">
        <f>IF(ISNA(VLOOKUP(K$1,'peak-old'!$A$3:$DQ$20,$D51,FALSE)),0,VLOOKUP(K$1,'peak-old'!$A$3:$DQ$20,$D51,FALSE))</f>
        <v>0</v>
      </c>
      <c r="L51" s="14">
        <f>IF(ISNA(VLOOKUP(L$1,'peak-old'!$A$3:$DQ$20,$D51,FALSE)),0,VLOOKUP(L$1,'peak-old'!$A$3:$DQ$20,$D51,FALSE))</f>
        <v>0</v>
      </c>
      <c r="M51" s="14">
        <f>IF(ISNA(VLOOKUP(M$1,'peak-old'!$A$3:$DQ$20,$D51,FALSE)),0,VLOOKUP(M$1,'peak-old'!$A$3:$DQ$20,$D51,FALSE))</f>
        <v>0</v>
      </c>
      <c r="N51" s="14">
        <f>IF(ISNA(VLOOKUP(N$1,'peak-old'!$A$3:$DQ$20,$D51,FALSE)),0,VLOOKUP(N$1,'peak-old'!$A$3:$DQ$20,$D51,FALSE))</f>
        <v>0</v>
      </c>
      <c r="O51" s="14">
        <f>IF(ISNA(VLOOKUP(O$1,'peak-old'!$A$3:$DQ$20,$D51,FALSE)),0,VLOOKUP(O$1,'peak-old'!$A$3:$DQ$20,$D51,FALSE))</f>
        <v>0</v>
      </c>
      <c r="P51" s="14">
        <f>IF(ISNA(VLOOKUP(P$1,'peak-old'!$A$3:$DQ$20,$D51,FALSE)),0,VLOOKUP(P$1,'peak-old'!$A$3:$DQ$20,$D51,FALSE))</f>
        <v>0</v>
      </c>
      <c r="Q51" s="15">
        <f>IF(ISNA(VLOOKUP(Q$1,'delta-old'!$A$3:$DQ$20,$D51,FALSE)),0,VLOOKUP(Q$1,'delta-old'!$A$3:$DQ$20,$D51,FALSE))</f>
        <v>75398.649999999994</v>
      </c>
      <c r="R51" s="14">
        <f>IF(ISNA(VLOOKUP(R$1,'peak-old'!$A$3:$DQ$20,$D51,FALSE)),0,VLOOKUP(R$1,'peak-old'!$A$3:$DQ$20,$D51,FALSE))</f>
        <v>0</v>
      </c>
      <c r="S51" s="10"/>
    </row>
    <row r="52" spans="1:19" s="8" customFormat="1" x14ac:dyDescent="0.2">
      <c r="A52" s="8">
        <f t="shared" si="6"/>
        <v>2005</v>
      </c>
      <c r="B52" s="8">
        <f t="shared" si="7"/>
        <v>2</v>
      </c>
      <c r="C52" s="9">
        <f t="shared" si="5"/>
        <v>38384</v>
      </c>
      <c r="D52" s="8">
        <f t="shared" si="8"/>
        <v>46</v>
      </c>
      <c r="E52" s="14">
        <f>IF(ISNA(VLOOKUP(E$1,'delta-old'!$A$3:$DQ$20,$D52,FALSE)),0,VLOOKUP(E$1,'delta-old'!$A$3:$DQ$20,$D52,FALSE))</f>
        <v>71465.460000000006</v>
      </c>
      <c r="F52" s="14">
        <f>IF(ISNA(VLOOKUP(F$1,'peak-old'!$A$3:$DQ$20,$D52,FALSE)),0,VLOOKUP(F$1,'peak-old'!$A$3:$DQ$20,$D52,FALSE))</f>
        <v>0</v>
      </c>
      <c r="G52" s="14">
        <f>IF(ISNA(VLOOKUP(G$1,'peak-old'!$A$3:$DQ$20,$D52,FALSE)),0,VLOOKUP(G$1,'peak-old'!$A$3:$DQ$20,$D52,FALSE))</f>
        <v>0</v>
      </c>
      <c r="H52" s="14">
        <f>IF(ISNA(VLOOKUP(H$1,'peak-old'!$A$3:$DQ$20,$D52,FALSE)),0,VLOOKUP(H$1,'peak-old'!$A$3:$DQ$20,$D52,FALSE))</f>
        <v>16000</v>
      </c>
      <c r="I52" s="14">
        <f>IF(ISNA(VLOOKUP(I$1,'peak-old'!$A$3:$DQ$20,$D52,FALSE)),0,VLOOKUP(I$1,'peak-old'!$A$3:$DQ$20,$D52,FALSE))</f>
        <v>-24000</v>
      </c>
      <c r="J52" s="14">
        <f>IF(ISNA(VLOOKUP(J$1,'peak-old'!$A$3:$DQ$20,$D52,FALSE)),0,VLOOKUP(J$1,'peak-old'!$A$3:$DQ$20,$D52,FALSE))</f>
        <v>0</v>
      </c>
      <c r="K52" s="14">
        <f>IF(ISNA(VLOOKUP(K$1,'peak-old'!$A$3:$DQ$20,$D52,FALSE)),0,VLOOKUP(K$1,'peak-old'!$A$3:$DQ$20,$D52,FALSE))</f>
        <v>0</v>
      </c>
      <c r="L52" s="14">
        <f>IF(ISNA(VLOOKUP(L$1,'peak-old'!$A$3:$DQ$20,$D52,FALSE)),0,VLOOKUP(L$1,'peak-old'!$A$3:$DQ$20,$D52,FALSE))</f>
        <v>0</v>
      </c>
      <c r="M52" s="14">
        <f>IF(ISNA(VLOOKUP(M$1,'peak-old'!$A$3:$DQ$20,$D52,FALSE)),0,VLOOKUP(M$1,'peak-old'!$A$3:$DQ$20,$D52,FALSE))</f>
        <v>0</v>
      </c>
      <c r="N52" s="14">
        <f>IF(ISNA(VLOOKUP(N$1,'peak-old'!$A$3:$DQ$20,$D52,FALSE)),0,VLOOKUP(N$1,'peak-old'!$A$3:$DQ$20,$D52,FALSE))</f>
        <v>0</v>
      </c>
      <c r="O52" s="14">
        <f>IF(ISNA(VLOOKUP(O$1,'peak-old'!$A$3:$DQ$20,$D52,FALSE)),0,VLOOKUP(O$1,'peak-old'!$A$3:$DQ$20,$D52,FALSE))</f>
        <v>0</v>
      </c>
      <c r="P52" s="14">
        <f>IF(ISNA(VLOOKUP(P$1,'peak-old'!$A$3:$DQ$20,$D52,FALSE)),0,VLOOKUP(P$1,'peak-old'!$A$3:$DQ$20,$D52,FALSE))</f>
        <v>0</v>
      </c>
      <c r="Q52" s="15">
        <f>IF(ISNA(VLOOKUP(Q$1,'delta-old'!$A$3:$DQ$20,$D52,FALSE)),0,VLOOKUP(Q$1,'delta-old'!$A$3:$DQ$20,$D52,FALSE))</f>
        <v>71464.289999999994</v>
      </c>
      <c r="R52" s="14">
        <f>IF(ISNA(VLOOKUP(R$1,'peak-old'!$A$3:$DQ$20,$D52,FALSE)),0,VLOOKUP(R$1,'peak-old'!$A$3:$DQ$20,$D52,FALSE))</f>
        <v>0</v>
      </c>
      <c r="S52" s="10"/>
    </row>
    <row r="53" spans="1:19" s="8" customFormat="1" x14ac:dyDescent="0.2">
      <c r="A53" s="8">
        <f t="shared" si="6"/>
        <v>2005</v>
      </c>
      <c r="B53" s="8">
        <f t="shared" si="7"/>
        <v>3</v>
      </c>
      <c r="C53" s="9">
        <f t="shared" si="5"/>
        <v>38412</v>
      </c>
      <c r="D53" s="8">
        <f t="shared" si="8"/>
        <v>47</v>
      </c>
      <c r="E53" s="14">
        <f>IF(ISNA(VLOOKUP(E$1,'delta-old'!$A$3:$DQ$20,$D53,FALSE)),0,VLOOKUP(E$1,'delta-old'!$A$3:$DQ$20,$D53,FALSE))</f>
        <v>81751.58</v>
      </c>
      <c r="F53" s="14">
        <f>IF(ISNA(VLOOKUP(F$1,'peak-old'!$A$3:$DQ$20,$D53,FALSE)),0,VLOOKUP(F$1,'peak-old'!$A$3:$DQ$20,$D53,FALSE))</f>
        <v>0</v>
      </c>
      <c r="G53" s="14">
        <f>IF(ISNA(VLOOKUP(G$1,'peak-old'!$A$3:$DQ$20,$D53,FALSE)),0,VLOOKUP(G$1,'peak-old'!$A$3:$DQ$20,$D53,FALSE))</f>
        <v>0</v>
      </c>
      <c r="H53" s="14">
        <f>IF(ISNA(VLOOKUP(H$1,'peak-old'!$A$3:$DQ$20,$D53,FALSE)),0,VLOOKUP(H$1,'peak-old'!$A$3:$DQ$20,$D53,FALSE))</f>
        <v>18400</v>
      </c>
      <c r="I53" s="14">
        <f>IF(ISNA(VLOOKUP(I$1,'peak-old'!$A$3:$DQ$20,$D53,FALSE)),0,VLOOKUP(I$1,'peak-old'!$A$3:$DQ$20,$D53,FALSE))</f>
        <v>-27600</v>
      </c>
      <c r="J53" s="14">
        <f>IF(ISNA(VLOOKUP(J$1,'peak-old'!$A$3:$DQ$20,$D53,FALSE)),0,VLOOKUP(J$1,'peak-old'!$A$3:$DQ$20,$D53,FALSE))</f>
        <v>0</v>
      </c>
      <c r="K53" s="14">
        <f>IF(ISNA(VLOOKUP(K$1,'peak-old'!$A$3:$DQ$20,$D53,FALSE)),0,VLOOKUP(K$1,'peak-old'!$A$3:$DQ$20,$D53,FALSE))</f>
        <v>0</v>
      </c>
      <c r="L53" s="14">
        <f>IF(ISNA(VLOOKUP(L$1,'peak-old'!$A$3:$DQ$20,$D53,FALSE)),0,VLOOKUP(L$1,'peak-old'!$A$3:$DQ$20,$D53,FALSE))</f>
        <v>0</v>
      </c>
      <c r="M53" s="14">
        <f>IF(ISNA(VLOOKUP(M$1,'peak-old'!$A$3:$DQ$20,$D53,FALSE)),0,VLOOKUP(M$1,'peak-old'!$A$3:$DQ$20,$D53,FALSE))</f>
        <v>0</v>
      </c>
      <c r="N53" s="14">
        <f>IF(ISNA(VLOOKUP(N$1,'peak-old'!$A$3:$DQ$20,$D53,FALSE)),0,VLOOKUP(N$1,'peak-old'!$A$3:$DQ$20,$D53,FALSE))</f>
        <v>0</v>
      </c>
      <c r="O53" s="14">
        <f>IF(ISNA(VLOOKUP(O$1,'peak-old'!$A$3:$DQ$20,$D53,FALSE)),0,VLOOKUP(O$1,'peak-old'!$A$3:$DQ$20,$D53,FALSE))</f>
        <v>0</v>
      </c>
      <c r="P53" s="14">
        <f>IF(ISNA(VLOOKUP(P$1,'peak-old'!$A$3:$DQ$20,$D53,FALSE)),0,VLOOKUP(P$1,'peak-old'!$A$3:$DQ$20,$D53,FALSE))</f>
        <v>0</v>
      </c>
      <c r="Q53" s="15">
        <f>IF(ISNA(VLOOKUP(Q$1,'delta-old'!$A$3:$DQ$20,$D53,FALSE)),0,VLOOKUP(Q$1,'delta-old'!$A$3:$DQ$20,$D53,FALSE))</f>
        <v>81750.259999999995</v>
      </c>
      <c r="R53" s="14">
        <f>IF(ISNA(VLOOKUP(R$1,'peak-old'!$A$3:$DQ$20,$D53,FALSE)),0,VLOOKUP(R$1,'peak-old'!$A$3:$DQ$20,$D53,FALSE))</f>
        <v>0</v>
      </c>
      <c r="S53" s="10"/>
    </row>
    <row r="54" spans="1:19" s="8" customFormat="1" x14ac:dyDescent="0.2">
      <c r="A54" s="8">
        <f t="shared" si="6"/>
        <v>2005</v>
      </c>
      <c r="B54" s="8">
        <f t="shared" si="7"/>
        <v>4</v>
      </c>
      <c r="C54" s="9">
        <f t="shared" si="5"/>
        <v>38443</v>
      </c>
      <c r="D54" s="8">
        <f t="shared" si="8"/>
        <v>48</v>
      </c>
      <c r="E54" s="14">
        <f>IF(ISNA(VLOOKUP(E$1,'delta-old'!$A$3:$DQ$20,$D54,FALSE)),0,VLOOKUP(E$1,'delta-old'!$A$3:$DQ$20,$D54,FALSE))</f>
        <v>74260.850000000006</v>
      </c>
      <c r="F54" s="14">
        <f>IF(ISNA(VLOOKUP(F$1,'peak-old'!$A$3:$DQ$20,$D54,FALSE)),0,VLOOKUP(F$1,'peak-old'!$A$3:$DQ$20,$D54,FALSE))</f>
        <v>0</v>
      </c>
      <c r="G54" s="14">
        <f>IF(ISNA(VLOOKUP(G$1,'peak-old'!$A$3:$DQ$20,$D54,FALSE)),0,VLOOKUP(G$1,'peak-old'!$A$3:$DQ$20,$D54,FALSE))</f>
        <v>0</v>
      </c>
      <c r="H54" s="14">
        <f>IF(ISNA(VLOOKUP(H$1,'peak-old'!$A$3:$DQ$20,$D54,FALSE)),0,VLOOKUP(H$1,'peak-old'!$A$3:$DQ$20,$D54,FALSE))</f>
        <v>16800</v>
      </c>
      <c r="I54" s="14">
        <f>IF(ISNA(VLOOKUP(I$1,'peak-old'!$A$3:$DQ$20,$D54,FALSE)),0,VLOOKUP(I$1,'peak-old'!$A$3:$DQ$20,$D54,FALSE))</f>
        <v>-25200</v>
      </c>
      <c r="J54" s="14">
        <f>IF(ISNA(VLOOKUP(J$1,'peak-old'!$A$3:$DQ$20,$D54,FALSE)),0,VLOOKUP(J$1,'peak-old'!$A$3:$DQ$20,$D54,FALSE))</f>
        <v>0</v>
      </c>
      <c r="K54" s="14">
        <f>IF(ISNA(VLOOKUP(K$1,'peak-old'!$A$3:$DQ$20,$D54,FALSE)),0,VLOOKUP(K$1,'peak-old'!$A$3:$DQ$20,$D54,FALSE))</f>
        <v>0</v>
      </c>
      <c r="L54" s="14">
        <f>IF(ISNA(VLOOKUP(L$1,'peak-old'!$A$3:$DQ$20,$D54,FALSE)),0,VLOOKUP(L$1,'peak-old'!$A$3:$DQ$20,$D54,FALSE))</f>
        <v>0</v>
      </c>
      <c r="M54" s="14">
        <f>IF(ISNA(VLOOKUP(M$1,'peak-old'!$A$3:$DQ$20,$D54,FALSE)),0,VLOOKUP(M$1,'peak-old'!$A$3:$DQ$20,$D54,FALSE))</f>
        <v>0</v>
      </c>
      <c r="N54" s="14">
        <f>IF(ISNA(VLOOKUP(N$1,'peak-old'!$A$3:$DQ$20,$D54,FALSE)),0,VLOOKUP(N$1,'peak-old'!$A$3:$DQ$20,$D54,FALSE))</f>
        <v>0</v>
      </c>
      <c r="O54" s="14">
        <f>IF(ISNA(VLOOKUP(O$1,'peak-old'!$A$3:$DQ$20,$D54,FALSE)),0,VLOOKUP(O$1,'peak-old'!$A$3:$DQ$20,$D54,FALSE))</f>
        <v>0</v>
      </c>
      <c r="P54" s="14">
        <f>IF(ISNA(VLOOKUP(P$1,'peak-old'!$A$3:$DQ$20,$D54,FALSE)),0,VLOOKUP(P$1,'peak-old'!$A$3:$DQ$20,$D54,FALSE))</f>
        <v>0</v>
      </c>
      <c r="Q54" s="15">
        <f>IF(ISNA(VLOOKUP(Q$1,'delta-old'!$A$3:$DQ$20,$D54,FALSE)),0,VLOOKUP(Q$1,'delta-old'!$A$3:$DQ$20,$D54,FALSE))</f>
        <v>73986.87</v>
      </c>
      <c r="R54" s="14">
        <f>IF(ISNA(VLOOKUP(R$1,'peak-old'!$A$3:$DQ$20,$D54,FALSE)),0,VLOOKUP(R$1,'peak-old'!$A$3:$DQ$20,$D54,FALSE))</f>
        <v>0</v>
      </c>
      <c r="S54" s="10"/>
    </row>
    <row r="55" spans="1:19" s="8" customFormat="1" x14ac:dyDescent="0.2">
      <c r="A55" s="8">
        <f t="shared" si="6"/>
        <v>2005</v>
      </c>
      <c r="B55" s="8">
        <f t="shared" si="7"/>
        <v>5</v>
      </c>
      <c r="C55" s="9">
        <f t="shared" si="5"/>
        <v>38473</v>
      </c>
      <c r="D55" s="8">
        <f t="shared" si="8"/>
        <v>49</v>
      </c>
      <c r="E55" s="14">
        <f>IF(ISNA(VLOOKUP(E$1,'delta-old'!$A$3:$DQ$20,$D55,FALSE)),0,VLOOKUP(E$1,'delta-old'!$A$3:$DQ$20,$D55,FALSE))</f>
        <v>73867.61</v>
      </c>
      <c r="F55" s="14">
        <f>IF(ISNA(VLOOKUP(F$1,'peak-old'!$A$3:$DQ$20,$D55,FALSE)),0,VLOOKUP(F$1,'peak-old'!$A$3:$DQ$20,$D55,FALSE))</f>
        <v>0</v>
      </c>
      <c r="G55" s="14">
        <f>IF(ISNA(VLOOKUP(G$1,'peak-old'!$A$3:$DQ$20,$D55,FALSE)),0,VLOOKUP(G$1,'peak-old'!$A$3:$DQ$20,$D55,FALSE))</f>
        <v>0</v>
      </c>
      <c r="H55" s="14">
        <f>IF(ISNA(VLOOKUP(H$1,'peak-old'!$A$3:$DQ$20,$D55,FALSE)),0,VLOOKUP(H$1,'peak-old'!$A$3:$DQ$20,$D55,FALSE))</f>
        <v>16800</v>
      </c>
      <c r="I55" s="14">
        <f>IF(ISNA(VLOOKUP(I$1,'peak-old'!$A$3:$DQ$20,$D55,FALSE)),0,VLOOKUP(I$1,'peak-old'!$A$3:$DQ$20,$D55,FALSE))</f>
        <v>-25200</v>
      </c>
      <c r="J55" s="14">
        <f>IF(ISNA(VLOOKUP(J$1,'peak-old'!$A$3:$DQ$20,$D55,FALSE)),0,VLOOKUP(J$1,'peak-old'!$A$3:$DQ$20,$D55,FALSE))</f>
        <v>0</v>
      </c>
      <c r="K55" s="14">
        <f>IF(ISNA(VLOOKUP(K$1,'peak-old'!$A$3:$DQ$20,$D55,FALSE)),0,VLOOKUP(K$1,'peak-old'!$A$3:$DQ$20,$D55,FALSE))</f>
        <v>0</v>
      </c>
      <c r="L55" s="14">
        <f>IF(ISNA(VLOOKUP(L$1,'peak-old'!$A$3:$DQ$20,$D55,FALSE)),0,VLOOKUP(L$1,'peak-old'!$A$3:$DQ$20,$D55,FALSE))</f>
        <v>0</v>
      </c>
      <c r="M55" s="14">
        <f>IF(ISNA(VLOOKUP(M$1,'peak-old'!$A$3:$DQ$20,$D55,FALSE)),0,VLOOKUP(M$1,'peak-old'!$A$3:$DQ$20,$D55,FALSE))</f>
        <v>0</v>
      </c>
      <c r="N55" s="14">
        <f>IF(ISNA(VLOOKUP(N$1,'peak-old'!$A$3:$DQ$20,$D55,FALSE)),0,VLOOKUP(N$1,'peak-old'!$A$3:$DQ$20,$D55,FALSE))</f>
        <v>0</v>
      </c>
      <c r="O55" s="14">
        <f>IF(ISNA(VLOOKUP(O$1,'peak-old'!$A$3:$DQ$20,$D55,FALSE)),0,VLOOKUP(O$1,'peak-old'!$A$3:$DQ$20,$D55,FALSE))</f>
        <v>0</v>
      </c>
      <c r="P55" s="14">
        <f>IF(ISNA(VLOOKUP(P$1,'peak-old'!$A$3:$DQ$20,$D55,FALSE)),0,VLOOKUP(P$1,'peak-old'!$A$3:$DQ$20,$D55,FALSE))</f>
        <v>0</v>
      </c>
      <c r="Q55" s="15">
        <f>IF(ISNA(VLOOKUP(Q$1,'delta-old'!$A$3:$DQ$20,$D55,FALSE)),0,VLOOKUP(Q$1,'delta-old'!$A$3:$DQ$20,$D55,FALSE))</f>
        <v>73595.23</v>
      </c>
      <c r="R55" s="14">
        <f>IF(ISNA(VLOOKUP(R$1,'peak-old'!$A$3:$DQ$20,$D55,FALSE)),0,VLOOKUP(R$1,'peak-old'!$A$3:$DQ$20,$D55,FALSE))</f>
        <v>0</v>
      </c>
      <c r="S55" s="10"/>
    </row>
    <row r="56" spans="1:19" s="8" customFormat="1" x14ac:dyDescent="0.2">
      <c r="A56" s="8">
        <f t="shared" si="6"/>
        <v>2005</v>
      </c>
      <c r="B56" s="8">
        <f t="shared" si="7"/>
        <v>6</v>
      </c>
      <c r="C56" s="9">
        <f t="shared" si="5"/>
        <v>38504</v>
      </c>
      <c r="D56" s="8">
        <f t="shared" si="8"/>
        <v>50</v>
      </c>
      <c r="E56" s="14">
        <f>IF(ISNA(VLOOKUP(E$1,'delta-old'!$A$3:$DQ$20,$D56,FALSE)),0,VLOOKUP(E$1,'delta-old'!$A$3:$DQ$20,$D56,FALSE))</f>
        <v>62888.61</v>
      </c>
      <c r="F56" s="14">
        <f>IF(ISNA(VLOOKUP(F$1,'peak-old'!$A$3:$DQ$20,$D56,FALSE)),0,VLOOKUP(F$1,'peak-old'!$A$3:$DQ$20,$D56,FALSE))</f>
        <v>0</v>
      </c>
      <c r="G56" s="14">
        <f>IF(ISNA(VLOOKUP(G$1,'peak-old'!$A$3:$DQ$20,$D56,FALSE)),0,VLOOKUP(G$1,'peak-old'!$A$3:$DQ$20,$D56,FALSE))</f>
        <v>0</v>
      </c>
      <c r="H56" s="14">
        <f>IF(ISNA(VLOOKUP(H$1,'peak-old'!$A$3:$DQ$20,$D56,FALSE)),0,VLOOKUP(H$1,'peak-old'!$A$3:$DQ$20,$D56,FALSE))</f>
        <v>17600</v>
      </c>
      <c r="I56" s="14">
        <f>IF(ISNA(VLOOKUP(I$1,'peak-old'!$A$3:$DQ$20,$D56,FALSE)),0,VLOOKUP(I$1,'peak-old'!$A$3:$DQ$20,$D56,FALSE))</f>
        <v>-26400</v>
      </c>
      <c r="J56" s="14">
        <f>IF(ISNA(VLOOKUP(J$1,'peak-old'!$A$3:$DQ$20,$D56,FALSE)),0,VLOOKUP(J$1,'peak-old'!$A$3:$DQ$20,$D56,FALSE))</f>
        <v>0</v>
      </c>
      <c r="K56" s="14">
        <f>IF(ISNA(VLOOKUP(K$1,'peak-old'!$A$3:$DQ$20,$D56,FALSE)),0,VLOOKUP(K$1,'peak-old'!$A$3:$DQ$20,$D56,FALSE))</f>
        <v>0</v>
      </c>
      <c r="L56" s="14">
        <f>IF(ISNA(VLOOKUP(L$1,'peak-old'!$A$3:$DQ$20,$D56,FALSE)),0,VLOOKUP(L$1,'peak-old'!$A$3:$DQ$20,$D56,FALSE))</f>
        <v>0</v>
      </c>
      <c r="M56" s="14">
        <f>IF(ISNA(VLOOKUP(M$1,'peak-old'!$A$3:$DQ$20,$D56,FALSE)),0,VLOOKUP(M$1,'peak-old'!$A$3:$DQ$20,$D56,FALSE))</f>
        <v>0</v>
      </c>
      <c r="N56" s="14">
        <f>IF(ISNA(VLOOKUP(N$1,'peak-old'!$A$3:$DQ$20,$D56,FALSE)),0,VLOOKUP(N$1,'peak-old'!$A$3:$DQ$20,$D56,FALSE))</f>
        <v>0</v>
      </c>
      <c r="O56" s="14">
        <f>IF(ISNA(VLOOKUP(O$1,'peak-old'!$A$3:$DQ$20,$D56,FALSE)),0,VLOOKUP(O$1,'peak-old'!$A$3:$DQ$20,$D56,FALSE))</f>
        <v>0</v>
      </c>
      <c r="P56" s="14">
        <f>IF(ISNA(VLOOKUP(P$1,'peak-old'!$A$3:$DQ$20,$D56,FALSE)),0,VLOOKUP(P$1,'peak-old'!$A$3:$DQ$20,$D56,FALSE))</f>
        <v>0</v>
      </c>
      <c r="Q56" s="15">
        <f>IF(ISNA(VLOOKUP(Q$1,'delta-old'!$A$3:$DQ$20,$D56,FALSE)),0,VLOOKUP(Q$1,'delta-old'!$A$3:$DQ$20,$D56,FALSE))</f>
        <v>76422.86</v>
      </c>
      <c r="R56" s="14">
        <f>IF(ISNA(VLOOKUP(R$1,'peak-old'!$A$3:$DQ$20,$D56,FALSE)),0,VLOOKUP(R$1,'peak-old'!$A$3:$DQ$20,$D56,FALSE))</f>
        <v>0</v>
      </c>
      <c r="S56" s="10"/>
    </row>
    <row r="57" spans="1:19" s="8" customFormat="1" x14ac:dyDescent="0.2">
      <c r="A57" s="8">
        <f t="shared" si="6"/>
        <v>2005</v>
      </c>
      <c r="B57" s="8">
        <f t="shared" si="7"/>
        <v>7</v>
      </c>
      <c r="C57" s="9">
        <f t="shared" si="5"/>
        <v>38534</v>
      </c>
      <c r="D57" s="8">
        <f t="shared" si="8"/>
        <v>51</v>
      </c>
      <c r="E57" s="14">
        <f>IF(ISNA(VLOOKUP(E$1,'delta-old'!$A$3:$DQ$20,$D57,FALSE)),0,VLOOKUP(E$1,'delta-old'!$A$3:$DQ$20,$D57,FALSE))</f>
        <v>44117.61</v>
      </c>
      <c r="F57" s="14">
        <f>IF(ISNA(VLOOKUP(F$1,'peak-old'!$A$3:$DQ$20,$D57,FALSE)),0,VLOOKUP(F$1,'peak-old'!$A$3:$DQ$20,$D57,FALSE))</f>
        <v>0</v>
      </c>
      <c r="G57" s="14">
        <f>IF(ISNA(VLOOKUP(G$1,'peak-old'!$A$3:$DQ$20,$D57,FALSE)),0,VLOOKUP(G$1,'peak-old'!$A$3:$DQ$20,$D57,FALSE))</f>
        <v>0</v>
      </c>
      <c r="H57" s="14">
        <f>IF(ISNA(VLOOKUP(H$1,'peak-old'!$A$3:$DQ$20,$D57,FALSE)),0,VLOOKUP(H$1,'peak-old'!$A$3:$DQ$20,$D57,FALSE))</f>
        <v>16000</v>
      </c>
      <c r="I57" s="14">
        <f>IF(ISNA(VLOOKUP(I$1,'peak-old'!$A$3:$DQ$20,$D57,FALSE)),0,VLOOKUP(I$1,'peak-old'!$A$3:$DQ$20,$D57,FALSE))</f>
        <v>-24000</v>
      </c>
      <c r="J57" s="14">
        <f>IF(ISNA(VLOOKUP(J$1,'peak-old'!$A$3:$DQ$20,$D57,FALSE)),0,VLOOKUP(J$1,'peak-old'!$A$3:$DQ$20,$D57,FALSE))</f>
        <v>0</v>
      </c>
      <c r="K57" s="14">
        <f>IF(ISNA(VLOOKUP(K$1,'peak-old'!$A$3:$DQ$20,$D57,FALSE)),0,VLOOKUP(K$1,'peak-old'!$A$3:$DQ$20,$D57,FALSE))</f>
        <v>0</v>
      </c>
      <c r="L57" s="14">
        <f>IF(ISNA(VLOOKUP(L$1,'peak-old'!$A$3:$DQ$20,$D57,FALSE)),0,VLOOKUP(L$1,'peak-old'!$A$3:$DQ$20,$D57,FALSE))</f>
        <v>0</v>
      </c>
      <c r="M57" s="14">
        <f>IF(ISNA(VLOOKUP(M$1,'peak-old'!$A$3:$DQ$20,$D57,FALSE)),0,VLOOKUP(M$1,'peak-old'!$A$3:$DQ$20,$D57,FALSE))</f>
        <v>0</v>
      </c>
      <c r="N57" s="14">
        <f>IF(ISNA(VLOOKUP(N$1,'peak-old'!$A$3:$DQ$20,$D57,FALSE)),0,VLOOKUP(N$1,'peak-old'!$A$3:$DQ$20,$D57,FALSE))</f>
        <v>0</v>
      </c>
      <c r="O57" s="14">
        <f>IF(ISNA(VLOOKUP(O$1,'peak-old'!$A$3:$DQ$20,$D57,FALSE)),0,VLOOKUP(O$1,'peak-old'!$A$3:$DQ$20,$D57,FALSE))</f>
        <v>0</v>
      </c>
      <c r="P57" s="14">
        <f>IF(ISNA(VLOOKUP(P$1,'peak-old'!$A$3:$DQ$20,$D57,FALSE)),0,VLOOKUP(P$1,'peak-old'!$A$3:$DQ$20,$D57,FALSE))</f>
        <v>0</v>
      </c>
      <c r="Q57" s="15">
        <f>IF(ISNA(VLOOKUP(Q$1,'delta-old'!$A$3:$DQ$20,$D57,FALSE)),0,VLOOKUP(Q$1,'delta-old'!$A$3:$DQ$20,$D57,FALSE))</f>
        <v>68850.78</v>
      </c>
      <c r="R57" s="14">
        <f>IF(ISNA(VLOOKUP(R$1,'peak-old'!$A$3:$DQ$20,$D57,FALSE)),0,VLOOKUP(R$1,'peak-old'!$A$3:$DQ$20,$D57,FALSE))</f>
        <v>0</v>
      </c>
      <c r="S57" s="10"/>
    </row>
    <row r="58" spans="1:19" s="8" customFormat="1" x14ac:dyDescent="0.2">
      <c r="A58" s="8">
        <f t="shared" si="6"/>
        <v>2005</v>
      </c>
      <c r="B58" s="8">
        <f t="shared" si="7"/>
        <v>8</v>
      </c>
      <c r="C58" s="9">
        <f t="shared" si="5"/>
        <v>38565</v>
      </c>
      <c r="D58" s="8">
        <f t="shared" si="8"/>
        <v>52</v>
      </c>
      <c r="E58" s="14">
        <f>IF(ISNA(VLOOKUP(E$1,'delta-old'!$A$3:$DQ$20,$D58,FALSE)),0,VLOOKUP(E$1,'delta-old'!$A$3:$DQ$20,$D58,FALSE))</f>
        <v>50464.75</v>
      </c>
      <c r="F58" s="14">
        <f>IF(ISNA(VLOOKUP(F$1,'peak-old'!$A$3:$DQ$20,$D58,FALSE)),0,VLOOKUP(F$1,'peak-old'!$A$3:$DQ$20,$D58,FALSE))</f>
        <v>0</v>
      </c>
      <c r="G58" s="14">
        <f>IF(ISNA(VLOOKUP(G$1,'peak-old'!$A$3:$DQ$20,$D58,FALSE)),0,VLOOKUP(G$1,'peak-old'!$A$3:$DQ$20,$D58,FALSE))</f>
        <v>0</v>
      </c>
      <c r="H58" s="14">
        <f>IF(ISNA(VLOOKUP(H$1,'peak-old'!$A$3:$DQ$20,$D58,FALSE)),0,VLOOKUP(H$1,'peak-old'!$A$3:$DQ$20,$D58,FALSE))</f>
        <v>18400</v>
      </c>
      <c r="I58" s="14">
        <f>IF(ISNA(VLOOKUP(I$1,'peak-old'!$A$3:$DQ$20,$D58,FALSE)),0,VLOOKUP(I$1,'peak-old'!$A$3:$DQ$20,$D58,FALSE))</f>
        <v>-27600</v>
      </c>
      <c r="J58" s="14">
        <f>IF(ISNA(VLOOKUP(J$1,'peak-old'!$A$3:$DQ$20,$D58,FALSE)),0,VLOOKUP(J$1,'peak-old'!$A$3:$DQ$20,$D58,FALSE))</f>
        <v>0</v>
      </c>
      <c r="K58" s="14">
        <f>IF(ISNA(VLOOKUP(K$1,'peak-old'!$A$3:$DQ$20,$D58,FALSE)),0,VLOOKUP(K$1,'peak-old'!$A$3:$DQ$20,$D58,FALSE))</f>
        <v>0</v>
      </c>
      <c r="L58" s="14">
        <f>IF(ISNA(VLOOKUP(L$1,'peak-old'!$A$3:$DQ$20,$D58,FALSE)),0,VLOOKUP(L$1,'peak-old'!$A$3:$DQ$20,$D58,FALSE))</f>
        <v>0</v>
      </c>
      <c r="M58" s="14">
        <f>IF(ISNA(VLOOKUP(M$1,'peak-old'!$A$3:$DQ$20,$D58,FALSE)),0,VLOOKUP(M$1,'peak-old'!$A$3:$DQ$20,$D58,FALSE))</f>
        <v>0</v>
      </c>
      <c r="N58" s="14">
        <f>IF(ISNA(VLOOKUP(N$1,'peak-old'!$A$3:$DQ$20,$D58,FALSE)),0,VLOOKUP(N$1,'peak-old'!$A$3:$DQ$20,$D58,FALSE))</f>
        <v>0</v>
      </c>
      <c r="O58" s="14">
        <f>IF(ISNA(VLOOKUP(O$1,'peak-old'!$A$3:$DQ$20,$D58,FALSE)),0,VLOOKUP(O$1,'peak-old'!$A$3:$DQ$20,$D58,FALSE))</f>
        <v>0</v>
      </c>
      <c r="P58" s="14">
        <f>IF(ISNA(VLOOKUP(P$1,'peak-old'!$A$3:$DQ$20,$D58,FALSE)),0,VLOOKUP(P$1,'peak-old'!$A$3:$DQ$20,$D58,FALSE))</f>
        <v>0</v>
      </c>
      <c r="Q58" s="15">
        <f>IF(ISNA(VLOOKUP(Q$1,'delta-old'!$A$3:$DQ$20,$D58,FALSE)),0,VLOOKUP(Q$1,'delta-old'!$A$3:$DQ$20,$D58,FALSE))</f>
        <v>79049.289999999994</v>
      </c>
      <c r="R58" s="14">
        <f>IF(ISNA(VLOOKUP(R$1,'peak-old'!$A$3:$DQ$20,$D58,FALSE)),0,VLOOKUP(R$1,'peak-old'!$A$3:$DQ$20,$D58,FALSE))</f>
        <v>0</v>
      </c>
      <c r="S58" s="10"/>
    </row>
    <row r="59" spans="1:19" s="8" customFormat="1" x14ac:dyDescent="0.2">
      <c r="A59" s="8">
        <f t="shared" si="6"/>
        <v>2005</v>
      </c>
      <c r="B59" s="8">
        <f t="shared" si="7"/>
        <v>9</v>
      </c>
      <c r="C59" s="9">
        <f t="shared" si="5"/>
        <v>38596</v>
      </c>
      <c r="D59" s="8">
        <f t="shared" si="8"/>
        <v>53</v>
      </c>
      <c r="E59" s="14">
        <f>IF(ISNA(VLOOKUP(E$1,'delta-old'!$A$3:$DQ$20,$D59,FALSE)),0,VLOOKUP(E$1,'delta-old'!$A$3:$DQ$20,$D59,FALSE))</f>
        <v>72333</v>
      </c>
      <c r="F59" s="14">
        <f>IF(ISNA(VLOOKUP(F$1,'peak-old'!$A$3:$DQ$20,$D59,FALSE)),0,VLOOKUP(F$1,'peak-old'!$A$3:$DQ$20,$D59,FALSE))</f>
        <v>0</v>
      </c>
      <c r="G59" s="14">
        <f>IF(ISNA(VLOOKUP(G$1,'peak-old'!$A$3:$DQ$20,$D59,FALSE)),0,VLOOKUP(G$1,'peak-old'!$A$3:$DQ$20,$D59,FALSE))</f>
        <v>0</v>
      </c>
      <c r="H59" s="14">
        <f>IF(ISNA(VLOOKUP(H$1,'peak-old'!$A$3:$DQ$20,$D59,FALSE)),0,VLOOKUP(H$1,'peak-old'!$A$3:$DQ$20,$D59,FALSE))</f>
        <v>16800</v>
      </c>
      <c r="I59" s="14">
        <f>IF(ISNA(VLOOKUP(I$1,'peak-old'!$A$3:$DQ$20,$D59,FALSE)),0,VLOOKUP(I$1,'peak-old'!$A$3:$DQ$20,$D59,FALSE))</f>
        <v>-25200</v>
      </c>
      <c r="J59" s="14">
        <f>IF(ISNA(VLOOKUP(J$1,'peak-old'!$A$3:$DQ$20,$D59,FALSE)),0,VLOOKUP(J$1,'peak-old'!$A$3:$DQ$20,$D59,FALSE))</f>
        <v>0</v>
      </c>
      <c r="K59" s="14">
        <f>IF(ISNA(VLOOKUP(K$1,'peak-old'!$A$3:$DQ$20,$D59,FALSE)),0,VLOOKUP(K$1,'peak-old'!$A$3:$DQ$20,$D59,FALSE))</f>
        <v>0</v>
      </c>
      <c r="L59" s="14">
        <f>IF(ISNA(VLOOKUP(L$1,'peak-old'!$A$3:$DQ$20,$D59,FALSE)),0,VLOOKUP(L$1,'peak-old'!$A$3:$DQ$20,$D59,FALSE))</f>
        <v>0</v>
      </c>
      <c r="M59" s="14">
        <f>IF(ISNA(VLOOKUP(M$1,'peak-old'!$A$3:$DQ$20,$D59,FALSE)),0,VLOOKUP(M$1,'peak-old'!$A$3:$DQ$20,$D59,FALSE))</f>
        <v>0</v>
      </c>
      <c r="N59" s="14">
        <f>IF(ISNA(VLOOKUP(N$1,'peak-old'!$A$3:$DQ$20,$D59,FALSE)),0,VLOOKUP(N$1,'peak-old'!$A$3:$DQ$20,$D59,FALSE))</f>
        <v>0</v>
      </c>
      <c r="O59" s="14">
        <f>IF(ISNA(VLOOKUP(O$1,'peak-old'!$A$3:$DQ$20,$D59,FALSE)),0,VLOOKUP(O$1,'peak-old'!$A$3:$DQ$20,$D59,FALSE))</f>
        <v>0</v>
      </c>
      <c r="P59" s="14">
        <f>IF(ISNA(VLOOKUP(P$1,'peak-old'!$A$3:$DQ$20,$D59,FALSE)),0,VLOOKUP(P$1,'peak-old'!$A$3:$DQ$20,$D59,FALSE))</f>
        <v>0</v>
      </c>
      <c r="Q59" s="15">
        <f>IF(ISNA(VLOOKUP(Q$1,'delta-old'!$A$3:$DQ$20,$D59,FALSE)),0,VLOOKUP(Q$1,'delta-old'!$A$3:$DQ$20,$D59,FALSE))</f>
        <v>72066.289999999994</v>
      </c>
      <c r="R59" s="14">
        <f>IF(ISNA(VLOOKUP(R$1,'peak-old'!$A$3:$DQ$20,$D59,FALSE)),0,VLOOKUP(R$1,'peak-old'!$A$3:$DQ$20,$D59,FALSE))</f>
        <v>0</v>
      </c>
      <c r="S59" s="10"/>
    </row>
    <row r="60" spans="1:19" s="8" customFormat="1" x14ac:dyDescent="0.2">
      <c r="A60" s="8">
        <f t="shared" si="6"/>
        <v>2005</v>
      </c>
      <c r="B60" s="8">
        <f t="shared" si="7"/>
        <v>10</v>
      </c>
      <c r="C60" s="9">
        <f t="shared" si="5"/>
        <v>38626</v>
      </c>
      <c r="D60" s="8">
        <f t="shared" si="8"/>
        <v>54</v>
      </c>
      <c r="E60" s="14">
        <f>IF(ISNA(VLOOKUP(E$1,'delta-old'!$A$3:$DQ$20,$D60,FALSE)),0,VLOOKUP(E$1,'delta-old'!$A$3:$DQ$20,$D60,FALSE))</f>
        <v>71943.09</v>
      </c>
      <c r="F60" s="14">
        <f>IF(ISNA(VLOOKUP(F$1,'peak-old'!$A$3:$DQ$20,$D60,FALSE)),0,VLOOKUP(F$1,'peak-old'!$A$3:$DQ$20,$D60,FALSE))</f>
        <v>0</v>
      </c>
      <c r="G60" s="14">
        <f>IF(ISNA(VLOOKUP(G$1,'peak-old'!$A$3:$DQ$20,$D60,FALSE)),0,VLOOKUP(G$1,'peak-old'!$A$3:$DQ$20,$D60,FALSE))</f>
        <v>0</v>
      </c>
      <c r="H60" s="14">
        <f>IF(ISNA(VLOOKUP(H$1,'peak-old'!$A$3:$DQ$20,$D60,FALSE)),0,VLOOKUP(H$1,'peak-old'!$A$3:$DQ$20,$D60,FALSE))</f>
        <v>16800</v>
      </c>
      <c r="I60" s="14">
        <f>IF(ISNA(VLOOKUP(I$1,'peak-old'!$A$3:$DQ$20,$D60,FALSE)),0,VLOOKUP(I$1,'peak-old'!$A$3:$DQ$20,$D60,FALSE))</f>
        <v>-25200</v>
      </c>
      <c r="J60" s="14">
        <f>IF(ISNA(VLOOKUP(J$1,'peak-old'!$A$3:$DQ$20,$D60,FALSE)),0,VLOOKUP(J$1,'peak-old'!$A$3:$DQ$20,$D60,FALSE))</f>
        <v>0</v>
      </c>
      <c r="K60" s="14">
        <f>IF(ISNA(VLOOKUP(K$1,'peak-old'!$A$3:$DQ$20,$D60,FALSE)),0,VLOOKUP(K$1,'peak-old'!$A$3:$DQ$20,$D60,FALSE))</f>
        <v>0</v>
      </c>
      <c r="L60" s="14">
        <f>IF(ISNA(VLOOKUP(L$1,'peak-old'!$A$3:$DQ$20,$D60,FALSE)),0,VLOOKUP(L$1,'peak-old'!$A$3:$DQ$20,$D60,FALSE))</f>
        <v>0</v>
      </c>
      <c r="M60" s="14">
        <f>IF(ISNA(VLOOKUP(M$1,'peak-old'!$A$3:$DQ$20,$D60,FALSE)),0,VLOOKUP(M$1,'peak-old'!$A$3:$DQ$20,$D60,FALSE))</f>
        <v>0</v>
      </c>
      <c r="N60" s="14">
        <f>IF(ISNA(VLOOKUP(N$1,'peak-old'!$A$3:$DQ$20,$D60,FALSE)),0,VLOOKUP(N$1,'peak-old'!$A$3:$DQ$20,$D60,FALSE))</f>
        <v>0</v>
      </c>
      <c r="O60" s="14">
        <f>IF(ISNA(VLOOKUP(O$1,'peak-old'!$A$3:$DQ$20,$D60,FALSE)),0,VLOOKUP(O$1,'peak-old'!$A$3:$DQ$20,$D60,FALSE))</f>
        <v>0</v>
      </c>
      <c r="P60" s="14">
        <f>IF(ISNA(VLOOKUP(P$1,'peak-old'!$A$3:$DQ$20,$D60,FALSE)),0,VLOOKUP(P$1,'peak-old'!$A$3:$DQ$20,$D60,FALSE))</f>
        <v>0</v>
      </c>
      <c r="Q60" s="15">
        <f>IF(ISNA(VLOOKUP(Q$1,'delta-old'!$A$3:$DQ$20,$D60,FALSE)),0,VLOOKUP(Q$1,'delta-old'!$A$3:$DQ$20,$D60,FALSE))</f>
        <v>71677.77</v>
      </c>
      <c r="R60" s="14">
        <f>IF(ISNA(VLOOKUP(R$1,'peak-old'!$A$3:$DQ$20,$D60,FALSE)),0,VLOOKUP(R$1,'peak-old'!$A$3:$DQ$20,$D60,FALSE))</f>
        <v>0</v>
      </c>
      <c r="S60" s="10"/>
    </row>
    <row r="61" spans="1:19" s="8" customFormat="1" x14ac:dyDescent="0.2">
      <c r="A61" s="8">
        <f t="shared" si="6"/>
        <v>2005</v>
      </c>
      <c r="B61" s="8">
        <f t="shared" si="7"/>
        <v>11</v>
      </c>
      <c r="C61" s="9">
        <f t="shared" si="5"/>
        <v>38657</v>
      </c>
      <c r="D61" s="8">
        <f t="shared" si="8"/>
        <v>55</v>
      </c>
      <c r="E61" s="14">
        <f>IF(ISNA(VLOOKUP(E$1,'delta-old'!$A$3:$DQ$20,$D61,FALSE)),0,VLOOKUP(E$1,'delta-old'!$A$3:$DQ$20,$D61,FALSE))</f>
        <v>71565.67</v>
      </c>
      <c r="F61" s="14">
        <f>IF(ISNA(VLOOKUP(F$1,'peak-old'!$A$3:$DQ$20,$D61,FALSE)),0,VLOOKUP(F$1,'peak-old'!$A$3:$DQ$20,$D61,FALSE))</f>
        <v>0</v>
      </c>
      <c r="G61" s="14">
        <f>IF(ISNA(VLOOKUP(G$1,'peak-old'!$A$3:$DQ$20,$D61,FALSE)),0,VLOOKUP(G$1,'peak-old'!$A$3:$DQ$20,$D61,FALSE))</f>
        <v>0</v>
      </c>
      <c r="H61" s="14">
        <f>IF(ISNA(VLOOKUP(H$1,'peak-old'!$A$3:$DQ$20,$D61,FALSE)),0,VLOOKUP(H$1,'peak-old'!$A$3:$DQ$20,$D61,FALSE))</f>
        <v>16800</v>
      </c>
      <c r="I61" s="14">
        <f>IF(ISNA(VLOOKUP(I$1,'peak-old'!$A$3:$DQ$20,$D61,FALSE)),0,VLOOKUP(I$1,'peak-old'!$A$3:$DQ$20,$D61,FALSE))</f>
        <v>-25200</v>
      </c>
      <c r="J61" s="14">
        <f>IF(ISNA(VLOOKUP(J$1,'peak-old'!$A$3:$DQ$20,$D61,FALSE)),0,VLOOKUP(J$1,'peak-old'!$A$3:$DQ$20,$D61,FALSE))</f>
        <v>0</v>
      </c>
      <c r="K61" s="14">
        <f>IF(ISNA(VLOOKUP(K$1,'peak-old'!$A$3:$DQ$20,$D61,FALSE)),0,VLOOKUP(K$1,'peak-old'!$A$3:$DQ$20,$D61,FALSE))</f>
        <v>0</v>
      </c>
      <c r="L61" s="14">
        <f>IF(ISNA(VLOOKUP(L$1,'peak-old'!$A$3:$DQ$20,$D61,FALSE)),0,VLOOKUP(L$1,'peak-old'!$A$3:$DQ$20,$D61,FALSE))</f>
        <v>0</v>
      </c>
      <c r="M61" s="14">
        <f>IF(ISNA(VLOOKUP(M$1,'peak-old'!$A$3:$DQ$20,$D61,FALSE)),0,VLOOKUP(M$1,'peak-old'!$A$3:$DQ$20,$D61,FALSE))</f>
        <v>0</v>
      </c>
      <c r="N61" s="14">
        <f>IF(ISNA(VLOOKUP(N$1,'peak-old'!$A$3:$DQ$20,$D61,FALSE)),0,VLOOKUP(N$1,'peak-old'!$A$3:$DQ$20,$D61,FALSE))</f>
        <v>0</v>
      </c>
      <c r="O61" s="14">
        <f>IF(ISNA(VLOOKUP(O$1,'peak-old'!$A$3:$DQ$20,$D61,FALSE)),0,VLOOKUP(O$1,'peak-old'!$A$3:$DQ$20,$D61,FALSE))</f>
        <v>0</v>
      </c>
      <c r="P61" s="14">
        <f>IF(ISNA(VLOOKUP(P$1,'peak-old'!$A$3:$DQ$20,$D61,FALSE)),0,VLOOKUP(P$1,'peak-old'!$A$3:$DQ$20,$D61,FALSE))</f>
        <v>0</v>
      </c>
      <c r="Q61" s="15">
        <f>IF(ISNA(VLOOKUP(Q$1,'delta-old'!$A$3:$DQ$20,$D61,FALSE)),0,VLOOKUP(Q$1,'delta-old'!$A$3:$DQ$20,$D61,FALSE))</f>
        <v>71301.72</v>
      </c>
      <c r="R61" s="14">
        <f>IF(ISNA(VLOOKUP(R$1,'peak-old'!$A$3:$DQ$20,$D61,FALSE)),0,VLOOKUP(R$1,'peak-old'!$A$3:$DQ$20,$D61,FALSE))</f>
        <v>0</v>
      </c>
      <c r="S61" s="10"/>
    </row>
    <row r="62" spans="1:19" s="8" customFormat="1" x14ac:dyDescent="0.2">
      <c r="A62" s="8">
        <f t="shared" si="6"/>
        <v>2005</v>
      </c>
      <c r="B62" s="8">
        <f t="shared" si="7"/>
        <v>12</v>
      </c>
      <c r="C62" s="9">
        <f t="shared" si="5"/>
        <v>38687</v>
      </c>
      <c r="D62" s="8">
        <f t="shared" si="8"/>
        <v>56</v>
      </c>
      <c r="E62" s="14">
        <f>IF(ISNA(VLOOKUP(E$1,'delta-old'!$A$3:$DQ$20,$D62,FALSE)),0,VLOOKUP(E$1,'delta-old'!$A$3:$DQ$20,$D62,FALSE))</f>
        <v>71175.62</v>
      </c>
      <c r="F62" s="14">
        <f>IF(ISNA(VLOOKUP(F$1,'peak-old'!$A$3:$DQ$20,$D62,FALSE)),0,VLOOKUP(F$1,'peak-old'!$A$3:$DQ$20,$D62,FALSE))</f>
        <v>0</v>
      </c>
      <c r="G62" s="14">
        <f>IF(ISNA(VLOOKUP(G$1,'peak-old'!$A$3:$DQ$20,$D62,FALSE)),0,VLOOKUP(G$1,'peak-old'!$A$3:$DQ$20,$D62,FALSE))</f>
        <v>0</v>
      </c>
      <c r="H62" s="14">
        <f>IF(ISNA(VLOOKUP(H$1,'peak-old'!$A$3:$DQ$20,$D62,FALSE)),0,VLOOKUP(H$1,'peak-old'!$A$3:$DQ$20,$D62,FALSE))</f>
        <v>16800</v>
      </c>
      <c r="I62" s="14">
        <f>IF(ISNA(VLOOKUP(I$1,'peak-old'!$A$3:$DQ$20,$D62,FALSE)),0,VLOOKUP(I$1,'peak-old'!$A$3:$DQ$20,$D62,FALSE))</f>
        <v>-25200</v>
      </c>
      <c r="J62" s="14">
        <f>IF(ISNA(VLOOKUP(J$1,'peak-old'!$A$3:$DQ$20,$D62,FALSE)),0,VLOOKUP(J$1,'peak-old'!$A$3:$DQ$20,$D62,FALSE))</f>
        <v>0</v>
      </c>
      <c r="K62" s="14">
        <f>IF(ISNA(VLOOKUP(K$1,'peak-old'!$A$3:$DQ$20,$D62,FALSE)),0,VLOOKUP(K$1,'peak-old'!$A$3:$DQ$20,$D62,FALSE))</f>
        <v>0</v>
      </c>
      <c r="L62" s="14">
        <f>IF(ISNA(VLOOKUP(L$1,'peak-old'!$A$3:$DQ$20,$D62,FALSE)),0,VLOOKUP(L$1,'peak-old'!$A$3:$DQ$20,$D62,FALSE))</f>
        <v>0</v>
      </c>
      <c r="M62" s="14">
        <f>IF(ISNA(VLOOKUP(M$1,'peak-old'!$A$3:$DQ$20,$D62,FALSE)),0,VLOOKUP(M$1,'peak-old'!$A$3:$DQ$20,$D62,FALSE))</f>
        <v>0</v>
      </c>
      <c r="N62" s="14">
        <f>IF(ISNA(VLOOKUP(N$1,'peak-old'!$A$3:$DQ$20,$D62,FALSE)),0,VLOOKUP(N$1,'peak-old'!$A$3:$DQ$20,$D62,FALSE))</f>
        <v>0</v>
      </c>
      <c r="O62" s="14">
        <f>IF(ISNA(VLOOKUP(O$1,'peak-old'!$A$3:$DQ$20,$D62,FALSE)),0,VLOOKUP(O$1,'peak-old'!$A$3:$DQ$20,$D62,FALSE))</f>
        <v>0</v>
      </c>
      <c r="P62" s="14">
        <f>IF(ISNA(VLOOKUP(P$1,'peak-old'!$A$3:$DQ$20,$D62,FALSE)),0,VLOOKUP(P$1,'peak-old'!$A$3:$DQ$20,$D62,FALSE))</f>
        <v>0</v>
      </c>
      <c r="Q62" s="15">
        <f>IF(ISNA(VLOOKUP(Q$1,'delta-old'!$A$3:$DQ$20,$D62,FALSE)),0,VLOOKUP(Q$1,'delta-old'!$A$3:$DQ$20,$D62,FALSE))</f>
        <v>70913.38</v>
      </c>
      <c r="R62" s="14">
        <f>IF(ISNA(VLOOKUP(R$1,'peak-old'!$A$3:$DQ$20,$D62,FALSE)),0,VLOOKUP(R$1,'peak-old'!$A$3:$DQ$20,$D62,FALSE))</f>
        <v>0</v>
      </c>
      <c r="S62" s="10"/>
    </row>
    <row r="63" spans="1:19" s="8" customFormat="1" x14ac:dyDescent="0.2">
      <c r="A63" s="8">
        <f t="shared" si="6"/>
        <v>2006</v>
      </c>
      <c r="B63" s="8">
        <f t="shared" si="7"/>
        <v>1</v>
      </c>
      <c r="C63" s="9">
        <f t="shared" si="5"/>
        <v>38718</v>
      </c>
      <c r="D63" s="8">
        <f t="shared" si="8"/>
        <v>57</v>
      </c>
      <c r="E63" s="14">
        <f>IF(ISNA(VLOOKUP(E$1,'delta-old'!$A$3:$DQ$20,$D63,FALSE)),0,VLOOKUP(E$1,'delta-old'!$A$3:$DQ$20,$D63,FALSE))</f>
        <v>-7000.77</v>
      </c>
      <c r="F63" s="14">
        <f>IF(ISNA(VLOOKUP(F$1,'peak-old'!$A$3:$DQ$20,$D63,FALSE)),0,VLOOKUP(F$1,'peak-old'!$A$3:$DQ$20,$D63,FALSE))</f>
        <v>0</v>
      </c>
      <c r="G63" s="14">
        <f>IF(ISNA(VLOOKUP(G$1,'peak-old'!$A$3:$DQ$20,$D63,FALSE)),0,VLOOKUP(G$1,'peak-old'!$A$3:$DQ$20,$D63,FALSE))</f>
        <v>0</v>
      </c>
      <c r="H63" s="14">
        <f>IF(ISNA(VLOOKUP(H$1,'peak-old'!$A$3:$DQ$20,$D63,FALSE)),0,VLOOKUP(H$1,'peak-old'!$A$3:$DQ$20,$D63,FALSE))</f>
        <v>-27552</v>
      </c>
      <c r="I63" s="14">
        <f>IF(ISNA(VLOOKUP(I$1,'peak-old'!$A$3:$DQ$20,$D63,FALSE)),0,VLOOKUP(I$1,'peak-old'!$A$3:$DQ$20,$D63,FALSE))</f>
        <v>-8400</v>
      </c>
      <c r="J63" s="14">
        <f>IF(ISNA(VLOOKUP(J$1,'peak-old'!$A$3:$DQ$20,$D63,FALSE)),0,VLOOKUP(J$1,'peak-old'!$A$3:$DQ$20,$D63,FALSE))</f>
        <v>0</v>
      </c>
      <c r="K63" s="14">
        <f>IF(ISNA(VLOOKUP(K$1,'peak-old'!$A$3:$DQ$20,$D63,FALSE)),0,VLOOKUP(K$1,'peak-old'!$A$3:$DQ$20,$D63,FALSE))</f>
        <v>0</v>
      </c>
      <c r="L63" s="14">
        <f>IF(ISNA(VLOOKUP(L$1,'peak-old'!$A$3:$DQ$20,$D63,FALSE)),0,VLOOKUP(L$1,'peak-old'!$A$3:$DQ$20,$D63,FALSE))</f>
        <v>0</v>
      </c>
      <c r="M63" s="14">
        <f>IF(ISNA(VLOOKUP(M$1,'peak-old'!$A$3:$DQ$20,$D63,FALSE)),0,VLOOKUP(M$1,'peak-old'!$A$3:$DQ$20,$D63,FALSE))</f>
        <v>0</v>
      </c>
      <c r="N63" s="14">
        <f>IF(ISNA(VLOOKUP(N$1,'peak-old'!$A$3:$DQ$20,$D63,FALSE)),0,VLOOKUP(N$1,'peak-old'!$A$3:$DQ$20,$D63,FALSE))</f>
        <v>0</v>
      </c>
      <c r="O63" s="14">
        <f>IF(ISNA(VLOOKUP(O$1,'peak-old'!$A$3:$DQ$20,$D63,FALSE)),0,VLOOKUP(O$1,'peak-old'!$A$3:$DQ$20,$D63,FALSE))</f>
        <v>0</v>
      </c>
      <c r="P63" s="14">
        <f>IF(ISNA(VLOOKUP(P$1,'peak-old'!$A$3:$DQ$20,$D63,FALSE)),0,VLOOKUP(P$1,'peak-old'!$A$3:$DQ$20,$D63,FALSE))</f>
        <v>0</v>
      </c>
      <c r="Q63" s="15">
        <f>IF(ISNA(VLOOKUP(Q$1,'delta-old'!$A$3:$DQ$20,$D63,FALSE)),0,VLOOKUP(Q$1,'delta-old'!$A$3:$DQ$20,$D63,FALSE))</f>
        <v>31891.19</v>
      </c>
      <c r="R63" s="14">
        <f>IF(ISNA(VLOOKUP(R$1,'peak-old'!$A$3:$DQ$20,$D63,FALSE)),0,VLOOKUP(R$1,'peak-old'!$A$3:$DQ$20,$D63,FALSE))</f>
        <v>0</v>
      </c>
      <c r="S63" s="10"/>
    </row>
    <row r="64" spans="1:19" s="8" customFormat="1" x14ac:dyDescent="0.2">
      <c r="A64" s="8">
        <f t="shared" si="6"/>
        <v>2006</v>
      </c>
      <c r="B64" s="8">
        <f t="shared" si="7"/>
        <v>2</v>
      </c>
      <c r="C64" s="9">
        <f t="shared" si="5"/>
        <v>38749</v>
      </c>
      <c r="D64" s="8">
        <f t="shared" si="8"/>
        <v>58</v>
      </c>
      <c r="E64" s="14">
        <f>IF(ISNA(VLOOKUP(E$1,'delta-old'!$A$3:$DQ$20,$D64,FALSE)),0,VLOOKUP(E$1,'delta-old'!$A$3:$DQ$20,$D64,FALSE))</f>
        <v>-6634.21</v>
      </c>
      <c r="F64" s="14">
        <f>IF(ISNA(VLOOKUP(F$1,'peak-old'!$A$3:$DQ$20,$D64,FALSE)),0,VLOOKUP(F$1,'peak-old'!$A$3:$DQ$20,$D64,FALSE))</f>
        <v>0</v>
      </c>
      <c r="G64" s="14">
        <f>IF(ISNA(VLOOKUP(G$1,'peak-old'!$A$3:$DQ$20,$D64,FALSE)),0,VLOOKUP(G$1,'peak-old'!$A$3:$DQ$20,$D64,FALSE))</f>
        <v>0</v>
      </c>
      <c r="H64" s="14">
        <f>IF(ISNA(VLOOKUP(H$1,'peak-old'!$A$3:$DQ$20,$D64,FALSE)),0,VLOOKUP(H$1,'peak-old'!$A$3:$DQ$20,$D64,FALSE))</f>
        <v>-26240</v>
      </c>
      <c r="I64" s="14">
        <f>IF(ISNA(VLOOKUP(I$1,'peak-old'!$A$3:$DQ$20,$D64,FALSE)),0,VLOOKUP(I$1,'peak-old'!$A$3:$DQ$20,$D64,FALSE))</f>
        <v>-8000</v>
      </c>
      <c r="J64" s="14">
        <f>IF(ISNA(VLOOKUP(J$1,'peak-old'!$A$3:$DQ$20,$D64,FALSE)),0,VLOOKUP(J$1,'peak-old'!$A$3:$DQ$20,$D64,FALSE))</f>
        <v>0</v>
      </c>
      <c r="K64" s="14">
        <f>IF(ISNA(VLOOKUP(K$1,'peak-old'!$A$3:$DQ$20,$D64,FALSE)),0,VLOOKUP(K$1,'peak-old'!$A$3:$DQ$20,$D64,FALSE))</f>
        <v>0</v>
      </c>
      <c r="L64" s="14">
        <f>IF(ISNA(VLOOKUP(L$1,'peak-old'!$A$3:$DQ$20,$D64,FALSE)),0,VLOOKUP(L$1,'peak-old'!$A$3:$DQ$20,$D64,FALSE))</f>
        <v>0</v>
      </c>
      <c r="M64" s="14">
        <f>IF(ISNA(VLOOKUP(M$1,'peak-old'!$A$3:$DQ$20,$D64,FALSE)),0,VLOOKUP(M$1,'peak-old'!$A$3:$DQ$20,$D64,FALSE))</f>
        <v>0</v>
      </c>
      <c r="N64" s="14">
        <f>IF(ISNA(VLOOKUP(N$1,'peak-old'!$A$3:$DQ$20,$D64,FALSE)),0,VLOOKUP(N$1,'peak-old'!$A$3:$DQ$20,$D64,FALSE))</f>
        <v>0</v>
      </c>
      <c r="O64" s="14">
        <f>IF(ISNA(VLOOKUP(O$1,'peak-old'!$A$3:$DQ$20,$D64,FALSE)),0,VLOOKUP(O$1,'peak-old'!$A$3:$DQ$20,$D64,FALSE))</f>
        <v>0</v>
      </c>
      <c r="P64" s="14">
        <f>IF(ISNA(VLOOKUP(P$1,'peak-old'!$A$3:$DQ$20,$D64,FALSE)),0,VLOOKUP(P$1,'peak-old'!$A$3:$DQ$20,$D64,FALSE))</f>
        <v>0</v>
      </c>
      <c r="Q64" s="15">
        <f>IF(ISNA(VLOOKUP(Q$1,'delta-old'!$A$3:$DQ$20,$D64,FALSE)),0,VLOOKUP(Q$1,'delta-old'!$A$3:$DQ$20,$D64,FALSE))</f>
        <v>30221.39</v>
      </c>
      <c r="R64" s="14">
        <f>IF(ISNA(VLOOKUP(R$1,'peak-old'!$A$3:$DQ$20,$D64,FALSE)),0,VLOOKUP(R$1,'peak-old'!$A$3:$DQ$20,$D64,FALSE))</f>
        <v>0</v>
      </c>
      <c r="S64" s="10"/>
    </row>
    <row r="65" spans="1:19" s="8" customFormat="1" x14ac:dyDescent="0.2">
      <c r="A65" s="8">
        <f t="shared" si="6"/>
        <v>2006</v>
      </c>
      <c r="B65" s="8">
        <f t="shared" si="7"/>
        <v>3</v>
      </c>
      <c r="C65" s="9">
        <f t="shared" si="5"/>
        <v>38777</v>
      </c>
      <c r="D65" s="8">
        <f t="shared" si="8"/>
        <v>59</v>
      </c>
      <c r="E65" s="14">
        <f>IF(ISNA(VLOOKUP(E$1,'delta-old'!$A$3:$DQ$20,$D65,FALSE)),0,VLOOKUP(E$1,'delta-old'!$A$3:$DQ$20,$D65,FALSE))</f>
        <v>-7587.1</v>
      </c>
      <c r="F65" s="14">
        <f>IF(ISNA(VLOOKUP(F$1,'peak-old'!$A$3:$DQ$20,$D65,FALSE)),0,VLOOKUP(F$1,'peak-old'!$A$3:$DQ$20,$D65,FALSE))</f>
        <v>0</v>
      </c>
      <c r="G65" s="14">
        <f>IF(ISNA(VLOOKUP(G$1,'peak-old'!$A$3:$DQ$20,$D65,FALSE)),0,VLOOKUP(G$1,'peak-old'!$A$3:$DQ$20,$D65,FALSE))</f>
        <v>0</v>
      </c>
      <c r="H65" s="14">
        <f>IF(ISNA(VLOOKUP(H$1,'peak-old'!$A$3:$DQ$20,$D65,FALSE)),0,VLOOKUP(H$1,'peak-old'!$A$3:$DQ$20,$D65,FALSE))</f>
        <v>-31648</v>
      </c>
      <c r="I65" s="14">
        <f>IF(ISNA(VLOOKUP(I$1,'peak-old'!$A$3:$DQ$20,$D65,FALSE)),0,VLOOKUP(I$1,'peak-old'!$A$3:$DQ$20,$D65,FALSE))</f>
        <v>-9200</v>
      </c>
      <c r="J65" s="14">
        <f>IF(ISNA(VLOOKUP(J$1,'peak-old'!$A$3:$DQ$20,$D65,FALSE)),0,VLOOKUP(J$1,'peak-old'!$A$3:$DQ$20,$D65,FALSE))</f>
        <v>0</v>
      </c>
      <c r="K65" s="14">
        <f>IF(ISNA(VLOOKUP(K$1,'peak-old'!$A$3:$DQ$20,$D65,FALSE)),0,VLOOKUP(K$1,'peak-old'!$A$3:$DQ$20,$D65,FALSE))</f>
        <v>0</v>
      </c>
      <c r="L65" s="14">
        <f>IF(ISNA(VLOOKUP(L$1,'peak-old'!$A$3:$DQ$20,$D65,FALSE)),0,VLOOKUP(L$1,'peak-old'!$A$3:$DQ$20,$D65,FALSE))</f>
        <v>0</v>
      </c>
      <c r="M65" s="14">
        <f>IF(ISNA(VLOOKUP(M$1,'peak-old'!$A$3:$DQ$20,$D65,FALSE)),0,VLOOKUP(M$1,'peak-old'!$A$3:$DQ$20,$D65,FALSE))</f>
        <v>0</v>
      </c>
      <c r="N65" s="14">
        <f>IF(ISNA(VLOOKUP(N$1,'peak-old'!$A$3:$DQ$20,$D65,FALSE)),0,VLOOKUP(N$1,'peak-old'!$A$3:$DQ$20,$D65,FALSE))</f>
        <v>0</v>
      </c>
      <c r="O65" s="14">
        <f>IF(ISNA(VLOOKUP(O$1,'peak-old'!$A$3:$DQ$20,$D65,FALSE)),0,VLOOKUP(O$1,'peak-old'!$A$3:$DQ$20,$D65,FALSE))</f>
        <v>0</v>
      </c>
      <c r="P65" s="14">
        <f>IF(ISNA(VLOOKUP(P$1,'peak-old'!$A$3:$DQ$20,$D65,FALSE)),0,VLOOKUP(P$1,'peak-old'!$A$3:$DQ$20,$D65,FALSE))</f>
        <v>0</v>
      </c>
      <c r="Q65" s="15">
        <f>IF(ISNA(VLOOKUP(Q$1,'delta-old'!$A$3:$DQ$20,$D65,FALSE)),0,VLOOKUP(Q$1,'delta-old'!$A$3:$DQ$20,$D65,FALSE))</f>
        <v>34562.129999999997</v>
      </c>
      <c r="R65" s="14">
        <f>IF(ISNA(VLOOKUP(R$1,'peak-old'!$A$3:$DQ$20,$D65,FALSE)),0,VLOOKUP(R$1,'peak-old'!$A$3:$DQ$20,$D65,FALSE))</f>
        <v>0</v>
      </c>
      <c r="S65" s="10"/>
    </row>
    <row r="66" spans="1:19" s="8" customFormat="1" x14ac:dyDescent="0.2">
      <c r="A66" s="8">
        <f t="shared" si="6"/>
        <v>2006</v>
      </c>
      <c r="B66" s="8">
        <f t="shared" si="7"/>
        <v>4</v>
      </c>
      <c r="C66" s="9">
        <f t="shared" si="5"/>
        <v>38808</v>
      </c>
      <c r="D66" s="8">
        <f t="shared" si="8"/>
        <v>60</v>
      </c>
      <c r="E66" s="14">
        <f>IF(ISNA(VLOOKUP(E$1,'delta-old'!$A$3:$DQ$20,$D66,FALSE)),0,VLOOKUP(E$1,'delta-old'!$A$3:$DQ$20,$D66,FALSE))</f>
        <v>-6561.93</v>
      </c>
      <c r="F66" s="14">
        <f>IF(ISNA(VLOOKUP(F$1,'peak-old'!$A$3:$DQ$20,$D66,FALSE)),0,VLOOKUP(F$1,'peak-old'!$A$3:$DQ$20,$D66,FALSE))</f>
        <v>0</v>
      </c>
      <c r="G66" s="14">
        <f>IF(ISNA(VLOOKUP(G$1,'peak-old'!$A$3:$DQ$20,$D66,FALSE)),0,VLOOKUP(G$1,'peak-old'!$A$3:$DQ$20,$D66,FALSE))</f>
        <v>0</v>
      </c>
      <c r="H66" s="14">
        <f>IF(ISNA(VLOOKUP(H$1,'peak-old'!$A$3:$DQ$20,$D66,FALSE)),0,VLOOKUP(H$1,'peak-old'!$A$3:$DQ$20,$D66,FALSE))</f>
        <v>-27200</v>
      </c>
      <c r="I66" s="14">
        <f>IF(ISNA(VLOOKUP(I$1,'peak-old'!$A$3:$DQ$20,$D66,FALSE)),0,VLOOKUP(I$1,'peak-old'!$A$3:$DQ$20,$D66,FALSE))</f>
        <v>-8000</v>
      </c>
      <c r="J66" s="14">
        <f>IF(ISNA(VLOOKUP(J$1,'peak-old'!$A$3:$DQ$20,$D66,FALSE)),0,VLOOKUP(J$1,'peak-old'!$A$3:$DQ$20,$D66,FALSE))</f>
        <v>0</v>
      </c>
      <c r="K66" s="14">
        <f>IF(ISNA(VLOOKUP(K$1,'peak-old'!$A$3:$DQ$20,$D66,FALSE)),0,VLOOKUP(K$1,'peak-old'!$A$3:$DQ$20,$D66,FALSE))</f>
        <v>0</v>
      </c>
      <c r="L66" s="14">
        <f>IF(ISNA(VLOOKUP(L$1,'peak-old'!$A$3:$DQ$20,$D66,FALSE)),0,VLOOKUP(L$1,'peak-old'!$A$3:$DQ$20,$D66,FALSE))</f>
        <v>0</v>
      </c>
      <c r="M66" s="14">
        <f>IF(ISNA(VLOOKUP(M$1,'peak-old'!$A$3:$DQ$20,$D66,FALSE)),0,VLOOKUP(M$1,'peak-old'!$A$3:$DQ$20,$D66,FALSE))</f>
        <v>0</v>
      </c>
      <c r="N66" s="14">
        <f>IF(ISNA(VLOOKUP(N$1,'peak-old'!$A$3:$DQ$20,$D66,FALSE)),0,VLOOKUP(N$1,'peak-old'!$A$3:$DQ$20,$D66,FALSE))</f>
        <v>0</v>
      </c>
      <c r="O66" s="14">
        <f>IF(ISNA(VLOOKUP(O$1,'peak-old'!$A$3:$DQ$20,$D66,FALSE)),0,VLOOKUP(O$1,'peak-old'!$A$3:$DQ$20,$D66,FALSE))</f>
        <v>0</v>
      </c>
      <c r="P66" s="14">
        <f>IF(ISNA(VLOOKUP(P$1,'peak-old'!$A$3:$DQ$20,$D66,FALSE)),0,VLOOKUP(P$1,'peak-old'!$A$3:$DQ$20,$D66,FALSE))</f>
        <v>0</v>
      </c>
      <c r="Q66" s="15">
        <f>IF(ISNA(VLOOKUP(Q$1,'delta-old'!$A$3:$DQ$20,$D66,FALSE)),0,VLOOKUP(Q$1,'delta-old'!$A$3:$DQ$20,$D66,FALSE))</f>
        <v>29648.22</v>
      </c>
      <c r="R66" s="14">
        <f>IF(ISNA(VLOOKUP(R$1,'peak-old'!$A$3:$DQ$20,$D66,FALSE)),0,VLOOKUP(R$1,'peak-old'!$A$3:$DQ$20,$D66,FALSE))</f>
        <v>0</v>
      </c>
      <c r="S66" s="10"/>
    </row>
    <row r="67" spans="1:19" s="8" customFormat="1" x14ac:dyDescent="0.2">
      <c r="A67" s="8">
        <f t="shared" si="6"/>
        <v>2006</v>
      </c>
      <c r="B67" s="8">
        <f t="shared" si="7"/>
        <v>5</v>
      </c>
      <c r="C67" s="9">
        <f t="shared" ref="C67:C98" si="9">DATE(A67,B67,1)</f>
        <v>38838</v>
      </c>
      <c r="D67" s="8">
        <f t="shared" si="8"/>
        <v>61</v>
      </c>
      <c r="E67" s="14">
        <f>IF(ISNA(VLOOKUP(E$1,'delta-old'!$A$3:$DQ$20,$D67,FALSE)),0,VLOOKUP(E$1,'delta-old'!$A$3:$DQ$20,$D67,FALSE))</f>
        <v>-7178.88</v>
      </c>
      <c r="F67" s="14">
        <f>IF(ISNA(VLOOKUP(F$1,'peak-old'!$A$3:$DQ$20,$D67,FALSE)),0,VLOOKUP(F$1,'peak-old'!$A$3:$DQ$20,$D67,FALSE))</f>
        <v>0</v>
      </c>
      <c r="G67" s="14">
        <f>IF(ISNA(VLOOKUP(G$1,'peak-old'!$A$3:$DQ$20,$D67,FALSE)),0,VLOOKUP(G$1,'peak-old'!$A$3:$DQ$20,$D67,FALSE))</f>
        <v>0</v>
      </c>
      <c r="H67" s="14">
        <f>IF(ISNA(VLOOKUP(H$1,'peak-old'!$A$3:$DQ$20,$D67,FALSE)),0,VLOOKUP(H$1,'peak-old'!$A$3:$DQ$20,$D67,FALSE))</f>
        <v>-26752</v>
      </c>
      <c r="I67" s="14">
        <f>IF(ISNA(VLOOKUP(I$1,'peak-old'!$A$3:$DQ$20,$D67,FALSE)),0,VLOOKUP(I$1,'peak-old'!$A$3:$DQ$20,$D67,FALSE))</f>
        <v>-8800</v>
      </c>
      <c r="J67" s="14">
        <f>IF(ISNA(VLOOKUP(J$1,'peak-old'!$A$3:$DQ$20,$D67,FALSE)),0,VLOOKUP(J$1,'peak-old'!$A$3:$DQ$20,$D67,FALSE))</f>
        <v>0</v>
      </c>
      <c r="K67" s="14">
        <f>IF(ISNA(VLOOKUP(K$1,'peak-old'!$A$3:$DQ$20,$D67,FALSE)),0,VLOOKUP(K$1,'peak-old'!$A$3:$DQ$20,$D67,FALSE))</f>
        <v>0</v>
      </c>
      <c r="L67" s="14">
        <f>IF(ISNA(VLOOKUP(L$1,'peak-old'!$A$3:$DQ$20,$D67,FALSE)),0,VLOOKUP(L$1,'peak-old'!$A$3:$DQ$20,$D67,FALSE))</f>
        <v>0</v>
      </c>
      <c r="M67" s="14">
        <f>IF(ISNA(VLOOKUP(M$1,'peak-old'!$A$3:$DQ$20,$D67,FALSE)),0,VLOOKUP(M$1,'peak-old'!$A$3:$DQ$20,$D67,FALSE))</f>
        <v>0</v>
      </c>
      <c r="N67" s="14">
        <f>IF(ISNA(VLOOKUP(N$1,'peak-old'!$A$3:$DQ$20,$D67,FALSE)),0,VLOOKUP(N$1,'peak-old'!$A$3:$DQ$20,$D67,FALSE))</f>
        <v>0</v>
      </c>
      <c r="O67" s="14">
        <f>IF(ISNA(VLOOKUP(O$1,'peak-old'!$A$3:$DQ$20,$D67,FALSE)),0,VLOOKUP(O$1,'peak-old'!$A$3:$DQ$20,$D67,FALSE))</f>
        <v>0</v>
      </c>
      <c r="P67" s="14">
        <f>IF(ISNA(VLOOKUP(P$1,'peak-old'!$A$3:$DQ$20,$D67,FALSE)),0,VLOOKUP(P$1,'peak-old'!$A$3:$DQ$20,$D67,FALSE))</f>
        <v>0</v>
      </c>
      <c r="Q67" s="15">
        <f>IF(ISNA(VLOOKUP(Q$1,'delta-old'!$A$3:$DQ$20,$D67,FALSE)),0,VLOOKUP(Q$1,'delta-old'!$A$3:$DQ$20,$D67,FALSE))</f>
        <v>32436.09</v>
      </c>
      <c r="R67" s="14">
        <f>IF(ISNA(VLOOKUP(R$1,'peak-old'!$A$3:$DQ$20,$D67,FALSE)),0,VLOOKUP(R$1,'peak-old'!$A$3:$DQ$20,$D67,FALSE))</f>
        <v>0</v>
      </c>
      <c r="S67" s="10"/>
    </row>
    <row r="68" spans="1:19" s="8" customFormat="1" x14ac:dyDescent="0.2">
      <c r="A68" s="8">
        <f t="shared" ref="A68:A99" si="10">IF(B67=12,A67+1,A67)</f>
        <v>2006</v>
      </c>
      <c r="B68" s="8">
        <f t="shared" ref="B68:B99" si="11">IF(B67=12,1,B67+1)</f>
        <v>6</v>
      </c>
      <c r="C68" s="9">
        <f t="shared" si="9"/>
        <v>38869</v>
      </c>
      <c r="D68" s="8">
        <f t="shared" si="8"/>
        <v>62</v>
      </c>
      <c r="E68" s="14">
        <f>IF(ISNA(VLOOKUP(E$1,'delta-old'!$A$3:$DQ$20,$D68,FALSE)),0,VLOOKUP(E$1,'delta-old'!$A$3:$DQ$20,$D68,FALSE))</f>
        <v>-7141.94</v>
      </c>
      <c r="F68" s="14">
        <f>IF(ISNA(VLOOKUP(F$1,'peak-old'!$A$3:$DQ$20,$D68,FALSE)),0,VLOOKUP(F$1,'peak-old'!$A$3:$DQ$20,$D68,FALSE))</f>
        <v>0</v>
      </c>
      <c r="G68" s="14">
        <f>IF(ISNA(VLOOKUP(G$1,'peak-old'!$A$3:$DQ$20,$D68,FALSE)),0,VLOOKUP(G$1,'peak-old'!$A$3:$DQ$20,$D68,FALSE))</f>
        <v>0</v>
      </c>
      <c r="H68" s="14">
        <f>IF(ISNA(VLOOKUP(H$1,'peak-old'!$A$3:$DQ$20,$D68,FALSE)),0,VLOOKUP(H$1,'peak-old'!$A$3:$DQ$20,$D68,FALSE))</f>
        <v>-24992</v>
      </c>
      <c r="I68" s="14">
        <f>IF(ISNA(VLOOKUP(I$1,'peak-old'!$A$3:$DQ$20,$D68,FALSE)),0,VLOOKUP(I$1,'peak-old'!$A$3:$DQ$20,$D68,FALSE))</f>
        <v>-8800</v>
      </c>
      <c r="J68" s="14">
        <f>IF(ISNA(VLOOKUP(J$1,'peak-old'!$A$3:$DQ$20,$D68,FALSE)),0,VLOOKUP(J$1,'peak-old'!$A$3:$DQ$20,$D68,FALSE))</f>
        <v>0</v>
      </c>
      <c r="K68" s="14">
        <f>IF(ISNA(VLOOKUP(K$1,'peak-old'!$A$3:$DQ$20,$D68,FALSE)),0,VLOOKUP(K$1,'peak-old'!$A$3:$DQ$20,$D68,FALSE))</f>
        <v>0</v>
      </c>
      <c r="L68" s="14">
        <f>IF(ISNA(VLOOKUP(L$1,'peak-old'!$A$3:$DQ$20,$D68,FALSE)),0,VLOOKUP(L$1,'peak-old'!$A$3:$DQ$20,$D68,FALSE))</f>
        <v>0</v>
      </c>
      <c r="M68" s="14">
        <f>IF(ISNA(VLOOKUP(M$1,'peak-old'!$A$3:$DQ$20,$D68,FALSE)),0,VLOOKUP(M$1,'peak-old'!$A$3:$DQ$20,$D68,FALSE))</f>
        <v>0</v>
      </c>
      <c r="N68" s="14">
        <f>IF(ISNA(VLOOKUP(N$1,'peak-old'!$A$3:$DQ$20,$D68,FALSE)),0,VLOOKUP(N$1,'peak-old'!$A$3:$DQ$20,$D68,FALSE))</f>
        <v>0</v>
      </c>
      <c r="O68" s="14">
        <f>IF(ISNA(VLOOKUP(O$1,'peak-old'!$A$3:$DQ$20,$D68,FALSE)),0,VLOOKUP(O$1,'peak-old'!$A$3:$DQ$20,$D68,FALSE))</f>
        <v>0</v>
      </c>
      <c r="P68" s="14">
        <f>IF(ISNA(VLOOKUP(P$1,'peak-old'!$A$3:$DQ$20,$D68,FALSE)),0,VLOOKUP(P$1,'peak-old'!$A$3:$DQ$20,$D68,FALSE))</f>
        <v>0</v>
      </c>
      <c r="Q68" s="15">
        <f>IF(ISNA(VLOOKUP(Q$1,'delta-old'!$A$3:$DQ$20,$D68,FALSE)),0,VLOOKUP(Q$1,'delta-old'!$A$3:$DQ$20,$D68,FALSE))</f>
        <v>32004.639999999999</v>
      </c>
      <c r="R68" s="14">
        <f>IF(ISNA(VLOOKUP(R$1,'peak-old'!$A$3:$DQ$20,$D68,FALSE)),0,VLOOKUP(R$1,'peak-old'!$A$3:$DQ$20,$D68,FALSE))</f>
        <v>0</v>
      </c>
      <c r="S68" s="10"/>
    </row>
    <row r="69" spans="1:19" s="8" customFormat="1" x14ac:dyDescent="0.2">
      <c r="A69" s="8">
        <f t="shared" si="10"/>
        <v>2006</v>
      </c>
      <c r="B69" s="8">
        <f t="shared" si="11"/>
        <v>7</v>
      </c>
      <c r="C69" s="9">
        <f t="shared" si="9"/>
        <v>38899</v>
      </c>
      <c r="D69" s="8">
        <f t="shared" si="8"/>
        <v>63</v>
      </c>
      <c r="E69" s="14">
        <f>IF(ISNA(VLOOKUP(E$1,'delta-old'!$A$3:$DQ$20,$D69,FALSE)),0,VLOOKUP(E$1,'delta-old'!$A$3:$DQ$20,$D69,FALSE))</f>
        <v>-6458.18</v>
      </c>
      <c r="F69" s="14">
        <f>IF(ISNA(VLOOKUP(F$1,'peak-old'!$A$3:$DQ$20,$D69,FALSE)),0,VLOOKUP(F$1,'peak-old'!$A$3:$DQ$20,$D69,FALSE))</f>
        <v>0</v>
      </c>
      <c r="G69" s="14">
        <f>IF(ISNA(VLOOKUP(G$1,'peak-old'!$A$3:$DQ$20,$D69,FALSE)),0,VLOOKUP(G$1,'peak-old'!$A$3:$DQ$20,$D69,FALSE))</f>
        <v>0</v>
      </c>
      <c r="H69" s="14">
        <f>IF(ISNA(VLOOKUP(H$1,'peak-old'!$A$3:$DQ$20,$D69,FALSE)),0,VLOOKUP(H$1,'peak-old'!$A$3:$DQ$20,$D69,FALSE))</f>
        <v>-20160</v>
      </c>
      <c r="I69" s="14">
        <f>IF(ISNA(VLOOKUP(I$1,'peak-old'!$A$3:$DQ$20,$D69,FALSE)),0,VLOOKUP(I$1,'peak-old'!$A$3:$DQ$20,$D69,FALSE))</f>
        <v>-8000</v>
      </c>
      <c r="J69" s="14">
        <f>IF(ISNA(VLOOKUP(J$1,'peak-old'!$A$3:$DQ$20,$D69,FALSE)),0,VLOOKUP(J$1,'peak-old'!$A$3:$DQ$20,$D69,FALSE))</f>
        <v>0</v>
      </c>
      <c r="K69" s="14">
        <f>IF(ISNA(VLOOKUP(K$1,'peak-old'!$A$3:$DQ$20,$D69,FALSE)),0,VLOOKUP(K$1,'peak-old'!$A$3:$DQ$20,$D69,FALSE))</f>
        <v>0</v>
      </c>
      <c r="L69" s="14">
        <f>IF(ISNA(VLOOKUP(L$1,'peak-old'!$A$3:$DQ$20,$D69,FALSE)),0,VLOOKUP(L$1,'peak-old'!$A$3:$DQ$20,$D69,FALSE))</f>
        <v>0</v>
      </c>
      <c r="M69" s="14">
        <f>IF(ISNA(VLOOKUP(M$1,'peak-old'!$A$3:$DQ$20,$D69,FALSE)),0,VLOOKUP(M$1,'peak-old'!$A$3:$DQ$20,$D69,FALSE))</f>
        <v>0</v>
      </c>
      <c r="N69" s="14">
        <f>IF(ISNA(VLOOKUP(N$1,'peak-old'!$A$3:$DQ$20,$D69,FALSE)),0,VLOOKUP(N$1,'peak-old'!$A$3:$DQ$20,$D69,FALSE))</f>
        <v>0</v>
      </c>
      <c r="O69" s="14">
        <f>IF(ISNA(VLOOKUP(O$1,'peak-old'!$A$3:$DQ$20,$D69,FALSE)),0,VLOOKUP(O$1,'peak-old'!$A$3:$DQ$20,$D69,FALSE))</f>
        <v>0</v>
      </c>
      <c r="P69" s="14">
        <f>IF(ISNA(VLOOKUP(P$1,'peak-old'!$A$3:$DQ$20,$D69,FALSE)),0,VLOOKUP(P$1,'peak-old'!$A$3:$DQ$20,$D69,FALSE))</f>
        <v>0</v>
      </c>
      <c r="Q69" s="15">
        <f>IF(ISNA(VLOOKUP(Q$1,'delta-old'!$A$3:$DQ$20,$D69,FALSE)),0,VLOOKUP(Q$1,'delta-old'!$A$3:$DQ$20,$D69,FALSE))</f>
        <v>28700.35</v>
      </c>
      <c r="R69" s="14">
        <f>IF(ISNA(VLOOKUP(R$1,'peak-old'!$A$3:$DQ$20,$D69,FALSE)),0,VLOOKUP(R$1,'peak-old'!$A$3:$DQ$20,$D69,FALSE))</f>
        <v>0</v>
      </c>
      <c r="S69" s="10"/>
    </row>
    <row r="70" spans="1:19" s="8" customFormat="1" x14ac:dyDescent="0.2">
      <c r="A70" s="8">
        <f t="shared" si="10"/>
        <v>2006</v>
      </c>
      <c r="B70" s="8">
        <f t="shared" si="11"/>
        <v>8</v>
      </c>
      <c r="C70" s="9">
        <f t="shared" si="9"/>
        <v>38930</v>
      </c>
      <c r="D70" s="8">
        <f t="shared" si="8"/>
        <v>64</v>
      </c>
      <c r="E70" s="14">
        <f>IF(ISNA(VLOOKUP(E$1,'delta-old'!$A$3:$DQ$20,$D70,FALSE)),0,VLOOKUP(E$1,'delta-old'!$A$3:$DQ$20,$D70,FALSE))</f>
        <v>-7387.32</v>
      </c>
      <c r="F70" s="14">
        <f>IF(ISNA(VLOOKUP(F$1,'peak-old'!$A$3:$DQ$20,$D70,FALSE)),0,VLOOKUP(F$1,'peak-old'!$A$3:$DQ$20,$D70,FALSE))</f>
        <v>0</v>
      </c>
      <c r="G70" s="14">
        <f>IF(ISNA(VLOOKUP(G$1,'peak-old'!$A$3:$DQ$20,$D70,FALSE)),0,VLOOKUP(G$1,'peak-old'!$A$3:$DQ$20,$D70,FALSE))</f>
        <v>0</v>
      </c>
      <c r="H70" s="14">
        <f>IF(ISNA(VLOOKUP(H$1,'peak-old'!$A$3:$DQ$20,$D70,FALSE)),0,VLOOKUP(H$1,'peak-old'!$A$3:$DQ$20,$D70,FALSE))</f>
        <v>-22816</v>
      </c>
      <c r="I70" s="14">
        <f>IF(ISNA(VLOOKUP(I$1,'peak-old'!$A$3:$DQ$20,$D70,FALSE)),0,VLOOKUP(I$1,'peak-old'!$A$3:$DQ$20,$D70,FALSE))</f>
        <v>-9200</v>
      </c>
      <c r="J70" s="14">
        <f>IF(ISNA(VLOOKUP(J$1,'peak-old'!$A$3:$DQ$20,$D70,FALSE)),0,VLOOKUP(J$1,'peak-old'!$A$3:$DQ$20,$D70,FALSE))</f>
        <v>0</v>
      </c>
      <c r="K70" s="14">
        <f>IF(ISNA(VLOOKUP(K$1,'peak-old'!$A$3:$DQ$20,$D70,FALSE)),0,VLOOKUP(K$1,'peak-old'!$A$3:$DQ$20,$D70,FALSE))</f>
        <v>0</v>
      </c>
      <c r="L70" s="14">
        <f>IF(ISNA(VLOOKUP(L$1,'peak-old'!$A$3:$DQ$20,$D70,FALSE)),0,VLOOKUP(L$1,'peak-old'!$A$3:$DQ$20,$D70,FALSE))</f>
        <v>0</v>
      </c>
      <c r="M70" s="14">
        <f>IF(ISNA(VLOOKUP(M$1,'peak-old'!$A$3:$DQ$20,$D70,FALSE)),0,VLOOKUP(M$1,'peak-old'!$A$3:$DQ$20,$D70,FALSE))</f>
        <v>0</v>
      </c>
      <c r="N70" s="14">
        <f>IF(ISNA(VLOOKUP(N$1,'peak-old'!$A$3:$DQ$20,$D70,FALSE)),0,VLOOKUP(N$1,'peak-old'!$A$3:$DQ$20,$D70,FALSE))</f>
        <v>0</v>
      </c>
      <c r="O70" s="14">
        <f>IF(ISNA(VLOOKUP(O$1,'peak-old'!$A$3:$DQ$20,$D70,FALSE)),0,VLOOKUP(O$1,'peak-old'!$A$3:$DQ$20,$D70,FALSE))</f>
        <v>0</v>
      </c>
      <c r="P70" s="14">
        <f>IF(ISNA(VLOOKUP(P$1,'peak-old'!$A$3:$DQ$20,$D70,FALSE)),0,VLOOKUP(P$1,'peak-old'!$A$3:$DQ$20,$D70,FALSE))</f>
        <v>0</v>
      </c>
      <c r="Q70" s="15">
        <f>IF(ISNA(VLOOKUP(Q$1,'delta-old'!$A$3:$DQ$20,$D70,FALSE)),0,VLOOKUP(Q$1,'delta-old'!$A$3:$DQ$20,$D70,FALSE))</f>
        <v>33103.85</v>
      </c>
      <c r="R70" s="14">
        <f>IF(ISNA(VLOOKUP(R$1,'peak-old'!$A$3:$DQ$20,$D70,FALSE)),0,VLOOKUP(R$1,'peak-old'!$A$3:$DQ$20,$D70,FALSE))</f>
        <v>0</v>
      </c>
      <c r="S70" s="10"/>
    </row>
    <row r="71" spans="1:19" s="8" customFormat="1" x14ac:dyDescent="0.2">
      <c r="A71" s="8">
        <f t="shared" si="10"/>
        <v>2006</v>
      </c>
      <c r="B71" s="8">
        <f t="shared" si="11"/>
        <v>9</v>
      </c>
      <c r="C71" s="9">
        <f t="shared" si="9"/>
        <v>38961</v>
      </c>
      <c r="D71" s="8">
        <f t="shared" si="8"/>
        <v>65</v>
      </c>
      <c r="E71" s="14">
        <f>IF(ISNA(VLOOKUP(E$1,'delta-old'!$A$3:$DQ$20,$D71,FALSE)),0,VLOOKUP(E$1,'delta-old'!$A$3:$DQ$20,$D71,FALSE))</f>
        <v>-6390.49</v>
      </c>
      <c r="F71" s="14">
        <f>IF(ISNA(VLOOKUP(F$1,'peak-old'!$A$3:$DQ$20,$D71,FALSE)),0,VLOOKUP(F$1,'peak-old'!$A$3:$DQ$20,$D71,FALSE))</f>
        <v>0</v>
      </c>
      <c r="G71" s="14">
        <f>IF(ISNA(VLOOKUP(G$1,'peak-old'!$A$3:$DQ$20,$D71,FALSE)),0,VLOOKUP(G$1,'peak-old'!$A$3:$DQ$20,$D71,FALSE))</f>
        <v>0</v>
      </c>
      <c r="H71" s="14">
        <f>IF(ISNA(VLOOKUP(H$1,'peak-old'!$A$3:$DQ$20,$D71,FALSE)),0,VLOOKUP(H$1,'peak-old'!$A$3:$DQ$20,$D71,FALSE))</f>
        <v>-24960</v>
      </c>
      <c r="I71" s="14">
        <f>IF(ISNA(VLOOKUP(I$1,'peak-old'!$A$3:$DQ$20,$D71,FALSE)),0,VLOOKUP(I$1,'peak-old'!$A$3:$DQ$20,$D71,FALSE))</f>
        <v>-8000</v>
      </c>
      <c r="J71" s="14">
        <f>IF(ISNA(VLOOKUP(J$1,'peak-old'!$A$3:$DQ$20,$D71,FALSE)),0,VLOOKUP(J$1,'peak-old'!$A$3:$DQ$20,$D71,FALSE))</f>
        <v>0</v>
      </c>
      <c r="K71" s="14">
        <f>IF(ISNA(VLOOKUP(K$1,'peak-old'!$A$3:$DQ$20,$D71,FALSE)),0,VLOOKUP(K$1,'peak-old'!$A$3:$DQ$20,$D71,FALSE))</f>
        <v>0</v>
      </c>
      <c r="L71" s="14">
        <f>IF(ISNA(VLOOKUP(L$1,'peak-old'!$A$3:$DQ$20,$D71,FALSE)),0,VLOOKUP(L$1,'peak-old'!$A$3:$DQ$20,$D71,FALSE))</f>
        <v>0</v>
      </c>
      <c r="M71" s="14">
        <f>IF(ISNA(VLOOKUP(M$1,'peak-old'!$A$3:$DQ$20,$D71,FALSE)),0,VLOOKUP(M$1,'peak-old'!$A$3:$DQ$20,$D71,FALSE))</f>
        <v>0</v>
      </c>
      <c r="N71" s="14">
        <f>IF(ISNA(VLOOKUP(N$1,'peak-old'!$A$3:$DQ$20,$D71,FALSE)),0,VLOOKUP(N$1,'peak-old'!$A$3:$DQ$20,$D71,FALSE))</f>
        <v>0</v>
      </c>
      <c r="O71" s="14">
        <f>IF(ISNA(VLOOKUP(O$1,'peak-old'!$A$3:$DQ$20,$D71,FALSE)),0,VLOOKUP(O$1,'peak-old'!$A$3:$DQ$20,$D71,FALSE))</f>
        <v>0</v>
      </c>
      <c r="P71" s="14">
        <f>IF(ISNA(VLOOKUP(P$1,'peak-old'!$A$3:$DQ$20,$D71,FALSE)),0,VLOOKUP(P$1,'peak-old'!$A$3:$DQ$20,$D71,FALSE))</f>
        <v>0</v>
      </c>
      <c r="Q71" s="15">
        <f>IF(ISNA(VLOOKUP(Q$1,'delta-old'!$A$3:$DQ$20,$D71,FALSE)),0,VLOOKUP(Q$1,'delta-old'!$A$3:$DQ$20,$D71,FALSE))</f>
        <v>28873.84</v>
      </c>
      <c r="R71" s="14">
        <f>IF(ISNA(VLOOKUP(R$1,'peak-old'!$A$3:$DQ$20,$D71,FALSE)),0,VLOOKUP(R$1,'peak-old'!$A$3:$DQ$20,$D71,FALSE))</f>
        <v>0</v>
      </c>
      <c r="S71" s="10"/>
    </row>
    <row r="72" spans="1:19" s="8" customFormat="1" x14ac:dyDescent="0.2">
      <c r="A72" s="8">
        <f t="shared" si="10"/>
        <v>2006</v>
      </c>
      <c r="B72" s="8">
        <f t="shared" si="11"/>
        <v>10</v>
      </c>
      <c r="C72" s="9">
        <f t="shared" si="9"/>
        <v>38991</v>
      </c>
      <c r="D72" s="8">
        <f t="shared" ref="D72:D103" si="12">D71+1</f>
        <v>66</v>
      </c>
      <c r="E72" s="14">
        <f>IF(ISNA(VLOOKUP(E$1,'delta-old'!$A$3:$DQ$20,$D72,FALSE)),0,VLOOKUP(E$1,'delta-old'!$A$3:$DQ$20,$D72,FALSE))</f>
        <v>-6991.8</v>
      </c>
      <c r="F72" s="14">
        <f>IF(ISNA(VLOOKUP(F$1,'peak-old'!$A$3:$DQ$20,$D72,FALSE)),0,VLOOKUP(F$1,'peak-old'!$A$3:$DQ$20,$D72,FALSE))</f>
        <v>0</v>
      </c>
      <c r="G72" s="14">
        <f>IF(ISNA(VLOOKUP(G$1,'peak-old'!$A$3:$DQ$20,$D72,FALSE)),0,VLOOKUP(G$1,'peak-old'!$A$3:$DQ$20,$D72,FALSE))</f>
        <v>0</v>
      </c>
      <c r="H72" s="14">
        <f>IF(ISNA(VLOOKUP(H$1,'peak-old'!$A$3:$DQ$20,$D72,FALSE)),0,VLOOKUP(H$1,'peak-old'!$A$3:$DQ$20,$D72,FALSE))</f>
        <v>-27808</v>
      </c>
      <c r="I72" s="14">
        <f>IF(ISNA(VLOOKUP(I$1,'peak-old'!$A$3:$DQ$20,$D72,FALSE)),0,VLOOKUP(I$1,'peak-old'!$A$3:$DQ$20,$D72,FALSE))</f>
        <v>-8800</v>
      </c>
      <c r="J72" s="14">
        <f>IF(ISNA(VLOOKUP(J$1,'peak-old'!$A$3:$DQ$20,$D72,FALSE)),0,VLOOKUP(J$1,'peak-old'!$A$3:$DQ$20,$D72,FALSE))</f>
        <v>0</v>
      </c>
      <c r="K72" s="14">
        <f>IF(ISNA(VLOOKUP(K$1,'peak-old'!$A$3:$DQ$20,$D72,FALSE)),0,VLOOKUP(K$1,'peak-old'!$A$3:$DQ$20,$D72,FALSE))</f>
        <v>0</v>
      </c>
      <c r="L72" s="14">
        <f>IF(ISNA(VLOOKUP(L$1,'peak-old'!$A$3:$DQ$20,$D72,FALSE)),0,VLOOKUP(L$1,'peak-old'!$A$3:$DQ$20,$D72,FALSE))</f>
        <v>0</v>
      </c>
      <c r="M72" s="14">
        <f>IF(ISNA(VLOOKUP(M$1,'peak-old'!$A$3:$DQ$20,$D72,FALSE)),0,VLOOKUP(M$1,'peak-old'!$A$3:$DQ$20,$D72,FALSE))</f>
        <v>0</v>
      </c>
      <c r="N72" s="14">
        <f>IF(ISNA(VLOOKUP(N$1,'peak-old'!$A$3:$DQ$20,$D72,FALSE)),0,VLOOKUP(N$1,'peak-old'!$A$3:$DQ$20,$D72,FALSE))</f>
        <v>0</v>
      </c>
      <c r="O72" s="14">
        <f>IF(ISNA(VLOOKUP(O$1,'peak-old'!$A$3:$DQ$20,$D72,FALSE)),0,VLOOKUP(O$1,'peak-old'!$A$3:$DQ$20,$D72,FALSE))</f>
        <v>0</v>
      </c>
      <c r="P72" s="14">
        <f>IF(ISNA(VLOOKUP(P$1,'peak-old'!$A$3:$DQ$20,$D72,FALSE)),0,VLOOKUP(P$1,'peak-old'!$A$3:$DQ$20,$D72,FALSE))</f>
        <v>0</v>
      </c>
      <c r="Q72" s="15">
        <f>IF(ISNA(VLOOKUP(Q$1,'delta-old'!$A$3:$DQ$20,$D72,FALSE)),0,VLOOKUP(Q$1,'delta-old'!$A$3:$DQ$20,$D72,FALSE))</f>
        <v>31590.84</v>
      </c>
      <c r="R72" s="14">
        <f>IF(ISNA(VLOOKUP(R$1,'peak-old'!$A$3:$DQ$20,$D72,FALSE)),0,VLOOKUP(R$1,'peak-old'!$A$3:$DQ$20,$D72,FALSE))</f>
        <v>0</v>
      </c>
      <c r="S72" s="10"/>
    </row>
    <row r="73" spans="1:19" s="8" customFormat="1" x14ac:dyDescent="0.2">
      <c r="A73" s="8">
        <f t="shared" si="10"/>
        <v>2006</v>
      </c>
      <c r="B73" s="8">
        <f t="shared" si="11"/>
        <v>11</v>
      </c>
      <c r="C73" s="9">
        <f t="shared" si="9"/>
        <v>39022</v>
      </c>
      <c r="D73" s="8">
        <f t="shared" si="12"/>
        <v>67</v>
      </c>
      <c r="E73" s="14">
        <f>IF(ISNA(VLOOKUP(E$1,'delta-old'!$A$3:$DQ$20,$D73,FALSE)),0,VLOOKUP(E$1,'delta-old'!$A$3:$DQ$20,$D73,FALSE))</f>
        <v>-6639.2</v>
      </c>
      <c r="F73" s="14">
        <f>IF(ISNA(VLOOKUP(F$1,'peak-old'!$A$3:$DQ$20,$D73,FALSE)),0,VLOOKUP(F$1,'peak-old'!$A$3:$DQ$20,$D73,FALSE))</f>
        <v>0</v>
      </c>
      <c r="G73" s="14">
        <f>IF(ISNA(VLOOKUP(G$1,'peak-old'!$A$3:$DQ$20,$D73,FALSE)),0,VLOOKUP(G$1,'peak-old'!$A$3:$DQ$20,$D73,FALSE))</f>
        <v>0</v>
      </c>
      <c r="H73" s="14">
        <f>IF(ISNA(VLOOKUP(H$1,'peak-old'!$A$3:$DQ$20,$D73,FALSE)),0,VLOOKUP(H$1,'peak-old'!$A$3:$DQ$20,$D73,FALSE))</f>
        <v>-26880</v>
      </c>
      <c r="I73" s="14">
        <f>IF(ISNA(VLOOKUP(I$1,'peak-old'!$A$3:$DQ$20,$D73,FALSE)),0,VLOOKUP(I$1,'peak-old'!$A$3:$DQ$20,$D73,FALSE))</f>
        <v>-8400</v>
      </c>
      <c r="J73" s="14">
        <f>IF(ISNA(VLOOKUP(J$1,'peak-old'!$A$3:$DQ$20,$D73,FALSE)),0,VLOOKUP(J$1,'peak-old'!$A$3:$DQ$20,$D73,FALSE))</f>
        <v>0</v>
      </c>
      <c r="K73" s="14">
        <f>IF(ISNA(VLOOKUP(K$1,'peak-old'!$A$3:$DQ$20,$D73,FALSE)),0,VLOOKUP(K$1,'peak-old'!$A$3:$DQ$20,$D73,FALSE))</f>
        <v>0</v>
      </c>
      <c r="L73" s="14">
        <f>IF(ISNA(VLOOKUP(L$1,'peak-old'!$A$3:$DQ$20,$D73,FALSE)),0,VLOOKUP(L$1,'peak-old'!$A$3:$DQ$20,$D73,FALSE))</f>
        <v>0</v>
      </c>
      <c r="M73" s="14">
        <f>IF(ISNA(VLOOKUP(M$1,'peak-old'!$A$3:$DQ$20,$D73,FALSE)),0,VLOOKUP(M$1,'peak-old'!$A$3:$DQ$20,$D73,FALSE))</f>
        <v>0</v>
      </c>
      <c r="N73" s="14">
        <f>IF(ISNA(VLOOKUP(N$1,'peak-old'!$A$3:$DQ$20,$D73,FALSE)),0,VLOOKUP(N$1,'peak-old'!$A$3:$DQ$20,$D73,FALSE))</f>
        <v>0</v>
      </c>
      <c r="O73" s="14">
        <f>IF(ISNA(VLOOKUP(O$1,'peak-old'!$A$3:$DQ$20,$D73,FALSE)),0,VLOOKUP(O$1,'peak-old'!$A$3:$DQ$20,$D73,FALSE))</f>
        <v>0</v>
      </c>
      <c r="P73" s="14">
        <f>IF(ISNA(VLOOKUP(P$1,'peak-old'!$A$3:$DQ$20,$D73,FALSE)),0,VLOOKUP(P$1,'peak-old'!$A$3:$DQ$20,$D73,FALSE))</f>
        <v>0</v>
      </c>
      <c r="Q73" s="15">
        <f>IF(ISNA(VLOOKUP(Q$1,'delta-old'!$A$3:$DQ$20,$D73,FALSE)),0,VLOOKUP(Q$1,'delta-old'!$A$3:$DQ$20,$D73,FALSE))</f>
        <v>29997.65</v>
      </c>
      <c r="R73" s="14">
        <f>IF(ISNA(VLOOKUP(R$1,'peak-old'!$A$3:$DQ$20,$D73,FALSE)),0,VLOOKUP(R$1,'peak-old'!$A$3:$DQ$20,$D73,FALSE))</f>
        <v>0</v>
      </c>
      <c r="S73" s="10"/>
    </row>
    <row r="74" spans="1:19" s="8" customFormat="1" x14ac:dyDescent="0.2">
      <c r="A74" s="8">
        <f t="shared" si="10"/>
        <v>2006</v>
      </c>
      <c r="B74" s="8">
        <f t="shared" si="11"/>
        <v>12</v>
      </c>
      <c r="C74" s="9">
        <f t="shared" si="9"/>
        <v>39052</v>
      </c>
      <c r="D74" s="8">
        <f t="shared" si="12"/>
        <v>68</v>
      </c>
      <c r="E74" s="14">
        <f>IF(ISNA(VLOOKUP(E$1,'delta-old'!$A$3:$DQ$20,$D74,FALSE)),0,VLOOKUP(E$1,'delta-old'!$A$3:$DQ$20,$D74,FALSE))</f>
        <v>-6288.86</v>
      </c>
      <c r="F74" s="14">
        <f>IF(ISNA(VLOOKUP(F$1,'peak-old'!$A$3:$DQ$20,$D74,FALSE)),0,VLOOKUP(F$1,'peak-old'!$A$3:$DQ$20,$D74,FALSE))</f>
        <v>0</v>
      </c>
      <c r="G74" s="14">
        <f>IF(ISNA(VLOOKUP(G$1,'peak-old'!$A$3:$DQ$20,$D74,FALSE)),0,VLOOKUP(G$1,'peak-old'!$A$3:$DQ$20,$D74,FALSE))</f>
        <v>0</v>
      </c>
      <c r="H74" s="14">
        <f>IF(ISNA(VLOOKUP(H$1,'peak-old'!$A$3:$DQ$20,$D74,FALSE)),0,VLOOKUP(H$1,'peak-old'!$A$3:$DQ$20,$D74,FALSE))</f>
        <v>-25280</v>
      </c>
      <c r="I74" s="14">
        <f>IF(ISNA(VLOOKUP(I$1,'peak-old'!$A$3:$DQ$20,$D74,FALSE)),0,VLOOKUP(I$1,'peak-old'!$A$3:$DQ$20,$D74,FALSE))</f>
        <v>-8000</v>
      </c>
      <c r="J74" s="14">
        <f>IF(ISNA(VLOOKUP(J$1,'peak-old'!$A$3:$DQ$20,$D74,FALSE)),0,VLOOKUP(J$1,'peak-old'!$A$3:$DQ$20,$D74,FALSE))</f>
        <v>0</v>
      </c>
      <c r="K74" s="14">
        <f>IF(ISNA(VLOOKUP(K$1,'peak-old'!$A$3:$DQ$20,$D74,FALSE)),0,VLOOKUP(K$1,'peak-old'!$A$3:$DQ$20,$D74,FALSE))</f>
        <v>0</v>
      </c>
      <c r="L74" s="14">
        <f>IF(ISNA(VLOOKUP(L$1,'peak-old'!$A$3:$DQ$20,$D74,FALSE)),0,VLOOKUP(L$1,'peak-old'!$A$3:$DQ$20,$D74,FALSE))</f>
        <v>0</v>
      </c>
      <c r="M74" s="14">
        <f>IF(ISNA(VLOOKUP(M$1,'peak-old'!$A$3:$DQ$20,$D74,FALSE)),0,VLOOKUP(M$1,'peak-old'!$A$3:$DQ$20,$D74,FALSE))</f>
        <v>0</v>
      </c>
      <c r="N74" s="14">
        <f>IF(ISNA(VLOOKUP(N$1,'peak-old'!$A$3:$DQ$20,$D74,FALSE)),0,VLOOKUP(N$1,'peak-old'!$A$3:$DQ$20,$D74,FALSE))</f>
        <v>0</v>
      </c>
      <c r="O74" s="14">
        <f>IF(ISNA(VLOOKUP(O$1,'peak-old'!$A$3:$DQ$20,$D74,FALSE)),0,VLOOKUP(O$1,'peak-old'!$A$3:$DQ$20,$D74,FALSE))</f>
        <v>0</v>
      </c>
      <c r="P74" s="14">
        <f>IF(ISNA(VLOOKUP(P$1,'peak-old'!$A$3:$DQ$20,$D74,FALSE)),0,VLOOKUP(P$1,'peak-old'!$A$3:$DQ$20,$D74,FALSE))</f>
        <v>0</v>
      </c>
      <c r="Q74" s="15">
        <f>IF(ISNA(VLOOKUP(Q$1,'delta-old'!$A$3:$DQ$20,$D74,FALSE)),0,VLOOKUP(Q$1,'delta-old'!$A$3:$DQ$20,$D74,FALSE))</f>
        <v>28414.86</v>
      </c>
      <c r="R74" s="14">
        <f>IF(ISNA(VLOOKUP(R$1,'peak-old'!$A$3:$DQ$20,$D74,FALSE)),0,VLOOKUP(R$1,'peak-old'!$A$3:$DQ$20,$D74,FALSE))</f>
        <v>0</v>
      </c>
      <c r="S74" s="10"/>
    </row>
    <row r="75" spans="1:19" s="8" customFormat="1" x14ac:dyDescent="0.2">
      <c r="A75" s="8">
        <f t="shared" si="10"/>
        <v>2007</v>
      </c>
      <c r="B75" s="8">
        <f t="shared" si="11"/>
        <v>1</v>
      </c>
      <c r="C75" s="9">
        <f t="shared" si="9"/>
        <v>39083</v>
      </c>
      <c r="D75" s="8">
        <f t="shared" si="12"/>
        <v>69</v>
      </c>
      <c r="E75" s="14">
        <f>IF(ISNA(VLOOKUP(E$1,'delta-old'!$A$3:$DQ$20,$D75,FALSE)),0,VLOOKUP(E$1,'delta-old'!$A$3:$DQ$20,$D75,FALSE))</f>
        <v>44084.33</v>
      </c>
      <c r="F75" s="14">
        <f>IF(ISNA(VLOOKUP(F$1,'peak-old'!$A$3:$DQ$20,$D75,FALSE)),0,VLOOKUP(F$1,'peak-old'!$A$3:$DQ$20,$D75,FALSE))</f>
        <v>0</v>
      </c>
      <c r="G75" s="14">
        <f>IF(ISNA(VLOOKUP(G$1,'peak-old'!$A$3:$DQ$20,$D75,FALSE)),0,VLOOKUP(G$1,'peak-old'!$A$3:$DQ$20,$D75,FALSE))</f>
        <v>0</v>
      </c>
      <c r="H75" s="14">
        <f>IF(ISNA(VLOOKUP(H$1,'peak-old'!$A$3:$DQ$20,$D75,FALSE)),0,VLOOKUP(H$1,'peak-old'!$A$3:$DQ$20,$D75,FALSE))</f>
        <v>-46464</v>
      </c>
      <c r="I75" s="14">
        <f>IF(ISNA(VLOOKUP(I$1,'peak-old'!$A$3:$DQ$20,$D75,FALSE)),0,VLOOKUP(I$1,'peak-old'!$A$3:$DQ$20,$D75,FALSE))</f>
        <v>-8800</v>
      </c>
      <c r="J75" s="14">
        <f>IF(ISNA(VLOOKUP(J$1,'peak-old'!$A$3:$DQ$20,$D75,FALSE)),0,VLOOKUP(J$1,'peak-old'!$A$3:$DQ$20,$D75,FALSE))</f>
        <v>0</v>
      </c>
      <c r="K75" s="14">
        <f>IF(ISNA(VLOOKUP(K$1,'peak-old'!$A$3:$DQ$20,$D75,FALSE)),0,VLOOKUP(K$1,'peak-old'!$A$3:$DQ$20,$D75,FALSE))</f>
        <v>0</v>
      </c>
      <c r="L75" s="14">
        <f>IF(ISNA(VLOOKUP(L$1,'peak-old'!$A$3:$DQ$20,$D75,FALSE)),0,VLOOKUP(L$1,'peak-old'!$A$3:$DQ$20,$D75,FALSE))</f>
        <v>0</v>
      </c>
      <c r="M75" s="14">
        <f>IF(ISNA(VLOOKUP(M$1,'peak-old'!$A$3:$DQ$20,$D75,FALSE)),0,VLOOKUP(M$1,'peak-old'!$A$3:$DQ$20,$D75,FALSE))</f>
        <v>0</v>
      </c>
      <c r="N75" s="14">
        <f>IF(ISNA(VLOOKUP(N$1,'peak-old'!$A$3:$DQ$20,$D75,FALSE)),0,VLOOKUP(N$1,'peak-old'!$A$3:$DQ$20,$D75,FALSE))</f>
        <v>0</v>
      </c>
      <c r="O75" s="14">
        <f>IF(ISNA(VLOOKUP(O$1,'peak-old'!$A$3:$DQ$20,$D75,FALSE)),0,VLOOKUP(O$1,'peak-old'!$A$3:$DQ$20,$D75,FALSE))</f>
        <v>0</v>
      </c>
      <c r="P75" s="14">
        <f>IF(ISNA(VLOOKUP(P$1,'peak-old'!$A$3:$DQ$20,$D75,FALSE)),0,VLOOKUP(P$1,'peak-old'!$A$3:$DQ$20,$D75,FALSE))</f>
        <v>0</v>
      </c>
      <c r="Q75" s="15">
        <f>IF(ISNA(VLOOKUP(Q$1,'delta-old'!$A$3:$DQ$20,$D75,FALSE)),0,VLOOKUP(Q$1,'delta-old'!$A$3:$DQ$20,$D75,FALSE))</f>
        <v>5859.76</v>
      </c>
      <c r="R75" s="14">
        <f>IF(ISNA(VLOOKUP(R$1,'peak-old'!$A$3:$DQ$20,$D75,FALSE)),0,VLOOKUP(R$1,'peak-old'!$A$3:$DQ$20,$D75,FALSE))</f>
        <v>0</v>
      </c>
      <c r="S75" s="10"/>
    </row>
    <row r="76" spans="1:19" s="8" customFormat="1" x14ac:dyDescent="0.2">
      <c r="A76" s="8">
        <f t="shared" si="10"/>
        <v>2007</v>
      </c>
      <c r="B76" s="8">
        <f t="shared" si="11"/>
        <v>2</v>
      </c>
      <c r="C76" s="9">
        <f t="shared" si="9"/>
        <v>39114</v>
      </c>
      <c r="D76" s="8">
        <f t="shared" si="12"/>
        <v>70</v>
      </c>
      <c r="E76" s="14">
        <f>IF(ISNA(VLOOKUP(E$1,'delta-old'!$A$3:$DQ$20,$D76,FALSE)),0,VLOOKUP(E$1,'delta-old'!$A$3:$DQ$20,$D76,FALSE))</f>
        <v>39879.56</v>
      </c>
      <c r="F76" s="14">
        <f>IF(ISNA(VLOOKUP(F$1,'peak-old'!$A$3:$DQ$20,$D76,FALSE)),0,VLOOKUP(F$1,'peak-old'!$A$3:$DQ$20,$D76,FALSE))</f>
        <v>0</v>
      </c>
      <c r="G76" s="14">
        <f>IF(ISNA(VLOOKUP(G$1,'peak-old'!$A$3:$DQ$20,$D76,FALSE)),0,VLOOKUP(G$1,'peak-old'!$A$3:$DQ$20,$D76,FALSE))</f>
        <v>0</v>
      </c>
      <c r="H76" s="14">
        <f>IF(ISNA(VLOOKUP(H$1,'peak-old'!$A$3:$DQ$20,$D76,FALSE)),0,VLOOKUP(H$1,'peak-old'!$A$3:$DQ$20,$D76,FALSE))</f>
        <v>-42240</v>
      </c>
      <c r="I76" s="14">
        <f>IF(ISNA(VLOOKUP(I$1,'peak-old'!$A$3:$DQ$20,$D76,FALSE)),0,VLOOKUP(I$1,'peak-old'!$A$3:$DQ$20,$D76,FALSE))</f>
        <v>-8000</v>
      </c>
      <c r="J76" s="14">
        <f>IF(ISNA(VLOOKUP(J$1,'peak-old'!$A$3:$DQ$20,$D76,FALSE)),0,VLOOKUP(J$1,'peak-old'!$A$3:$DQ$20,$D76,FALSE))</f>
        <v>0</v>
      </c>
      <c r="K76" s="14">
        <f>IF(ISNA(VLOOKUP(K$1,'peak-old'!$A$3:$DQ$20,$D76,FALSE)),0,VLOOKUP(K$1,'peak-old'!$A$3:$DQ$20,$D76,FALSE))</f>
        <v>0</v>
      </c>
      <c r="L76" s="14">
        <f>IF(ISNA(VLOOKUP(L$1,'peak-old'!$A$3:$DQ$20,$D76,FALSE)),0,VLOOKUP(L$1,'peak-old'!$A$3:$DQ$20,$D76,FALSE))</f>
        <v>0</v>
      </c>
      <c r="M76" s="14">
        <f>IF(ISNA(VLOOKUP(M$1,'peak-old'!$A$3:$DQ$20,$D76,FALSE)),0,VLOOKUP(M$1,'peak-old'!$A$3:$DQ$20,$D76,FALSE))</f>
        <v>0</v>
      </c>
      <c r="N76" s="14">
        <f>IF(ISNA(VLOOKUP(N$1,'peak-old'!$A$3:$DQ$20,$D76,FALSE)),0,VLOOKUP(N$1,'peak-old'!$A$3:$DQ$20,$D76,FALSE))</f>
        <v>0</v>
      </c>
      <c r="O76" s="14">
        <f>IF(ISNA(VLOOKUP(O$1,'peak-old'!$A$3:$DQ$20,$D76,FALSE)),0,VLOOKUP(O$1,'peak-old'!$A$3:$DQ$20,$D76,FALSE))</f>
        <v>0</v>
      </c>
      <c r="P76" s="14">
        <f>IF(ISNA(VLOOKUP(P$1,'peak-old'!$A$3:$DQ$20,$D76,FALSE)),0,VLOOKUP(P$1,'peak-old'!$A$3:$DQ$20,$D76,FALSE))</f>
        <v>0</v>
      </c>
      <c r="Q76" s="15">
        <f>IF(ISNA(VLOOKUP(Q$1,'delta-old'!$A$3:$DQ$20,$D76,FALSE)),0,VLOOKUP(Q$1,'delta-old'!$A$3:$DQ$20,$D76,FALSE))</f>
        <v>5300.85</v>
      </c>
      <c r="R76" s="14">
        <f>IF(ISNA(VLOOKUP(R$1,'peak-old'!$A$3:$DQ$20,$D76,FALSE)),0,VLOOKUP(R$1,'peak-old'!$A$3:$DQ$20,$D76,FALSE))</f>
        <v>0</v>
      </c>
      <c r="S76" s="10"/>
    </row>
    <row r="77" spans="1:19" s="8" customFormat="1" x14ac:dyDescent="0.2">
      <c r="A77" s="8">
        <f t="shared" si="10"/>
        <v>2007</v>
      </c>
      <c r="B77" s="8">
        <f t="shared" si="11"/>
        <v>3</v>
      </c>
      <c r="C77" s="9">
        <f t="shared" si="9"/>
        <v>39142</v>
      </c>
      <c r="D77" s="8">
        <f t="shared" si="12"/>
        <v>71</v>
      </c>
      <c r="E77" s="14">
        <f>IF(ISNA(VLOOKUP(E$1,'delta-old'!$A$3:$DQ$20,$D77,FALSE)),0,VLOOKUP(E$1,'delta-old'!$A$3:$DQ$20,$D77,FALSE))</f>
        <v>43627.92</v>
      </c>
      <c r="F77" s="14">
        <f>IF(ISNA(VLOOKUP(F$1,'peak-old'!$A$3:$DQ$20,$D77,FALSE)),0,VLOOKUP(F$1,'peak-old'!$A$3:$DQ$20,$D77,FALSE))</f>
        <v>0</v>
      </c>
      <c r="G77" s="14">
        <f>IF(ISNA(VLOOKUP(G$1,'peak-old'!$A$3:$DQ$20,$D77,FALSE)),0,VLOOKUP(G$1,'peak-old'!$A$3:$DQ$20,$D77,FALSE))</f>
        <v>0</v>
      </c>
      <c r="H77" s="14">
        <f>IF(ISNA(VLOOKUP(H$1,'peak-old'!$A$3:$DQ$20,$D77,FALSE)),0,VLOOKUP(H$1,'peak-old'!$A$3:$DQ$20,$D77,FALSE))</f>
        <v>-47872</v>
      </c>
      <c r="I77" s="14">
        <f>IF(ISNA(VLOOKUP(I$1,'peak-old'!$A$3:$DQ$20,$D77,FALSE)),0,VLOOKUP(I$1,'peak-old'!$A$3:$DQ$20,$D77,FALSE))</f>
        <v>-8800</v>
      </c>
      <c r="J77" s="14">
        <f>IF(ISNA(VLOOKUP(J$1,'peak-old'!$A$3:$DQ$20,$D77,FALSE)),0,VLOOKUP(J$1,'peak-old'!$A$3:$DQ$20,$D77,FALSE))</f>
        <v>0</v>
      </c>
      <c r="K77" s="14">
        <f>IF(ISNA(VLOOKUP(K$1,'peak-old'!$A$3:$DQ$20,$D77,FALSE)),0,VLOOKUP(K$1,'peak-old'!$A$3:$DQ$20,$D77,FALSE))</f>
        <v>0</v>
      </c>
      <c r="L77" s="14">
        <f>IF(ISNA(VLOOKUP(L$1,'peak-old'!$A$3:$DQ$20,$D77,FALSE)),0,VLOOKUP(L$1,'peak-old'!$A$3:$DQ$20,$D77,FALSE))</f>
        <v>0</v>
      </c>
      <c r="M77" s="14">
        <f>IF(ISNA(VLOOKUP(M$1,'peak-old'!$A$3:$DQ$20,$D77,FALSE)),0,VLOOKUP(M$1,'peak-old'!$A$3:$DQ$20,$D77,FALSE))</f>
        <v>0</v>
      </c>
      <c r="N77" s="14">
        <f>IF(ISNA(VLOOKUP(N$1,'peak-old'!$A$3:$DQ$20,$D77,FALSE)),0,VLOOKUP(N$1,'peak-old'!$A$3:$DQ$20,$D77,FALSE))</f>
        <v>0</v>
      </c>
      <c r="O77" s="14">
        <f>IF(ISNA(VLOOKUP(O$1,'peak-old'!$A$3:$DQ$20,$D77,FALSE)),0,VLOOKUP(O$1,'peak-old'!$A$3:$DQ$20,$D77,FALSE))</f>
        <v>0</v>
      </c>
      <c r="P77" s="14">
        <f>IF(ISNA(VLOOKUP(P$1,'peak-old'!$A$3:$DQ$20,$D77,FALSE)),0,VLOOKUP(P$1,'peak-old'!$A$3:$DQ$20,$D77,FALSE))</f>
        <v>0</v>
      </c>
      <c r="Q77" s="15">
        <f>IF(ISNA(VLOOKUP(Q$1,'delta-old'!$A$3:$DQ$20,$D77,FALSE)),0,VLOOKUP(Q$1,'delta-old'!$A$3:$DQ$20,$D77,FALSE))</f>
        <v>5799</v>
      </c>
      <c r="R77" s="14">
        <f>IF(ISNA(VLOOKUP(R$1,'peak-old'!$A$3:$DQ$20,$D77,FALSE)),0,VLOOKUP(R$1,'peak-old'!$A$3:$DQ$20,$D77,FALSE))</f>
        <v>0</v>
      </c>
      <c r="S77" s="10"/>
    </row>
    <row r="78" spans="1:19" s="8" customFormat="1" x14ac:dyDescent="0.2">
      <c r="A78" s="8">
        <f t="shared" si="10"/>
        <v>2007</v>
      </c>
      <c r="B78" s="8">
        <f t="shared" si="11"/>
        <v>4</v>
      </c>
      <c r="C78" s="9">
        <f t="shared" si="9"/>
        <v>39173</v>
      </c>
      <c r="D78" s="8">
        <f t="shared" si="12"/>
        <v>72</v>
      </c>
      <c r="E78" s="14">
        <f>IF(ISNA(VLOOKUP(E$1,'delta-old'!$A$3:$DQ$20,$D78,FALSE)),0,VLOOKUP(E$1,'delta-old'!$A$3:$DQ$20,$D78,FALSE))</f>
        <v>41423.94</v>
      </c>
      <c r="F78" s="14">
        <f>IF(ISNA(VLOOKUP(F$1,'peak-old'!$A$3:$DQ$20,$D78,FALSE)),0,VLOOKUP(F$1,'peak-old'!$A$3:$DQ$20,$D78,FALSE))</f>
        <v>0</v>
      </c>
      <c r="G78" s="14">
        <f>IF(ISNA(VLOOKUP(G$1,'peak-old'!$A$3:$DQ$20,$D78,FALSE)),0,VLOOKUP(G$1,'peak-old'!$A$3:$DQ$20,$D78,FALSE))</f>
        <v>0</v>
      </c>
      <c r="H78" s="14">
        <f>IF(ISNA(VLOOKUP(H$1,'peak-old'!$A$3:$DQ$20,$D78,FALSE)),0,VLOOKUP(H$1,'peak-old'!$A$3:$DQ$20,$D78,FALSE))</f>
        <v>-45360</v>
      </c>
      <c r="I78" s="14">
        <f>IF(ISNA(VLOOKUP(I$1,'peak-old'!$A$3:$DQ$20,$D78,FALSE)),0,VLOOKUP(I$1,'peak-old'!$A$3:$DQ$20,$D78,FALSE))</f>
        <v>-8400</v>
      </c>
      <c r="J78" s="14">
        <f>IF(ISNA(VLOOKUP(J$1,'peak-old'!$A$3:$DQ$20,$D78,FALSE)),0,VLOOKUP(J$1,'peak-old'!$A$3:$DQ$20,$D78,FALSE))</f>
        <v>0</v>
      </c>
      <c r="K78" s="14">
        <f>IF(ISNA(VLOOKUP(K$1,'peak-old'!$A$3:$DQ$20,$D78,FALSE)),0,VLOOKUP(K$1,'peak-old'!$A$3:$DQ$20,$D78,FALSE))</f>
        <v>0</v>
      </c>
      <c r="L78" s="14">
        <f>IF(ISNA(VLOOKUP(L$1,'peak-old'!$A$3:$DQ$20,$D78,FALSE)),0,VLOOKUP(L$1,'peak-old'!$A$3:$DQ$20,$D78,FALSE))</f>
        <v>0</v>
      </c>
      <c r="M78" s="14">
        <f>IF(ISNA(VLOOKUP(M$1,'peak-old'!$A$3:$DQ$20,$D78,FALSE)),0,VLOOKUP(M$1,'peak-old'!$A$3:$DQ$20,$D78,FALSE))</f>
        <v>0</v>
      </c>
      <c r="N78" s="14">
        <f>IF(ISNA(VLOOKUP(N$1,'peak-old'!$A$3:$DQ$20,$D78,FALSE)),0,VLOOKUP(N$1,'peak-old'!$A$3:$DQ$20,$D78,FALSE))</f>
        <v>0</v>
      </c>
      <c r="O78" s="14">
        <f>IF(ISNA(VLOOKUP(O$1,'peak-old'!$A$3:$DQ$20,$D78,FALSE)),0,VLOOKUP(O$1,'peak-old'!$A$3:$DQ$20,$D78,FALSE))</f>
        <v>0</v>
      </c>
      <c r="P78" s="14">
        <f>IF(ISNA(VLOOKUP(P$1,'peak-old'!$A$3:$DQ$20,$D78,FALSE)),0,VLOOKUP(P$1,'peak-old'!$A$3:$DQ$20,$D78,FALSE))</f>
        <v>0</v>
      </c>
      <c r="Q78" s="15">
        <f>IF(ISNA(VLOOKUP(Q$1,'delta-old'!$A$3:$DQ$20,$D78,FALSE)),0,VLOOKUP(Q$1,'delta-old'!$A$3:$DQ$20,$D78,FALSE))</f>
        <v>5266.13</v>
      </c>
      <c r="R78" s="14">
        <f>IF(ISNA(VLOOKUP(R$1,'peak-old'!$A$3:$DQ$20,$D78,FALSE)),0,VLOOKUP(R$1,'peak-old'!$A$3:$DQ$20,$D78,FALSE))</f>
        <v>0</v>
      </c>
      <c r="S78" s="10"/>
    </row>
    <row r="79" spans="1:19" s="8" customFormat="1" x14ac:dyDescent="0.2">
      <c r="A79" s="8">
        <f t="shared" si="10"/>
        <v>2007</v>
      </c>
      <c r="B79" s="8">
        <f t="shared" si="11"/>
        <v>5</v>
      </c>
      <c r="C79" s="9">
        <f t="shared" si="9"/>
        <v>39203</v>
      </c>
      <c r="D79" s="8">
        <f t="shared" si="12"/>
        <v>73</v>
      </c>
      <c r="E79" s="14">
        <f>IF(ISNA(VLOOKUP(E$1,'delta-old'!$A$3:$DQ$20,$D79,FALSE)),0,VLOOKUP(E$1,'delta-old'!$A$3:$DQ$20,$D79,FALSE))</f>
        <v>43157.85</v>
      </c>
      <c r="F79" s="14">
        <f>IF(ISNA(VLOOKUP(F$1,'peak-old'!$A$3:$DQ$20,$D79,FALSE)),0,VLOOKUP(F$1,'peak-old'!$A$3:$DQ$20,$D79,FALSE))</f>
        <v>0</v>
      </c>
      <c r="G79" s="14">
        <f>IF(ISNA(VLOOKUP(G$1,'peak-old'!$A$3:$DQ$20,$D79,FALSE)),0,VLOOKUP(G$1,'peak-old'!$A$3:$DQ$20,$D79,FALSE))</f>
        <v>0</v>
      </c>
      <c r="H79" s="14">
        <f>IF(ISNA(VLOOKUP(H$1,'peak-old'!$A$3:$DQ$20,$D79,FALSE)),0,VLOOKUP(H$1,'peak-old'!$A$3:$DQ$20,$D79,FALSE))</f>
        <v>-44352</v>
      </c>
      <c r="I79" s="14">
        <f>IF(ISNA(VLOOKUP(I$1,'peak-old'!$A$3:$DQ$20,$D79,FALSE)),0,VLOOKUP(I$1,'peak-old'!$A$3:$DQ$20,$D79,FALSE))</f>
        <v>-8800</v>
      </c>
      <c r="J79" s="14">
        <f>IF(ISNA(VLOOKUP(J$1,'peak-old'!$A$3:$DQ$20,$D79,FALSE)),0,VLOOKUP(J$1,'peak-old'!$A$3:$DQ$20,$D79,FALSE))</f>
        <v>0</v>
      </c>
      <c r="K79" s="14">
        <f>IF(ISNA(VLOOKUP(K$1,'peak-old'!$A$3:$DQ$20,$D79,FALSE)),0,VLOOKUP(K$1,'peak-old'!$A$3:$DQ$20,$D79,FALSE))</f>
        <v>0</v>
      </c>
      <c r="L79" s="14">
        <f>IF(ISNA(VLOOKUP(L$1,'peak-old'!$A$3:$DQ$20,$D79,FALSE)),0,VLOOKUP(L$1,'peak-old'!$A$3:$DQ$20,$D79,FALSE))</f>
        <v>0</v>
      </c>
      <c r="M79" s="14">
        <f>IF(ISNA(VLOOKUP(M$1,'peak-old'!$A$3:$DQ$20,$D79,FALSE)),0,VLOOKUP(M$1,'peak-old'!$A$3:$DQ$20,$D79,FALSE))</f>
        <v>0</v>
      </c>
      <c r="N79" s="14">
        <f>IF(ISNA(VLOOKUP(N$1,'peak-old'!$A$3:$DQ$20,$D79,FALSE)),0,VLOOKUP(N$1,'peak-old'!$A$3:$DQ$20,$D79,FALSE))</f>
        <v>0</v>
      </c>
      <c r="O79" s="14">
        <f>IF(ISNA(VLOOKUP(O$1,'peak-old'!$A$3:$DQ$20,$D79,FALSE)),0,VLOOKUP(O$1,'peak-old'!$A$3:$DQ$20,$D79,FALSE))</f>
        <v>0</v>
      </c>
      <c r="P79" s="14">
        <f>IF(ISNA(VLOOKUP(P$1,'peak-old'!$A$3:$DQ$20,$D79,FALSE)),0,VLOOKUP(P$1,'peak-old'!$A$3:$DQ$20,$D79,FALSE))</f>
        <v>0</v>
      </c>
      <c r="Q79" s="15">
        <f>IF(ISNA(VLOOKUP(Q$1,'delta-old'!$A$3:$DQ$20,$D79,FALSE)),0,VLOOKUP(Q$1,'delta-old'!$A$3:$DQ$20,$D79,FALSE))</f>
        <v>5486.55</v>
      </c>
      <c r="R79" s="14">
        <f>IF(ISNA(VLOOKUP(R$1,'peak-old'!$A$3:$DQ$20,$D79,FALSE)),0,VLOOKUP(R$1,'peak-old'!$A$3:$DQ$20,$D79,FALSE))</f>
        <v>0</v>
      </c>
      <c r="S79" s="10"/>
    </row>
    <row r="80" spans="1:19" s="8" customFormat="1" x14ac:dyDescent="0.2">
      <c r="A80" s="8">
        <f t="shared" si="10"/>
        <v>2007</v>
      </c>
      <c r="B80" s="8">
        <f t="shared" si="11"/>
        <v>6</v>
      </c>
      <c r="C80" s="9">
        <f t="shared" si="9"/>
        <v>39234</v>
      </c>
      <c r="D80" s="8">
        <f t="shared" si="12"/>
        <v>74</v>
      </c>
      <c r="E80" s="14">
        <f>IF(ISNA(VLOOKUP(E$1,'delta-old'!$A$3:$DQ$20,$D80,FALSE)),0,VLOOKUP(E$1,'delta-old'!$A$3:$DQ$20,$D80,FALSE))</f>
        <v>40976.11</v>
      </c>
      <c r="F80" s="14">
        <f>IF(ISNA(VLOOKUP(F$1,'peak-old'!$A$3:$DQ$20,$D80,FALSE)),0,VLOOKUP(F$1,'peak-old'!$A$3:$DQ$20,$D80,FALSE))</f>
        <v>0</v>
      </c>
      <c r="G80" s="14">
        <f>IF(ISNA(VLOOKUP(G$1,'peak-old'!$A$3:$DQ$20,$D80,FALSE)),0,VLOOKUP(G$1,'peak-old'!$A$3:$DQ$20,$D80,FALSE))</f>
        <v>0</v>
      </c>
      <c r="H80" s="14">
        <f>IF(ISNA(VLOOKUP(H$1,'peak-old'!$A$3:$DQ$20,$D80,FALSE)),0,VLOOKUP(H$1,'peak-old'!$A$3:$DQ$20,$D80,FALSE))</f>
        <v>-40656</v>
      </c>
      <c r="I80" s="14">
        <f>IF(ISNA(VLOOKUP(I$1,'peak-old'!$A$3:$DQ$20,$D80,FALSE)),0,VLOOKUP(I$1,'peak-old'!$A$3:$DQ$20,$D80,FALSE))</f>
        <v>-8400</v>
      </c>
      <c r="J80" s="14">
        <f>IF(ISNA(VLOOKUP(J$1,'peak-old'!$A$3:$DQ$20,$D80,FALSE)),0,VLOOKUP(J$1,'peak-old'!$A$3:$DQ$20,$D80,FALSE))</f>
        <v>0</v>
      </c>
      <c r="K80" s="14">
        <f>IF(ISNA(VLOOKUP(K$1,'peak-old'!$A$3:$DQ$20,$D80,FALSE)),0,VLOOKUP(K$1,'peak-old'!$A$3:$DQ$20,$D80,FALSE))</f>
        <v>0</v>
      </c>
      <c r="L80" s="14">
        <f>IF(ISNA(VLOOKUP(L$1,'peak-old'!$A$3:$DQ$20,$D80,FALSE)),0,VLOOKUP(L$1,'peak-old'!$A$3:$DQ$20,$D80,FALSE))</f>
        <v>0</v>
      </c>
      <c r="M80" s="14">
        <f>IF(ISNA(VLOOKUP(M$1,'peak-old'!$A$3:$DQ$20,$D80,FALSE)),0,VLOOKUP(M$1,'peak-old'!$A$3:$DQ$20,$D80,FALSE))</f>
        <v>0</v>
      </c>
      <c r="N80" s="14">
        <f>IF(ISNA(VLOOKUP(N$1,'peak-old'!$A$3:$DQ$20,$D80,FALSE)),0,VLOOKUP(N$1,'peak-old'!$A$3:$DQ$20,$D80,FALSE))</f>
        <v>0</v>
      </c>
      <c r="O80" s="14">
        <f>IF(ISNA(VLOOKUP(O$1,'peak-old'!$A$3:$DQ$20,$D80,FALSE)),0,VLOOKUP(O$1,'peak-old'!$A$3:$DQ$20,$D80,FALSE))</f>
        <v>0</v>
      </c>
      <c r="P80" s="14">
        <f>IF(ISNA(VLOOKUP(P$1,'peak-old'!$A$3:$DQ$20,$D80,FALSE)),0,VLOOKUP(P$1,'peak-old'!$A$3:$DQ$20,$D80,FALSE))</f>
        <v>0</v>
      </c>
      <c r="Q80" s="15">
        <f>IF(ISNA(VLOOKUP(Q$1,'delta-old'!$A$3:$DQ$20,$D80,FALSE)),0,VLOOKUP(Q$1,'delta-old'!$A$3:$DQ$20,$D80,FALSE))</f>
        <v>4972.1099999999997</v>
      </c>
      <c r="R80" s="14">
        <f>IF(ISNA(VLOOKUP(R$1,'peak-old'!$A$3:$DQ$20,$D80,FALSE)),0,VLOOKUP(R$1,'peak-old'!$A$3:$DQ$20,$D80,FALSE))</f>
        <v>0</v>
      </c>
      <c r="S80" s="10"/>
    </row>
    <row r="81" spans="1:19" s="8" customFormat="1" x14ac:dyDescent="0.2">
      <c r="A81" s="8">
        <f t="shared" si="10"/>
        <v>2007</v>
      </c>
      <c r="B81" s="8">
        <f t="shared" si="11"/>
        <v>7</v>
      </c>
      <c r="C81" s="9">
        <f t="shared" si="9"/>
        <v>39264</v>
      </c>
      <c r="D81" s="8">
        <f t="shared" si="12"/>
        <v>75</v>
      </c>
      <c r="E81" s="14">
        <f>IF(ISNA(VLOOKUP(E$1,'delta-old'!$A$3:$DQ$20,$D81,FALSE)),0,VLOOKUP(E$1,'delta-old'!$A$3:$DQ$20,$D81,FALSE))</f>
        <v>40749.22</v>
      </c>
      <c r="F81" s="14">
        <f>IF(ISNA(VLOOKUP(F$1,'peak-old'!$A$3:$DQ$20,$D81,FALSE)),0,VLOOKUP(F$1,'peak-old'!$A$3:$DQ$20,$D81,FALSE))</f>
        <v>0</v>
      </c>
      <c r="G81" s="14">
        <f>IF(ISNA(VLOOKUP(G$1,'peak-old'!$A$3:$DQ$20,$D81,FALSE)),0,VLOOKUP(G$1,'peak-old'!$A$3:$DQ$20,$D81,FALSE))</f>
        <v>0</v>
      </c>
      <c r="H81" s="14">
        <f>IF(ISNA(VLOOKUP(H$1,'peak-old'!$A$3:$DQ$20,$D81,FALSE)),0,VLOOKUP(H$1,'peak-old'!$A$3:$DQ$20,$D81,FALSE))</f>
        <v>-37968</v>
      </c>
      <c r="I81" s="14">
        <f>IF(ISNA(VLOOKUP(I$1,'peak-old'!$A$3:$DQ$20,$D81,FALSE)),0,VLOOKUP(I$1,'peak-old'!$A$3:$DQ$20,$D81,FALSE))</f>
        <v>-8400</v>
      </c>
      <c r="J81" s="14">
        <f>IF(ISNA(VLOOKUP(J$1,'peak-old'!$A$3:$DQ$20,$D81,FALSE)),0,VLOOKUP(J$1,'peak-old'!$A$3:$DQ$20,$D81,FALSE))</f>
        <v>0</v>
      </c>
      <c r="K81" s="14">
        <f>IF(ISNA(VLOOKUP(K$1,'peak-old'!$A$3:$DQ$20,$D81,FALSE)),0,VLOOKUP(K$1,'peak-old'!$A$3:$DQ$20,$D81,FALSE))</f>
        <v>0</v>
      </c>
      <c r="L81" s="14">
        <f>IF(ISNA(VLOOKUP(L$1,'peak-old'!$A$3:$DQ$20,$D81,FALSE)),0,VLOOKUP(L$1,'peak-old'!$A$3:$DQ$20,$D81,FALSE))</f>
        <v>0</v>
      </c>
      <c r="M81" s="14">
        <f>IF(ISNA(VLOOKUP(M$1,'peak-old'!$A$3:$DQ$20,$D81,FALSE)),0,VLOOKUP(M$1,'peak-old'!$A$3:$DQ$20,$D81,FALSE))</f>
        <v>0</v>
      </c>
      <c r="N81" s="14">
        <f>IF(ISNA(VLOOKUP(N$1,'peak-old'!$A$3:$DQ$20,$D81,FALSE)),0,VLOOKUP(N$1,'peak-old'!$A$3:$DQ$20,$D81,FALSE))</f>
        <v>0</v>
      </c>
      <c r="O81" s="14">
        <f>IF(ISNA(VLOOKUP(O$1,'peak-old'!$A$3:$DQ$20,$D81,FALSE)),0,VLOOKUP(O$1,'peak-old'!$A$3:$DQ$20,$D81,FALSE))</f>
        <v>0</v>
      </c>
      <c r="P81" s="14">
        <f>IF(ISNA(VLOOKUP(P$1,'peak-old'!$A$3:$DQ$20,$D81,FALSE)),0,VLOOKUP(P$1,'peak-old'!$A$3:$DQ$20,$D81,FALSE))</f>
        <v>0</v>
      </c>
      <c r="Q81" s="15">
        <f>IF(ISNA(VLOOKUP(Q$1,'delta-old'!$A$3:$DQ$20,$D81,FALSE)),0,VLOOKUP(Q$1,'delta-old'!$A$3:$DQ$20,$D81,FALSE))</f>
        <v>4708.1400000000003</v>
      </c>
      <c r="R81" s="14">
        <f>IF(ISNA(VLOOKUP(R$1,'peak-old'!$A$3:$DQ$20,$D81,FALSE)),0,VLOOKUP(R$1,'peak-old'!$A$3:$DQ$20,$D81,FALSE))</f>
        <v>0</v>
      </c>
      <c r="S81" s="10"/>
    </row>
    <row r="82" spans="1:19" s="8" customFormat="1" x14ac:dyDescent="0.2">
      <c r="A82" s="8">
        <f t="shared" si="10"/>
        <v>2007</v>
      </c>
      <c r="B82" s="8">
        <f t="shared" si="11"/>
        <v>8</v>
      </c>
      <c r="C82" s="9">
        <f t="shared" si="9"/>
        <v>39295</v>
      </c>
      <c r="D82" s="8">
        <f t="shared" si="12"/>
        <v>76</v>
      </c>
      <c r="E82" s="14">
        <f>IF(ISNA(VLOOKUP(E$1,'delta-old'!$A$3:$DQ$20,$D82,FALSE)),0,VLOOKUP(E$1,'delta-old'!$A$3:$DQ$20,$D82,FALSE))</f>
        <v>44382.12</v>
      </c>
      <c r="F82" s="14">
        <f>IF(ISNA(VLOOKUP(F$1,'peak-old'!$A$3:$DQ$20,$D82,FALSE)),0,VLOOKUP(F$1,'peak-old'!$A$3:$DQ$20,$D82,FALSE))</f>
        <v>0</v>
      </c>
      <c r="G82" s="14">
        <f>IF(ISNA(VLOOKUP(G$1,'peak-old'!$A$3:$DQ$20,$D82,FALSE)),0,VLOOKUP(G$1,'peak-old'!$A$3:$DQ$20,$D82,FALSE))</f>
        <v>0</v>
      </c>
      <c r="H82" s="14">
        <f>IF(ISNA(VLOOKUP(H$1,'peak-old'!$A$3:$DQ$20,$D82,FALSE)),0,VLOOKUP(H$1,'peak-old'!$A$3:$DQ$20,$D82,FALSE))</f>
        <v>-41216</v>
      </c>
      <c r="I82" s="14">
        <f>IF(ISNA(VLOOKUP(I$1,'peak-old'!$A$3:$DQ$20,$D82,FALSE)),0,VLOOKUP(I$1,'peak-old'!$A$3:$DQ$20,$D82,FALSE))</f>
        <v>-9200</v>
      </c>
      <c r="J82" s="14">
        <f>IF(ISNA(VLOOKUP(J$1,'peak-old'!$A$3:$DQ$20,$D82,FALSE)),0,VLOOKUP(J$1,'peak-old'!$A$3:$DQ$20,$D82,FALSE))</f>
        <v>0</v>
      </c>
      <c r="K82" s="14">
        <f>IF(ISNA(VLOOKUP(K$1,'peak-old'!$A$3:$DQ$20,$D82,FALSE)),0,VLOOKUP(K$1,'peak-old'!$A$3:$DQ$20,$D82,FALSE))</f>
        <v>0</v>
      </c>
      <c r="L82" s="14">
        <f>IF(ISNA(VLOOKUP(L$1,'peak-old'!$A$3:$DQ$20,$D82,FALSE)),0,VLOOKUP(L$1,'peak-old'!$A$3:$DQ$20,$D82,FALSE))</f>
        <v>0</v>
      </c>
      <c r="M82" s="14">
        <f>IF(ISNA(VLOOKUP(M$1,'peak-old'!$A$3:$DQ$20,$D82,FALSE)),0,VLOOKUP(M$1,'peak-old'!$A$3:$DQ$20,$D82,FALSE))</f>
        <v>0</v>
      </c>
      <c r="N82" s="14">
        <f>IF(ISNA(VLOOKUP(N$1,'peak-old'!$A$3:$DQ$20,$D82,FALSE)),0,VLOOKUP(N$1,'peak-old'!$A$3:$DQ$20,$D82,FALSE))</f>
        <v>0</v>
      </c>
      <c r="O82" s="14">
        <f>IF(ISNA(VLOOKUP(O$1,'peak-old'!$A$3:$DQ$20,$D82,FALSE)),0,VLOOKUP(O$1,'peak-old'!$A$3:$DQ$20,$D82,FALSE))</f>
        <v>0</v>
      </c>
      <c r="P82" s="14">
        <f>IF(ISNA(VLOOKUP(P$1,'peak-old'!$A$3:$DQ$20,$D82,FALSE)),0,VLOOKUP(P$1,'peak-old'!$A$3:$DQ$20,$D82,FALSE))</f>
        <v>0</v>
      </c>
      <c r="Q82" s="15">
        <f>IF(ISNA(VLOOKUP(Q$1,'delta-old'!$A$3:$DQ$20,$D82,FALSE)),0,VLOOKUP(Q$1,'delta-old'!$A$3:$DQ$20,$D82,FALSE))</f>
        <v>5385.58</v>
      </c>
      <c r="R82" s="14">
        <f>IF(ISNA(VLOOKUP(R$1,'peak-old'!$A$3:$DQ$20,$D82,FALSE)),0,VLOOKUP(R$1,'peak-old'!$A$3:$DQ$20,$D82,FALSE))</f>
        <v>0</v>
      </c>
      <c r="S82" s="10"/>
    </row>
    <row r="83" spans="1:19" s="8" customFormat="1" x14ac:dyDescent="0.2">
      <c r="A83" s="8">
        <f t="shared" si="10"/>
        <v>2007</v>
      </c>
      <c r="B83" s="8">
        <f t="shared" si="11"/>
        <v>9</v>
      </c>
      <c r="C83" s="9">
        <f t="shared" si="9"/>
        <v>39326</v>
      </c>
      <c r="D83" s="8">
        <f t="shared" si="12"/>
        <v>77</v>
      </c>
      <c r="E83" s="14">
        <f>IF(ISNA(VLOOKUP(E$1,'delta-old'!$A$3:$DQ$20,$D83,FALSE)),0,VLOOKUP(E$1,'delta-old'!$A$3:$DQ$20,$D83,FALSE))</f>
        <v>36465.660000000003</v>
      </c>
      <c r="F83" s="14">
        <f>IF(ISNA(VLOOKUP(F$1,'peak-old'!$A$3:$DQ$20,$D83,FALSE)),0,VLOOKUP(F$1,'peak-old'!$A$3:$DQ$20,$D83,FALSE))</f>
        <v>0</v>
      </c>
      <c r="G83" s="14">
        <f>IF(ISNA(VLOOKUP(G$1,'peak-old'!$A$3:$DQ$20,$D83,FALSE)),0,VLOOKUP(G$1,'peak-old'!$A$3:$DQ$20,$D83,FALSE))</f>
        <v>0</v>
      </c>
      <c r="H83" s="14">
        <f>IF(ISNA(VLOOKUP(H$1,'peak-old'!$A$3:$DQ$20,$D83,FALSE)),0,VLOOKUP(H$1,'peak-old'!$A$3:$DQ$20,$D83,FALSE))</f>
        <v>-38912</v>
      </c>
      <c r="I83" s="14">
        <f>IF(ISNA(VLOOKUP(I$1,'peak-old'!$A$3:$DQ$20,$D83,FALSE)),0,VLOOKUP(I$1,'peak-old'!$A$3:$DQ$20,$D83,FALSE))</f>
        <v>-7600</v>
      </c>
      <c r="J83" s="14">
        <f>IF(ISNA(VLOOKUP(J$1,'peak-old'!$A$3:$DQ$20,$D83,FALSE)),0,VLOOKUP(J$1,'peak-old'!$A$3:$DQ$20,$D83,FALSE))</f>
        <v>0</v>
      </c>
      <c r="K83" s="14">
        <f>IF(ISNA(VLOOKUP(K$1,'peak-old'!$A$3:$DQ$20,$D83,FALSE)),0,VLOOKUP(K$1,'peak-old'!$A$3:$DQ$20,$D83,FALSE))</f>
        <v>0</v>
      </c>
      <c r="L83" s="14">
        <f>IF(ISNA(VLOOKUP(L$1,'peak-old'!$A$3:$DQ$20,$D83,FALSE)),0,VLOOKUP(L$1,'peak-old'!$A$3:$DQ$20,$D83,FALSE))</f>
        <v>0</v>
      </c>
      <c r="M83" s="14">
        <f>IF(ISNA(VLOOKUP(M$1,'peak-old'!$A$3:$DQ$20,$D83,FALSE)),0,VLOOKUP(M$1,'peak-old'!$A$3:$DQ$20,$D83,FALSE))</f>
        <v>0</v>
      </c>
      <c r="N83" s="14">
        <f>IF(ISNA(VLOOKUP(N$1,'peak-old'!$A$3:$DQ$20,$D83,FALSE)),0,VLOOKUP(N$1,'peak-old'!$A$3:$DQ$20,$D83,FALSE))</f>
        <v>0</v>
      </c>
      <c r="O83" s="14">
        <f>IF(ISNA(VLOOKUP(O$1,'peak-old'!$A$3:$DQ$20,$D83,FALSE)),0,VLOOKUP(O$1,'peak-old'!$A$3:$DQ$20,$D83,FALSE))</f>
        <v>0</v>
      </c>
      <c r="P83" s="14">
        <f>IF(ISNA(VLOOKUP(P$1,'peak-old'!$A$3:$DQ$20,$D83,FALSE)),0,VLOOKUP(P$1,'peak-old'!$A$3:$DQ$20,$D83,FALSE))</f>
        <v>0</v>
      </c>
      <c r="Q83" s="15">
        <f>IF(ISNA(VLOOKUP(Q$1,'delta-old'!$A$3:$DQ$20,$D83,FALSE)),0,VLOOKUP(Q$1,'delta-old'!$A$3:$DQ$20,$D83,FALSE))</f>
        <v>4635.54</v>
      </c>
      <c r="R83" s="14">
        <f>IF(ISNA(VLOOKUP(R$1,'peak-old'!$A$3:$DQ$20,$D83,FALSE)),0,VLOOKUP(R$1,'peak-old'!$A$3:$DQ$20,$D83,FALSE))</f>
        <v>0</v>
      </c>
      <c r="S83" s="10"/>
    </row>
    <row r="84" spans="1:19" s="8" customFormat="1" x14ac:dyDescent="0.2">
      <c r="A84" s="8">
        <f t="shared" si="10"/>
        <v>2007</v>
      </c>
      <c r="B84" s="8">
        <f t="shared" si="11"/>
        <v>10</v>
      </c>
      <c r="C84" s="9">
        <f t="shared" si="9"/>
        <v>39356</v>
      </c>
      <c r="D84" s="8">
        <f t="shared" si="12"/>
        <v>78</v>
      </c>
      <c r="E84" s="14">
        <f>IF(ISNA(VLOOKUP(E$1,'delta-old'!$A$3:$DQ$20,$D84,FALSE)),0,VLOOKUP(E$1,'delta-old'!$A$3:$DQ$20,$D84,FALSE))</f>
        <v>43895.71</v>
      </c>
      <c r="F84" s="14">
        <f>IF(ISNA(VLOOKUP(F$1,'peak-old'!$A$3:$DQ$20,$D84,FALSE)),0,VLOOKUP(F$1,'peak-old'!$A$3:$DQ$20,$D84,FALSE))</f>
        <v>0</v>
      </c>
      <c r="G84" s="14">
        <f>IF(ISNA(VLOOKUP(G$1,'peak-old'!$A$3:$DQ$20,$D84,FALSE)),0,VLOOKUP(G$1,'peak-old'!$A$3:$DQ$20,$D84,FALSE))</f>
        <v>0</v>
      </c>
      <c r="H84" s="14">
        <f>IF(ISNA(VLOOKUP(H$1,'peak-old'!$A$3:$DQ$20,$D84,FALSE)),0,VLOOKUP(H$1,'peak-old'!$A$3:$DQ$20,$D84,FALSE))</f>
        <v>-47472</v>
      </c>
      <c r="I84" s="14">
        <f>IF(ISNA(VLOOKUP(I$1,'peak-old'!$A$3:$DQ$20,$D84,FALSE)),0,VLOOKUP(I$1,'peak-old'!$A$3:$DQ$20,$D84,FALSE))</f>
        <v>-9200</v>
      </c>
      <c r="J84" s="14">
        <f>IF(ISNA(VLOOKUP(J$1,'peak-old'!$A$3:$DQ$20,$D84,FALSE)),0,VLOOKUP(J$1,'peak-old'!$A$3:$DQ$20,$D84,FALSE))</f>
        <v>0</v>
      </c>
      <c r="K84" s="14">
        <f>IF(ISNA(VLOOKUP(K$1,'peak-old'!$A$3:$DQ$20,$D84,FALSE)),0,VLOOKUP(K$1,'peak-old'!$A$3:$DQ$20,$D84,FALSE))</f>
        <v>0</v>
      </c>
      <c r="L84" s="14">
        <f>IF(ISNA(VLOOKUP(L$1,'peak-old'!$A$3:$DQ$20,$D84,FALSE)),0,VLOOKUP(L$1,'peak-old'!$A$3:$DQ$20,$D84,FALSE))</f>
        <v>0</v>
      </c>
      <c r="M84" s="14">
        <f>IF(ISNA(VLOOKUP(M$1,'peak-old'!$A$3:$DQ$20,$D84,FALSE)),0,VLOOKUP(M$1,'peak-old'!$A$3:$DQ$20,$D84,FALSE))</f>
        <v>0</v>
      </c>
      <c r="N84" s="14">
        <f>IF(ISNA(VLOOKUP(N$1,'peak-old'!$A$3:$DQ$20,$D84,FALSE)),0,VLOOKUP(N$1,'peak-old'!$A$3:$DQ$20,$D84,FALSE))</f>
        <v>0</v>
      </c>
      <c r="O84" s="14">
        <f>IF(ISNA(VLOOKUP(O$1,'peak-old'!$A$3:$DQ$20,$D84,FALSE)),0,VLOOKUP(O$1,'peak-old'!$A$3:$DQ$20,$D84,FALSE))</f>
        <v>0</v>
      </c>
      <c r="P84" s="14">
        <f>IF(ISNA(VLOOKUP(P$1,'peak-old'!$A$3:$DQ$20,$D84,FALSE)),0,VLOOKUP(P$1,'peak-old'!$A$3:$DQ$20,$D84,FALSE))</f>
        <v>0</v>
      </c>
      <c r="Q84" s="15">
        <f>IF(ISNA(VLOOKUP(Q$1,'delta-old'!$A$3:$DQ$20,$D84,FALSE)),0,VLOOKUP(Q$1,'delta-old'!$A$3:$DQ$20,$D84,FALSE))</f>
        <v>5580.32</v>
      </c>
      <c r="R84" s="14">
        <f>IF(ISNA(VLOOKUP(R$1,'peak-old'!$A$3:$DQ$20,$D84,FALSE)),0,VLOOKUP(R$1,'peak-old'!$A$3:$DQ$20,$D84,FALSE))</f>
        <v>0</v>
      </c>
      <c r="S84" s="10"/>
    </row>
    <row r="85" spans="1:19" s="8" customFormat="1" x14ac:dyDescent="0.2">
      <c r="A85" s="8">
        <f t="shared" si="10"/>
        <v>2007</v>
      </c>
      <c r="B85" s="8">
        <f t="shared" si="11"/>
        <v>11</v>
      </c>
      <c r="C85" s="9">
        <f t="shared" si="9"/>
        <v>39387</v>
      </c>
      <c r="D85" s="8">
        <f t="shared" si="12"/>
        <v>79</v>
      </c>
      <c r="E85" s="14">
        <f>IF(ISNA(VLOOKUP(E$1,'delta-old'!$A$3:$DQ$20,$D85,FALSE)),0,VLOOKUP(E$1,'delta-old'!$A$3:$DQ$20,$D85,FALSE))</f>
        <v>39861</v>
      </c>
      <c r="F85" s="14">
        <f>IF(ISNA(VLOOKUP(F$1,'peak-old'!$A$3:$DQ$20,$D85,FALSE)),0,VLOOKUP(F$1,'peak-old'!$A$3:$DQ$20,$D85,FALSE))</f>
        <v>0</v>
      </c>
      <c r="G85" s="14">
        <f>IF(ISNA(VLOOKUP(G$1,'peak-old'!$A$3:$DQ$20,$D85,FALSE)),0,VLOOKUP(G$1,'peak-old'!$A$3:$DQ$20,$D85,FALSE))</f>
        <v>0</v>
      </c>
      <c r="H85" s="14">
        <f>IF(ISNA(VLOOKUP(H$1,'peak-old'!$A$3:$DQ$20,$D85,FALSE)),0,VLOOKUP(H$1,'peak-old'!$A$3:$DQ$20,$D85,FALSE))</f>
        <v>-43680</v>
      </c>
      <c r="I85" s="14">
        <f>IF(ISNA(VLOOKUP(I$1,'peak-old'!$A$3:$DQ$20,$D85,FALSE)),0,VLOOKUP(I$1,'peak-old'!$A$3:$DQ$20,$D85,FALSE))</f>
        <v>-8400</v>
      </c>
      <c r="J85" s="14">
        <f>IF(ISNA(VLOOKUP(J$1,'peak-old'!$A$3:$DQ$20,$D85,FALSE)),0,VLOOKUP(J$1,'peak-old'!$A$3:$DQ$20,$D85,FALSE))</f>
        <v>0</v>
      </c>
      <c r="K85" s="14">
        <f>IF(ISNA(VLOOKUP(K$1,'peak-old'!$A$3:$DQ$20,$D85,FALSE)),0,VLOOKUP(K$1,'peak-old'!$A$3:$DQ$20,$D85,FALSE))</f>
        <v>0</v>
      </c>
      <c r="L85" s="14">
        <f>IF(ISNA(VLOOKUP(L$1,'peak-old'!$A$3:$DQ$20,$D85,FALSE)),0,VLOOKUP(L$1,'peak-old'!$A$3:$DQ$20,$D85,FALSE))</f>
        <v>0</v>
      </c>
      <c r="M85" s="14">
        <f>IF(ISNA(VLOOKUP(M$1,'peak-old'!$A$3:$DQ$20,$D85,FALSE)),0,VLOOKUP(M$1,'peak-old'!$A$3:$DQ$20,$D85,FALSE))</f>
        <v>0</v>
      </c>
      <c r="N85" s="14">
        <f>IF(ISNA(VLOOKUP(N$1,'peak-old'!$A$3:$DQ$20,$D85,FALSE)),0,VLOOKUP(N$1,'peak-old'!$A$3:$DQ$20,$D85,FALSE))</f>
        <v>0</v>
      </c>
      <c r="O85" s="14">
        <f>IF(ISNA(VLOOKUP(O$1,'peak-old'!$A$3:$DQ$20,$D85,FALSE)),0,VLOOKUP(O$1,'peak-old'!$A$3:$DQ$20,$D85,FALSE))</f>
        <v>0</v>
      </c>
      <c r="P85" s="14">
        <f>IF(ISNA(VLOOKUP(P$1,'peak-old'!$A$3:$DQ$20,$D85,FALSE)),0,VLOOKUP(P$1,'peak-old'!$A$3:$DQ$20,$D85,FALSE))</f>
        <v>0</v>
      </c>
      <c r="Q85" s="15">
        <f>IF(ISNA(VLOOKUP(Q$1,'delta-old'!$A$3:$DQ$20,$D85,FALSE)),0,VLOOKUP(Q$1,'delta-old'!$A$3:$DQ$20,$D85,FALSE))</f>
        <v>5067.3900000000003</v>
      </c>
      <c r="R85" s="14">
        <f>IF(ISNA(VLOOKUP(R$1,'peak-old'!$A$3:$DQ$20,$D85,FALSE)),0,VLOOKUP(R$1,'peak-old'!$A$3:$DQ$20,$D85,FALSE))</f>
        <v>0</v>
      </c>
      <c r="S85" s="10"/>
    </row>
    <row r="86" spans="1:19" s="8" customFormat="1" x14ac:dyDescent="0.2">
      <c r="A86" s="8">
        <f t="shared" si="10"/>
        <v>2007</v>
      </c>
      <c r="B86" s="8">
        <f t="shared" si="11"/>
        <v>12</v>
      </c>
      <c r="C86" s="9">
        <f t="shared" si="9"/>
        <v>39417</v>
      </c>
      <c r="D86" s="8">
        <f t="shared" si="12"/>
        <v>80</v>
      </c>
      <c r="E86" s="14">
        <f>IF(ISNA(VLOOKUP(E$1,'delta-old'!$A$3:$DQ$20,$D86,FALSE)),0,VLOOKUP(E$1,'delta-old'!$A$3:$DQ$20,$D86,FALSE))</f>
        <v>37749.050000000003</v>
      </c>
      <c r="F86" s="14">
        <f>IF(ISNA(VLOOKUP(F$1,'peak-old'!$A$3:$DQ$20,$D86,FALSE)),0,VLOOKUP(F$1,'peak-old'!$A$3:$DQ$20,$D86,FALSE))</f>
        <v>0</v>
      </c>
      <c r="G86" s="14">
        <f>IF(ISNA(VLOOKUP(G$1,'peak-old'!$A$3:$DQ$20,$D86,FALSE)),0,VLOOKUP(G$1,'peak-old'!$A$3:$DQ$20,$D86,FALSE))</f>
        <v>0</v>
      </c>
      <c r="H86" s="14">
        <f>IF(ISNA(VLOOKUP(H$1,'peak-old'!$A$3:$DQ$20,$D86,FALSE)),0,VLOOKUP(H$1,'peak-old'!$A$3:$DQ$20,$D86,FALSE))</f>
        <v>-41280</v>
      </c>
      <c r="I86" s="14">
        <f>IF(ISNA(VLOOKUP(I$1,'peak-old'!$A$3:$DQ$20,$D86,FALSE)),0,VLOOKUP(I$1,'peak-old'!$A$3:$DQ$20,$D86,FALSE))</f>
        <v>-8000</v>
      </c>
      <c r="J86" s="14">
        <f>IF(ISNA(VLOOKUP(J$1,'peak-old'!$A$3:$DQ$20,$D86,FALSE)),0,VLOOKUP(J$1,'peak-old'!$A$3:$DQ$20,$D86,FALSE))</f>
        <v>0</v>
      </c>
      <c r="K86" s="14">
        <f>IF(ISNA(VLOOKUP(K$1,'peak-old'!$A$3:$DQ$20,$D86,FALSE)),0,VLOOKUP(K$1,'peak-old'!$A$3:$DQ$20,$D86,FALSE))</f>
        <v>0</v>
      </c>
      <c r="L86" s="14">
        <f>IF(ISNA(VLOOKUP(L$1,'peak-old'!$A$3:$DQ$20,$D86,FALSE)),0,VLOOKUP(L$1,'peak-old'!$A$3:$DQ$20,$D86,FALSE))</f>
        <v>0</v>
      </c>
      <c r="M86" s="14">
        <f>IF(ISNA(VLOOKUP(M$1,'peak-old'!$A$3:$DQ$20,$D86,FALSE)),0,VLOOKUP(M$1,'peak-old'!$A$3:$DQ$20,$D86,FALSE))</f>
        <v>0</v>
      </c>
      <c r="N86" s="14">
        <f>IF(ISNA(VLOOKUP(N$1,'peak-old'!$A$3:$DQ$20,$D86,FALSE)),0,VLOOKUP(N$1,'peak-old'!$A$3:$DQ$20,$D86,FALSE))</f>
        <v>0</v>
      </c>
      <c r="O86" s="14">
        <f>IF(ISNA(VLOOKUP(O$1,'peak-old'!$A$3:$DQ$20,$D86,FALSE)),0,VLOOKUP(O$1,'peak-old'!$A$3:$DQ$20,$D86,FALSE))</f>
        <v>0</v>
      </c>
      <c r="P86" s="14">
        <f>IF(ISNA(VLOOKUP(P$1,'peak-old'!$A$3:$DQ$20,$D86,FALSE)),0,VLOOKUP(P$1,'peak-old'!$A$3:$DQ$20,$D86,FALSE))</f>
        <v>0</v>
      </c>
      <c r="Q86" s="15">
        <f>IF(ISNA(VLOOKUP(Q$1,'delta-old'!$A$3:$DQ$20,$D86,FALSE)),0,VLOOKUP(Q$1,'delta-old'!$A$3:$DQ$20,$D86,FALSE))</f>
        <v>4799</v>
      </c>
      <c r="R86" s="14">
        <f>IF(ISNA(VLOOKUP(R$1,'peak-old'!$A$3:$DQ$20,$D86,FALSE)),0,VLOOKUP(R$1,'peak-old'!$A$3:$DQ$20,$D86,FALSE))</f>
        <v>0</v>
      </c>
      <c r="S86" s="10"/>
    </row>
    <row r="87" spans="1:19" s="8" customFormat="1" x14ac:dyDescent="0.2">
      <c r="A87" s="8">
        <f t="shared" si="10"/>
        <v>2008</v>
      </c>
      <c r="B87" s="8">
        <f t="shared" si="11"/>
        <v>1</v>
      </c>
      <c r="C87" s="9">
        <f t="shared" si="9"/>
        <v>39448</v>
      </c>
      <c r="D87" s="8">
        <f t="shared" si="12"/>
        <v>81</v>
      </c>
      <c r="E87" s="14">
        <f>IF(ISNA(VLOOKUP(E$1,'delta-old'!$A$3:$DQ$20,$D87,FALSE)),0,VLOOKUP(E$1,'delta-old'!$A$3:$DQ$20,$D87,FALSE))</f>
        <v>5489.33</v>
      </c>
      <c r="F87" s="14">
        <f>IF(ISNA(VLOOKUP(F$1,'peak-old'!$A$3:$DQ$20,$D87,FALSE)),0,VLOOKUP(F$1,'peak-old'!$A$3:$DQ$20,$D87,FALSE))</f>
        <v>0</v>
      </c>
      <c r="G87" s="14">
        <f>IF(ISNA(VLOOKUP(G$1,'peak-old'!$A$3:$DQ$20,$D87,FALSE)),0,VLOOKUP(G$1,'peak-old'!$A$3:$DQ$20,$D87,FALSE))</f>
        <v>0</v>
      </c>
      <c r="H87" s="14">
        <f>IF(ISNA(VLOOKUP(H$1,'peak-old'!$A$3:$DQ$20,$D87,FALSE)),0,VLOOKUP(H$1,'peak-old'!$A$3:$DQ$20,$D87,FALSE))</f>
        <v>-11264</v>
      </c>
      <c r="I87" s="14">
        <f>IF(ISNA(VLOOKUP(I$1,'peak-old'!$A$3:$DQ$20,$D87,FALSE)),0,VLOOKUP(I$1,'peak-old'!$A$3:$DQ$20,$D87,FALSE))</f>
        <v>-8800</v>
      </c>
      <c r="J87" s="14">
        <f>IF(ISNA(VLOOKUP(J$1,'peak-old'!$A$3:$DQ$20,$D87,FALSE)),0,VLOOKUP(J$1,'peak-old'!$A$3:$DQ$20,$D87,FALSE))</f>
        <v>0</v>
      </c>
      <c r="K87" s="14">
        <f>IF(ISNA(VLOOKUP(K$1,'peak-old'!$A$3:$DQ$20,$D87,FALSE)),0,VLOOKUP(K$1,'peak-old'!$A$3:$DQ$20,$D87,FALSE))</f>
        <v>0</v>
      </c>
      <c r="L87" s="14">
        <f>IF(ISNA(VLOOKUP(L$1,'peak-old'!$A$3:$DQ$20,$D87,FALSE)),0,VLOOKUP(L$1,'peak-old'!$A$3:$DQ$20,$D87,FALSE))</f>
        <v>0</v>
      </c>
      <c r="M87" s="14">
        <f>IF(ISNA(VLOOKUP(M$1,'peak-old'!$A$3:$DQ$20,$D87,FALSE)),0,VLOOKUP(M$1,'peak-old'!$A$3:$DQ$20,$D87,FALSE))</f>
        <v>0</v>
      </c>
      <c r="N87" s="14">
        <f>IF(ISNA(VLOOKUP(N$1,'peak-old'!$A$3:$DQ$20,$D87,FALSE)),0,VLOOKUP(N$1,'peak-old'!$A$3:$DQ$20,$D87,FALSE))</f>
        <v>0</v>
      </c>
      <c r="O87" s="14">
        <f>IF(ISNA(VLOOKUP(O$1,'peak-old'!$A$3:$DQ$20,$D87,FALSE)),0,VLOOKUP(O$1,'peak-old'!$A$3:$DQ$20,$D87,FALSE))</f>
        <v>0</v>
      </c>
      <c r="P87" s="14">
        <f>IF(ISNA(VLOOKUP(P$1,'peak-old'!$A$3:$DQ$20,$D87,FALSE)),0,VLOOKUP(P$1,'peak-old'!$A$3:$DQ$20,$D87,FALSE))</f>
        <v>0</v>
      </c>
      <c r="Q87" s="15">
        <f>IF(ISNA(VLOOKUP(Q$1,'delta-old'!$A$3:$DQ$20,$D87,FALSE)),0,VLOOKUP(Q$1,'delta-old'!$A$3:$DQ$20,$D87,FALSE))</f>
        <v>5488.19</v>
      </c>
      <c r="R87" s="14">
        <f>IF(ISNA(VLOOKUP(R$1,'peak-old'!$A$3:$DQ$20,$D87,FALSE)),0,VLOOKUP(R$1,'peak-old'!$A$3:$DQ$20,$D87,FALSE))</f>
        <v>0</v>
      </c>
      <c r="S87" s="10"/>
    </row>
    <row r="88" spans="1:19" s="8" customFormat="1" x14ac:dyDescent="0.2">
      <c r="A88" s="8">
        <f t="shared" si="10"/>
        <v>2008</v>
      </c>
      <c r="B88" s="8">
        <f t="shared" si="11"/>
        <v>2</v>
      </c>
      <c r="C88" s="9">
        <f t="shared" si="9"/>
        <v>39479</v>
      </c>
      <c r="D88" s="8">
        <f t="shared" si="12"/>
        <v>82</v>
      </c>
      <c r="E88" s="14">
        <f>IF(ISNA(VLOOKUP(E$1,'delta-old'!$A$3:$DQ$20,$D88,FALSE)),0,VLOOKUP(E$1,'delta-old'!$A$3:$DQ$20,$D88,FALSE))</f>
        <v>5212</v>
      </c>
      <c r="F88" s="14">
        <f>IF(ISNA(VLOOKUP(F$1,'peak-old'!$A$3:$DQ$20,$D88,FALSE)),0,VLOOKUP(F$1,'peak-old'!$A$3:$DQ$20,$D88,FALSE))</f>
        <v>0</v>
      </c>
      <c r="G88" s="14">
        <f>IF(ISNA(VLOOKUP(G$1,'peak-old'!$A$3:$DQ$20,$D88,FALSE)),0,VLOOKUP(G$1,'peak-old'!$A$3:$DQ$20,$D88,FALSE))</f>
        <v>0</v>
      </c>
      <c r="H88" s="14">
        <f>IF(ISNA(VLOOKUP(H$1,'peak-old'!$A$3:$DQ$20,$D88,FALSE)),0,VLOOKUP(H$1,'peak-old'!$A$3:$DQ$20,$D88,FALSE))</f>
        <v>-10752</v>
      </c>
      <c r="I88" s="14">
        <f>IF(ISNA(VLOOKUP(I$1,'peak-old'!$A$3:$DQ$20,$D88,FALSE)),0,VLOOKUP(I$1,'peak-old'!$A$3:$DQ$20,$D88,FALSE))</f>
        <v>-8400</v>
      </c>
      <c r="J88" s="14">
        <f>IF(ISNA(VLOOKUP(J$1,'peak-old'!$A$3:$DQ$20,$D88,FALSE)),0,VLOOKUP(J$1,'peak-old'!$A$3:$DQ$20,$D88,FALSE))</f>
        <v>0</v>
      </c>
      <c r="K88" s="14">
        <f>IF(ISNA(VLOOKUP(K$1,'peak-old'!$A$3:$DQ$20,$D88,FALSE)),0,VLOOKUP(K$1,'peak-old'!$A$3:$DQ$20,$D88,FALSE))</f>
        <v>0</v>
      </c>
      <c r="L88" s="14">
        <f>IF(ISNA(VLOOKUP(L$1,'peak-old'!$A$3:$DQ$20,$D88,FALSE)),0,VLOOKUP(L$1,'peak-old'!$A$3:$DQ$20,$D88,FALSE))</f>
        <v>0</v>
      </c>
      <c r="M88" s="14">
        <f>IF(ISNA(VLOOKUP(M$1,'peak-old'!$A$3:$DQ$20,$D88,FALSE)),0,VLOOKUP(M$1,'peak-old'!$A$3:$DQ$20,$D88,FALSE))</f>
        <v>0</v>
      </c>
      <c r="N88" s="14">
        <f>IF(ISNA(VLOOKUP(N$1,'peak-old'!$A$3:$DQ$20,$D88,FALSE)),0,VLOOKUP(N$1,'peak-old'!$A$3:$DQ$20,$D88,FALSE))</f>
        <v>0</v>
      </c>
      <c r="O88" s="14">
        <f>IF(ISNA(VLOOKUP(O$1,'peak-old'!$A$3:$DQ$20,$D88,FALSE)),0,VLOOKUP(O$1,'peak-old'!$A$3:$DQ$20,$D88,FALSE))</f>
        <v>0</v>
      </c>
      <c r="P88" s="14">
        <f>IF(ISNA(VLOOKUP(P$1,'peak-old'!$A$3:$DQ$20,$D88,FALSE)),0,VLOOKUP(P$1,'peak-old'!$A$3:$DQ$20,$D88,FALSE))</f>
        <v>0</v>
      </c>
      <c r="Q88" s="15">
        <f>IF(ISNA(VLOOKUP(Q$1,'delta-old'!$A$3:$DQ$20,$D88,FALSE)),0,VLOOKUP(Q$1,'delta-old'!$A$3:$DQ$20,$D88,FALSE))</f>
        <v>5210.9399999999996</v>
      </c>
      <c r="R88" s="14">
        <f>IF(ISNA(VLOOKUP(R$1,'peak-old'!$A$3:$DQ$20,$D88,FALSE)),0,VLOOKUP(R$1,'peak-old'!$A$3:$DQ$20,$D88,FALSE))</f>
        <v>0</v>
      </c>
      <c r="S88" s="10"/>
    </row>
    <row r="89" spans="1:19" s="8" customFormat="1" x14ac:dyDescent="0.2">
      <c r="A89" s="8">
        <f t="shared" si="10"/>
        <v>2008</v>
      </c>
      <c r="B89" s="8">
        <f t="shared" si="11"/>
        <v>3</v>
      </c>
      <c r="C89" s="9">
        <f t="shared" si="9"/>
        <v>39508</v>
      </c>
      <c r="D89" s="8">
        <f t="shared" si="12"/>
        <v>83</v>
      </c>
      <c r="E89" s="14">
        <f>IF(ISNA(VLOOKUP(E$1,'delta-old'!$A$3:$DQ$20,$D89,FALSE)),0,VLOOKUP(E$1,'delta-old'!$A$3:$DQ$20,$D89,FALSE))</f>
        <v>5182.38</v>
      </c>
      <c r="F89" s="14">
        <f>IF(ISNA(VLOOKUP(F$1,'peak-old'!$A$3:$DQ$20,$D89,FALSE)),0,VLOOKUP(F$1,'peak-old'!$A$3:$DQ$20,$D89,FALSE))</f>
        <v>0</v>
      </c>
      <c r="G89" s="14">
        <f>IF(ISNA(VLOOKUP(G$1,'peak-old'!$A$3:$DQ$20,$D89,FALSE)),0,VLOOKUP(G$1,'peak-old'!$A$3:$DQ$20,$D89,FALSE))</f>
        <v>0</v>
      </c>
      <c r="H89" s="14">
        <f>IF(ISNA(VLOOKUP(H$1,'peak-old'!$A$3:$DQ$20,$D89,FALSE)),0,VLOOKUP(H$1,'peak-old'!$A$3:$DQ$20,$D89,FALSE))</f>
        <v>-12096</v>
      </c>
      <c r="I89" s="14">
        <f>IF(ISNA(VLOOKUP(I$1,'peak-old'!$A$3:$DQ$20,$D89,FALSE)),0,VLOOKUP(I$1,'peak-old'!$A$3:$DQ$20,$D89,FALSE))</f>
        <v>-8400</v>
      </c>
      <c r="J89" s="14">
        <f>IF(ISNA(VLOOKUP(J$1,'peak-old'!$A$3:$DQ$20,$D89,FALSE)),0,VLOOKUP(J$1,'peak-old'!$A$3:$DQ$20,$D89,FALSE))</f>
        <v>0</v>
      </c>
      <c r="K89" s="14">
        <f>IF(ISNA(VLOOKUP(K$1,'peak-old'!$A$3:$DQ$20,$D89,FALSE)),0,VLOOKUP(K$1,'peak-old'!$A$3:$DQ$20,$D89,FALSE))</f>
        <v>0</v>
      </c>
      <c r="L89" s="14">
        <f>IF(ISNA(VLOOKUP(L$1,'peak-old'!$A$3:$DQ$20,$D89,FALSE)),0,VLOOKUP(L$1,'peak-old'!$A$3:$DQ$20,$D89,FALSE))</f>
        <v>0</v>
      </c>
      <c r="M89" s="14">
        <f>IF(ISNA(VLOOKUP(M$1,'peak-old'!$A$3:$DQ$20,$D89,FALSE)),0,VLOOKUP(M$1,'peak-old'!$A$3:$DQ$20,$D89,FALSE))</f>
        <v>0</v>
      </c>
      <c r="N89" s="14">
        <f>IF(ISNA(VLOOKUP(N$1,'peak-old'!$A$3:$DQ$20,$D89,FALSE)),0,VLOOKUP(N$1,'peak-old'!$A$3:$DQ$20,$D89,FALSE))</f>
        <v>0</v>
      </c>
      <c r="O89" s="14">
        <f>IF(ISNA(VLOOKUP(O$1,'peak-old'!$A$3:$DQ$20,$D89,FALSE)),0,VLOOKUP(O$1,'peak-old'!$A$3:$DQ$20,$D89,FALSE))</f>
        <v>0</v>
      </c>
      <c r="P89" s="14">
        <f>IF(ISNA(VLOOKUP(P$1,'peak-old'!$A$3:$DQ$20,$D89,FALSE)),0,VLOOKUP(P$1,'peak-old'!$A$3:$DQ$20,$D89,FALSE))</f>
        <v>0</v>
      </c>
      <c r="Q89" s="15">
        <f>IF(ISNA(VLOOKUP(Q$1,'delta-old'!$A$3:$DQ$20,$D89,FALSE)),0,VLOOKUP(Q$1,'delta-old'!$A$3:$DQ$20,$D89,FALSE))</f>
        <v>5181.3</v>
      </c>
      <c r="R89" s="14">
        <f>IF(ISNA(VLOOKUP(R$1,'peak-old'!$A$3:$DQ$20,$D89,FALSE)),0,VLOOKUP(R$1,'peak-old'!$A$3:$DQ$20,$D89,FALSE))</f>
        <v>0</v>
      </c>
      <c r="S89" s="10"/>
    </row>
    <row r="90" spans="1:19" s="8" customFormat="1" x14ac:dyDescent="0.2">
      <c r="A90" s="8">
        <f t="shared" si="10"/>
        <v>2008</v>
      </c>
      <c r="B90" s="8">
        <f t="shared" si="11"/>
        <v>4</v>
      </c>
      <c r="C90" s="9">
        <f t="shared" si="9"/>
        <v>39539</v>
      </c>
      <c r="D90" s="8">
        <f t="shared" si="12"/>
        <v>84</v>
      </c>
      <c r="E90" s="14">
        <f>IF(ISNA(VLOOKUP(E$1,'delta-old'!$A$3:$DQ$20,$D90,FALSE)),0,VLOOKUP(E$1,'delta-old'!$A$3:$DQ$20,$D90,FALSE))</f>
        <v>5399.17</v>
      </c>
      <c r="F90" s="14">
        <f>IF(ISNA(VLOOKUP(F$1,'peak-old'!$A$3:$DQ$20,$D90,FALSE)),0,VLOOKUP(F$1,'peak-old'!$A$3:$DQ$20,$D90,FALSE))</f>
        <v>0</v>
      </c>
      <c r="G90" s="14">
        <f>IF(ISNA(VLOOKUP(G$1,'peak-old'!$A$3:$DQ$20,$D90,FALSE)),0,VLOOKUP(G$1,'peak-old'!$A$3:$DQ$20,$D90,FALSE))</f>
        <v>0</v>
      </c>
      <c r="H90" s="14">
        <f>IF(ISNA(VLOOKUP(H$1,'peak-old'!$A$3:$DQ$20,$D90,FALSE)),0,VLOOKUP(H$1,'peak-old'!$A$3:$DQ$20,$D90,FALSE))</f>
        <v>-12320</v>
      </c>
      <c r="I90" s="14">
        <f>IF(ISNA(VLOOKUP(I$1,'peak-old'!$A$3:$DQ$20,$D90,FALSE)),0,VLOOKUP(I$1,'peak-old'!$A$3:$DQ$20,$D90,FALSE))</f>
        <v>-8800</v>
      </c>
      <c r="J90" s="14">
        <f>IF(ISNA(VLOOKUP(J$1,'peak-old'!$A$3:$DQ$20,$D90,FALSE)),0,VLOOKUP(J$1,'peak-old'!$A$3:$DQ$20,$D90,FALSE))</f>
        <v>0</v>
      </c>
      <c r="K90" s="14">
        <f>IF(ISNA(VLOOKUP(K$1,'peak-old'!$A$3:$DQ$20,$D90,FALSE)),0,VLOOKUP(K$1,'peak-old'!$A$3:$DQ$20,$D90,FALSE))</f>
        <v>0</v>
      </c>
      <c r="L90" s="14">
        <f>IF(ISNA(VLOOKUP(L$1,'peak-old'!$A$3:$DQ$20,$D90,FALSE)),0,VLOOKUP(L$1,'peak-old'!$A$3:$DQ$20,$D90,FALSE))</f>
        <v>0</v>
      </c>
      <c r="M90" s="14">
        <f>IF(ISNA(VLOOKUP(M$1,'peak-old'!$A$3:$DQ$20,$D90,FALSE)),0,VLOOKUP(M$1,'peak-old'!$A$3:$DQ$20,$D90,FALSE))</f>
        <v>0</v>
      </c>
      <c r="N90" s="14">
        <f>IF(ISNA(VLOOKUP(N$1,'peak-old'!$A$3:$DQ$20,$D90,FALSE)),0,VLOOKUP(N$1,'peak-old'!$A$3:$DQ$20,$D90,FALSE))</f>
        <v>0</v>
      </c>
      <c r="O90" s="14">
        <f>IF(ISNA(VLOOKUP(O$1,'peak-old'!$A$3:$DQ$20,$D90,FALSE)),0,VLOOKUP(O$1,'peak-old'!$A$3:$DQ$20,$D90,FALSE))</f>
        <v>0</v>
      </c>
      <c r="P90" s="14">
        <f>IF(ISNA(VLOOKUP(P$1,'peak-old'!$A$3:$DQ$20,$D90,FALSE)),0,VLOOKUP(P$1,'peak-old'!$A$3:$DQ$20,$D90,FALSE))</f>
        <v>0</v>
      </c>
      <c r="Q90" s="15">
        <f>IF(ISNA(VLOOKUP(Q$1,'delta-old'!$A$3:$DQ$20,$D90,FALSE)),0,VLOOKUP(Q$1,'delta-old'!$A$3:$DQ$20,$D90,FALSE))</f>
        <v>5162.7299999999996</v>
      </c>
      <c r="R90" s="14">
        <f>IF(ISNA(VLOOKUP(R$1,'peak-old'!$A$3:$DQ$20,$D90,FALSE)),0,VLOOKUP(R$1,'peak-old'!$A$3:$DQ$20,$D90,FALSE))</f>
        <v>0</v>
      </c>
      <c r="S90" s="10"/>
    </row>
    <row r="91" spans="1:19" s="8" customFormat="1" x14ac:dyDescent="0.2">
      <c r="A91" s="8">
        <f t="shared" si="10"/>
        <v>2008</v>
      </c>
      <c r="B91" s="8">
        <f t="shared" si="11"/>
        <v>5</v>
      </c>
      <c r="C91" s="9">
        <f t="shared" si="9"/>
        <v>39569</v>
      </c>
      <c r="D91" s="8">
        <f t="shared" si="12"/>
        <v>85</v>
      </c>
      <c r="E91" s="14">
        <f>IF(ISNA(VLOOKUP(E$1,'delta-old'!$A$3:$DQ$20,$D91,FALSE)),0,VLOOKUP(E$1,'delta-old'!$A$3:$DQ$20,$D91,FALSE))</f>
        <v>5125</v>
      </c>
      <c r="F91" s="14">
        <f>IF(ISNA(VLOOKUP(F$1,'peak-old'!$A$3:$DQ$20,$D91,FALSE)),0,VLOOKUP(F$1,'peak-old'!$A$3:$DQ$20,$D91,FALSE))</f>
        <v>0</v>
      </c>
      <c r="G91" s="14">
        <f>IF(ISNA(VLOOKUP(G$1,'peak-old'!$A$3:$DQ$20,$D91,FALSE)),0,VLOOKUP(G$1,'peak-old'!$A$3:$DQ$20,$D91,FALSE))</f>
        <v>0</v>
      </c>
      <c r="H91" s="14">
        <f>IF(ISNA(VLOOKUP(H$1,'peak-old'!$A$3:$DQ$20,$D91,FALSE)),0,VLOOKUP(H$1,'peak-old'!$A$3:$DQ$20,$D91,FALSE))</f>
        <v>-8736</v>
      </c>
      <c r="I91" s="14">
        <f>IF(ISNA(VLOOKUP(I$1,'peak-old'!$A$3:$DQ$20,$D91,FALSE)),0,VLOOKUP(I$1,'peak-old'!$A$3:$DQ$20,$D91,FALSE))</f>
        <v>-8400</v>
      </c>
      <c r="J91" s="14">
        <f>IF(ISNA(VLOOKUP(J$1,'peak-old'!$A$3:$DQ$20,$D91,FALSE)),0,VLOOKUP(J$1,'peak-old'!$A$3:$DQ$20,$D91,FALSE))</f>
        <v>0</v>
      </c>
      <c r="K91" s="14">
        <f>IF(ISNA(VLOOKUP(K$1,'peak-old'!$A$3:$DQ$20,$D91,FALSE)),0,VLOOKUP(K$1,'peak-old'!$A$3:$DQ$20,$D91,FALSE))</f>
        <v>0</v>
      </c>
      <c r="L91" s="14">
        <f>IF(ISNA(VLOOKUP(L$1,'peak-old'!$A$3:$DQ$20,$D91,FALSE)),0,VLOOKUP(L$1,'peak-old'!$A$3:$DQ$20,$D91,FALSE))</f>
        <v>0</v>
      </c>
      <c r="M91" s="14">
        <f>IF(ISNA(VLOOKUP(M$1,'peak-old'!$A$3:$DQ$20,$D91,FALSE)),0,VLOOKUP(M$1,'peak-old'!$A$3:$DQ$20,$D91,FALSE))</f>
        <v>0</v>
      </c>
      <c r="N91" s="14">
        <f>IF(ISNA(VLOOKUP(N$1,'peak-old'!$A$3:$DQ$20,$D91,FALSE)),0,VLOOKUP(N$1,'peak-old'!$A$3:$DQ$20,$D91,FALSE))</f>
        <v>0</v>
      </c>
      <c r="O91" s="14">
        <f>IF(ISNA(VLOOKUP(O$1,'peak-old'!$A$3:$DQ$20,$D91,FALSE)),0,VLOOKUP(O$1,'peak-old'!$A$3:$DQ$20,$D91,FALSE))</f>
        <v>0</v>
      </c>
      <c r="P91" s="14">
        <f>IF(ISNA(VLOOKUP(P$1,'peak-old'!$A$3:$DQ$20,$D91,FALSE)),0,VLOOKUP(P$1,'peak-old'!$A$3:$DQ$20,$D91,FALSE))</f>
        <v>0</v>
      </c>
      <c r="Q91" s="15">
        <f>IF(ISNA(VLOOKUP(Q$1,'delta-old'!$A$3:$DQ$20,$D91,FALSE)),0,VLOOKUP(Q$1,'delta-old'!$A$3:$DQ$20,$D91,FALSE))</f>
        <v>4900.46</v>
      </c>
      <c r="R91" s="14">
        <f>IF(ISNA(VLOOKUP(R$1,'peak-old'!$A$3:$DQ$20,$D91,FALSE)),0,VLOOKUP(R$1,'peak-old'!$A$3:$DQ$20,$D91,FALSE))</f>
        <v>0</v>
      </c>
      <c r="S91" s="10"/>
    </row>
    <row r="92" spans="1:19" s="8" customFormat="1" x14ac:dyDescent="0.2">
      <c r="A92" s="8">
        <f t="shared" si="10"/>
        <v>2008</v>
      </c>
      <c r="B92" s="8">
        <f t="shared" si="11"/>
        <v>6</v>
      </c>
      <c r="C92" s="9">
        <f t="shared" si="9"/>
        <v>39600</v>
      </c>
      <c r="D92" s="8">
        <f t="shared" si="12"/>
        <v>86</v>
      </c>
      <c r="E92" s="14">
        <f>IF(ISNA(VLOOKUP(E$1,'delta-old'!$A$3:$DQ$20,$D92,FALSE)),0,VLOOKUP(E$1,'delta-old'!$A$3:$DQ$20,$D92,FALSE))</f>
        <v>5097.8500000000004</v>
      </c>
      <c r="F92" s="14">
        <f>IF(ISNA(VLOOKUP(F$1,'peak-old'!$A$3:$DQ$20,$D92,FALSE)),0,VLOOKUP(F$1,'peak-old'!$A$3:$DQ$20,$D92,FALSE))</f>
        <v>0</v>
      </c>
      <c r="G92" s="14">
        <f>IF(ISNA(VLOOKUP(G$1,'peak-old'!$A$3:$DQ$20,$D92,FALSE)),0,VLOOKUP(G$1,'peak-old'!$A$3:$DQ$20,$D92,FALSE))</f>
        <v>0</v>
      </c>
      <c r="H92" s="14">
        <f>IF(ISNA(VLOOKUP(H$1,'peak-old'!$A$3:$DQ$20,$D92,FALSE)),0,VLOOKUP(H$1,'peak-old'!$A$3:$DQ$20,$D92,FALSE))</f>
        <v>-7056</v>
      </c>
      <c r="I92" s="14">
        <f>IF(ISNA(VLOOKUP(I$1,'peak-old'!$A$3:$DQ$20,$D92,FALSE)),0,VLOOKUP(I$1,'peak-old'!$A$3:$DQ$20,$D92,FALSE))</f>
        <v>-8400</v>
      </c>
      <c r="J92" s="14">
        <f>IF(ISNA(VLOOKUP(J$1,'peak-old'!$A$3:$DQ$20,$D92,FALSE)),0,VLOOKUP(J$1,'peak-old'!$A$3:$DQ$20,$D92,FALSE))</f>
        <v>0</v>
      </c>
      <c r="K92" s="14">
        <f>IF(ISNA(VLOOKUP(K$1,'peak-old'!$A$3:$DQ$20,$D92,FALSE)),0,VLOOKUP(K$1,'peak-old'!$A$3:$DQ$20,$D92,FALSE))</f>
        <v>0</v>
      </c>
      <c r="L92" s="14">
        <f>IF(ISNA(VLOOKUP(L$1,'peak-old'!$A$3:$DQ$20,$D92,FALSE)),0,VLOOKUP(L$1,'peak-old'!$A$3:$DQ$20,$D92,FALSE))</f>
        <v>0</v>
      </c>
      <c r="M92" s="14">
        <f>IF(ISNA(VLOOKUP(M$1,'peak-old'!$A$3:$DQ$20,$D92,FALSE)),0,VLOOKUP(M$1,'peak-old'!$A$3:$DQ$20,$D92,FALSE))</f>
        <v>0</v>
      </c>
      <c r="N92" s="14">
        <f>IF(ISNA(VLOOKUP(N$1,'peak-old'!$A$3:$DQ$20,$D92,FALSE)),0,VLOOKUP(N$1,'peak-old'!$A$3:$DQ$20,$D92,FALSE))</f>
        <v>0</v>
      </c>
      <c r="O92" s="14">
        <f>IF(ISNA(VLOOKUP(O$1,'peak-old'!$A$3:$DQ$20,$D92,FALSE)),0,VLOOKUP(O$1,'peak-old'!$A$3:$DQ$20,$D92,FALSE))</f>
        <v>0</v>
      </c>
      <c r="P92" s="14">
        <f>IF(ISNA(VLOOKUP(P$1,'peak-old'!$A$3:$DQ$20,$D92,FALSE)),0,VLOOKUP(P$1,'peak-old'!$A$3:$DQ$20,$D92,FALSE))</f>
        <v>0</v>
      </c>
      <c r="Q92" s="15">
        <f>IF(ISNA(VLOOKUP(Q$1,'delta-old'!$A$3:$DQ$20,$D92,FALSE)),0,VLOOKUP(Q$1,'delta-old'!$A$3:$DQ$20,$D92,FALSE))</f>
        <v>4652.6899999999996</v>
      </c>
      <c r="R92" s="14">
        <f>IF(ISNA(VLOOKUP(R$1,'peak-old'!$A$3:$DQ$20,$D92,FALSE)),0,VLOOKUP(R$1,'peak-old'!$A$3:$DQ$20,$D92,FALSE))</f>
        <v>0</v>
      </c>
      <c r="S92" s="10"/>
    </row>
    <row r="93" spans="1:19" s="8" customFormat="1" x14ac:dyDescent="0.2">
      <c r="A93" s="8">
        <f t="shared" si="10"/>
        <v>2008</v>
      </c>
      <c r="B93" s="8">
        <f t="shared" si="11"/>
        <v>7</v>
      </c>
      <c r="C93" s="9">
        <f t="shared" si="9"/>
        <v>39630</v>
      </c>
      <c r="D93" s="8">
        <f t="shared" si="12"/>
        <v>87</v>
      </c>
      <c r="E93" s="14">
        <f>IF(ISNA(VLOOKUP(E$1,'delta-old'!$A$3:$DQ$20,$D93,FALSE)),0,VLOOKUP(E$1,'delta-old'!$A$3:$DQ$20,$D93,FALSE))</f>
        <v>5311.52</v>
      </c>
      <c r="F93" s="14">
        <f>IF(ISNA(VLOOKUP(F$1,'peak-old'!$A$3:$DQ$20,$D93,FALSE)),0,VLOOKUP(F$1,'peak-old'!$A$3:$DQ$20,$D93,FALSE))</f>
        <v>0</v>
      </c>
      <c r="G93" s="14">
        <f>IF(ISNA(VLOOKUP(G$1,'peak-old'!$A$3:$DQ$20,$D93,FALSE)),0,VLOOKUP(G$1,'peak-old'!$A$3:$DQ$20,$D93,FALSE))</f>
        <v>0</v>
      </c>
      <c r="H93" s="14">
        <f>IF(ISNA(VLOOKUP(H$1,'peak-old'!$A$3:$DQ$20,$D93,FALSE)),0,VLOOKUP(H$1,'peak-old'!$A$3:$DQ$20,$D93,FALSE))</f>
        <v>-4576</v>
      </c>
      <c r="I93" s="14">
        <f>IF(ISNA(VLOOKUP(I$1,'peak-old'!$A$3:$DQ$20,$D93,FALSE)),0,VLOOKUP(I$1,'peak-old'!$A$3:$DQ$20,$D93,FALSE))</f>
        <v>-8800</v>
      </c>
      <c r="J93" s="14">
        <f>IF(ISNA(VLOOKUP(J$1,'peak-old'!$A$3:$DQ$20,$D93,FALSE)),0,VLOOKUP(J$1,'peak-old'!$A$3:$DQ$20,$D93,FALSE))</f>
        <v>0</v>
      </c>
      <c r="K93" s="14">
        <f>IF(ISNA(VLOOKUP(K$1,'peak-old'!$A$3:$DQ$20,$D93,FALSE)),0,VLOOKUP(K$1,'peak-old'!$A$3:$DQ$20,$D93,FALSE))</f>
        <v>0</v>
      </c>
      <c r="L93" s="14">
        <f>IF(ISNA(VLOOKUP(L$1,'peak-old'!$A$3:$DQ$20,$D93,FALSE)),0,VLOOKUP(L$1,'peak-old'!$A$3:$DQ$20,$D93,FALSE))</f>
        <v>0</v>
      </c>
      <c r="M93" s="14">
        <f>IF(ISNA(VLOOKUP(M$1,'peak-old'!$A$3:$DQ$20,$D93,FALSE)),0,VLOOKUP(M$1,'peak-old'!$A$3:$DQ$20,$D93,FALSE))</f>
        <v>0</v>
      </c>
      <c r="N93" s="14">
        <f>IF(ISNA(VLOOKUP(N$1,'peak-old'!$A$3:$DQ$20,$D93,FALSE)),0,VLOOKUP(N$1,'peak-old'!$A$3:$DQ$20,$D93,FALSE))</f>
        <v>0</v>
      </c>
      <c r="O93" s="14">
        <f>IF(ISNA(VLOOKUP(O$1,'peak-old'!$A$3:$DQ$20,$D93,FALSE)),0,VLOOKUP(O$1,'peak-old'!$A$3:$DQ$20,$D93,FALSE))</f>
        <v>0</v>
      </c>
      <c r="P93" s="14">
        <f>IF(ISNA(VLOOKUP(P$1,'peak-old'!$A$3:$DQ$20,$D93,FALSE)),0,VLOOKUP(P$1,'peak-old'!$A$3:$DQ$20,$D93,FALSE))</f>
        <v>0</v>
      </c>
      <c r="Q93" s="15">
        <f>IF(ISNA(VLOOKUP(Q$1,'delta-old'!$A$3:$DQ$20,$D93,FALSE)),0,VLOOKUP(Q$1,'delta-old'!$A$3:$DQ$20,$D93,FALSE))</f>
        <v>4616.0600000000004</v>
      </c>
      <c r="R93" s="14">
        <f>IF(ISNA(VLOOKUP(R$1,'peak-old'!$A$3:$DQ$20,$D93,FALSE)),0,VLOOKUP(R$1,'peak-old'!$A$3:$DQ$20,$D93,FALSE))</f>
        <v>0</v>
      </c>
      <c r="S93" s="10"/>
    </row>
    <row r="94" spans="1:19" s="8" customFormat="1" x14ac:dyDescent="0.2">
      <c r="A94" s="8">
        <f t="shared" si="10"/>
        <v>2008</v>
      </c>
      <c r="B94" s="8">
        <f t="shared" si="11"/>
        <v>8</v>
      </c>
      <c r="C94" s="9">
        <f t="shared" si="9"/>
        <v>39661</v>
      </c>
      <c r="D94" s="8">
        <f t="shared" si="12"/>
        <v>88</v>
      </c>
      <c r="E94" s="14">
        <f>IF(ISNA(VLOOKUP(E$1,'delta-old'!$A$3:$DQ$20,$D94,FALSE)),0,VLOOKUP(E$1,'delta-old'!$A$3:$DQ$20,$D94,FALSE))</f>
        <v>5042.42</v>
      </c>
      <c r="F94" s="14">
        <f>IF(ISNA(VLOOKUP(F$1,'peak-old'!$A$3:$DQ$20,$D94,FALSE)),0,VLOOKUP(F$1,'peak-old'!$A$3:$DQ$20,$D94,FALSE))</f>
        <v>0</v>
      </c>
      <c r="G94" s="14">
        <f>IF(ISNA(VLOOKUP(G$1,'peak-old'!$A$3:$DQ$20,$D94,FALSE)),0,VLOOKUP(G$1,'peak-old'!$A$3:$DQ$20,$D94,FALSE))</f>
        <v>0</v>
      </c>
      <c r="H94" s="14">
        <f>IF(ISNA(VLOOKUP(H$1,'peak-old'!$A$3:$DQ$20,$D94,FALSE)),0,VLOOKUP(H$1,'peak-old'!$A$3:$DQ$20,$D94,FALSE))</f>
        <v>-4032</v>
      </c>
      <c r="I94" s="14">
        <f>IF(ISNA(VLOOKUP(I$1,'peak-old'!$A$3:$DQ$20,$D94,FALSE)),0,VLOOKUP(I$1,'peak-old'!$A$3:$DQ$20,$D94,FALSE))</f>
        <v>-8400</v>
      </c>
      <c r="J94" s="14">
        <f>IF(ISNA(VLOOKUP(J$1,'peak-old'!$A$3:$DQ$20,$D94,FALSE)),0,VLOOKUP(J$1,'peak-old'!$A$3:$DQ$20,$D94,FALSE))</f>
        <v>0</v>
      </c>
      <c r="K94" s="14">
        <f>IF(ISNA(VLOOKUP(K$1,'peak-old'!$A$3:$DQ$20,$D94,FALSE)),0,VLOOKUP(K$1,'peak-old'!$A$3:$DQ$20,$D94,FALSE))</f>
        <v>0</v>
      </c>
      <c r="L94" s="14">
        <f>IF(ISNA(VLOOKUP(L$1,'peak-old'!$A$3:$DQ$20,$D94,FALSE)),0,VLOOKUP(L$1,'peak-old'!$A$3:$DQ$20,$D94,FALSE))</f>
        <v>0</v>
      </c>
      <c r="M94" s="14">
        <f>IF(ISNA(VLOOKUP(M$1,'peak-old'!$A$3:$DQ$20,$D94,FALSE)),0,VLOOKUP(M$1,'peak-old'!$A$3:$DQ$20,$D94,FALSE))</f>
        <v>0</v>
      </c>
      <c r="N94" s="14">
        <f>IF(ISNA(VLOOKUP(N$1,'peak-old'!$A$3:$DQ$20,$D94,FALSE)),0,VLOOKUP(N$1,'peak-old'!$A$3:$DQ$20,$D94,FALSE))</f>
        <v>0</v>
      </c>
      <c r="O94" s="14">
        <f>IF(ISNA(VLOOKUP(O$1,'peak-old'!$A$3:$DQ$20,$D94,FALSE)),0,VLOOKUP(O$1,'peak-old'!$A$3:$DQ$20,$D94,FALSE))</f>
        <v>0</v>
      </c>
      <c r="P94" s="14">
        <f>IF(ISNA(VLOOKUP(P$1,'peak-old'!$A$3:$DQ$20,$D94,FALSE)),0,VLOOKUP(P$1,'peak-old'!$A$3:$DQ$20,$D94,FALSE))</f>
        <v>0</v>
      </c>
      <c r="Q94" s="15">
        <f>IF(ISNA(VLOOKUP(Q$1,'delta-old'!$A$3:$DQ$20,$D94,FALSE)),0,VLOOKUP(Q$1,'delta-old'!$A$3:$DQ$20,$D94,FALSE))</f>
        <v>4602.08</v>
      </c>
      <c r="R94" s="14">
        <f>IF(ISNA(VLOOKUP(R$1,'peak-old'!$A$3:$DQ$20,$D94,FALSE)),0,VLOOKUP(R$1,'peak-old'!$A$3:$DQ$20,$D94,FALSE))</f>
        <v>0</v>
      </c>
      <c r="S94" s="10"/>
    </row>
    <row r="95" spans="1:19" s="8" customFormat="1" x14ac:dyDescent="0.2">
      <c r="A95" s="8">
        <f t="shared" si="10"/>
        <v>2008</v>
      </c>
      <c r="B95" s="8">
        <f t="shared" si="11"/>
        <v>9</v>
      </c>
      <c r="C95" s="9">
        <f t="shared" si="9"/>
        <v>39692</v>
      </c>
      <c r="D95" s="8">
        <f t="shared" si="12"/>
        <v>89</v>
      </c>
      <c r="E95" s="14">
        <f>IF(ISNA(VLOOKUP(E$1,'delta-old'!$A$3:$DQ$20,$D95,FALSE)),0,VLOOKUP(E$1,'delta-old'!$A$3:$DQ$20,$D95,FALSE))</f>
        <v>5015.72</v>
      </c>
      <c r="F95" s="14">
        <f>IF(ISNA(VLOOKUP(F$1,'peak-old'!$A$3:$DQ$20,$D95,FALSE)),0,VLOOKUP(F$1,'peak-old'!$A$3:$DQ$20,$D95,FALSE))</f>
        <v>0</v>
      </c>
      <c r="G95" s="14">
        <f>IF(ISNA(VLOOKUP(G$1,'peak-old'!$A$3:$DQ$20,$D95,FALSE)),0,VLOOKUP(G$1,'peak-old'!$A$3:$DQ$20,$D95,FALSE))</f>
        <v>0</v>
      </c>
      <c r="H95" s="14">
        <f>IF(ISNA(VLOOKUP(H$1,'peak-old'!$A$3:$DQ$20,$D95,FALSE)),0,VLOOKUP(H$1,'peak-old'!$A$3:$DQ$20,$D95,FALSE))</f>
        <v>0</v>
      </c>
      <c r="I95" s="14">
        <f>IF(ISNA(VLOOKUP(I$1,'peak-old'!$A$3:$DQ$20,$D95,FALSE)),0,VLOOKUP(I$1,'peak-old'!$A$3:$DQ$20,$D95,FALSE))</f>
        <v>-8400</v>
      </c>
      <c r="J95" s="14">
        <f>IF(ISNA(VLOOKUP(J$1,'peak-old'!$A$3:$DQ$20,$D95,FALSE)),0,VLOOKUP(J$1,'peak-old'!$A$3:$DQ$20,$D95,FALSE))</f>
        <v>0</v>
      </c>
      <c r="K95" s="14">
        <f>IF(ISNA(VLOOKUP(K$1,'peak-old'!$A$3:$DQ$20,$D95,FALSE)),0,VLOOKUP(K$1,'peak-old'!$A$3:$DQ$20,$D95,FALSE))</f>
        <v>0</v>
      </c>
      <c r="L95" s="14">
        <f>IF(ISNA(VLOOKUP(L$1,'peak-old'!$A$3:$DQ$20,$D95,FALSE)),0,VLOOKUP(L$1,'peak-old'!$A$3:$DQ$20,$D95,FALSE))</f>
        <v>0</v>
      </c>
      <c r="M95" s="14">
        <f>IF(ISNA(VLOOKUP(M$1,'peak-old'!$A$3:$DQ$20,$D95,FALSE)),0,VLOOKUP(M$1,'peak-old'!$A$3:$DQ$20,$D95,FALSE))</f>
        <v>0</v>
      </c>
      <c r="N95" s="14">
        <f>IF(ISNA(VLOOKUP(N$1,'peak-old'!$A$3:$DQ$20,$D95,FALSE)),0,VLOOKUP(N$1,'peak-old'!$A$3:$DQ$20,$D95,FALSE))</f>
        <v>0</v>
      </c>
      <c r="O95" s="14">
        <f>IF(ISNA(VLOOKUP(O$1,'peak-old'!$A$3:$DQ$20,$D95,FALSE)),0,VLOOKUP(O$1,'peak-old'!$A$3:$DQ$20,$D95,FALSE))</f>
        <v>0</v>
      </c>
      <c r="P95" s="14">
        <f>IF(ISNA(VLOOKUP(P$1,'peak-old'!$A$3:$DQ$20,$D95,FALSE)),0,VLOOKUP(P$1,'peak-old'!$A$3:$DQ$20,$D95,FALSE))</f>
        <v>0</v>
      </c>
      <c r="Q95" s="15">
        <f>IF(ISNA(VLOOKUP(Q$1,'delta-old'!$A$3:$DQ$20,$D95,FALSE)),0,VLOOKUP(Q$1,'delta-old'!$A$3:$DQ$20,$D95,FALSE))</f>
        <v>4796.1400000000003</v>
      </c>
      <c r="R95" s="14">
        <f>IF(ISNA(VLOOKUP(R$1,'peak-old'!$A$3:$DQ$20,$D95,FALSE)),0,VLOOKUP(R$1,'peak-old'!$A$3:$DQ$20,$D95,FALSE))</f>
        <v>0</v>
      </c>
      <c r="S95" s="10"/>
    </row>
    <row r="96" spans="1:19" s="8" customFormat="1" x14ac:dyDescent="0.2">
      <c r="A96" s="8">
        <f t="shared" si="10"/>
        <v>2008</v>
      </c>
      <c r="B96" s="8">
        <f t="shared" si="11"/>
        <v>10</v>
      </c>
      <c r="C96" s="9">
        <f t="shared" si="9"/>
        <v>39722</v>
      </c>
      <c r="D96" s="8">
        <f t="shared" si="12"/>
        <v>90</v>
      </c>
      <c r="E96" s="14">
        <f>IF(ISNA(VLOOKUP(E$1,'delta-old'!$A$3:$DQ$20,$D96,FALSE)),0,VLOOKUP(E$1,'delta-old'!$A$3:$DQ$20,$D96,FALSE))</f>
        <v>5463.3</v>
      </c>
      <c r="F96" s="14">
        <f>IF(ISNA(VLOOKUP(F$1,'peak-old'!$A$3:$DQ$20,$D96,FALSE)),0,VLOOKUP(F$1,'peak-old'!$A$3:$DQ$20,$D96,FALSE))</f>
        <v>0</v>
      </c>
      <c r="G96" s="14">
        <f>IF(ISNA(VLOOKUP(G$1,'peak-old'!$A$3:$DQ$20,$D96,FALSE)),0,VLOOKUP(G$1,'peak-old'!$A$3:$DQ$20,$D96,FALSE))</f>
        <v>0</v>
      </c>
      <c r="H96" s="14">
        <f>IF(ISNA(VLOOKUP(H$1,'peak-old'!$A$3:$DQ$20,$D96,FALSE)),0,VLOOKUP(H$1,'peak-old'!$A$3:$DQ$20,$D96,FALSE))</f>
        <v>0</v>
      </c>
      <c r="I96" s="14">
        <f>IF(ISNA(VLOOKUP(I$1,'peak-old'!$A$3:$DQ$20,$D96,FALSE)),0,VLOOKUP(I$1,'peak-old'!$A$3:$DQ$20,$D96,FALSE))</f>
        <v>-9200</v>
      </c>
      <c r="J96" s="14">
        <f>IF(ISNA(VLOOKUP(J$1,'peak-old'!$A$3:$DQ$20,$D96,FALSE)),0,VLOOKUP(J$1,'peak-old'!$A$3:$DQ$20,$D96,FALSE))</f>
        <v>0</v>
      </c>
      <c r="K96" s="14">
        <f>IF(ISNA(VLOOKUP(K$1,'peak-old'!$A$3:$DQ$20,$D96,FALSE)),0,VLOOKUP(K$1,'peak-old'!$A$3:$DQ$20,$D96,FALSE))</f>
        <v>0</v>
      </c>
      <c r="L96" s="14">
        <f>IF(ISNA(VLOOKUP(L$1,'peak-old'!$A$3:$DQ$20,$D96,FALSE)),0,VLOOKUP(L$1,'peak-old'!$A$3:$DQ$20,$D96,FALSE))</f>
        <v>0</v>
      </c>
      <c r="M96" s="14">
        <f>IF(ISNA(VLOOKUP(M$1,'peak-old'!$A$3:$DQ$20,$D96,FALSE)),0,VLOOKUP(M$1,'peak-old'!$A$3:$DQ$20,$D96,FALSE))</f>
        <v>0</v>
      </c>
      <c r="N96" s="14">
        <f>IF(ISNA(VLOOKUP(N$1,'peak-old'!$A$3:$DQ$20,$D96,FALSE)),0,VLOOKUP(N$1,'peak-old'!$A$3:$DQ$20,$D96,FALSE))</f>
        <v>0</v>
      </c>
      <c r="O96" s="14">
        <f>IF(ISNA(VLOOKUP(O$1,'peak-old'!$A$3:$DQ$20,$D96,FALSE)),0,VLOOKUP(O$1,'peak-old'!$A$3:$DQ$20,$D96,FALSE))</f>
        <v>0</v>
      </c>
      <c r="P96" s="14">
        <f>IF(ISNA(VLOOKUP(P$1,'peak-old'!$A$3:$DQ$20,$D96,FALSE)),0,VLOOKUP(P$1,'peak-old'!$A$3:$DQ$20,$D96,FALSE))</f>
        <v>0</v>
      </c>
      <c r="Q96" s="15">
        <f>IF(ISNA(VLOOKUP(Q$1,'delta-old'!$A$3:$DQ$20,$D96,FALSE)),0,VLOOKUP(Q$1,'delta-old'!$A$3:$DQ$20,$D96,FALSE))</f>
        <v>5224.12</v>
      </c>
      <c r="R96" s="14">
        <f>IF(ISNA(VLOOKUP(R$1,'peak-old'!$A$3:$DQ$20,$D96,FALSE)),0,VLOOKUP(R$1,'peak-old'!$A$3:$DQ$20,$D96,FALSE))</f>
        <v>0</v>
      </c>
      <c r="S96" s="10"/>
    </row>
    <row r="97" spans="1:19" s="8" customFormat="1" x14ac:dyDescent="0.2">
      <c r="A97" s="8">
        <f t="shared" si="10"/>
        <v>2008</v>
      </c>
      <c r="B97" s="8">
        <f t="shared" si="11"/>
        <v>11</v>
      </c>
      <c r="C97" s="9">
        <f t="shared" si="9"/>
        <v>39753</v>
      </c>
      <c r="D97" s="8">
        <f t="shared" si="12"/>
        <v>91</v>
      </c>
      <c r="E97" s="14">
        <f>IF(ISNA(VLOOKUP(E$1,'delta-old'!$A$3:$DQ$20,$D97,FALSE)),0,VLOOKUP(E$1,'delta-old'!$A$3:$DQ$20,$D97,FALSE))</f>
        <v>4489.17</v>
      </c>
      <c r="F97" s="14">
        <f>IF(ISNA(VLOOKUP(F$1,'peak-old'!$A$3:$DQ$20,$D97,FALSE)),0,VLOOKUP(F$1,'peak-old'!$A$3:$DQ$20,$D97,FALSE))</f>
        <v>0</v>
      </c>
      <c r="G97" s="14">
        <f>IF(ISNA(VLOOKUP(G$1,'peak-old'!$A$3:$DQ$20,$D97,FALSE)),0,VLOOKUP(G$1,'peak-old'!$A$3:$DQ$20,$D97,FALSE))</f>
        <v>0</v>
      </c>
      <c r="H97" s="14">
        <f>IF(ISNA(VLOOKUP(H$1,'peak-old'!$A$3:$DQ$20,$D97,FALSE)),0,VLOOKUP(H$1,'peak-old'!$A$3:$DQ$20,$D97,FALSE))</f>
        <v>0</v>
      </c>
      <c r="I97" s="14">
        <f>IF(ISNA(VLOOKUP(I$1,'peak-old'!$A$3:$DQ$20,$D97,FALSE)),0,VLOOKUP(I$1,'peak-old'!$A$3:$DQ$20,$D97,FALSE))</f>
        <v>-7600</v>
      </c>
      <c r="J97" s="14">
        <f>IF(ISNA(VLOOKUP(J$1,'peak-old'!$A$3:$DQ$20,$D97,FALSE)),0,VLOOKUP(J$1,'peak-old'!$A$3:$DQ$20,$D97,FALSE))</f>
        <v>0</v>
      </c>
      <c r="K97" s="14">
        <f>IF(ISNA(VLOOKUP(K$1,'peak-old'!$A$3:$DQ$20,$D97,FALSE)),0,VLOOKUP(K$1,'peak-old'!$A$3:$DQ$20,$D97,FALSE))</f>
        <v>0</v>
      </c>
      <c r="L97" s="14">
        <f>IF(ISNA(VLOOKUP(L$1,'peak-old'!$A$3:$DQ$20,$D97,FALSE)),0,VLOOKUP(L$1,'peak-old'!$A$3:$DQ$20,$D97,FALSE))</f>
        <v>0</v>
      </c>
      <c r="M97" s="14">
        <f>IF(ISNA(VLOOKUP(M$1,'peak-old'!$A$3:$DQ$20,$D97,FALSE)),0,VLOOKUP(M$1,'peak-old'!$A$3:$DQ$20,$D97,FALSE))</f>
        <v>0</v>
      </c>
      <c r="N97" s="14">
        <f>IF(ISNA(VLOOKUP(N$1,'peak-old'!$A$3:$DQ$20,$D97,FALSE)),0,VLOOKUP(N$1,'peak-old'!$A$3:$DQ$20,$D97,FALSE))</f>
        <v>0</v>
      </c>
      <c r="O97" s="14">
        <f>IF(ISNA(VLOOKUP(O$1,'peak-old'!$A$3:$DQ$20,$D97,FALSE)),0,VLOOKUP(O$1,'peak-old'!$A$3:$DQ$20,$D97,FALSE))</f>
        <v>0</v>
      </c>
      <c r="P97" s="14">
        <f>IF(ISNA(VLOOKUP(P$1,'peak-old'!$A$3:$DQ$20,$D97,FALSE)),0,VLOOKUP(P$1,'peak-old'!$A$3:$DQ$20,$D97,FALSE))</f>
        <v>0</v>
      </c>
      <c r="Q97" s="15">
        <f>IF(ISNA(VLOOKUP(Q$1,'delta-old'!$A$3:$DQ$20,$D97,FALSE)),0,VLOOKUP(Q$1,'delta-old'!$A$3:$DQ$20,$D97,FALSE))</f>
        <v>4292.42</v>
      </c>
      <c r="R97" s="14">
        <f>IF(ISNA(VLOOKUP(R$1,'peak-old'!$A$3:$DQ$20,$D97,FALSE)),0,VLOOKUP(R$1,'peak-old'!$A$3:$DQ$20,$D97,FALSE))</f>
        <v>0</v>
      </c>
      <c r="S97" s="10"/>
    </row>
    <row r="98" spans="1:19" s="8" customFormat="1" x14ac:dyDescent="0.2">
      <c r="A98" s="8">
        <f t="shared" si="10"/>
        <v>2008</v>
      </c>
      <c r="B98" s="8">
        <f t="shared" si="11"/>
        <v>12</v>
      </c>
      <c r="C98" s="9">
        <f t="shared" si="9"/>
        <v>39783</v>
      </c>
      <c r="D98" s="8">
        <f t="shared" si="12"/>
        <v>92</v>
      </c>
      <c r="E98" s="14">
        <f>IF(ISNA(VLOOKUP(E$1,'delta-old'!$A$3:$DQ$20,$D98,FALSE)),0,VLOOKUP(E$1,'delta-old'!$A$3:$DQ$20,$D98,FALSE))</f>
        <v>5169.37</v>
      </c>
      <c r="F98" s="14">
        <f>IF(ISNA(VLOOKUP(F$1,'peak-old'!$A$3:$DQ$20,$D98,FALSE)),0,VLOOKUP(F$1,'peak-old'!$A$3:$DQ$20,$D98,FALSE))</f>
        <v>0</v>
      </c>
      <c r="G98" s="14">
        <f>IF(ISNA(VLOOKUP(G$1,'peak-old'!$A$3:$DQ$20,$D98,FALSE)),0,VLOOKUP(G$1,'peak-old'!$A$3:$DQ$20,$D98,FALSE))</f>
        <v>0</v>
      </c>
      <c r="H98" s="14">
        <f>IF(ISNA(VLOOKUP(H$1,'peak-old'!$A$3:$DQ$20,$D98,FALSE)),0,VLOOKUP(H$1,'peak-old'!$A$3:$DQ$20,$D98,FALSE))</f>
        <v>0</v>
      </c>
      <c r="I98" s="14">
        <f>IF(ISNA(VLOOKUP(I$1,'peak-old'!$A$3:$DQ$20,$D98,FALSE)),0,VLOOKUP(I$1,'peak-old'!$A$3:$DQ$20,$D98,FALSE))</f>
        <v>-8800</v>
      </c>
      <c r="J98" s="14">
        <f>IF(ISNA(VLOOKUP(J$1,'peak-old'!$A$3:$DQ$20,$D98,FALSE)),0,VLOOKUP(J$1,'peak-old'!$A$3:$DQ$20,$D98,FALSE))</f>
        <v>0</v>
      </c>
      <c r="K98" s="14">
        <f>IF(ISNA(VLOOKUP(K$1,'peak-old'!$A$3:$DQ$20,$D98,FALSE)),0,VLOOKUP(K$1,'peak-old'!$A$3:$DQ$20,$D98,FALSE))</f>
        <v>0</v>
      </c>
      <c r="L98" s="14">
        <f>IF(ISNA(VLOOKUP(L$1,'peak-old'!$A$3:$DQ$20,$D98,FALSE)),0,VLOOKUP(L$1,'peak-old'!$A$3:$DQ$20,$D98,FALSE))</f>
        <v>0</v>
      </c>
      <c r="M98" s="14">
        <f>IF(ISNA(VLOOKUP(M$1,'peak-old'!$A$3:$DQ$20,$D98,FALSE)),0,VLOOKUP(M$1,'peak-old'!$A$3:$DQ$20,$D98,FALSE))</f>
        <v>0</v>
      </c>
      <c r="N98" s="14">
        <f>IF(ISNA(VLOOKUP(N$1,'peak-old'!$A$3:$DQ$20,$D98,FALSE)),0,VLOOKUP(N$1,'peak-old'!$A$3:$DQ$20,$D98,FALSE))</f>
        <v>0</v>
      </c>
      <c r="O98" s="14">
        <f>IF(ISNA(VLOOKUP(O$1,'peak-old'!$A$3:$DQ$20,$D98,FALSE)),0,VLOOKUP(O$1,'peak-old'!$A$3:$DQ$20,$D98,FALSE))</f>
        <v>0</v>
      </c>
      <c r="P98" s="14">
        <f>IF(ISNA(VLOOKUP(P$1,'peak-old'!$A$3:$DQ$20,$D98,FALSE)),0,VLOOKUP(P$1,'peak-old'!$A$3:$DQ$20,$D98,FALSE))</f>
        <v>0</v>
      </c>
      <c r="Q98" s="15">
        <f>IF(ISNA(VLOOKUP(Q$1,'delta-old'!$A$3:$DQ$20,$D98,FALSE)),0,VLOOKUP(Q$1,'delta-old'!$A$3:$DQ$20,$D98,FALSE))</f>
        <v>4943.17</v>
      </c>
      <c r="R98" s="14">
        <f>IF(ISNA(VLOOKUP(R$1,'peak-old'!$A$3:$DQ$20,$D98,FALSE)),0,VLOOKUP(R$1,'peak-old'!$A$3:$DQ$20,$D98,FALSE))</f>
        <v>0</v>
      </c>
      <c r="S98" s="10"/>
    </row>
    <row r="99" spans="1:19" s="8" customFormat="1" x14ac:dyDescent="0.2">
      <c r="A99" s="8">
        <f t="shared" si="10"/>
        <v>2009</v>
      </c>
      <c r="B99" s="8">
        <f t="shared" si="11"/>
        <v>1</v>
      </c>
      <c r="C99" s="9">
        <f t="shared" ref="C99:C122" si="13">DATE(A99,B99,1)</f>
        <v>39814</v>
      </c>
      <c r="D99" s="8">
        <f t="shared" si="12"/>
        <v>93</v>
      </c>
      <c r="E99" s="14">
        <f>IF(ISNA(VLOOKUP(E$1,'delta-old'!$A$3:$DQ$20,$D99,FALSE)),0,VLOOKUP(E$1,'delta-old'!$A$3:$DQ$20,$D99,FALSE))</f>
        <v>0</v>
      </c>
      <c r="F99" s="14">
        <f>IF(ISNA(VLOOKUP(F$1,'peak-old'!$A$3:$DQ$20,$D99,FALSE)),0,VLOOKUP(F$1,'peak-old'!$A$3:$DQ$20,$D99,FALSE))</f>
        <v>0</v>
      </c>
      <c r="G99" s="14">
        <f>IF(ISNA(VLOOKUP(G$1,'peak-old'!$A$3:$DQ$20,$D99,FALSE)),0,VLOOKUP(G$1,'peak-old'!$A$3:$DQ$20,$D99,FALSE))</f>
        <v>0</v>
      </c>
      <c r="H99" s="14">
        <f>IF(ISNA(VLOOKUP(H$1,'peak-old'!$A$3:$DQ$20,$D99,FALSE)),0,VLOOKUP(H$1,'peak-old'!$A$3:$DQ$20,$D99,FALSE))</f>
        <v>-16800</v>
      </c>
      <c r="I99" s="14">
        <f>IF(ISNA(VLOOKUP(I$1,'peak-old'!$A$3:$DQ$20,$D99,FALSE)),0,VLOOKUP(I$1,'peak-old'!$A$3:$DQ$20,$D99,FALSE))</f>
        <v>0</v>
      </c>
      <c r="J99" s="14">
        <f>IF(ISNA(VLOOKUP(J$1,'peak-old'!$A$3:$DQ$20,$D99,FALSE)),0,VLOOKUP(J$1,'peak-old'!$A$3:$DQ$20,$D99,FALSE))</f>
        <v>0</v>
      </c>
      <c r="K99" s="14">
        <f>IF(ISNA(VLOOKUP(K$1,'peak-old'!$A$3:$DQ$20,$D99,FALSE)),0,VLOOKUP(K$1,'peak-old'!$A$3:$DQ$20,$D99,FALSE))</f>
        <v>0</v>
      </c>
      <c r="L99" s="14">
        <f>IF(ISNA(VLOOKUP(L$1,'peak-old'!$A$3:$DQ$20,$D99,FALSE)),0,VLOOKUP(L$1,'peak-old'!$A$3:$DQ$20,$D99,FALSE))</f>
        <v>0</v>
      </c>
      <c r="M99" s="14">
        <f>IF(ISNA(VLOOKUP(M$1,'peak-old'!$A$3:$DQ$20,$D99,FALSE)),0,VLOOKUP(M$1,'peak-old'!$A$3:$DQ$20,$D99,FALSE))</f>
        <v>0</v>
      </c>
      <c r="N99" s="14">
        <f>IF(ISNA(VLOOKUP(N$1,'peak-old'!$A$3:$DQ$20,$D99,FALSE)),0,VLOOKUP(N$1,'peak-old'!$A$3:$DQ$20,$D99,FALSE))</f>
        <v>0</v>
      </c>
      <c r="O99" s="14">
        <f>IF(ISNA(VLOOKUP(O$1,'peak-old'!$A$3:$DQ$20,$D99,FALSE)),0,VLOOKUP(O$1,'peak-old'!$A$3:$DQ$20,$D99,FALSE))</f>
        <v>0</v>
      </c>
      <c r="P99" s="14">
        <f>IF(ISNA(VLOOKUP(P$1,'peak-old'!$A$3:$DQ$20,$D99,FALSE)),0,VLOOKUP(P$1,'peak-old'!$A$3:$DQ$20,$D99,FALSE))</f>
        <v>0</v>
      </c>
      <c r="Q99" s="15">
        <f>IF(ISNA(VLOOKUP(Q$1,'delta-old'!$A$3:$DQ$20,$D99,FALSE)),0,VLOOKUP(Q$1,'delta-old'!$A$3:$DQ$20,$D99,FALSE))</f>
        <v>-427.78</v>
      </c>
      <c r="R99" s="14">
        <f>IF(ISNA(VLOOKUP(R$1,'peak-old'!$A$3:$DQ$20,$D99,FALSE)),0,VLOOKUP(R$1,'peak-old'!$A$3:$DQ$20,$D99,FALSE))</f>
        <v>0</v>
      </c>
      <c r="S99" s="10"/>
    </row>
    <row r="100" spans="1:19" s="8" customFormat="1" x14ac:dyDescent="0.2">
      <c r="A100" s="8">
        <f t="shared" ref="A100:A122" si="14">IF(B99=12,A99+1,A99)</f>
        <v>2009</v>
      </c>
      <c r="B100" s="8">
        <f t="shared" ref="B100:B122" si="15">IF(B99=12,1,B99+1)</f>
        <v>2</v>
      </c>
      <c r="C100" s="9">
        <f t="shared" si="13"/>
        <v>39845</v>
      </c>
      <c r="D100" s="8">
        <f t="shared" si="12"/>
        <v>94</v>
      </c>
      <c r="E100" s="14">
        <f>IF(ISNA(VLOOKUP(E$1,'delta-old'!$A$3:$DQ$20,$D100,FALSE)),0,VLOOKUP(E$1,'delta-old'!$A$3:$DQ$20,$D100,FALSE))</f>
        <v>0</v>
      </c>
      <c r="F100" s="14">
        <f>IF(ISNA(VLOOKUP(F$1,'peak-old'!$A$3:$DQ$20,$D100,FALSE)),0,VLOOKUP(F$1,'peak-old'!$A$3:$DQ$20,$D100,FALSE))</f>
        <v>0</v>
      </c>
      <c r="G100" s="14">
        <f>IF(ISNA(VLOOKUP(G$1,'peak-old'!$A$3:$DQ$20,$D100,FALSE)),0,VLOOKUP(G$1,'peak-old'!$A$3:$DQ$20,$D100,FALSE))</f>
        <v>0</v>
      </c>
      <c r="H100" s="14">
        <f>IF(ISNA(VLOOKUP(H$1,'peak-old'!$A$3:$DQ$20,$D100,FALSE)),0,VLOOKUP(H$1,'peak-old'!$A$3:$DQ$20,$D100,FALSE))</f>
        <v>-16000</v>
      </c>
      <c r="I100" s="14">
        <f>IF(ISNA(VLOOKUP(I$1,'peak-old'!$A$3:$DQ$20,$D100,FALSE)),0,VLOOKUP(I$1,'peak-old'!$A$3:$DQ$20,$D100,FALSE))</f>
        <v>0</v>
      </c>
      <c r="J100" s="14">
        <f>IF(ISNA(VLOOKUP(J$1,'peak-old'!$A$3:$DQ$20,$D100,FALSE)),0,VLOOKUP(J$1,'peak-old'!$A$3:$DQ$20,$D100,FALSE))</f>
        <v>0</v>
      </c>
      <c r="K100" s="14">
        <f>IF(ISNA(VLOOKUP(K$1,'peak-old'!$A$3:$DQ$20,$D100,FALSE)),0,VLOOKUP(K$1,'peak-old'!$A$3:$DQ$20,$D100,FALSE))</f>
        <v>0</v>
      </c>
      <c r="L100" s="14">
        <f>IF(ISNA(VLOOKUP(L$1,'peak-old'!$A$3:$DQ$20,$D100,FALSE)),0,VLOOKUP(L$1,'peak-old'!$A$3:$DQ$20,$D100,FALSE))</f>
        <v>0</v>
      </c>
      <c r="M100" s="14">
        <f>IF(ISNA(VLOOKUP(M$1,'peak-old'!$A$3:$DQ$20,$D100,FALSE)),0,VLOOKUP(M$1,'peak-old'!$A$3:$DQ$20,$D100,FALSE))</f>
        <v>0</v>
      </c>
      <c r="N100" s="14">
        <f>IF(ISNA(VLOOKUP(N$1,'peak-old'!$A$3:$DQ$20,$D100,FALSE)),0,VLOOKUP(N$1,'peak-old'!$A$3:$DQ$20,$D100,FALSE))</f>
        <v>0</v>
      </c>
      <c r="O100" s="14">
        <f>IF(ISNA(VLOOKUP(O$1,'peak-old'!$A$3:$DQ$20,$D100,FALSE)),0,VLOOKUP(O$1,'peak-old'!$A$3:$DQ$20,$D100,FALSE))</f>
        <v>0</v>
      </c>
      <c r="P100" s="14">
        <f>IF(ISNA(VLOOKUP(P$1,'peak-old'!$A$3:$DQ$20,$D100,FALSE)),0,VLOOKUP(P$1,'peak-old'!$A$3:$DQ$20,$D100,FALSE))</f>
        <v>0</v>
      </c>
      <c r="Q100" s="15">
        <f>IF(ISNA(VLOOKUP(Q$1,'delta-old'!$A$3:$DQ$20,$D100,FALSE)),0,VLOOKUP(Q$1,'delta-old'!$A$3:$DQ$20,$D100,FALSE))</f>
        <v>-405.38</v>
      </c>
      <c r="R100" s="14">
        <f>IF(ISNA(VLOOKUP(R$1,'peak-old'!$A$3:$DQ$20,$D100,FALSE)),0,VLOOKUP(R$1,'peak-old'!$A$3:$DQ$20,$D100,FALSE))</f>
        <v>0</v>
      </c>
      <c r="S100" s="10"/>
    </row>
    <row r="101" spans="1:19" s="8" customFormat="1" x14ac:dyDescent="0.2">
      <c r="A101" s="8">
        <f t="shared" si="14"/>
        <v>2009</v>
      </c>
      <c r="B101" s="8">
        <f t="shared" si="15"/>
        <v>3</v>
      </c>
      <c r="C101" s="9">
        <f t="shared" si="13"/>
        <v>39873</v>
      </c>
      <c r="D101" s="8">
        <f t="shared" si="12"/>
        <v>95</v>
      </c>
      <c r="E101" s="14">
        <f>IF(ISNA(VLOOKUP(E$1,'delta-old'!$A$3:$DQ$20,$D101,FALSE)),0,VLOOKUP(E$1,'delta-old'!$A$3:$DQ$20,$D101,FALSE))</f>
        <v>0</v>
      </c>
      <c r="F101" s="14">
        <f>IF(ISNA(VLOOKUP(F$1,'peak-old'!$A$3:$DQ$20,$D101,FALSE)),0,VLOOKUP(F$1,'peak-old'!$A$3:$DQ$20,$D101,FALSE))</f>
        <v>0</v>
      </c>
      <c r="G101" s="14">
        <f>IF(ISNA(VLOOKUP(G$1,'peak-old'!$A$3:$DQ$20,$D101,FALSE)),0,VLOOKUP(G$1,'peak-old'!$A$3:$DQ$20,$D101,FALSE))</f>
        <v>0</v>
      </c>
      <c r="H101" s="14">
        <f>IF(ISNA(VLOOKUP(H$1,'peak-old'!$A$3:$DQ$20,$D101,FALSE)),0,VLOOKUP(H$1,'peak-old'!$A$3:$DQ$20,$D101,FALSE))</f>
        <v>-17600</v>
      </c>
      <c r="I101" s="14">
        <f>IF(ISNA(VLOOKUP(I$1,'peak-old'!$A$3:$DQ$20,$D101,FALSE)),0,VLOOKUP(I$1,'peak-old'!$A$3:$DQ$20,$D101,FALSE))</f>
        <v>0</v>
      </c>
      <c r="J101" s="14">
        <f>IF(ISNA(VLOOKUP(J$1,'peak-old'!$A$3:$DQ$20,$D101,FALSE)),0,VLOOKUP(J$1,'peak-old'!$A$3:$DQ$20,$D101,FALSE))</f>
        <v>0</v>
      </c>
      <c r="K101" s="14">
        <f>IF(ISNA(VLOOKUP(K$1,'peak-old'!$A$3:$DQ$20,$D101,FALSE)),0,VLOOKUP(K$1,'peak-old'!$A$3:$DQ$20,$D101,FALSE))</f>
        <v>0</v>
      </c>
      <c r="L101" s="14">
        <f>IF(ISNA(VLOOKUP(L$1,'peak-old'!$A$3:$DQ$20,$D101,FALSE)),0,VLOOKUP(L$1,'peak-old'!$A$3:$DQ$20,$D101,FALSE))</f>
        <v>0</v>
      </c>
      <c r="M101" s="14">
        <f>IF(ISNA(VLOOKUP(M$1,'peak-old'!$A$3:$DQ$20,$D101,FALSE)),0,VLOOKUP(M$1,'peak-old'!$A$3:$DQ$20,$D101,FALSE))</f>
        <v>0</v>
      </c>
      <c r="N101" s="14">
        <f>IF(ISNA(VLOOKUP(N$1,'peak-old'!$A$3:$DQ$20,$D101,FALSE)),0,VLOOKUP(N$1,'peak-old'!$A$3:$DQ$20,$D101,FALSE))</f>
        <v>0</v>
      </c>
      <c r="O101" s="14">
        <f>IF(ISNA(VLOOKUP(O$1,'peak-old'!$A$3:$DQ$20,$D101,FALSE)),0,VLOOKUP(O$1,'peak-old'!$A$3:$DQ$20,$D101,FALSE))</f>
        <v>0</v>
      </c>
      <c r="P101" s="14">
        <f>IF(ISNA(VLOOKUP(P$1,'peak-old'!$A$3:$DQ$20,$D101,FALSE)),0,VLOOKUP(P$1,'peak-old'!$A$3:$DQ$20,$D101,FALSE))</f>
        <v>0</v>
      </c>
      <c r="Q101" s="15">
        <f>IF(ISNA(VLOOKUP(Q$1,'delta-old'!$A$3:$DQ$20,$D101,FALSE)),0,VLOOKUP(Q$1,'delta-old'!$A$3:$DQ$20,$D101,FALSE))</f>
        <v>-443.37</v>
      </c>
      <c r="R101" s="14">
        <f>IF(ISNA(VLOOKUP(R$1,'peak-old'!$A$3:$DQ$20,$D101,FALSE)),0,VLOOKUP(R$1,'peak-old'!$A$3:$DQ$20,$D101,FALSE))</f>
        <v>0</v>
      </c>
      <c r="S101" s="10"/>
    </row>
    <row r="102" spans="1:19" s="8" customFormat="1" x14ac:dyDescent="0.2">
      <c r="A102" s="8">
        <f t="shared" si="14"/>
        <v>2009</v>
      </c>
      <c r="B102" s="8">
        <f t="shared" si="15"/>
        <v>4</v>
      </c>
      <c r="C102" s="9">
        <f t="shared" si="13"/>
        <v>39904</v>
      </c>
      <c r="D102" s="8">
        <f t="shared" si="12"/>
        <v>96</v>
      </c>
      <c r="E102" s="14">
        <f>IF(ISNA(VLOOKUP(E$1,'delta-old'!$A$3:$DQ$20,$D102,FALSE)),0,VLOOKUP(E$1,'delta-old'!$A$3:$DQ$20,$D102,FALSE))</f>
        <v>0</v>
      </c>
      <c r="F102" s="14">
        <f>IF(ISNA(VLOOKUP(F$1,'peak-old'!$A$3:$DQ$20,$D102,FALSE)),0,VLOOKUP(F$1,'peak-old'!$A$3:$DQ$20,$D102,FALSE))</f>
        <v>0</v>
      </c>
      <c r="G102" s="14">
        <f>IF(ISNA(VLOOKUP(G$1,'peak-old'!$A$3:$DQ$20,$D102,FALSE)),0,VLOOKUP(G$1,'peak-old'!$A$3:$DQ$20,$D102,FALSE))</f>
        <v>0</v>
      </c>
      <c r="H102" s="14">
        <f>IF(ISNA(VLOOKUP(H$1,'peak-old'!$A$3:$DQ$20,$D102,FALSE)),0,VLOOKUP(H$1,'peak-old'!$A$3:$DQ$20,$D102,FALSE))</f>
        <v>-17600</v>
      </c>
      <c r="I102" s="14">
        <f>IF(ISNA(VLOOKUP(I$1,'peak-old'!$A$3:$DQ$20,$D102,FALSE)),0,VLOOKUP(I$1,'peak-old'!$A$3:$DQ$20,$D102,FALSE))</f>
        <v>0</v>
      </c>
      <c r="J102" s="14">
        <f>IF(ISNA(VLOOKUP(J$1,'peak-old'!$A$3:$DQ$20,$D102,FALSE)),0,VLOOKUP(J$1,'peak-old'!$A$3:$DQ$20,$D102,FALSE))</f>
        <v>0</v>
      </c>
      <c r="K102" s="14">
        <f>IF(ISNA(VLOOKUP(K$1,'peak-old'!$A$3:$DQ$20,$D102,FALSE)),0,VLOOKUP(K$1,'peak-old'!$A$3:$DQ$20,$D102,FALSE))</f>
        <v>0</v>
      </c>
      <c r="L102" s="14">
        <f>IF(ISNA(VLOOKUP(L$1,'peak-old'!$A$3:$DQ$20,$D102,FALSE)),0,VLOOKUP(L$1,'peak-old'!$A$3:$DQ$20,$D102,FALSE))</f>
        <v>0</v>
      </c>
      <c r="M102" s="14">
        <f>IF(ISNA(VLOOKUP(M$1,'peak-old'!$A$3:$DQ$20,$D102,FALSE)),0,VLOOKUP(M$1,'peak-old'!$A$3:$DQ$20,$D102,FALSE))</f>
        <v>0</v>
      </c>
      <c r="N102" s="14">
        <f>IF(ISNA(VLOOKUP(N$1,'peak-old'!$A$3:$DQ$20,$D102,FALSE)),0,VLOOKUP(N$1,'peak-old'!$A$3:$DQ$20,$D102,FALSE))</f>
        <v>0</v>
      </c>
      <c r="O102" s="14">
        <f>IF(ISNA(VLOOKUP(O$1,'peak-old'!$A$3:$DQ$20,$D102,FALSE)),0,VLOOKUP(O$1,'peak-old'!$A$3:$DQ$20,$D102,FALSE))</f>
        <v>0</v>
      </c>
      <c r="P102" s="14">
        <f>IF(ISNA(VLOOKUP(P$1,'peak-old'!$A$3:$DQ$20,$D102,FALSE)),0,VLOOKUP(P$1,'peak-old'!$A$3:$DQ$20,$D102,FALSE))</f>
        <v>0</v>
      </c>
      <c r="Q102" s="15">
        <f>IF(ISNA(VLOOKUP(Q$1,'delta-old'!$A$3:$DQ$20,$D102,FALSE)),0,VLOOKUP(Q$1,'delta-old'!$A$3:$DQ$20,$D102,FALSE))</f>
        <v>-661.48</v>
      </c>
      <c r="R102" s="14">
        <f>IF(ISNA(VLOOKUP(R$1,'peak-old'!$A$3:$DQ$20,$D102,FALSE)),0,VLOOKUP(R$1,'peak-old'!$A$3:$DQ$20,$D102,FALSE))</f>
        <v>0</v>
      </c>
      <c r="S102" s="10"/>
    </row>
    <row r="103" spans="1:19" s="8" customFormat="1" x14ac:dyDescent="0.2">
      <c r="A103" s="8">
        <f t="shared" si="14"/>
        <v>2009</v>
      </c>
      <c r="B103" s="8">
        <f t="shared" si="15"/>
        <v>5</v>
      </c>
      <c r="C103" s="9">
        <f t="shared" si="13"/>
        <v>39934</v>
      </c>
      <c r="D103" s="8">
        <f t="shared" si="12"/>
        <v>97</v>
      </c>
      <c r="E103" s="14">
        <f>IF(ISNA(VLOOKUP(E$1,'delta-old'!$A$3:$DQ$20,$D103,FALSE)),0,VLOOKUP(E$1,'delta-old'!$A$3:$DQ$20,$D103,FALSE))</f>
        <v>0</v>
      </c>
      <c r="F103" s="14">
        <f>IF(ISNA(VLOOKUP(F$1,'peak-old'!$A$3:$DQ$20,$D103,FALSE)),0,VLOOKUP(F$1,'peak-old'!$A$3:$DQ$20,$D103,FALSE))</f>
        <v>0</v>
      </c>
      <c r="G103" s="14">
        <f>IF(ISNA(VLOOKUP(G$1,'peak-old'!$A$3:$DQ$20,$D103,FALSE)),0,VLOOKUP(G$1,'peak-old'!$A$3:$DQ$20,$D103,FALSE))</f>
        <v>0</v>
      </c>
      <c r="H103" s="14">
        <f>IF(ISNA(VLOOKUP(H$1,'peak-old'!$A$3:$DQ$20,$D103,FALSE)),0,VLOOKUP(H$1,'peak-old'!$A$3:$DQ$20,$D103,FALSE))</f>
        <v>-16000</v>
      </c>
      <c r="I103" s="14">
        <f>IF(ISNA(VLOOKUP(I$1,'peak-old'!$A$3:$DQ$20,$D103,FALSE)),0,VLOOKUP(I$1,'peak-old'!$A$3:$DQ$20,$D103,FALSE))</f>
        <v>0</v>
      </c>
      <c r="J103" s="14">
        <f>IF(ISNA(VLOOKUP(J$1,'peak-old'!$A$3:$DQ$20,$D103,FALSE)),0,VLOOKUP(J$1,'peak-old'!$A$3:$DQ$20,$D103,FALSE))</f>
        <v>0</v>
      </c>
      <c r="K103" s="14">
        <f>IF(ISNA(VLOOKUP(K$1,'peak-old'!$A$3:$DQ$20,$D103,FALSE)),0,VLOOKUP(K$1,'peak-old'!$A$3:$DQ$20,$D103,FALSE))</f>
        <v>0</v>
      </c>
      <c r="L103" s="14">
        <f>IF(ISNA(VLOOKUP(L$1,'peak-old'!$A$3:$DQ$20,$D103,FALSE)),0,VLOOKUP(L$1,'peak-old'!$A$3:$DQ$20,$D103,FALSE))</f>
        <v>0</v>
      </c>
      <c r="M103" s="14">
        <f>IF(ISNA(VLOOKUP(M$1,'peak-old'!$A$3:$DQ$20,$D103,FALSE)),0,VLOOKUP(M$1,'peak-old'!$A$3:$DQ$20,$D103,FALSE))</f>
        <v>0</v>
      </c>
      <c r="N103" s="14">
        <f>IF(ISNA(VLOOKUP(N$1,'peak-old'!$A$3:$DQ$20,$D103,FALSE)),0,VLOOKUP(N$1,'peak-old'!$A$3:$DQ$20,$D103,FALSE))</f>
        <v>0</v>
      </c>
      <c r="O103" s="14">
        <f>IF(ISNA(VLOOKUP(O$1,'peak-old'!$A$3:$DQ$20,$D103,FALSE)),0,VLOOKUP(O$1,'peak-old'!$A$3:$DQ$20,$D103,FALSE))</f>
        <v>0</v>
      </c>
      <c r="P103" s="14">
        <f>IF(ISNA(VLOOKUP(P$1,'peak-old'!$A$3:$DQ$20,$D103,FALSE)),0,VLOOKUP(P$1,'peak-old'!$A$3:$DQ$20,$D103,FALSE))</f>
        <v>0</v>
      </c>
      <c r="Q103" s="15">
        <f>IF(ISNA(VLOOKUP(Q$1,'delta-old'!$A$3:$DQ$20,$D103,FALSE)),0,VLOOKUP(Q$1,'delta-old'!$A$3:$DQ$20,$D103,FALSE))</f>
        <v>-598.22</v>
      </c>
      <c r="R103" s="14">
        <f>IF(ISNA(VLOOKUP(R$1,'peak-old'!$A$3:$DQ$20,$D103,FALSE)),0,VLOOKUP(R$1,'peak-old'!$A$3:$DQ$20,$D103,FALSE))</f>
        <v>0</v>
      </c>
      <c r="S103" s="10"/>
    </row>
    <row r="104" spans="1:19" s="8" customFormat="1" x14ac:dyDescent="0.2">
      <c r="A104" s="8">
        <f t="shared" si="14"/>
        <v>2009</v>
      </c>
      <c r="B104" s="8">
        <f t="shared" si="15"/>
        <v>6</v>
      </c>
      <c r="C104" s="9">
        <f t="shared" si="13"/>
        <v>39965</v>
      </c>
      <c r="D104" s="8">
        <f t="shared" ref="D104:D122" si="16">D103+1</f>
        <v>98</v>
      </c>
      <c r="E104" s="14">
        <f>IF(ISNA(VLOOKUP(E$1,'delta-old'!$A$3:$DQ$20,$D104,FALSE)),0,VLOOKUP(E$1,'delta-old'!$A$3:$DQ$20,$D104,FALSE))</f>
        <v>0</v>
      </c>
      <c r="F104" s="14">
        <f>IF(ISNA(VLOOKUP(F$1,'peak-old'!$A$3:$DQ$20,$D104,FALSE)),0,VLOOKUP(F$1,'peak-old'!$A$3:$DQ$20,$D104,FALSE))</f>
        <v>0</v>
      </c>
      <c r="G104" s="14">
        <f>IF(ISNA(VLOOKUP(G$1,'peak-old'!$A$3:$DQ$20,$D104,FALSE)),0,VLOOKUP(G$1,'peak-old'!$A$3:$DQ$20,$D104,FALSE))</f>
        <v>0</v>
      </c>
      <c r="H104" s="14">
        <f>IF(ISNA(VLOOKUP(H$1,'peak-old'!$A$3:$DQ$20,$D104,FALSE)),0,VLOOKUP(H$1,'peak-old'!$A$3:$DQ$20,$D104,FALSE))</f>
        <v>-17600</v>
      </c>
      <c r="I104" s="14">
        <f>IF(ISNA(VLOOKUP(I$1,'peak-old'!$A$3:$DQ$20,$D104,FALSE)),0,VLOOKUP(I$1,'peak-old'!$A$3:$DQ$20,$D104,FALSE))</f>
        <v>0</v>
      </c>
      <c r="J104" s="14">
        <f>IF(ISNA(VLOOKUP(J$1,'peak-old'!$A$3:$DQ$20,$D104,FALSE)),0,VLOOKUP(J$1,'peak-old'!$A$3:$DQ$20,$D104,FALSE))</f>
        <v>0</v>
      </c>
      <c r="K104" s="14">
        <f>IF(ISNA(VLOOKUP(K$1,'peak-old'!$A$3:$DQ$20,$D104,FALSE)),0,VLOOKUP(K$1,'peak-old'!$A$3:$DQ$20,$D104,FALSE))</f>
        <v>0</v>
      </c>
      <c r="L104" s="14">
        <f>IF(ISNA(VLOOKUP(L$1,'peak-old'!$A$3:$DQ$20,$D104,FALSE)),0,VLOOKUP(L$1,'peak-old'!$A$3:$DQ$20,$D104,FALSE))</f>
        <v>0</v>
      </c>
      <c r="M104" s="14">
        <f>IF(ISNA(VLOOKUP(M$1,'peak-old'!$A$3:$DQ$20,$D104,FALSE)),0,VLOOKUP(M$1,'peak-old'!$A$3:$DQ$20,$D104,FALSE))</f>
        <v>0</v>
      </c>
      <c r="N104" s="14">
        <f>IF(ISNA(VLOOKUP(N$1,'peak-old'!$A$3:$DQ$20,$D104,FALSE)),0,VLOOKUP(N$1,'peak-old'!$A$3:$DQ$20,$D104,FALSE))</f>
        <v>0</v>
      </c>
      <c r="O104" s="14">
        <f>IF(ISNA(VLOOKUP(O$1,'peak-old'!$A$3:$DQ$20,$D104,FALSE)),0,VLOOKUP(O$1,'peak-old'!$A$3:$DQ$20,$D104,FALSE))</f>
        <v>0</v>
      </c>
      <c r="P104" s="14">
        <f>IF(ISNA(VLOOKUP(P$1,'peak-old'!$A$3:$DQ$20,$D104,FALSE)),0,VLOOKUP(P$1,'peak-old'!$A$3:$DQ$20,$D104,FALSE))</f>
        <v>0</v>
      </c>
      <c r="Q104" s="15">
        <f>IF(ISNA(VLOOKUP(Q$1,'delta-old'!$A$3:$DQ$20,$D104,FALSE)),0,VLOOKUP(Q$1,'delta-old'!$A$3:$DQ$20,$D104,FALSE))</f>
        <v>-872.35</v>
      </c>
      <c r="R104" s="14">
        <f>IF(ISNA(VLOOKUP(R$1,'peak-old'!$A$3:$DQ$20,$D104,FALSE)),0,VLOOKUP(R$1,'peak-old'!$A$3:$DQ$20,$D104,FALSE))</f>
        <v>0</v>
      </c>
      <c r="S104" s="10"/>
    </row>
    <row r="105" spans="1:19" s="8" customFormat="1" x14ac:dyDescent="0.2">
      <c r="A105" s="8">
        <f t="shared" si="14"/>
        <v>2009</v>
      </c>
      <c r="B105" s="8">
        <f t="shared" si="15"/>
        <v>7</v>
      </c>
      <c r="C105" s="9">
        <f t="shared" si="13"/>
        <v>39995</v>
      </c>
      <c r="D105" s="8">
        <f t="shared" si="16"/>
        <v>99</v>
      </c>
      <c r="E105" s="14">
        <f>IF(ISNA(VLOOKUP(E$1,'delta-old'!$A$3:$DQ$20,$D105,FALSE)),0,VLOOKUP(E$1,'delta-old'!$A$3:$DQ$20,$D105,FALSE))</f>
        <v>0</v>
      </c>
      <c r="F105" s="14">
        <f>IF(ISNA(VLOOKUP(F$1,'peak-old'!$A$3:$DQ$20,$D105,FALSE)),0,VLOOKUP(F$1,'peak-old'!$A$3:$DQ$20,$D105,FALSE))</f>
        <v>0</v>
      </c>
      <c r="G105" s="14">
        <f>IF(ISNA(VLOOKUP(G$1,'peak-old'!$A$3:$DQ$20,$D105,FALSE)),0,VLOOKUP(G$1,'peak-old'!$A$3:$DQ$20,$D105,FALSE))</f>
        <v>0</v>
      </c>
      <c r="H105" s="14">
        <f>IF(ISNA(VLOOKUP(H$1,'peak-old'!$A$3:$DQ$20,$D105,FALSE)),0,VLOOKUP(H$1,'peak-old'!$A$3:$DQ$20,$D105,FALSE))</f>
        <v>-18400</v>
      </c>
      <c r="I105" s="14">
        <f>IF(ISNA(VLOOKUP(I$1,'peak-old'!$A$3:$DQ$20,$D105,FALSE)),0,VLOOKUP(I$1,'peak-old'!$A$3:$DQ$20,$D105,FALSE))</f>
        <v>0</v>
      </c>
      <c r="J105" s="14">
        <f>IF(ISNA(VLOOKUP(J$1,'peak-old'!$A$3:$DQ$20,$D105,FALSE)),0,VLOOKUP(J$1,'peak-old'!$A$3:$DQ$20,$D105,FALSE))</f>
        <v>0</v>
      </c>
      <c r="K105" s="14">
        <f>IF(ISNA(VLOOKUP(K$1,'peak-old'!$A$3:$DQ$20,$D105,FALSE)),0,VLOOKUP(K$1,'peak-old'!$A$3:$DQ$20,$D105,FALSE))</f>
        <v>0</v>
      </c>
      <c r="L105" s="14">
        <f>IF(ISNA(VLOOKUP(L$1,'peak-old'!$A$3:$DQ$20,$D105,FALSE)),0,VLOOKUP(L$1,'peak-old'!$A$3:$DQ$20,$D105,FALSE))</f>
        <v>0</v>
      </c>
      <c r="M105" s="14">
        <f>IF(ISNA(VLOOKUP(M$1,'peak-old'!$A$3:$DQ$20,$D105,FALSE)),0,VLOOKUP(M$1,'peak-old'!$A$3:$DQ$20,$D105,FALSE))</f>
        <v>0</v>
      </c>
      <c r="N105" s="14">
        <f>IF(ISNA(VLOOKUP(N$1,'peak-old'!$A$3:$DQ$20,$D105,FALSE)),0,VLOOKUP(N$1,'peak-old'!$A$3:$DQ$20,$D105,FALSE))</f>
        <v>0</v>
      </c>
      <c r="O105" s="14">
        <f>IF(ISNA(VLOOKUP(O$1,'peak-old'!$A$3:$DQ$20,$D105,FALSE)),0,VLOOKUP(O$1,'peak-old'!$A$3:$DQ$20,$D105,FALSE))</f>
        <v>0</v>
      </c>
      <c r="P105" s="14">
        <f>IF(ISNA(VLOOKUP(P$1,'peak-old'!$A$3:$DQ$20,$D105,FALSE)),0,VLOOKUP(P$1,'peak-old'!$A$3:$DQ$20,$D105,FALSE))</f>
        <v>0</v>
      </c>
      <c r="Q105" s="15">
        <f>IF(ISNA(VLOOKUP(Q$1,'delta-old'!$A$3:$DQ$20,$D105,FALSE)),0,VLOOKUP(Q$1,'delta-old'!$A$3:$DQ$20,$D105,FALSE))</f>
        <v>0</v>
      </c>
      <c r="R105" s="14">
        <f>IF(ISNA(VLOOKUP(R$1,'peak-old'!$A$3:$DQ$20,$D105,FALSE)),0,VLOOKUP(R$1,'peak-old'!$A$3:$DQ$20,$D105,FALSE))</f>
        <v>0</v>
      </c>
      <c r="S105" s="10"/>
    </row>
    <row r="106" spans="1:19" s="8" customFormat="1" x14ac:dyDescent="0.2">
      <c r="A106" s="8">
        <f t="shared" si="14"/>
        <v>2009</v>
      </c>
      <c r="B106" s="8">
        <f t="shared" si="15"/>
        <v>8</v>
      </c>
      <c r="C106" s="9">
        <f t="shared" si="13"/>
        <v>40026</v>
      </c>
      <c r="D106" s="8">
        <f t="shared" si="16"/>
        <v>100</v>
      </c>
      <c r="E106" s="14">
        <f>IF(ISNA(VLOOKUP(E$1,'delta-old'!$A$3:$DQ$20,$D106,FALSE)),0,VLOOKUP(E$1,'delta-old'!$A$3:$DQ$20,$D106,FALSE))</f>
        <v>0</v>
      </c>
      <c r="F106" s="14">
        <f>IF(ISNA(VLOOKUP(F$1,'peak-old'!$A$3:$DQ$20,$D106,FALSE)),0,VLOOKUP(F$1,'peak-old'!$A$3:$DQ$20,$D106,FALSE))</f>
        <v>0</v>
      </c>
      <c r="G106" s="14">
        <f>IF(ISNA(VLOOKUP(G$1,'peak-old'!$A$3:$DQ$20,$D106,FALSE)),0,VLOOKUP(G$1,'peak-old'!$A$3:$DQ$20,$D106,FALSE))</f>
        <v>0</v>
      </c>
      <c r="H106" s="14">
        <f>IF(ISNA(VLOOKUP(H$1,'peak-old'!$A$3:$DQ$20,$D106,FALSE)),0,VLOOKUP(H$1,'peak-old'!$A$3:$DQ$20,$D106,FALSE))</f>
        <v>-16800</v>
      </c>
      <c r="I106" s="14">
        <f>IF(ISNA(VLOOKUP(I$1,'peak-old'!$A$3:$DQ$20,$D106,FALSE)),0,VLOOKUP(I$1,'peak-old'!$A$3:$DQ$20,$D106,FALSE))</f>
        <v>0</v>
      </c>
      <c r="J106" s="14">
        <f>IF(ISNA(VLOOKUP(J$1,'peak-old'!$A$3:$DQ$20,$D106,FALSE)),0,VLOOKUP(J$1,'peak-old'!$A$3:$DQ$20,$D106,FALSE))</f>
        <v>0</v>
      </c>
      <c r="K106" s="14">
        <f>IF(ISNA(VLOOKUP(K$1,'peak-old'!$A$3:$DQ$20,$D106,FALSE)),0,VLOOKUP(K$1,'peak-old'!$A$3:$DQ$20,$D106,FALSE))</f>
        <v>0</v>
      </c>
      <c r="L106" s="14">
        <f>IF(ISNA(VLOOKUP(L$1,'peak-old'!$A$3:$DQ$20,$D106,FALSE)),0,VLOOKUP(L$1,'peak-old'!$A$3:$DQ$20,$D106,FALSE))</f>
        <v>0</v>
      </c>
      <c r="M106" s="14">
        <f>IF(ISNA(VLOOKUP(M$1,'peak-old'!$A$3:$DQ$20,$D106,FALSE)),0,VLOOKUP(M$1,'peak-old'!$A$3:$DQ$20,$D106,FALSE))</f>
        <v>0</v>
      </c>
      <c r="N106" s="14">
        <f>IF(ISNA(VLOOKUP(N$1,'peak-old'!$A$3:$DQ$20,$D106,FALSE)),0,VLOOKUP(N$1,'peak-old'!$A$3:$DQ$20,$D106,FALSE))</f>
        <v>0</v>
      </c>
      <c r="O106" s="14">
        <f>IF(ISNA(VLOOKUP(O$1,'peak-old'!$A$3:$DQ$20,$D106,FALSE)),0,VLOOKUP(O$1,'peak-old'!$A$3:$DQ$20,$D106,FALSE))</f>
        <v>0</v>
      </c>
      <c r="P106" s="14">
        <f>IF(ISNA(VLOOKUP(P$1,'peak-old'!$A$3:$DQ$20,$D106,FALSE)),0,VLOOKUP(P$1,'peak-old'!$A$3:$DQ$20,$D106,FALSE))</f>
        <v>0</v>
      </c>
      <c r="Q106" s="15">
        <f>IF(ISNA(VLOOKUP(Q$1,'delta-old'!$A$3:$DQ$20,$D106,FALSE)),0,VLOOKUP(Q$1,'delta-old'!$A$3:$DQ$20,$D106,FALSE))</f>
        <v>0</v>
      </c>
      <c r="R106" s="14">
        <f>IF(ISNA(VLOOKUP(R$1,'peak-old'!$A$3:$DQ$20,$D106,FALSE)),0,VLOOKUP(R$1,'peak-old'!$A$3:$DQ$20,$D106,FALSE))</f>
        <v>0</v>
      </c>
      <c r="S106" s="10"/>
    </row>
    <row r="107" spans="1:19" s="8" customFormat="1" x14ac:dyDescent="0.2">
      <c r="A107" s="8">
        <f t="shared" si="14"/>
        <v>2009</v>
      </c>
      <c r="B107" s="8">
        <f t="shared" si="15"/>
        <v>9</v>
      </c>
      <c r="C107" s="9">
        <f t="shared" si="13"/>
        <v>40057</v>
      </c>
      <c r="D107" s="8">
        <f t="shared" si="16"/>
        <v>101</v>
      </c>
      <c r="E107" s="14">
        <f>IF(ISNA(VLOOKUP(E$1,'delta-old'!$A$3:$DQ$20,$D107,FALSE)),0,VLOOKUP(E$1,'delta-old'!$A$3:$DQ$20,$D107,FALSE))</f>
        <v>0</v>
      </c>
      <c r="F107" s="14">
        <f>IF(ISNA(VLOOKUP(F$1,'peak-old'!$A$3:$DQ$20,$D107,FALSE)),0,VLOOKUP(F$1,'peak-old'!$A$3:$DQ$20,$D107,FALSE))</f>
        <v>0</v>
      </c>
      <c r="G107" s="14">
        <f>IF(ISNA(VLOOKUP(G$1,'peak-old'!$A$3:$DQ$20,$D107,FALSE)),0,VLOOKUP(G$1,'peak-old'!$A$3:$DQ$20,$D107,FALSE))</f>
        <v>0</v>
      </c>
      <c r="H107" s="14">
        <f>IF(ISNA(VLOOKUP(H$1,'peak-old'!$A$3:$DQ$20,$D107,FALSE)),0,VLOOKUP(H$1,'peak-old'!$A$3:$DQ$20,$D107,FALSE))</f>
        <v>-16800</v>
      </c>
      <c r="I107" s="14">
        <f>IF(ISNA(VLOOKUP(I$1,'peak-old'!$A$3:$DQ$20,$D107,FALSE)),0,VLOOKUP(I$1,'peak-old'!$A$3:$DQ$20,$D107,FALSE))</f>
        <v>0</v>
      </c>
      <c r="J107" s="14">
        <f>IF(ISNA(VLOOKUP(J$1,'peak-old'!$A$3:$DQ$20,$D107,FALSE)),0,VLOOKUP(J$1,'peak-old'!$A$3:$DQ$20,$D107,FALSE))</f>
        <v>0</v>
      </c>
      <c r="K107" s="14">
        <f>IF(ISNA(VLOOKUP(K$1,'peak-old'!$A$3:$DQ$20,$D107,FALSE)),0,VLOOKUP(K$1,'peak-old'!$A$3:$DQ$20,$D107,FALSE))</f>
        <v>0</v>
      </c>
      <c r="L107" s="14">
        <f>IF(ISNA(VLOOKUP(L$1,'peak-old'!$A$3:$DQ$20,$D107,FALSE)),0,VLOOKUP(L$1,'peak-old'!$A$3:$DQ$20,$D107,FALSE))</f>
        <v>0</v>
      </c>
      <c r="M107" s="14">
        <f>IF(ISNA(VLOOKUP(M$1,'peak-old'!$A$3:$DQ$20,$D107,FALSE)),0,VLOOKUP(M$1,'peak-old'!$A$3:$DQ$20,$D107,FALSE))</f>
        <v>0</v>
      </c>
      <c r="N107" s="14">
        <f>IF(ISNA(VLOOKUP(N$1,'peak-old'!$A$3:$DQ$20,$D107,FALSE)),0,VLOOKUP(N$1,'peak-old'!$A$3:$DQ$20,$D107,FALSE))</f>
        <v>0</v>
      </c>
      <c r="O107" s="14">
        <f>IF(ISNA(VLOOKUP(O$1,'peak-old'!$A$3:$DQ$20,$D107,FALSE)),0,VLOOKUP(O$1,'peak-old'!$A$3:$DQ$20,$D107,FALSE))</f>
        <v>0</v>
      </c>
      <c r="P107" s="14">
        <f>IF(ISNA(VLOOKUP(P$1,'peak-old'!$A$3:$DQ$20,$D107,FALSE)),0,VLOOKUP(P$1,'peak-old'!$A$3:$DQ$20,$D107,FALSE))</f>
        <v>0</v>
      </c>
      <c r="Q107" s="15">
        <f>IF(ISNA(VLOOKUP(Q$1,'delta-old'!$A$3:$DQ$20,$D107,FALSE)),0,VLOOKUP(Q$1,'delta-old'!$A$3:$DQ$20,$D107,FALSE))</f>
        <v>0</v>
      </c>
      <c r="R107" s="14">
        <f>IF(ISNA(VLOOKUP(R$1,'peak-old'!$A$3:$DQ$20,$D107,FALSE)),0,VLOOKUP(R$1,'peak-old'!$A$3:$DQ$20,$D107,FALSE))</f>
        <v>0</v>
      </c>
      <c r="S107" s="10"/>
    </row>
    <row r="108" spans="1:19" s="8" customFormat="1" x14ac:dyDescent="0.2">
      <c r="A108" s="8">
        <f t="shared" si="14"/>
        <v>2009</v>
      </c>
      <c r="B108" s="8">
        <f t="shared" si="15"/>
        <v>10</v>
      </c>
      <c r="C108" s="9">
        <f t="shared" si="13"/>
        <v>40087</v>
      </c>
      <c r="D108" s="8">
        <f t="shared" si="16"/>
        <v>102</v>
      </c>
      <c r="E108" s="14">
        <f>IF(ISNA(VLOOKUP(E$1,'delta-old'!$A$3:$DQ$20,$D108,FALSE)),0,VLOOKUP(E$1,'delta-old'!$A$3:$DQ$20,$D108,FALSE))</f>
        <v>0</v>
      </c>
      <c r="F108" s="14">
        <f>IF(ISNA(VLOOKUP(F$1,'peak-old'!$A$3:$DQ$20,$D108,FALSE)),0,VLOOKUP(F$1,'peak-old'!$A$3:$DQ$20,$D108,FALSE))</f>
        <v>0</v>
      </c>
      <c r="G108" s="14">
        <f>IF(ISNA(VLOOKUP(G$1,'peak-old'!$A$3:$DQ$20,$D108,FALSE)),0,VLOOKUP(G$1,'peak-old'!$A$3:$DQ$20,$D108,FALSE))</f>
        <v>0</v>
      </c>
      <c r="H108" s="14">
        <f>IF(ISNA(VLOOKUP(H$1,'peak-old'!$A$3:$DQ$20,$D108,FALSE)),0,VLOOKUP(H$1,'peak-old'!$A$3:$DQ$20,$D108,FALSE))</f>
        <v>-17600</v>
      </c>
      <c r="I108" s="14">
        <f>IF(ISNA(VLOOKUP(I$1,'peak-old'!$A$3:$DQ$20,$D108,FALSE)),0,VLOOKUP(I$1,'peak-old'!$A$3:$DQ$20,$D108,FALSE))</f>
        <v>0</v>
      </c>
      <c r="J108" s="14">
        <f>IF(ISNA(VLOOKUP(J$1,'peak-old'!$A$3:$DQ$20,$D108,FALSE)),0,VLOOKUP(J$1,'peak-old'!$A$3:$DQ$20,$D108,FALSE))</f>
        <v>0</v>
      </c>
      <c r="K108" s="14">
        <f>IF(ISNA(VLOOKUP(K$1,'peak-old'!$A$3:$DQ$20,$D108,FALSE)),0,VLOOKUP(K$1,'peak-old'!$A$3:$DQ$20,$D108,FALSE))</f>
        <v>0</v>
      </c>
      <c r="L108" s="14">
        <f>IF(ISNA(VLOOKUP(L$1,'peak-old'!$A$3:$DQ$20,$D108,FALSE)),0,VLOOKUP(L$1,'peak-old'!$A$3:$DQ$20,$D108,FALSE))</f>
        <v>0</v>
      </c>
      <c r="M108" s="14">
        <f>IF(ISNA(VLOOKUP(M$1,'peak-old'!$A$3:$DQ$20,$D108,FALSE)),0,VLOOKUP(M$1,'peak-old'!$A$3:$DQ$20,$D108,FALSE))</f>
        <v>0</v>
      </c>
      <c r="N108" s="14">
        <f>IF(ISNA(VLOOKUP(N$1,'peak-old'!$A$3:$DQ$20,$D108,FALSE)),0,VLOOKUP(N$1,'peak-old'!$A$3:$DQ$20,$D108,FALSE))</f>
        <v>0</v>
      </c>
      <c r="O108" s="14">
        <f>IF(ISNA(VLOOKUP(O$1,'peak-old'!$A$3:$DQ$20,$D108,FALSE)),0,VLOOKUP(O$1,'peak-old'!$A$3:$DQ$20,$D108,FALSE))</f>
        <v>0</v>
      </c>
      <c r="P108" s="14">
        <f>IF(ISNA(VLOOKUP(P$1,'peak-old'!$A$3:$DQ$20,$D108,FALSE)),0,VLOOKUP(P$1,'peak-old'!$A$3:$DQ$20,$D108,FALSE))</f>
        <v>0</v>
      </c>
      <c r="Q108" s="15">
        <f>IF(ISNA(VLOOKUP(Q$1,'delta-old'!$A$3:$DQ$20,$D108,FALSE)),0,VLOOKUP(Q$1,'delta-old'!$A$3:$DQ$20,$D108,FALSE))</f>
        <v>0</v>
      </c>
      <c r="R108" s="14">
        <f>IF(ISNA(VLOOKUP(R$1,'peak-old'!$A$3:$DQ$20,$D108,FALSE)),0,VLOOKUP(R$1,'peak-old'!$A$3:$DQ$20,$D108,FALSE))</f>
        <v>0</v>
      </c>
      <c r="S108" s="10"/>
    </row>
    <row r="109" spans="1:19" s="8" customFormat="1" x14ac:dyDescent="0.2">
      <c r="A109" s="8">
        <f t="shared" si="14"/>
        <v>2009</v>
      </c>
      <c r="B109" s="8">
        <f t="shared" si="15"/>
        <v>11</v>
      </c>
      <c r="C109" s="9">
        <f t="shared" si="13"/>
        <v>40118</v>
      </c>
      <c r="D109" s="8">
        <f t="shared" si="16"/>
        <v>103</v>
      </c>
      <c r="E109" s="14">
        <f>IF(ISNA(VLOOKUP(E$1,'delta-old'!$A$3:$DQ$20,$D109,FALSE)),0,VLOOKUP(E$1,'delta-old'!$A$3:$DQ$20,$D109,FALSE))</f>
        <v>0</v>
      </c>
      <c r="F109" s="14">
        <f>IF(ISNA(VLOOKUP(F$1,'peak-old'!$A$3:$DQ$20,$D109,FALSE)),0,VLOOKUP(F$1,'peak-old'!$A$3:$DQ$20,$D109,FALSE))</f>
        <v>0</v>
      </c>
      <c r="G109" s="14">
        <f>IF(ISNA(VLOOKUP(G$1,'peak-old'!$A$3:$DQ$20,$D109,FALSE)),0,VLOOKUP(G$1,'peak-old'!$A$3:$DQ$20,$D109,FALSE))</f>
        <v>0</v>
      </c>
      <c r="H109" s="14">
        <f>IF(ISNA(VLOOKUP(H$1,'peak-old'!$A$3:$DQ$20,$D109,FALSE)),0,VLOOKUP(H$1,'peak-old'!$A$3:$DQ$20,$D109,FALSE))</f>
        <v>-16000</v>
      </c>
      <c r="I109" s="14">
        <f>IF(ISNA(VLOOKUP(I$1,'peak-old'!$A$3:$DQ$20,$D109,FALSE)),0,VLOOKUP(I$1,'peak-old'!$A$3:$DQ$20,$D109,FALSE))</f>
        <v>0</v>
      </c>
      <c r="J109" s="14">
        <f>IF(ISNA(VLOOKUP(J$1,'peak-old'!$A$3:$DQ$20,$D109,FALSE)),0,VLOOKUP(J$1,'peak-old'!$A$3:$DQ$20,$D109,FALSE))</f>
        <v>0</v>
      </c>
      <c r="K109" s="14">
        <f>IF(ISNA(VLOOKUP(K$1,'peak-old'!$A$3:$DQ$20,$D109,FALSE)),0,VLOOKUP(K$1,'peak-old'!$A$3:$DQ$20,$D109,FALSE))</f>
        <v>0</v>
      </c>
      <c r="L109" s="14">
        <f>IF(ISNA(VLOOKUP(L$1,'peak-old'!$A$3:$DQ$20,$D109,FALSE)),0,VLOOKUP(L$1,'peak-old'!$A$3:$DQ$20,$D109,FALSE))</f>
        <v>0</v>
      </c>
      <c r="M109" s="14">
        <f>IF(ISNA(VLOOKUP(M$1,'peak-old'!$A$3:$DQ$20,$D109,FALSE)),0,VLOOKUP(M$1,'peak-old'!$A$3:$DQ$20,$D109,FALSE))</f>
        <v>0</v>
      </c>
      <c r="N109" s="14">
        <f>IF(ISNA(VLOOKUP(N$1,'peak-old'!$A$3:$DQ$20,$D109,FALSE)),0,VLOOKUP(N$1,'peak-old'!$A$3:$DQ$20,$D109,FALSE))</f>
        <v>0</v>
      </c>
      <c r="O109" s="14">
        <f>IF(ISNA(VLOOKUP(O$1,'peak-old'!$A$3:$DQ$20,$D109,FALSE)),0,VLOOKUP(O$1,'peak-old'!$A$3:$DQ$20,$D109,FALSE))</f>
        <v>0</v>
      </c>
      <c r="P109" s="14">
        <f>IF(ISNA(VLOOKUP(P$1,'peak-old'!$A$3:$DQ$20,$D109,FALSE)),0,VLOOKUP(P$1,'peak-old'!$A$3:$DQ$20,$D109,FALSE))</f>
        <v>0</v>
      </c>
      <c r="Q109" s="15">
        <f>IF(ISNA(VLOOKUP(Q$1,'delta-old'!$A$3:$DQ$20,$D109,FALSE)),0,VLOOKUP(Q$1,'delta-old'!$A$3:$DQ$20,$D109,FALSE))</f>
        <v>0</v>
      </c>
      <c r="R109" s="14">
        <f>IF(ISNA(VLOOKUP(R$1,'peak-old'!$A$3:$DQ$20,$D109,FALSE)),0,VLOOKUP(R$1,'peak-old'!$A$3:$DQ$20,$D109,FALSE))</f>
        <v>0</v>
      </c>
      <c r="S109" s="10"/>
    </row>
    <row r="110" spans="1:19" s="8" customFormat="1" x14ac:dyDescent="0.2">
      <c r="A110" s="8">
        <f t="shared" si="14"/>
        <v>2009</v>
      </c>
      <c r="B110" s="8">
        <f t="shared" si="15"/>
        <v>12</v>
      </c>
      <c r="C110" s="9">
        <f t="shared" si="13"/>
        <v>40148</v>
      </c>
      <c r="D110" s="8">
        <f t="shared" si="16"/>
        <v>104</v>
      </c>
      <c r="E110" s="14">
        <f>IF(ISNA(VLOOKUP(E$1,'delta-old'!$A$3:$DQ$20,$D110,FALSE)),0,VLOOKUP(E$1,'delta-old'!$A$3:$DQ$20,$D110,FALSE))</f>
        <v>0</v>
      </c>
      <c r="F110" s="14">
        <f>IF(ISNA(VLOOKUP(F$1,'peak-old'!$A$3:$DQ$20,$D110,FALSE)),0,VLOOKUP(F$1,'peak-old'!$A$3:$DQ$20,$D110,FALSE))</f>
        <v>0</v>
      </c>
      <c r="G110" s="14">
        <f>IF(ISNA(VLOOKUP(G$1,'peak-old'!$A$3:$DQ$20,$D110,FALSE)),0,VLOOKUP(G$1,'peak-old'!$A$3:$DQ$20,$D110,FALSE))</f>
        <v>0</v>
      </c>
      <c r="H110" s="14">
        <f>IF(ISNA(VLOOKUP(H$1,'peak-old'!$A$3:$DQ$20,$D110,FALSE)),0,VLOOKUP(H$1,'peak-old'!$A$3:$DQ$20,$D110,FALSE))</f>
        <v>-17600</v>
      </c>
      <c r="I110" s="14">
        <f>IF(ISNA(VLOOKUP(I$1,'peak-old'!$A$3:$DQ$20,$D110,FALSE)),0,VLOOKUP(I$1,'peak-old'!$A$3:$DQ$20,$D110,FALSE))</f>
        <v>0</v>
      </c>
      <c r="J110" s="14">
        <f>IF(ISNA(VLOOKUP(J$1,'peak-old'!$A$3:$DQ$20,$D110,FALSE)),0,VLOOKUP(J$1,'peak-old'!$A$3:$DQ$20,$D110,FALSE))</f>
        <v>0</v>
      </c>
      <c r="K110" s="14">
        <f>IF(ISNA(VLOOKUP(K$1,'peak-old'!$A$3:$DQ$20,$D110,FALSE)),0,VLOOKUP(K$1,'peak-old'!$A$3:$DQ$20,$D110,FALSE))</f>
        <v>0</v>
      </c>
      <c r="L110" s="14">
        <f>IF(ISNA(VLOOKUP(L$1,'peak-old'!$A$3:$DQ$20,$D110,FALSE)),0,VLOOKUP(L$1,'peak-old'!$A$3:$DQ$20,$D110,FALSE))</f>
        <v>0</v>
      </c>
      <c r="M110" s="14">
        <f>IF(ISNA(VLOOKUP(M$1,'peak-old'!$A$3:$DQ$20,$D110,FALSE)),0,VLOOKUP(M$1,'peak-old'!$A$3:$DQ$20,$D110,FALSE))</f>
        <v>0</v>
      </c>
      <c r="N110" s="14">
        <f>IF(ISNA(VLOOKUP(N$1,'peak-old'!$A$3:$DQ$20,$D110,FALSE)),0,VLOOKUP(N$1,'peak-old'!$A$3:$DQ$20,$D110,FALSE))</f>
        <v>0</v>
      </c>
      <c r="O110" s="14">
        <f>IF(ISNA(VLOOKUP(O$1,'peak-old'!$A$3:$DQ$20,$D110,FALSE)),0,VLOOKUP(O$1,'peak-old'!$A$3:$DQ$20,$D110,FALSE))</f>
        <v>0</v>
      </c>
      <c r="P110" s="14">
        <f>IF(ISNA(VLOOKUP(P$1,'peak-old'!$A$3:$DQ$20,$D110,FALSE)),0,VLOOKUP(P$1,'peak-old'!$A$3:$DQ$20,$D110,FALSE))</f>
        <v>0</v>
      </c>
      <c r="Q110" s="15">
        <f>IF(ISNA(VLOOKUP(Q$1,'delta-old'!$A$3:$DQ$20,$D110,FALSE)),0,VLOOKUP(Q$1,'delta-old'!$A$3:$DQ$20,$D110,FALSE))</f>
        <v>0</v>
      </c>
      <c r="R110" s="14">
        <f>IF(ISNA(VLOOKUP(R$1,'peak-old'!$A$3:$DQ$20,$D110,FALSE)),0,VLOOKUP(R$1,'peak-old'!$A$3:$DQ$20,$D110,FALSE))</f>
        <v>0</v>
      </c>
      <c r="S110" s="10"/>
    </row>
    <row r="111" spans="1:19" s="8" customFormat="1" x14ac:dyDescent="0.2">
      <c r="A111" s="8">
        <f t="shared" si="14"/>
        <v>2010</v>
      </c>
      <c r="B111" s="8">
        <f t="shared" si="15"/>
        <v>1</v>
      </c>
      <c r="C111" s="9">
        <f t="shared" si="13"/>
        <v>40179</v>
      </c>
      <c r="D111" s="8">
        <f t="shared" si="16"/>
        <v>105</v>
      </c>
      <c r="E111" s="14">
        <f>IF(ISNA(VLOOKUP(E$1,'delta-old'!$A$3:$DQ$20,$D111,FALSE)),0,VLOOKUP(E$1,'delta-old'!$A$3:$DQ$20,$D111,FALSE))</f>
        <v>0</v>
      </c>
      <c r="F111" s="14">
        <f>IF(ISNA(VLOOKUP(F$1,'peak-old'!$A$3:$DQ$20,$D111,FALSE)),0,VLOOKUP(F$1,'peak-old'!$A$3:$DQ$20,$D111,FALSE))</f>
        <v>0</v>
      </c>
      <c r="G111" s="14">
        <f>IF(ISNA(VLOOKUP(G$1,'peak-old'!$A$3:$DQ$20,$D111,FALSE)),0,VLOOKUP(G$1,'peak-old'!$A$3:$DQ$20,$D111,FALSE))</f>
        <v>0</v>
      </c>
      <c r="H111" s="14">
        <f>IF(ISNA(VLOOKUP(H$1,'peak-old'!$A$3:$DQ$20,$D111,FALSE)),0,VLOOKUP(H$1,'peak-old'!$A$3:$DQ$20,$D111,FALSE))</f>
        <v>-32000</v>
      </c>
      <c r="I111" s="14">
        <f>IF(ISNA(VLOOKUP(I$1,'peak-old'!$A$3:$DQ$20,$D111,FALSE)),0,VLOOKUP(I$1,'peak-old'!$A$3:$DQ$20,$D111,FALSE))</f>
        <v>0</v>
      </c>
      <c r="J111" s="14">
        <f>IF(ISNA(VLOOKUP(J$1,'peak-old'!$A$3:$DQ$20,$D111,FALSE)),0,VLOOKUP(J$1,'peak-old'!$A$3:$DQ$20,$D111,FALSE))</f>
        <v>0</v>
      </c>
      <c r="K111" s="14">
        <f>IF(ISNA(VLOOKUP(K$1,'peak-old'!$A$3:$DQ$20,$D111,FALSE)),0,VLOOKUP(K$1,'peak-old'!$A$3:$DQ$20,$D111,FALSE))</f>
        <v>0</v>
      </c>
      <c r="L111" s="14">
        <f>IF(ISNA(VLOOKUP(L$1,'peak-old'!$A$3:$DQ$20,$D111,FALSE)),0,VLOOKUP(L$1,'peak-old'!$A$3:$DQ$20,$D111,FALSE))</f>
        <v>0</v>
      </c>
      <c r="M111" s="14">
        <f>IF(ISNA(VLOOKUP(M$1,'peak-old'!$A$3:$DQ$20,$D111,FALSE)),0,VLOOKUP(M$1,'peak-old'!$A$3:$DQ$20,$D111,FALSE))</f>
        <v>0</v>
      </c>
      <c r="N111" s="14">
        <f>IF(ISNA(VLOOKUP(N$1,'peak-old'!$A$3:$DQ$20,$D111,FALSE)),0,VLOOKUP(N$1,'peak-old'!$A$3:$DQ$20,$D111,FALSE))</f>
        <v>0</v>
      </c>
      <c r="O111" s="14">
        <f>IF(ISNA(VLOOKUP(O$1,'peak-old'!$A$3:$DQ$20,$D111,FALSE)),0,VLOOKUP(O$1,'peak-old'!$A$3:$DQ$20,$D111,FALSE))</f>
        <v>0</v>
      </c>
      <c r="P111" s="14">
        <f>IF(ISNA(VLOOKUP(P$1,'peak-old'!$A$3:$DQ$20,$D111,FALSE)),0,VLOOKUP(P$1,'peak-old'!$A$3:$DQ$20,$D111,FALSE))</f>
        <v>0</v>
      </c>
      <c r="Q111" s="15">
        <f>IF(ISNA(VLOOKUP(Q$1,'delta-old'!$A$3:$DQ$20,$D111,FALSE)),0,VLOOKUP(Q$1,'delta-old'!$A$3:$DQ$20,$D111,FALSE))</f>
        <v>0</v>
      </c>
      <c r="R111" s="14">
        <f>IF(ISNA(VLOOKUP(R$1,'peak-old'!$A$3:$DQ$20,$D111,FALSE)),0,VLOOKUP(R$1,'peak-old'!$A$3:$DQ$20,$D111,FALSE))</f>
        <v>0</v>
      </c>
      <c r="S111" s="10"/>
    </row>
    <row r="112" spans="1:19" s="8" customFormat="1" x14ac:dyDescent="0.2">
      <c r="A112" s="8">
        <f t="shared" si="14"/>
        <v>2010</v>
      </c>
      <c r="B112" s="8">
        <f t="shared" si="15"/>
        <v>2</v>
      </c>
      <c r="C112" s="9">
        <f t="shared" si="13"/>
        <v>40210</v>
      </c>
      <c r="D112" s="8">
        <f t="shared" si="16"/>
        <v>106</v>
      </c>
      <c r="E112" s="14">
        <f>IF(ISNA(VLOOKUP(E$1,'delta-old'!$A$3:$DQ$20,$D112,FALSE)),0,VLOOKUP(E$1,'delta-old'!$A$3:$DQ$20,$D112,FALSE))</f>
        <v>0</v>
      </c>
      <c r="F112" s="14">
        <f>IF(ISNA(VLOOKUP(F$1,'peak-old'!$A$3:$DQ$20,$D112,FALSE)),0,VLOOKUP(F$1,'peak-old'!$A$3:$DQ$20,$D112,FALSE))</f>
        <v>0</v>
      </c>
      <c r="G112" s="14">
        <f>IF(ISNA(VLOOKUP(G$1,'peak-old'!$A$3:$DQ$20,$D112,FALSE)),0,VLOOKUP(G$1,'peak-old'!$A$3:$DQ$20,$D112,FALSE))</f>
        <v>0</v>
      </c>
      <c r="H112" s="14">
        <f>IF(ISNA(VLOOKUP(H$1,'peak-old'!$A$3:$DQ$20,$D112,FALSE)),0,VLOOKUP(H$1,'peak-old'!$A$3:$DQ$20,$D112,FALSE))</f>
        <v>-32000</v>
      </c>
      <c r="I112" s="14">
        <f>IF(ISNA(VLOOKUP(I$1,'peak-old'!$A$3:$DQ$20,$D112,FALSE)),0,VLOOKUP(I$1,'peak-old'!$A$3:$DQ$20,$D112,FALSE))</f>
        <v>0</v>
      </c>
      <c r="J112" s="14">
        <f>IF(ISNA(VLOOKUP(J$1,'peak-old'!$A$3:$DQ$20,$D112,FALSE)),0,VLOOKUP(J$1,'peak-old'!$A$3:$DQ$20,$D112,FALSE))</f>
        <v>0</v>
      </c>
      <c r="K112" s="14">
        <f>IF(ISNA(VLOOKUP(K$1,'peak-old'!$A$3:$DQ$20,$D112,FALSE)),0,VLOOKUP(K$1,'peak-old'!$A$3:$DQ$20,$D112,FALSE))</f>
        <v>0</v>
      </c>
      <c r="L112" s="14">
        <f>IF(ISNA(VLOOKUP(L$1,'peak-old'!$A$3:$DQ$20,$D112,FALSE)),0,VLOOKUP(L$1,'peak-old'!$A$3:$DQ$20,$D112,FALSE))</f>
        <v>0</v>
      </c>
      <c r="M112" s="14">
        <f>IF(ISNA(VLOOKUP(M$1,'peak-old'!$A$3:$DQ$20,$D112,FALSE)),0,VLOOKUP(M$1,'peak-old'!$A$3:$DQ$20,$D112,FALSE))</f>
        <v>0</v>
      </c>
      <c r="N112" s="14">
        <f>IF(ISNA(VLOOKUP(N$1,'peak-old'!$A$3:$DQ$20,$D112,FALSE)),0,VLOOKUP(N$1,'peak-old'!$A$3:$DQ$20,$D112,FALSE))</f>
        <v>0</v>
      </c>
      <c r="O112" s="14">
        <f>IF(ISNA(VLOOKUP(O$1,'peak-old'!$A$3:$DQ$20,$D112,FALSE)),0,VLOOKUP(O$1,'peak-old'!$A$3:$DQ$20,$D112,FALSE))</f>
        <v>0</v>
      </c>
      <c r="P112" s="14">
        <f>IF(ISNA(VLOOKUP(P$1,'peak-old'!$A$3:$DQ$20,$D112,FALSE)),0,VLOOKUP(P$1,'peak-old'!$A$3:$DQ$20,$D112,FALSE))</f>
        <v>0</v>
      </c>
      <c r="Q112" s="15">
        <f>IF(ISNA(VLOOKUP(Q$1,'delta-old'!$A$3:$DQ$20,$D112,FALSE)),0,VLOOKUP(Q$1,'delta-old'!$A$3:$DQ$20,$D112,FALSE))</f>
        <v>0</v>
      </c>
      <c r="R112" s="14">
        <f>IF(ISNA(VLOOKUP(R$1,'peak-old'!$A$3:$DQ$20,$D112,FALSE)),0,VLOOKUP(R$1,'peak-old'!$A$3:$DQ$20,$D112,FALSE))</f>
        <v>0</v>
      </c>
      <c r="S112" s="10"/>
    </row>
    <row r="113" spans="1:19" s="8" customFormat="1" x14ac:dyDescent="0.2">
      <c r="A113" s="8">
        <f t="shared" si="14"/>
        <v>2010</v>
      </c>
      <c r="B113" s="8">
        <f t="shared" si="15"/>
        <v>3</v>
      </c>
      <c r="C113" s="9">
        <f t="shared" si="13"/>
        <v>40238</v>
      </c>
      <c r="D113" s="8">
        <f t="shared" si="16"/>
        <v>107</v>
      </c>
      <c r="E113" s="14">
        <f>IF(ISNA(VLOOKUP(E$1,'delta-old'!$A$3:$DQ$20,$D113,FALSE)),0,VLOOKUP(E$1,'delta-old'!$A$3:$DQ$20,$D113,FALSE))</f>
        <v>0</v>
      </c>
      <c r="F113" s="14">
        <f>IF(ISNA(VLOOKUP(F$1,'peak-old'!$A$3:$DQ$20,$D113,FALSE)),0,VLOOKUP(F$1,'peak-old'!$A$3:$DQ$20,$D113,FALSE))</f>
        <v>0</v>
      </c>
      <c r="G113" s="14">
        <f>IF(ISNA(VLOOKUP(G$1,'peak-old'!$A$3:$DQ$20,$D113,FALSE)),0,VLOOKUP(G$1,'peak-old'!$A$3:$DQ$20,$D113,FALSE))</f>
        <v>0</v>
      </c>
      <c r="H113" s="14">
        <f>IF(ISNA(VLOOKUP(H$1,'peak-old'!$A$3:$DQ$20,$D113,FALSE)),0,VLOOKUP(H$1,'peak-old'!$A$3:$DQ$20,$D113,FALSE))</f>
        <v>-36800</v>
      </c>
      <c r="I113" s="14">
        <f>IF(ISNA(VLOOKUP(I$1,'peak-old'!$A$3:$DQ$20,$D113,FALSE)),0,VLOOKUP(I$1,'peak-old'!$A$3:$DQ$20,$D113,FALSE))</f>
        <v>0</v>
      </c>
      <c r="J113" s="14">
        <f>IF(ISNA(VLOOKUP(J$1,'peak-old'!$A$3:$DQ$20,$D113,FALSE)),0,VLOOKUP(J$1,'peak-old'!$A$3:$DQ$20,$D113,FALSE))</f>
        <v>0</v>
      </c>
      <c r="K113" s="14">
        <f>IF(ISNA(VLOOKUP(K$1,'peak-old'!$A$3:$DQ$20,$D113,FALSE)),0,VLOOKUP(K$1,'peak-old'!$A$3:$DQ$20,$D113,FALSE))</f>
        <v>0</v>
      </c>
      <c r="L113" s="14">
        <f>IF(ISNA(VLOOKUP(L$1,'peak-old'!$A$3:$DQ$20,$D113,FALSE)),0,VLOOKUP(L$1,'peak-old'!$A$3:$DQ$20,$D113,FALSE))</f>
        <v>0</v>
      </c>
      <c r="M113" s="14">
        <f>IF(ISNA(VLOOKUP(M$1,'peak-old'!$A$3:$DQ$20,$D113,FALSE)),0,VLOOKUP(M$1,'peak-old'!$A$3:$DQ$20,$D113,FALSE))</f>
        <v>0</v>
      </c>
      <c r="N113" s="14">
        <f>IF(ISNA(VLOOKUP(N$1,'peak-old'!$A$3:$DQ$20,$D113,FALSE)),0,VLOOKUP(N$1,'peak-old'!$A$3:$DQ$20,$D113,FALSE))</f>
        <v>0</v>
      </c>
      <c r="O113" s="14">
        <f>IF(ISNA(VLOOKUP(O$1,'peak-old'!$A$3:$DQ$20,$D113,FALSE)),0,VLOOKUP(O$1,'peak-old'!$A$3:$DQ$20,$D113,FALSE))</f>
        <v>0</v>
      </c>
      <c r="P113" s="14">
        <f>IF(ISNA(VLOOKUP(P$1,'peak-old'!$A$3:$DQ$20,$D113,FALSE)),0,VLOOKUP(P$1,'peak-old'!$A$3:$DQ$20,$D113,FALSE))</f>
        <v>0</v>
      </c>
      <c r="Q113" s="15">
        <f>IF(ISNA(VLOOKUP(Q$1,'delta-old'!$A$3:$DQ$20,$D113,FALSE)),0,VLOOKUP(Q$1,'delta-old'!$A$3:$DQ$20,$D113,FALSE))</f>
        <v>0</v>
      </c>
      <c r="R113" s="14">
        <f>IF(ISNA(VLOOKUP(R$1,'peak-old'!$A$3:$DQ$20,$D113,FALSE)),0,VLOOKUP(R$1,'peak-old'!$A$3:$DQ$20,$D113,FALSE))</f>
        <v>0</v>
      </c>
      <c r="S113" s="10"/>
    </row>
    <row r="114" spans="1:19" s="8" customFormat="1" x14ac:dyDescent="0.2">
      <c r="A114" s="8">
        <f t="shared" si="14"/>
        <v>2010</v>
      </c>
      <c r="B114" s="8">
        <f t="shared" si="15"/>
        <v>4</v>
      </c>
      <c r="C114" s="9">
        <f t="shared" si="13"/>
        <v>40269</v>
      </c>
      <c r="D114" s="8">
        <f t="shared" si="16"/>
        <v>108</v>
      </c>
      <c r="E114" s="14">
        <f>IF(ISNA(VLOOKUP(E$1,'delta-old'!$A$3:$DQ$20,$D114,FALSE)),0,VLOOKUP(E$1,'delta-old'!$A$3:$DQ$20,$D114,FALSE))</f>
        <v>0</v>
      </c>
      <c r="F114" s="14">
        <f>IF(ISNA(VLOOKUP(F$1,'peak-old'!$A$3:$DQ$20,$D114,FALSE)),0,VLOOKUP(F$1,'peak-old'!$A$3:$DQ$20,$D114,FALSE))</f>
        <v>0</v>
      </c>
      <c r="G114" s="14">
        <f>IF(ISNA(VLOOKUP(G$1,'peak-old'!$A$3:$DQ$20,$D114,FALSE)),0,VLOOKUP(G$1,'peak-old'!$A$3:$DQ$20,$D114,FALSE))</f>
        <v>0</v>
      </c>
      <c r="H114" s="14">
        <f>IF(ISNA(VLOOKUP(H$1,'peak-old'!$A$3:$DQ$20,$D114,FALSE)),0,VLOOKUP(H$1,'peak-old'!$A$3:$DQ$20,$D114,FALSE))</f>
        <v>-35200</v>
      </c>
      <c r="I114" s="14">
        <f>IF(ISNA(VLOOKUP(I$1,'peak-old'!$A$3:$DQ$20,$D114,FALSE)),0,VLOOKUP(I$1,'peak-old'!$A$3:$DQ$20,$D114,FALSE))</f>
        <v>0</v>
      </c>
      <c r="J114" s="14">
        <f>IF(ISNA(VLOOKUP(J$1,'peak-old'!$A$3:$DQ$20,$D114,FALSE)),0,VLOOKUP(J$1,'peak-old'!$A$3:$DQ$20,$D114,FALSE))</f>
        <v>0</v>
      </c>
      <c r="K114" s="14">
        <f>IF(ISNA(VLOOKUP(K$1,'peak-old'!$A$3:$DQ$20,$D114,FALSE)),0,VLOOKUP(K$1,'peak-old'!$A$3:$DQ$20,$D114,FALSE))</f>
        <v>0</v>
      </c>
      <c r="L114" s="14">
        <f>IF(ISNA(VLOOKUP(L$1,'peak-old'!$A$3:$DQ$20,$D114,FALSE)),0,VLOOKUP(L$1,'peak-old'!$A$3:$DQ$20,$D114,FALSE))</f>
        <v>0</v>
      </c>
      <c r="M114" s="14">
        <f>IF(ISNA(VLOOKUP(M$1,'peak-old'!$A$3:$DQ$20,$D114,FALSE)),0,VLOOKUP(M$1,'peak-old'!$A$3:$DQ$20,$D114,FALSE))</f>
        <v>0</v>
      </c>
      <c r="N114" s="14">
        <f>IF(ISNA(VLOOKUP(N$1,'peak-old'!$A$3:$DQ$20,$D114,FALSE)),0,VLOOKUP(N$1,'peak-old'!$A$3:$DQ$20,$D114,FALSE))</f>
        <v>0</v>
      </c>
      <c r="O114" s="14">
        <f>IF(ISNA(VLOOKUP(O$1,'peak-old'!$A$3:$DQ$20,$D114,FALSE)),0,VLOOKUP(O$1,'peak-old'!$A$3:$DQ$20,$D114,FALSE))</f>
        <v>0</v>
      </c>
      <c r="P114" s="14">
        <f>IF(ISNA(VLOOKUP(P$1,'peak-old'!$A$3:$DQ$20,$D114,FALSE)),0,VLOOKUP(P$1,'peak-old'!$A$3:$DQ$20,$D114,FALSE))</f>
        <v>0</v>
      </c>
      <c r="Q114" s="15">
        <f>IF(ISNA(VLOOKUP(Q$1,'delta-old'!$A$3:$DQ$20,$D114,FALSE)),0,VLOOKUP(Q$1,'delta-old'!$A$3:$DQ$20,$D114,FALSE))</f>
        <v>0</v>
      </c>
      <c r="R114" s="14">
        <f>IF(ISNA(VLOOKUP(R$1,'peak-old'!$A$3:$DQ$20,$D114,FALSE)),0,VLOOKUP(R$1,'peak-old'!$A$3:$DQ$20,$D114,FALSE))</f>
        <v>0</v>
      </c>
      <c r="S114" s="10"/>
    </row>
    <row r="115" spans="1:19" s="8" customFormat="1" x14ac:dyDescent="0.2">
      <c r="A115" s="8">
        <f t="shared" si="14"/>
        <v>2010</v>
      </c>
      <c r="B115" s="8">
        <f t="shared" si="15"/>
        <v>5</v>
      </c>
      <c r="C115" s="9">
        <f t="shared" si="13"/>
        <v>40299</v>
      </c>
      <c r="D115" s="8">
        <f t="shared" si="16"/>
        <v>109</v>
      </c>
      <c r="E115" s="14">
        <f>IF(ISNA(VLOOKUP(E$1,'delta-old'!$A$3:$DQ$20,$D115,FALSE)),0,VLOOKUP(E$1,'delta-old'!$A$3:$DQ$20,$D115,FALSE))</f>
        <v>0</v>
      </c>
      <c r="F115" s="14">
        <f>IF(ISNA(VLOOKUP(F$1,'peak-old'!$A$3:$DQ$20,$D115,FALSE)),0,VLOOKUP(F$1,'peak-old'!$A$3:$DQ$20,$D115,FALSE))</f>
        <v>0</v>
      </c>
      <c r="G115" s="14">
        <f>IF(ISNA(VLOOKUP(G$1,'peak-old'!$A$3:$DQ$20,$D115,FALSE)),0,VLOOKUP(G$1,'peak-old'!$A$3:$DQ$20,$D115,FALSE))</f>
        <v>0</v>
      </c>
      <c r="H115" s="14">
        <f>IF(ISNA(VLOOKUP(H$1,'peak-old'!$A$3:$DQ$20,$D115,FALSE)),0,VLOOKUP(H$1,'peak-old'!$A$3:$DQ$20,$D115,FALSE))</f>
        <v>-32000</v>
      </c>
      <c r="I115" s="14">
        <f>IF(ISNA(VLOOKUP(I$1,'peak-old'!$A$3:$DQ$20,$D115,FALSE)),0,VLOOKUP(I$1,'peak-old'!$A$3:$DQ$20,$D115,FALSE))</f>
        <v>0</v>
      </c>
      <c r="J115" s="14">
        <f>IF(ISNA(VLOOKUP(J$1,'peak-old'!$A$3:$DQ$20,$D115,FALSE)),0,VLOOKUP(J$1,'peak-old'!$A$3:$DQ$20,$D115,FALSE))</f>
        <v>0</v>
      </c>
      <c r="K115" s="14">
        <f>IF(ISNA(VLOOKUP(K$1,'peak-old'!$A$3:$DQ$20,$D115,FALSE)),0,VLOOKUP(K$1,'peak-old'!$A$3:$DQ$20,$D115,FALSE))</f>
        <v>0</v>
      </c>
      <c r="L115" s="14">
        <f>IF(ISNA(VLOOKUP(L$1,'peak-old'!$A$3:$DQ$20,$D115,FALSE)),0,VLOOKUP(L$1,'peak-old'!$A$3:$DQ$20,$D115,FALSE))</f>
        <v>0</v>
      </c>
      <c r="M115" s="14">
        <f>IF(ISNA(VLOOKUP(M$1,'peak-old'!$A$3:$DQ$20,$D115,FALSE)),0,VLOOKUP(M$1,'peak-old'!$A$3:$DQ$20,$D115,FALSE))</f>
        <v>0</v>
      </c>
      <c r="N115" s="14">
        <f>IF(ISNA(VLOOKUP(N$1,'peak-old'!$A$3:$DQ$20,$D115,FALSE)),0,VLOOKUP(N$1,'peak-old'!$A$3:$DQ$20,$D115,FALSE))</f>
        <v>0</v>
      </c>
      <c r="O115" s="14">
        <f>IF(ISNA(VLOOKUP(O$1,'peak-old'!$A$3:$DQ$20,$D115,FALSE)),0,VLOOKUP(O$1,'peak-old'!$A$3:$DQ$20,$D115,FALSE))</f>
        <v>0</v>
      </c>
      <c r="P115" s="14">
        <f>IF(ISNA(VLOOKUP(P$1,'peak-old'!$A$3:$DQ$20,$D115,FALSE)),0,VLOOKUP(P$1,'peak-old'!$A$3:$DQ$20,$D115,FALSE))</f>
        <v>0</v>
      </c>
      <c r="Q115" s="15">
        <f>IF(ISNA(VLOOKUP(Q$1,'delta-old'!$A$3:$DQ$20,$D115,FALSE)),0,VLOOKUP(Q$1,'delta-old'!$A$3:$DQ$20,$D115,FALSE))</f>
        <v>0</v>
      </c>
      <c r="R115" s="14">
        <f>IF(ISNA(VLOOKUP(R$1,'peak-old'!$A$3:$DQ$20,$D115,FALSE)),0,VLOOKUP(R$1,'peak-old'!$A$3:$DQ$20,$D115,FALSE))</f>
        <v>0</v>
      </c>
      <c r="S115" s="10"/>
    </row>
    <row r="116" spans="1:19" s="8" customFormat="1" x14ac:dyDescent="0.2">
      <c r="A116" s="8">
        <f t="shared" si="14"/>
        <v>2010</v>
      </c>
      <c r="B116" s="8">
        <f t="shared" si="15"/>
        <v>6</v>
      </c>
      <c r="C116" s="9">
        <f t="shared" si="13"/>
        <v>40330</v>
      </c>
      <c r="D116" s="8">
        <f t="shared" si="16"/>
        <v>110</v>
      </c>
      <c r="E116" s="14">
        <f>IF(ISNA(VLOOKUP(E$1,'delta-old'!$A$3:$DQ$20,$D116,FALSE)),0,VLOOKUP(E$1,'delta-old'!$A$3:$DQ$20,$D116,FALSE))</f>
        <v>0</v>
      </c>
      <c r="F116" s="14">
        <f>IF(ISNA(VLOOKUP(F$1,'peak-old'!$A$3:$DQ$20,$D116,FALSE)),0,VLOOKUP(F$1,'peak-old'!$A$3:$DQ$20,$D116,FALSE))</f>
        <v>0</v>
      </c>
      <c r="G116" s="14">
        <f>IF(ISNA(VLOOKUP(G$1,'peak-old'!$A$3:$DQ$20,$D116,FALSE)),0,VLOOKUP(G$1,'peak-old'!$A$3:$DQ$20,$D116,FALSE))</f>
        <v>0</v>
      </c>
      <c r="H116" s="14">
        <f>IF(ISNA(VLOOKUP(H$1,'peak-old'!$A$3:$DQ$20,$D116,FALSE)),0,VLOOKUP(H$1,'peak-old'!$A$3:$DQ$20,$D116,FALSE))</f>
        <v>-35200</v>
      </c>
      <c r="I116" s="14">
        <f>IF(ISNA(VLOOKUP(I$1,'peak-old'!$A$3:$DQ$20,$D116,FALSE)),0,VLOOKUP(I$1,'peak-old'!$A$3:$DQ$20,$D116,FALSE))</f>
        <v>0</v>
      </c>
      <c r="J116" s="14">
        <f>IF(ISNA(VLOOKUP(J$1,'peak-old'!$A$3:$DQ$20,$D116,FALSE)),0,VLOOKUP(J$1,'peak-old'!$A$3:$DQ$20,$D116,FALSE))</f>
        <v>0</v>
      </c>
      <c r="K116" s="14">
        <f>IF(ISNA(VLOOKUP(K$1,'peak-old'!$A$3:$DQ$20,$D116,FALSE)),0,VLOOKUP(K$1,'peak-old'!$A$3:$DQ$20,$D116,FALSE))</f>
        <v>0</v>
      </c>
      <c r="L116" s="14">
        <f>IF(ISNA(VLOOKUP(L$1,'peak-old'!$A$3:$DQ$20,$D116,FALSE)),0,VLOOKUP(L$1,'peak-old'!$A$3:$DQ$20,$D116,FALSE))</f>
        <v>0</v>
      </c>
      <c r="M116" s="14">
        <f>IF(ISNA(VLOOKUP(M$1,'peak-old'!$A$3:$DQ$20,$D116,FALSE)),0,VLOOKUP(M$1,'peak-old'!$A$3:$DQ$20,$D116,FALSE))</f>
        <v>0</v>
      </c>
      <c r="N116" s="14">
        <f>IF(ISNA(VLOOKUP(N$1,'peak-old'!$A$3:$DQ$20,$D116,FALSE)),0,VLOOKUP(N$1,'peak-old'!$A$3:$DQ$20,$D116,FALSE))</f>
        <v>0</v>
      </c>
      <c r="O116" s="14">
        <f>IF(ISNA(VLOOKUP(O$1,'peak-old'!$A$3:$DQ$20,$D116,FALSE)),0,VLOOKUP(O$1,'peak-old'!$A$3:$DQ$20,$D116,FALSE))</f>
        <v>0</v>
      </c>
      <c r="P116" s="14">
        <f>IF(ISNA(VLOOKUP(P$1,'peak-old'!$A$3:$DQ$20,$D116,FALSE)),0,VLOOKUP(P$1,'peak-old'!$A$3:$DQ$20,$D116,FALSE))</f>
        <v>0</v>
      </c>
      <c r="Q116" s="15">
        <f>IF(ISNA(VLOOKUP(Q$1,'delta-old'!$A$3:$DQ$20,$D116,FALSE)),0,VLOOKUP(Q$1,'delta-old'!$A$3:$DQ$20,$D116,FALSE))</f>
        <v>0</v>
      </c>
      <c r="R116" s="14">
        <f>IF(ISNA(VLOOKUP(R$1,'peak-old'!$A$3:$DQ$20,$D116,FALSE)),0,VLOOKUP(R$1,'peak-old'!$A$3:$DQ$20,$D116,FALSE))</f>
        <v>0</v>
      </c>
      <c r="S116" s="10"/>
    </row>
    <row r="117" spans="1:19" s="8" customFormat="1" x14ac:dyDescent="0.2">
      <c r="A117" s="8">
        <f t="shared" si="14"/>
        <v>2010</v>
      </c>
      <c r="B117" s="8">
        <f t="shared" si="15"/>
        <v>7</v>
      </c>
      <c r="C117" s="9">
        <f t="shared" si="13"/>
        <v>40360</v>
      </c>
      <c r="D117" s="8">
        <f t="shared" si="16"/>
        <v>111</v>
      </c>
      <c r="E117" s="14">
        <f>IF(ISNA(VLOOKUP(E$1,'delta-old'!$A$3:$DQ$20,$D117,FALSE)),0,VLOOKUP(E$1,'delta-old'!$A$3:$DQ$20,$D117,FALSE))</f>
        <v>0</v>
      </c>
      <c r="F117" s="14">
        <f>IF(ISNA(VLOOKUP(F$1,'peak-old'!$A$3:$DQ$20,$D117,FALSE)),0,VLOOKUP(F$1,'peak-old'!$A$3:$DQ$20,$D117,FALSE))</f>
        <v>0</v>
      </c>
      <c r="G117" s="14">
        <f>IF(ISNA(VLOOKUP(G$1,'peak-old'!$A$3:$DQ$20,$D117,FALSE)),0,VLOOKUP(G$1,'peak-old'!$A$3:$DQ$20,$D117,FALSE))</f>
        <v>0</v>
      </c>
      <c r="H117" s="14">
        <f>IF(ISNA(VLOOKUP(H$1,'peak-old'!$A$3:$DQ$20,$D117,FALSE)),0,VLOOKUP(H$1,'peak-old'!$A$3:$DQ$20,$D117,FALSE))</f>
        <v>-33600</v>
      </c>
      <c r="I117" s="14">
        <f>IF(ISNA(VLOOKUP(I$1,'peak-old'!$A$3:$DQ$20,$D117,FALSE)),0,VLOOKUP(I$1,'peak-old'!$A$3:$DQ$20,$D117,FALSE))</f>
        <v>0</v>
      </c>
      <c r="J117" s="14">
        <f>IF(ISNA(VLOOKUP(J$1,'peak-old'!$A$3:$DQ$20,$D117,FALSE)),0,VLOOKUP(J$1,'peak-old'!$A$3:$DQ$20,$D117,FALSE))</f>
        <v>0</v>
      </c>
      <c r="K117" s="14">
        <f>IF(ISNA(VLOOKUP(K$1,'peak-old'!$A$3:$DQ$20,$D117,FALSE)),0,VLOOKUP(K$1,'peak-old'!$A$3:$DQ$20,$D117,FALSE))</f>
        <v>0</v>
      </c>
      <c r="L117" s="14">
        <f>IF(ISNA(VLOOKUP(L$1,'peak-old'!$A$3:$DQ$20,$D117,FALSE)),0,VLOOKUP(L$1,'peak-old'!$A$3:$DQ$20,$D117,FALSE))</f>
        <v>0</v>
      </c>
      <c r="M117" s="14">
        <f>IF(ISNA(VLOOKUP(M$1,'peak-old'!$A$3:$DQ$20,$D117,FALSE)),0,VLOOKUP(M$1,'peak-old'!$A$3:$DQ$20,$D117,FALSE))</f>
        <v>0</v>
      </c>
      <c r="N117" s="14">
        <f>IF(ISNA(VLOOKUP(N$1,'peak-old'!$A$3:$DQ$20,$D117,FALSE)),0,VLOOKUP(N$1,'peak-old'!$A$3:$DQ$20,$D117,FALSE))</f>
        <v>0</v>
      </c>
      <c r="O117" s="14">
        <f>IF(ISNA(VLOOKUP(O$1,'peak-old'!$A$3:$DQ$20,$D117,FALSE)),0,VLOOKUP(O$1,'peak-old'!$A$3:$DQ$20,$D117,FALSE))</f>
        <v>0</v>
      </c>
      <c r="P117" s="14">
        <f>IF(ISNA(VLOOKUP(P$1,'peak-old'!$A$3:$DQ$20,$D117,FALSE)),0,VLOOKUP(P$1,'peak-old'!$A$3:$DQ$20,$D117,FALSE))</f>
        <v>0</v>
      </c>
      <c r="Q117" s="15">
        <f>IF(ISNA(VLOOKUP(Q$1,'delta-old'!$A$3:$DQ$20,$D117,FALSE)),0,VLOOKUP(Q$1,'delta-old'!$A$3:$DQ$20,$D117,FALSE))</f>
        <v>0</v>
      </c>
      <c r="R117" s="14">
        <f>IF(ISNA(VLOOKUP(R$1,'peak-old'!$A$3:$DQ$20,$D117,FALSE)),0,VLOOKUP(R$1,'peak-old'!$A$3:$DQ$20,$D117,FALSE))</f>
        <v>0</v>
      </c>
      <c r="S117" s="10"/>
    </row>
    <row r="118" spans="1:19" s="8" customFormat="1" x14ac:dyDescent="0.2">
      <c r="A118" s="8">
        <f t="shared" si="14"/>
        <v>2010</v>
      </c>
      <c r="B118" s="8">
        <f t="shared" si="15"/>
        <v>8</v>
      </c>
      <c r="C118" s="9">
        <f t="shared" si="13"/>
        <v>40391</v>
      </c>
      <c r="D118" s="8">
        <f t="shared" si="16"/>
        <v>112</v>
      </c>
      <c r="E118" s="14">
        <f>IF(ISNA(VLOOKUP(E$1,'delta-old'!$A$3:$DQ$20,$D118,FALSE)),0,VLOOKUP(E$1,'delta-old'!$A$3:$DQ$20,$D118,FALSE))</f>
        <v>0</v>
      </c>
      <c r="F118" s="14">
        <f>IF(ISNA(VLOOKUP(F$1,'peak-old'!$A$3:$DQ$20,$D118,FALSE)),0,VLOOKUP(F$1,'peak-old'!$A$3:$DQ$20,$D118,FALSE))</f>
        <v>0</v>
      </c>
      <c r="G118" s="14">
        <f>IF(ISNA(VLOOKUP(G$1,'peak-old'!$A$3:$DQ$20,$D118,FALSE)),0,VLOOKUP(G$1,'peak-old'!$A$3:$DQ$20,$D118,FALSE))</f>
        <v>0</v>
      </c>
      <c r="H118" s="14">
        <f>IF(ISNA(VLOOKUP(H$1,'peak-old'!$A$3:$DQ$20,$D118,FALSE)),0,VLOOKUP(H$1,'peak-old'!$A$3:$DQ$20,$D118,FALSE))</f>
        <v>-35200</v>
      </c>
      <c r="I118" s="14">
        <f>IF(ISNA(VLOOKUP(I$1,'peak-old'!$A$3:$DQ$20,$D118,FALSE)),0,VLOOKUP(I$1,'peak-old'!$A$3:$DQ$20,$D118,FALSE))</f>
        <v>0</v>
      </c>
      <c r="J118" s="14">
        <f>IF(ISNA(VLOOKUP(J$1,'peak-old'!$A$3:$DQ$20,$D118,FALSE)),0,VLOOKUP(J$1,'peak-old'!$A$3:$DQ$20,$D118,FALSE))</f>
        <v>0</v>
      </c>
      <c r="K118" s="14">
        <f>IF(ISNA(VLOOKUP(K$1,'peak-old'!$A$3:$DQ$20,$D118,FALSE)),0,VLOOKUP(K$1,'peak-old'!$A$3:$DQ$20,$D118,FALSE))</f>
        <v>0</v>
      </c>
      <c r="L118" s="14">
        <f>IF(ISNA(VLOOKUP(L$1,'peak-old'!$A$3:$DQ$20,$D118,FALSE)),0,VLOOKUP(L$1,'peak-old'!$A$3:$DQ$20,$D118,FALSE))</f>
        <v>0</v>
      </c>
      <c r="M118" s="14">
        <f>IF(ISNA(VLOOKUP(M$1,'peak-old'!$A$3:$DQ$20,$D118,FALSE)),0,VLOOKUP(M$1,'peak-old'!$A$3:$DQ$20,$D118,FALSE))</f>
        <v>0</v>
      </c>
      <c r="N118" s="14">
        <f>IF(ISNA(VLOOKUP(N$1,'peak-old'!$A$3:$DQ$20,$D118,FALSE)),0,VLOOKUP(N$1,'peak-old'!$A$3:$DQ$20,$D118,FALSE))</f>
        <v>0</v>
      </c>
      <c r="O118" s="14">
        <f>IF(ISNA(VLOOKUP(O$1,'peak-old'!$A$3:$DQ$20,$D118,FALSE)),0,VLOOKUP(O$1,'peak-old'!$A$3:$DQ$20,$D118,FALSE))</f>
        <v>0</v>
      </c>
      <c r="P118" s="14">
        <f>IF(ISNA(VLOOKUP(P$1,'peak-old'!$A$3:$DQ$20,$D118,FALSE)),0,VLOOKUP(P$1,'peak-old'!$A$3:$DQ$20,$D118,FALSE))</f>
        <v>0</v>
      </c>
      <c r="Q118" s="15">
        <f>IF(ISNA(VLOOKUP(Q$1,'delta-old'!$A$3:$DQ$20,$D118,FALSE)),0,VLOOKUP(Q$1,'delta-old'!$A$3:$DQ$20,$D118,FALSE))</f>
        <v>0</v>
      </c>
      <c r="R118" s="14">
        <f>IF(ISNA(VLOOKUP(R$1,'peak-old'!$A$3:$DQ$20,$D118,FALSE)),0,VLOOKUP(R$1,'peak-old'!$A$3:$DQ$20,$D118,FALSE))</f>
        <v>0</v>
      </c>
      <c r="S118" s="10"/>
    </row>
    <row r="119" spans="1:19" s="8" customFormat="1" x14ac:dyDescent="0.2">
      <c r="A119" s="8">
        <f t="shared" si="14"/>
        <v>2010</v>
      </c>
      <c r="B119" s="8">
        <f t="shared" si="15"/>
        <v>9</v>
      </c>
      <c r="C119" s="9">
        <f t="shared" si="13"/>
        <v>40422</v>
      </c>
      <c r="D119" s="8">
        <f t="shared" si="16"/>
        <v>113</v>
      </c>
      <c r="E119" s="14">
        <f>IF(ISNA(VLOOKUP(E$1,'delta-old'!$A$3:$DQ$20,$D119,FALSE)),0,VLOOKUP(E$1,'delta-old'!$A$3:$DQ$20,$D119,FALSE))</f>
        <v>0</v>
      </c>
      <c r="F119" s="14">
        <f>IF(ISNA(VLOOKUP(F$1,'peak-old'!$A$3:$DQ$20,$D119,FALSE)),0,VLOOKUP(F$1,'peak-old'!$A$3:$DQ$20,$D119,FALSE))</f>
        <v>0</v>
      </c>
      <c r="G119" s="14">
        <f>IF(ISNA(VLOOKUP(G$1,'peak-old'!$A$3:$DQ$20,$D119,FALSE)),0,VLOOKUP(G$1,'peak-old'!$A$3:$DQ$20,$D119,FALSE))</f>
        <v>0</v>
      </c>
      <c r="H119" s="14">
        <f>IF(ISNA(VLOOKUP(H$1,'peak-old'!$A$3:$DQ$20,$D119,FALSE)),0,VLOOKUP(H$1,'peak-old'!$A$3:$DQ$20,$D119,FALSE))</f>
        <v>-33600</v>
      </c>
      <c r="I119" s="14">
        <f>IF(ISNA(VLOOKUP(I$1,'peak-old'!$A$3:$DQ$20,$D119,FALSE)),0,VLOOKUP(I$1,'peak-old'!$A$3:$DQ$20,$D119,FALSE))</f>
        <v>0</v>
      </c>
      <c r="J119" s="14">
        <f>IF(ISNA(VLOOKUP(J$1,'peak-old'!$A$3:$DQ$20,$D119,FALSE)),0,VLOOKUP(J$1,'peak-old'!$A$3:$DQ$20,$D119,FALSE))</f>
        <v>0</v>
      </c>
      <c r="K119" s="14">
        <f>IF(ISNA(VLOOKUP(K$1,'peak-old'!$A$3:$DQ$20,$D119,FALSE)),0,VLOOKUP(K$1,'peak-old'!$A$3:$DQ$20,$D119,FALSE))</f>
        <v>0</v>
      </c>
      <c r="L119" s="14">
        <f>IF(ISNA(VLOOKUP(L$1,'peak-old'!$A$3:$DQ$20,$D119,FALSE)),0,VLOOKUP(L$1,'peak-old'!$A$3:$DQ$20,$D119,FALSE))</f>
        <v>0</v>
      </c>
      <c r="M119" s="14">
        <f>IF(ISNA(VLOOKUP(M$1,'peak-old'!$A$3:$DQ$20,$D119,FALSE)),0,VLOOKUP(M$1,'peak-old'!$A$3:$DQ$20,$D119,FALSE))</f>
        <v>0</v>
      </c>
      <c r="N119" s="14">
        <f>IF(ISNA(VLOOKUP(N$1,'peak-old'!$A$3:$DQ$20,$D119,FALSE)),0,VLOOKUP(N$1,'peak-old'!$A$3:$DQ$20,$D119,FALSE))</f>
        <v>0</v>
      </c>
      <c r="O119" s="14">
        <f>IF(ISNA(VLOOKUP(O$1,'peak-old'!$A$3:$DQ$20,$D119,FALSE)),0,VLOOKUP(O$1,'peak-old'!$A$3:$DQ$20,$D119,FALSE))</f>
        <v>0</v>
      </c>
      <c r="P119" s="14">
        <f>IF(ISNA(VLOOKUP(P$1,'peak-old'!$A$3:$DQ$20,$D119,FALSE)),0,VLOOKUP(P$1,'peak-old'!$A$3:$DQ$20,$D119,FALSE))</f>
        <v>0</v>
      </c>
      <c r="Q119" s="15">
        <f>IF(ISNA(VLOOKUP(Q$1,'delta-old'!$A$3:$DQ$20,$D119,FALSE)),0,VLOOKUP(Q$1,'delta-old'!$A$3:$DQ$20,$D119,FALSE))</f>
        <v>0</v>
      </c>
      <c r="R119" s="14">
        <f>IF(ISNA(VLOOKUP(R$1,'peak-old'!$A$3:$DQ$20,$D119,FALSE)),0,VLOOKUP(R$1,'peak-old'!$A$3:$DQ$20,$D119,FALSE))</f>
        <v>0</v>
      </c>
      <c r="S119" s="10"/>
    </row>
    <row r="120" spans="1:19" s="8" customFormat="1" x14ac:dyDescent="0.2">
      <c r="A120" s="8">
        <f t="shared" si="14"/>
        <v>2010</v>
      </c>
      <c r="B120" s="8">
        <f t="shared" si="15"/>
        <v>10</v>
      </c>
      <c r="C120" s="9">
        <f t="shared" si="13"/>
        <v>40452</v>
      </c>
      <c r="D120" s="8">
        <f t="shared" si="16"/>
        <v>114</v>
      </c>
      <c r="E120" s="14">
        <f>IF(ISNA(VLOOKUP(E$1,'delta-old'!$A$3:$DQ$20,$D120,FALSE)),0,VLOOKUP(E$1,'delta-old'!$A$3:$DQ$20,$D120,FALSE))</f>
        <v>0</v>
      </c>
      <c r="F120" s="14">
        <f>IF(ISNA(VLOOKUP(F$1,'peak-old'!$A$3:$DQ$20,$D120,FALSE)),0,VLOOKUP(F$1,'peak-old'!$A$3:$DQ$20,$D120,FALSE))</f>
        <v>0</v>
      </c>
      <c r="G120" s="14">
        <f>IF(ISNA(VLOOKUP(G$1,'peak-old'!$A$3:$DQ$20,$D120,FALSE)),0,VLOOKUP(G$1,'peak-old'!$A$3:$DQ$20,$D120,FALSE))</f>
        <v>0</v>
      </c>
      <c r="H120" s="14">
        <f>IF(ISNA(VLOOKUP(H$1,'peak-old'!$A$3:$DQ$20,$D120,FALSE)),0,VLOOKUP(H$1,'peak-old'!$A$3:$DQ$20,$D120,FALSE))</f>
        <v>-33600</v>
      </c>
      <c r="I120" s="14">
        <f>IF(ISNA(VLOOKUP(I$1,'peak-old'!$A$3:$DQ$20,$D120,FALSE)),0,VLOOKUP(I$1,'peak-old'!$A$3:$DQ$20,$D120,FALSE))</f>
        <v>0</v>
      </c>
      <c r="J120" s="14">
        <f>IF(ISNA(VLOOKUP(J$1,'peak-old'!$A$3:$DQ$20,$D120,FALSE)),0,VLOOKUP(J$1,'peak-old'!$A$3:$DQ$20,$D120,FALSE))</f>
        <v>0</v>
      </c>
      <c r="K120" s="14">
        <f>IF(ISNA(VLOOKUP(K$1,'peak-old'!$A$3:$DQ$20,$D120,FALSE)),0,VLOOKUP(K$1,'peak-old'!$A$3:$DQ$20,$D120,FALSE))</f>
        <v>0</v>
      </c>
      <c r="L120" s="14">
        <f>IF(ISNA(VLOOKUP(L$1,'peak-old'!$A$3:$DQ$20,$D120,FALSE)),0,VLOOKUP(L$1,'peak-old'!$A$3:$DQ$20,$D120,FALSE))</f>
        <v>0</v>
      </c>
      <c r="M120" s="14">
        <f>IF(ISNA(VLOOKUP(M$1,'peak-old'!$A$3:$DQ$20,$D120,FALSE)),0,VLOOKUP(M$1,'peak-old'!$A$3:$DQ$20,$D120,FALSE))</f>
        <v>0</v>
      </c>
      <c r="N120" s="14">
        <f>IF(ISNA(VLOOKUP(N$1,'peak-old'!$A$3:$DQ$20,$D120,FALSE)),0,VLOOKUP(N$1,'peak-old'!$A$3:$DQ$20,$D120,FALSE))</f>
        <v>0</v>
      </c>
      <c r="O120" s="14">
        <f>IF(ISNA(VLOOKUP(O$1,'peak-old'!$A$3:$DQ$20,$D120,FALSE)),0,VLOOKUP(O$1,'peak-old'!$A$3:$DQ$20,$D120,FALSE))</f>
        <v>0</v>
      </c>
      <c r="P120" s="14">
        <f>IF(ISNA(VLOOKUP(P$1,'peak-old'!$A$3:$DQ$20,$D120,FALSE)),0,VLOOKUP(P$1,'peak-old'!$A$3:$DQ$20,$D120,FALSE))</f>
        <v>0</v>
      </c>
      <c r="Q120" s="15">
        <f>IF(ISNA(VLOOKUP(Q$1,'delta-old'!$A$3:$DQ$20,$D120,FALSE)),0,VLOOKUP(Q$1,'delta-old'!$A$3:$DQ$20,$D120,FALSE))</f>
        <v>0</v>
      </c>
      <c r="R120" s="14">
        <f>IF(ISNA(VLOOKUP(R$1,'peak-old'!$A$3:$DQ$20,$D120,FALSE)),0,VLOOKUP(R$1,'peak-old'!$A$3:$DQ$20,$D120,FALSE))</f>
        <v>0</v>
      </c>
      <c r="S120" s="10"/>
    </row>
    <row r="121" spans="1:19" s="8" customFormat="1" x14ac:dyDescent="0.2">
      <c r="A121" s="8">
        <f t="shared" si="14"/>
        <v>2010</v>
      </c>
      <c r="B121" s="8">
        <f t="shared" si="15"/>
        <v>11</v>
      </c>
      <c r="C121" s="9">
        <f t="shared" si="13"/>
        <v>40483</v>
      </c>
      <c r="D121" s="8">
        <f t="shared" si="16"/>
        <v>115</v>
      </c>
      <c r="E121" s="14">
        <f>IF(ISNA(VLOOKUP(E$1,'delta-old'!$A$3:$DQ$20,$D121,FALSE)),0,VLOOKUP(E$1,'delta-old'!$A$3:$DQ$20,$D121,FALSE))</f>
        <v>0</v>
      </c>
      <c r="F121" s="14">
        <f>IF(ISNA(VLOOKUP(F$1,'peak-old'!$A$3:$DQ$20,$D121,FALSE)),0,VLOOKUP(F$1,'peak-old'!$A$3:$DQ$20,$D121,FALSE))</f>
        <v>0</v>
      </c>
      <c r="G121" s="14">
        <f>IF(ISNA(VLOOKUP(G$1,'peak-old'!$A$3:$DQ$20,$D121,FALSE)),0,VLOOKUP(G$1,'peak-old'!$A$3:$DQ$20,$D121,FALSE))</f>
        <v>0</v>
      </c>
      <c r="H121" s="14">
        <f>IF(ISNA(VLOOKUP(H$1,'peak-old'!$A$3:$DQ$20,$D121,FALSE)),0,VLOOKUP(H$1,'peak-old'!$A$3:$DQ$20,$D121,FALSE))</f>
        <v>-33600</v>
      </c>
      <c r="I121" s="14">
        <f>IF(ISNA(VLOOKUP(I$1,'peak-old'!$A$3:$DQ$20,$D121,FALSE)),0,VLOOKUP(I$1,'peak-old'!$A$3:$DQ$20,$D121,FALSE))</f>
        <v>0</v>
      </c>
      <c r="J121" s="14">
        <f>IF(ISNA(VLOOKUP(J$1,'peak-old'!$A$3:$DQ$20,$D121,FALSE)),0,VLOOKUP(J$1,'peak-old'!$A$3:$DQ$20,$D121,FALSE))</f>
        <v>0</v>
      </c>
      <c r="K121" s="14">
        <f>IF(ISNA(VLOOKUP(K$1,'peak-old'!$A$3:$DQ$20,$D121,FALSE)),0,VLOOKUP(K$1,'peak-old'!$A$3:$DQ$20,$D121,FALSE))</f>
        <v>0</v>
      </c>
      <c r="L121" s="14">
        <f>IF(ISNA(VLOOKUP(L$1,'peak-old'!$A$3:$DQ$20,$D121,FALSE)),0,VLOOKUP(L$1,'peak-old'!$A$3:$DQ$20,$D121,FALSE))</f>
        <v>0</v>
      </c>
      <c r="M121" s="14">
        <f>IF(ISNA(VLOOKUP(M$1,'peak-old'!$A$3:$DQ$20,$D121,FALSE)),0,VLOOKUP(M$1,'peak-old'!$A$3:$DQ$20,$D121,FALSE))</f>
        <v>0</v>
      </c>
      <c r="N121" s="14">
        <f>IF(ISNA(VLOOKUP(N$1,'peak-old'!$A$3:$DQ$20,$D121,FALSE)),0,VLOOKUP(N$1,'peak-old'!$A$3:$DQ$20,$D121,FALSE))</f>
        <v>0</v>
      </c>
      <c r="O121" s="14">
        <f>IF(ISNA(VLOOKUP(O$1,'peak-old'!$A$3:$DQ$20,$D121,FALSE)),0,VLOOKUP(O$1,'peak-old'!$A$3:$DQ$20,$D121,FALSE))</f>
        <v>0</v>
      </c>
      <c r="P121" s="14">
        <f>IF(ISNA(VLOOKUP(P$1,'peak-old'!$A$3:$DQ$20,$D121,FALSE)),0,VLOOKUP(P$1,'peak-old'!$A$3:$DQ$20,$D121,FALSE))</f>
        <v>0</v>
      </c>
      <c r="Q121" s="15">
        <f>IF(ISNA(VLOOKUP(Q$1,'delta-old'!$A$3:$DQ$20,$D121,FALSE)),0,VLOOKUP(Q$1,'delta-old'!$A$3:$DQ$20,$D121,FALSE))</f>
        <v>0</v>
      </c>
      <c r="R121" s="14">
        <f>IF(ISNA(VLOOKUP(R$1,'peak-old'!$A$3:$DQ$20,$D121,FALSE)),0,VLOOKUP(R$1,'peak-old'!$A$3:$DQ$20,$D121,FALSE))</f>
        <v>0</v>
      </c>
      <c r="S121" s="10"/>
    </row>
    <row r="122" spans="1:19" s="8" customFormat="1" x14ac:dyDescent="0.2">
      <c r="A122" s="8">
        <f t="shared" si="14"/>
        <v>2010</v>
      </c>
      <c r="B122" s="8">
        <f t="shared" si="15"/>
        <v>12</v>
      </c>
      <c r="C122" s="9">
        <f t="shared" si="13"/>
        <v>40513</v>
      </c>
      <c r="D122" s="8">
        <f t="shared" si="16"/>
        <v>116</v>
      </c>
      <c r="E122" s="14">
        <f>IF(ISNA(VLOOKUP(E$1,'delta-old'!$A$3:$DQ$20,$D122,FALSE)),0,VLOOKUP(E$1,'delta-old'!$A$3:$DQ$20,$D122,FALSE))</f>
        <v>0</v>
      </c>
      <c r="F122" s="14">
        <f>IF(ISNA(VLOOKUP(F$1,'peak-old'!$A$3:$DQ$20,$D122,FALSE)),0,VLOOKUP(F$1,'peak-old'!$A$3:$DQ$20,$D122,FALSE))</f>
        <v>0</v>
      </c>
      <c r="G122" s="14">
        <f>IF(ISNA(VLOOKUP(G$1,'peak-old'!$A$3:$DQ$20,$D122,FALSE)),0,VLOOKUP(G$1,'peak-old'!$A$3:$DQ$20,$D122,FALSE))</f>
        <v>0</v>
      </c>
      <c r="H122" s="14">
        <f>IF(ISNA(VLOOKUP(H$1,'peak-old'!$A$3:$DQ$20,$D122,FALSE)),0,VLOOKUP(H$1,'peak-old'!$A$3:$DQ$20,$D122,FALSE))</f>
        <v>-36800</v>
      </c>
      <c r="I122" s="14">
        <f>IF(ISNA(VLOOKUP(I$1,'peak-old'!$A$3:$DQ$20,$D122,FALSE)),0,VLOOKUP(I$1,'peak-old'!$A$3:$DQ$20,$D122,FALSE))</f>
        <v>0</v>
      </c>
      <c r="J122" s="14">
        <f>IF(ISNA(VLOOKUP(J$1,'peak-old'!$A$3:$DQ$20,$D122,FALSE)),0,VLOOKUP(J$1,'peak-old'!$A$3:$DQ$20,$D122,FALSE))</f>
        <v>0</v>
      </c>
      <c r="K122" s="14">
        <f>IF(ISNA(VLOOKUP(K$1,'peak-old'!$A$3:$DQ$20,$D122,FALSE)),0,VLOOKUP(K$1,'peak-old'!$A$3:$DQ$20,$D122,FALSE))</f>
        <v>0</v>
      </c>
      <c r="L122" s="14">
        <f>IF(ISNA(VLOOKUP(L$1,'peak-old'!$A$3:$DQ$20,$D122,FALSE)),0,VLOOKUP(L$1,'peak-old'!$A$3:$DQ$20,$D122,FALSE))</f>
        <v>0</v>
      </c>
      <c r="M122" s="14">
        <f>IF(ISNA(VLOOKUP(M$1,'peak-old'!$A$3:$DQ$20,$D122,FALSE)),0,VLOOKUP(M$1,'peak-old'!$A$3:$DQ$20,$D122,FALSE))</f>
        <v>0</v>
      </c>
      <c r="N122" s="14">
        <f>IF(ISNA(VLOOKUP(N$1,'peak-old'!$A$3:$DQ$20,$D122,FALSE)),0,VLOOKUP(N$1,'peak-old'!$A$3:$DQ$20,$D122,FALSE))</f>
        <v>0</v>
      </c>
      <c r="O122" s="14">
        <f>IF(ISNA(VLOOKUP(O$1,'peak-old'!$A$3:$DQ$20,$D122,FALSE)),0,VLOOKUP(O$1,'peak-old'!$A$3:$DQ$20,$D122,FALSE))</f>
        <v>0</v>
      </c>
      <c r="P122" s="14">
        <f>IF(ISNA(VLOOKUP(P$1,'peak-old'!$A$3:$DQ$20,$D122,FALSE)),0,VLOOKUP(P$1,'peak-old'!$A$3:$DQ$20,$D122,FALSE))</f>
        <v>0</v>
      </c>
      <c r="Q122" s="15">
        <f>IF(ISNA(VLOOKUP(Q$1,'delta-old'!$A$3:$DQ$20,$D122,FALSE)),0,VLOOKUP(Q$1,'delta-old'!$A$3:$DQ$20,$D122,FALSE))</f>
        <v>0</v>
      </c>
      <c r="R122" s="14">
        <f>IF(ISNA(VLOOKUP(R$1,'peak-old'!$A$3:$DQ$20,$D122,FALSE)),0,VLOOKUP(R$1,'peak-old'!$A$3:$DQ$20,$D122,FALSE))</f>
        <v>0</v>
      </c>
      <c r="S122" s="10"/>
    </row>
    <row r="123" spans="1:19" s="8" customFormat="1" x14ac:dyDescent="0.2">
      <c r="C123" s="9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5"/>
      <c r="R123" s="14"/>
      <c r="S123" s="10"/>
    </row>
    <row r="124" spans="1:19" s="5" customFormat="1" x14ac:dyDescent="0.2">
      <c r="A124" s="5" t="s">
        <v>41</v>
      </c>
      <c r="E124" s="13" t="str">
        <f t="shared" ref="E124:R124" si="17">E$1</f>
        <v>CINERGY</v>
      </c>
      <c r="F124" s="13" t="str">
        <f t="shared" si="17"/>
        <v>Manitoba</v>
      </c>
      <c r="G124" s="13" t="str">
        <f t="shared" si="17"/>
        <v>ERCOT</v>
      </c>
      <c r="H124" s="13" t="str">
        <f t="shared" si="17"/>
        <v>INTO COMED</v>
      </c>
      <c r="I124" s="13" t="str">
        <f t="shared" si="17"/>
        <v>INTO TVA</v>
      </c>
      <c r="J124" s="13" t="str">
        <f t="shared" si="17"/>
        <v>MAPP</v>
      </c>
      <c r="K124" s="13" t="str">
        <f t="shared" si="17"/>
        <v>NEPOOL</v>
      </c>
      <c r="L124" s="13" t="str">
        <f t="shared" si="17"/>
        <v>INTO AEP</v>
      </c>
      <c r="M124" s="13" t="str">
        <f t="shared" si="17"/>
        <v>NY Zone A</v>
      </c>
      <c r="N124" s="13"/>
      <c r="O124" s="13" t="str">
        <f t="shared" si="17"/>
        <v>SOCO</v>
      </c>
      <c r="P124" s="13" t="str">
        <f t="shared" si="17"/>
        <v>NSP</v>
      </c>
      <c r="Q124" s="13" t="str">
        <f t="shared" si="17"/>
        <v>SPP</v>
      </c>
      <c r="R124" s="13" t="str">
        <f t="shared" si="17"/>
        <v>WESTERN HUB</v>
      </c>
    </row>
    <row r="125" spans="1:19" s="8" customFormat="1" x14ac:dyDescent="0.2">
      <c r="C125" s="9">
        <f t="shared" ref="C125:C156" si="18">C3</f>
        <v>36892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9" s="8" customFormat="1" x14ac:dyDescent="0.2">
      <c r="C126" s="9">
        <f t="shared" si="18"/>
        <v>36923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9" s="8" customFormat="1" x14ac:dyDescent="0.2">
      <c r="C127" s="9">
        <f t="shared" si="18"/>
        <v>36951</v>
      </c>
      <c r="E127" s="14">
        <f>E5/VLOOKUP($C127,calendar!$A$2:$D$121,4,FALSE)</f>
        <v>0</v>
      </c>
      <c r="F127" s="14">
        <f>F5/VLOOKUP($C127,calendar!$A$2:$D$121,4,FALSE)</f>
        <v>0</v>
      </c>
      <c r="G127" s="14">
        <f>G5/VLOOKUP($C127,calendar!$A$2:$D$121,4,FALSE)</f>
        <v>0</v>
      </c>
      <c r="H127" s="14">
        <f>H5/VLOOKUP($C127,calendar!$A$2:$D$121,4,FALSE)</f>
        <v>0</v>
      </c>
      <c r="I127" s="14">
        <f>I5/VLOOKUP($C127,calendar!$A$2:$D$121,4,FALSE)</f>
        <v>0</v>
      </c>
      <c r="J127" s="14">
        <f>J5/VLOOKUP($C127,calendar!$A$2:$D$121,4,FALSE)</f>
        <v>0</v>
      </c>
      <c r="K127" s="14">
        <f>K5/VLOOKUP($C127,calendar!$A$2:$D$121,4,FALSE)</f>
        <v>0</v>
      </c>
      <c r="L127" s="14">
        <f>L5/VLOOKUP($C127,calendar!$A$2:$D$121,4,FALSE)</f>
        <v>0</v>
      </c>
      <c r="M127" s="14">
        <f>M5/VLOOKUP($C127,calendar!$A$2:$D$121,4,FALSE)</f>
        <v>0</v>
      </c>
      <c r="N127" s="14"/>
      <c r="O127" s="14">
        <f>O5/VLOOKUP($C127,calendar!$A$2:$D$121,4,FALSE)</f>
        <v>0</v>
      </c>
      <c r="P127" s="14">
        <f>P5/VLOOKUP($C127,calendar!$A$2:$D$121,4,FALSE)</f>
        <v>0</v>
      </c>
      <c r="Q127" s="14">
        <f>Q5/VLOOKUP($C127,calendar!$A$2:$D$121,4,FALSE)</f>
        <v>0</v>
      </c>
      <c r="R127" s="14">
        <f>R5/VLOOKUP($C127,calendar!$A$2:$D$121,4,FALSE)</f>
        <v>0</v>
      </c>
    </row>
    <row r="128" spans="1:19" s="8" customFormat="1" x14ac:dyDescent="0.2">
      <c r="C128" s="9">
        <f t="shared" si="18"/>
        <v>36982</v>
      </c>
      <c r="E128" s="14">
        <f>E6/VLOOKUP($C128,calendar!$A$2:$D$121,4,FALSE)</f>
        <v>0</v>
      </c>
      <c r="F128" s="14">
        <f>F6/VLOOKUP($C128,calendar!$A$2:$D$121,4,FALSE)</f>
        <v>0</v>
      </c>
      <c r="G128" s="14">
        <f>G6/VLOOKUP($C128,calendar!$A$2:$D$121,4,FALSE)</f>
        <v>0</v>
      </c>
      <c r="H128" s="14">
        <f>H6/VLOOKUP($C128,calendar!$A$2:$D$121,4,FALSE)</f>
        <v>0</v>
      </c>
      <c r="I128" s="14">
        <f>I6/VLOOKUP($C128,calendar!$A$2:$D$121,4,FALSE)</f>
        <v>0</v>
      </c>
      <c r="J128" s="14">
        <f>J6/VLOOKUP($C128,calendar!$A$2:$D$121,4,FALSE)</f>
        <v>0</v>
      </c>
      <c r="K128" s="14">
        <f>K6/VLOOKUP($C128,calendar!$A$2:$D$121,4,FALSE)</f>
        <v>0</v>
      </c>
      <c r="L128" s="14">
        <f>L6/VLOOKUP($C128,calendar!$A$2:$D$121,4,FALSE)</f>
        <v>0</v>
      </c>
      <c r="M128" s="14">
        <f>M6/VLOOKUP($C128,calendar!$A$2:$D$121,4,FALSE)</f>
        <v>0</v>
      </c>
      <c r="N128" s="14"/>
      <c r="O128" s="14">
        <f>O6/VLOOKUP($C128,calendar!$A$2:$D$121,4,FALSE)</f>
        <v>0</v>
      </c>
      <c r="P128" s="14">
        <f>P6/VLOOKUP($C128,calendar!$A$2:$D$121,4,FALSE)</f>
        <v>0</v>
      </c>
      <c r="Q128" s="14">
        <f>Q6/VLOOKUP($C128,calendar!$A$2:$D$121,4,FALSE)</f>
        <v>0</v>
      </c>
      <c r="R128" s="14">
        <f>R6/VLOOKUP($C128,calendar!$A$2:$D$121,4,FALSE)</f>
        <v>0</v>
      </c>
    </row>
    <row r="129" spans="3:18" s="8" customFormat="1" x14ac:dyDescent="0.2">
      <c r="C129" s="9">
        <f t="shared" si="18"/>
        <v>37012</v>
      </c>
      <c r="E129" s="14">
        <f>E7/VLOOKUP($C129,calendar!$A$2:$D$121,4,FALSE)</f>
        <v>0</v>
      </c>
      <c r="F129" s="14">
        <f>F7/VLOOKUP($C129,calendar!$A$2:$D$121,4,FALSE)</f>
        <v>0</v>
      </c>
      <c r="G129" s="14">
        <f>G7/VLOOKUP($C129,calendar!$A$2:$D$121,4,FALSE)</f>
        <v>0</v>
      </c>
      <c r="H129" s="14">
        <f>H7/VLOOKUP($C129,calendar!$A$2:$D$121,4,FALSE)</f>
        <v>0</v>
      </c>
      <c r="I129" s="14">
        <f>I7/VLOOKUP($C129,calendar!$A$2:$D$121,4,FALSE)</f>
        <v>0</v>
      </c>
      <c r="J129" s="14">
        <f>J7/VLOOKUP($C129,calendar!$A$2:$D$121,4,FALSE)</f>
        <v>0</v>
      </c>
      <c r="K129" s="14">
        <f>K7/VLOOKUP($C129,calendar!$A$2:$D$121,4,FALSE)</f>
        <v>0</v>
      </c>
      <c r="L129" s="14">
        <f>L7/VLOOKUP($C129,calendar!$A$2:$D$121,4,FALSE)</f>
        <v>0</v>
      </c>
      <c r="M129" s="14">
        <f>M7/VLOOKUP($C129,calendar!$A$2:$D$121,4,FALSE)</f>
        <v>0</v>
      </c>
      <c r="N129" s="14"/>
      <c r="O129" s="14">
        <f>O7/VLOOKUP($C129,calendar!$A$2:$D$121,4,FALSE)</f>
        <v>0</v>
      </c>
      <c r="P129" s="14">
        <f>P7/VLOOKUP($C129,calendar!$A$2:$D$121,4,FALSE)</f>
        <v>0</v>
      </c>
      <c r="Q129" s="14">
        <f>Q7/VLOOKUP($C129,calendar!$A$2:$D$121,4,FALSE)</f>
        <v>0</v>
      </c>
      <c r="R129" s="14">
        <f>R7/VLOOKUP($C129,calendar!$A$2:$D$121,4,FALSE)</f>
        <v>0</v>
      </c>
    </row>
    <row r="130" spans="3:18" s="8" customFormat="1" x14ac:dyDescent="0.2">
      <c r="C130" s="9">
        <f t="shared" si="18"/>
        <v>37043</v>
      </c>
      <c r="E130" s="14">
        <f>E8/VLOOKUP($C130,calendar!$A$2:$D$121,4,FALSE)</f>
        <v>-384.29113095238097</v>
      </c>
      <c r="F130" s="14">
        <f>F8/VLOOKUP($C130,calendar!$A$2:$D$121,4,FALSE)</f>
        <v>0</v>
      </c>
      <c r="G130" s="14">
        <f>G8/VLOOKUP($C130,calendar!$A$2:$D$121,4,FALSE)</f>
        <v>0</v>
      </c>
      <c r="H130" s="14">
        <f>H8/VLOOKUP($C130,calendar!$A$2:$D$121,4,FALSE)</f>
        <v>-161.9047619047619</v>
      </c>
      <c r="I130" s="14">
        <f>I8/VLOOKUP($C130,calendar!$A$2:$D$121,4,FALSE)</f>
        <v>121.42857142857143</v>
      </c>
      <c r="J130" s="14">
        <f>J8/VLOOKUP($C130,calendar!$A$2:$D$121,4,FALSE)</f>
        <v>80.952380952380949</v>
      </c>
      <c r="K130" s="14">
        <f>K8/VLOOKUP($C130,calendar!$A$2:$D$121,4,FALSE)</f>
        <v>0</v>
      </c>
      <c r="L130" s="14">
        <f>L8/VLOOKUP($C130,calendar!$A$2:$D$121,4,FALSE)</f>
        <v>0</v>
      </c>
      <c r="M130" s="14">
        <f>M8/VLOOKUP($C130,calendar!$A$2:$D$121,4,FALSE)</f>
        <v>0</v>
      </c>
      <c r="N130" s="14"/>
      <c r="O130" s="14">
        <f>O8/VLOOKUP($C130,calendar!$A$2:$D$121,4,FALSE)</f>
        <v>0</v>
      </c>
      <c r="P130" s="14">
        <f>P8/VLOOKUP($C130,calendar!$A$2:$D$121,4,FALSE)</f>
        <v>0</v>
      </c>
      <c r="Q130" s="14">
        <f>Q8/VLOOKUP($C130,calendar!$A$2:$D$121,4,FALSE)</f>
        <v>84.621220238095233</v>
      </c>
      <c r="R130" s="14">
        <f>R8/VLOOKUP($C130,calendar!$A$2:$D$121,4,FALSE)</f>
        <v>276.1904761904762</v>
      </c>
    </row>
    <row r="131" spans="3:18" s="8" customFormat="1" x14ac:dyDescent="0.2">
      <c r="C131" s="9">
        <f t="shared" si="18"/>
        <v>37073</v>
      </c>
      <c r="E131" s="14">
        <f>E9/VLOOKUP($C131,calendar!$A$2:$D$121,4,FALSE)</f>
        <v>-186.70833333333334</v>
      </c>
      <c r="F131" s="14">
        <f>F9/VLOOKUP($C131,calendar!$A$2:$D$121,4,FALSE)</f>
        <v>0</v>
      </c>
      <c r="G131" s="14">
        <f>G9/VLOOKUP($C131,calendar!$A$2:$D$121,4,FALSE)</f>
        <v>0</v>
      </c>
      <c r="H131" s="14">
        <f>H9/VLOOKUP($C131,calendar!$A$2:$D$121,4,FALSE)</f>
        <v>-650</v>
      </c>
      <c r="I131" s="14">
        <f>I9/VLOOKUP($C131,calendar!$A$2:$D$121,4,FALSE)</f>
        <v>0</v>
      </c>
      <c r="J131" s="14">
        <f>J9/VLOOKUP($C131,calendar!$A$2:$D$121,4,FALSE)</f>
        <v>100</v>
      </c>
      <c r="K131" s="14">
        <f>K9/VLOOKUP($C131,calendar!$A$2:$D$121,4,FALSE)</f>
        <v>0</v>
      </c>
      <c r="L131" s="14">
        <f>L9/VLOOKUP($C131,calendar!$A$2:$D$121,4,FALSE)</f>
        <v>0</v>
      </c>
      <c r="M131" s="14">
        <f>M9/VLOOKUP($C131,calendar!$A$2:$D$121,4,FALSE)</f>
        <v>0</v>
      </c>
      <c r="N131" s="14"/>
      <c r="O131" s="14">
        <f>O9/VLOOKUP($C131,calendar!$A$2:$D$121,4,FALSE)</f>
        <v>0</v>
      </c>
      <c r="P131" s="14">
        <f>P9/VLOOKUP($C131,calendar!$A$2:$D$121,4,FALSE)</f>
        <v>0</v>
      </c>
      <c r="Q131" s="14">
        <f>Q9/VLOOKUP($C131,calendar!$A$2:$D$121,4,FALSE)</f>
        <v>-8.0880952380952387</v>
      </c>
      <c r="R131" s="14">
        <f>R9/VLOOKUP($C131,calendar!$A$2:$D$121,4,FALSE)</f>
        <v>100</v>
      </c>
    </row>
    <row r="132" spans="3:18" s="8" customFormat="1" x14ac:dyDescent="0.2">
      <c r="C132" s="9">
        <f t="shared" si="18"/>
        <v>37104</v>
      </c>
      <c r="E132" s="14">
        <f>E10/VLOOKUP($C132,calendar!$A$2:$D$121,4,FALSE)</f>
        <v>-1214.4989945652173</v>
      </c>
      <c r="F132" s="14">
        <f>F10/VLOOKUP($C132,calendar!$A$2:$D$121,4,FALSE)</f>
        <v>0</v>
      </c>
      <c r="G132" s="14">
        <f>G10/VLOOKUP($C132,calendar!$A$2:$D$121,4,FALSE)</f>
        <v>0</v>
      </c>
      <c r="H132" s="14">
        <f>H10/VLOOKUP($C132,calendar!$A$2:$D$121,4,FALSE)</f>
        <v>-450</v>
      </c>
      <c r="I132" s="14">
        <f>I10/VLOOKUP($C132,calendar!$A$2:$D$121,4,FALSE)</f>
        <v>0</v>
      </c>
      <c r="J132" s="14">
        <f>J10/VLOOKUP($C132,calendar!$A$2:$D$121,4,FALSE)</f>
        <v>100</v>
      </c>
      <c r="K132" s="14">
        <f>K10/VLOOKUP($C132,calendar!$A$2:$D$121,4,FALSE)</f>
        <v>0</v>
      </c>
      <c r="L132" s="14">
        <f>L10/VLOOKUP($C132,calendar!$A$2:$D$121,4,FALSE)</f>
        <v>0</v>
      </c>
      <c r="M132" s="14">
        <f>M10/VLOOKUP($C132,calendar!$A$2:$D$121,4,FALSE)</f>
        <v>0</v>
      </c>
      <c r="N132" s="14"/>
      <c r="O132" s="14">
        <f>O10/VLOOKUP($C132,calendar!$A$2:$D$121,4,FALSE)</f>
        <v>0</v>
      </c>
      <c r="P132" s="14">
        <f>P10/VLOOKUP($C132,calendar!$A$2:$D$121,4,FALSE)</f>
        <v>0</v>
      </c>
      <c r="Q132" s="14">
        <f>Q10/VLOOKUP($C132,calendar!$A$2:$D$121,4,FALSE)</f>
        <v>-113.14817934782609</v>
      </c>
      <c r="R132" s="14">
        <f>R10/VLOOKUP($C132,calendar!$A$2:$D$121,4,FALSE)</f>
        <v>100</v>
      </c>
    </row>
    <row r="133" spans="3:18" s="8" customFormat="1" x14ac:dyDescent="0.2">
      <c r="C133" s="9">
        <f t="shared" si="18"/>
        <v>37135</v>
      </c>
      <c r="E133" s="14">
        <f>E11/VLOOKUP($C133,calendar!$A$2:$D$121,4,FALSE)</f>
        <v>1439.225625</v>
      </c>
      <c r="F133" s="14">
        <f>F11/VLOOKUP($C133,calendar!$A$2:$D$121,4,FALSE)</f>
        <v>0</v>
      </c>
      <c r="G133" s="14">
        <f>G11/VLOOKUP($C133,calendar!$A$2:$D$121,4,FALSE)</f>
        <v>0</v>
      </c>
      <c r="H133" s="14">
        <f>H11/VLOOKUP($C133,calendar!$A$2:$D$121,4,FALSE)</f>
        <v>-370</v>
      </c>
      <c r="I133" s="14">
        <f>I11/VLOOKUP($C133,calendar!$A$2:$D$121,4,FALSE)</f>
        <v>-300</v>
      </c>
      <c r="J133" s="14">
        <f>J11/VLOOKUP($C133,calendar!$A$2:$D$121,4,FALSE)</f>
        <v>100</v>
      </c>
      <c r="K133" s="14">
        <f>K11/VLOOKUP($C133,calendar!$A$2:$D$121,4,FALSE)</f>
        <v>0</v>
      </c>
      <c r="L133" s="14">
        <f>L11/VLOOKUP($C133,calendar!$A$2:$D$121,4,FALSE)</f>
        <v>0</v>
      </c>
      <c r="M133" s="14">
        <f>M11/VLOOKUP($C133,calendar!$A$2:$D$121,4,FALSE)</f>
        <v>0</v>
      </c>
      <c r="N133" s="14"/>
      <c r="O133" s="14">
        <f>O11/VLOOKUP($C133,calendar!$A$2:$D$121,4,FALSE)</f>
        <v>0</v>
      </c>
      <c r="P133" s="14">
        <f>P11/VLOOKUP($C133,calendar!$A$2:$D$121,4,FALSE)</f>
        <v>0</v>
      </c>
      <c r="Q133" s="14">
        <f>Q11/VLOOKUP($C133,calendar!$A$2:$D$121,4,FALSE)</f>
        <v>-837.4473684210526</v>
      </c>
      <c r="R133" s="14">
        <f>R11/VLOOKUP($C133,calendar!$A$2:$D$121,4,FALSE)</f>
        <v>-850</v>
      </c>
    </row>
    <row r="134" spans="3:18" s="8" customFormat="1" x14ac:dyDescent="0.2">
      <c r="C134" s="9">
        <f t="shared" si="18"/>
        <v>37165</v>
      </c>
      <c r="E134" s="14">
        <f>E12/VLOOKUP($C134,calendar!$A$2:$D$121,4,FALSE)</f>
        <v>1090.8497010869564</v>
      </c>
      <c r="F134" s="14">
        <f>F12/VLOOKUP($C134,calendar!$A$2:$D$121,4,FALSE)</f>
        <v>0</v>
      </c>
      <c r="G134" s="14">
        <f>G12/VLOOKUP($C134,calendar!$A$2:$D$121,4,FALSE)</f>
        <v>0</v>
      </c>
      <c r="H134" s="14">
        <f>H12/VLOOKUP($C134,calendar!$A$2:$D$121,4,FALSE)</f>
        <v>-220</v>
      </c>
      <c r="I134" s="14">
        <f>I12/VLOOKUP($C134,calendar!$A$2:$D$121,4,FALSE)</f>
        <v>50</v>
      </c>
      <c r="J134" s="14">
        <f>J12/VLOOKUP($C134,calendar!$A$2:$D$121,4,FALSE)</f>
        <v>100</v>
      </c>
      <c r="K134" s="14">
        <f>K12/VLOOKUP($C134,calendar!$A$2:$D$121,4,FALSE)</f>
        <v>0</v>
      </c>
      <c r="L134" s="14">
        <f>L12/VLOOKUP($C134,calendar!$A$2:$D$121,4,FALSE)</f>
        <v>0</v>
      </c>
      <c r="M134" s="14">
        <f>M12/VLOOKUP($C134,calendar!$A$2:$D$121,4,FALSE)</f>
        <v>0</v>
      </c>
      <c r="N134" s="14"/>
      <c r="O134" s="14">
        <f>O12/VLOOKUP($C134,calendar!$A$2:$D$121,4,FALSE)</f>
        <v>0</v>
      </c>
      <c r="P134" s="14">
        <f>P12/VLOOKUP($C134,calendar!$A$2:$D$121,4,FALSE)</f>
        <v>0</v>
      </c>
      <c r="Q134" s="14">
        <f>Q12/VLOOKUP($C134,calendar!$A$2:$D$121,4,FALSE)</f>
        <v>0</v>
      </c>
      <c r="R134" s="14">
        <f>R12/VLOOKUP($C134,calendar!$A$2:$D$121,4,FALSE)</f>
        <v>-50</v>
      </c>
    </row>
    <row r="135" spans="3:18" s="8" customFormat="1" x14ac:dyDescent="0.2">
      <c r="C135" s="9">
        <f t="shared" si="18"/>
        <v>37196</v>
      </c>
      <c r="E135" s="14">
        <f>E13/VLOOKUP($C135,calendar!$A$2:$D$121,4,FALSE)</f>
        <v>1061.8645238095237</v>
      </c>
      <c r="F135" s="14">
        <f>F13/VLOOKUP($C135,calendar!$A$2:$D$121,4,FALSE)</f>
        <v>0</v>
      </c>
      <c r="G135" s="14">
        <f>G13/VLOOKUP($C135,calendar!$A$2:$D$121,4,FALSE)</f>
        <v>0</v>
      </c>
      <c r="H135" s="14">
        <f>H13/VLOOKUP($C135,calendar!$A$2:$D$121,4,FALSE)</f>
        <v>-220</v>
      </c>
      <c r="I135" s="14">
        <f>I13/VLOOKUP($C135,calendar!$A$2:$D$121,4,FALSE)</f>
        <v>50</v>
      </c>
      <c r="J135" s="14">
        <f>J13/VLOOKUP($C135,calendar!$A$2:$D$121,4,FALSE)</f>
        <v>0</v>
      </c>
      <c r="K135" s="14">
        <f>K13/VLOOKUP($C135,calendar!$A$2:$D$121,4,FALSE)</f>
        <v>0</v>
      </c>
      <c r="L135" s="14">
        <f>L13/VLOOKUP($C135,calendar!$A$2:$D$121,4,FALSE)</f>
        <v>0</v>
      </c>
      <c r="M135" s="14">
        <f>M13/VLOOKUP($C135,calendar!$A$2:$D$121,4,FALSE)</f>
        <v>0</v>
      </c>
      <c r="N135" s="14"/>
      <c r="O135" s="14">
        <f>O13/VLOOKUP($C135,calendar!$A$2:$D$121,4,FALSE)</f>
        <v>0</v>
      </c>
      <c r="P135" s="14">
        <f>P13/VLOOKUP($C135,calendar!$A$2:$D$121,4,FALSE)</f>
        <v>0</v>
      </c>
      <c r="Q135" s="14">
        <f>Q13/VLOOKUP($C135,calendar!$A$2:$D$121,4,FALSE)</f>
        <v>0</v>
      </c>
      <c r="R135" s="14">
        <f>R13/VLOOKUP($C135,calendar!$A$2:$D$121,4,FALSE)</f>
        <v>-50</v>
      </c>
    </row>
    <row r="136" spans="3:18" s="8" customFormat="1" x14ac:dyDescent="0.2">
      <c r="C136" s="9">
        <f t="shared" si="18"/>
        <v>37226</v>
      </c>
      <c r="E136" s="14">
        <f>E14/VLOOKUP($C136,calendar!$A$2:$D$121,4,FALSE)</f>
        <v>1177.01965625</v>
      </c>
      <c r="F136" s="14">
        <f>F14/VLOOKUP($C136,calendar!$A$2:$D$121,4,FALSE)</f>
        <v>0</v>
      </c>
      <c r="G136" s="14">
        <f>G14/VLOOKUP($C136,calendar!$A$2:$D$121,4,FALSE)</f>
        <v>0</v>
      </c>
      <c r="H136" s="14">
        <f>H14/VLOOKUP($C136,calendar!$A$2:$D$121,4,FALSE)</f>
        <v>-222.5</v>
      </c>
      <c r="I136" s="14">
        <f>I14/VLOOKUP($C136,calendar!$A$2:$D$121,4,FALSE)</f>
        <v>50</v>
      </c>
      <c r="J136" s="14">
        <f>J14/VLOOKUP($C136,calendar!$A$2:$D$121,4,FALSE)</f>
        <v>0</v>
      </c>
      <c r="K136" s="14">
        <f>K14/VLOOKUP($C136,calendar!$A$2:$D$121,4,FALSE)</f>
        <v>0</v>
      </c>
      <c r="L136" s="14">
        <f>L14/VLOOKUP($C136,calendar!$A$2:$D$121,4,FALSE)</f>
        <v>0</v>
      </c>
      <c r="M136" s="14">
        <f>M14/VLOOKUP($C136,calendar!$A$2:$D$121,4,FALSE)</f>
        <v>0</v>
      </c>
      <c r="N136" s="14"/>
      <c r="O136" s="14">
        <f>O14/VLOOKUP($C136,calendar!$A$2:$D$121,4,FALSE)</f>
        <v>0</v>
      </c>
      <c r="P136" s="14">
        <f>P14/VLOOKUP($C136,calendar!$A$2:$D$121,4,FALSE)</f>
        <v>0</v>
      </c>
      <c r="Q136" s="14">
        <f>Q14/VLOOKUP($C136,calendar!$A$2:$D$121,4,FALSE)</f>
        <v>0</v>
      </c>
      <c r="R136" s="14">
        <f>R14/VLOOKUP($C136,calendar!$A$2:$D$121,4,FALSE)</f>
        <v>-50</v>
      </c>
    </row>
    <row r="137" spans="3:18" s="8" customFormat="1" x14ac:dyDescent="0.2">
      <c r="C137" s="9">
        <f t="shared" si="18"/>
        <v>37257</v>
      </c>
      <c r="E137" s="14">
        <f>E15/VLOOKUP($C137,calendar!$A$2:$D$121,4,FALSE)</f>
        <v>1626.0316193181818</v>
      </c>
      <c r="F137" s="14">
        <f>F15/VLOOKUP($C137,calendar!$A$2:$D$121,4,FALSE)</f>
        <v>0</v>
      </c>
      <c r="G137" s="14">
        <f>G15/VLOOKUP($C137,calendar!$A$2:$D$121,4,FALSE)</f>
        <v>0</v>
      </c>
      <c r="H137" s="14">
        <f>H15/VLOOKUP($C137,calendar!$A$2:$D$121,4,FALSE)</f>
        <v>-1370</v>
      </c>
      <c r="I137" s="14">
        <f>I15/VLOOKUP($C137,calendar!$A$2:$D$121,4,FALSE)</f>
        <v>-50</v>
      </c>
      <c r="J137" s="14">
        <f>J15/VLOOKUP($C137,calendar!$A$2:$D$121,4,FALSE)</f>
        <v>0</v>
      </c>
      <c r="K137" s="14">
        <f>K15/VLOOKUP($C137,calendar!$A$2:$D$121,4,FALSE)</f>
        <v>0</v>
      </c>
      <c r="L137" s="14">
        <f>L15/VLOOKUP($C137,calendar!$A$2:$D$121,4,FALSE)</f>
        <v>0</v>
      </c>
      <c r="M137" s="14">
        <f>M15/VLOOKUP($C137,calendar!$A$2:$D$121,4,FALSE)</f>
        <v>0</v>
      </c>
      <c r="N137" s="14"/>
      <c r="O137" s="14">
        <f>O15/VLOOKUP($C137,calendar!$A$2:$D$121,4,FALSE)</f>
        <v>0</v>
      </c>
      <c r="P137" s="14">
        <f>P15/VLOOKUP($C137,calendar!$A$2:$D$121,4,FALSE)</f>
        <v>0</v>
      </c>
      <c r="Q137" s="14">
        <f>Q15/VLOOKUP($C137,calendar!$A$2:$D$121,4,FALSE)</f>
        <v>194.38514204545456</v>
      </c>
      <c r="R137" s="14">
        <f>R15/VLOOKUP($C137,calendar!$A$2:$D$121,4,FALSE)</f>
        <v>-500</v>
      </c>
    </row>
    <row r="138" spans="3:18" s="8" customFormat="1" x14ac:dyDescent="0.2">
      <c r="C138" s="9">
        <f t="shared" si="18"/>
        <v>37288</v>
      </c>
      <c r="E138" s="14">
        <f>E16/VLOOKUP($C138,calendar!$A$2:$D$121,4,FALSE)</f>
        <v>1620.6893749999999</v>
      </c>
      <c r="F138" s="14">
        <f>F16/VLOOKUP($C138,calendar!$A$2:$D$121,4,FALSE)</f>
        <v>0</v>
      </c>
      <c r="G138" s="14">
        <f>G16/VLOOKUP($C138,calendar!$A$2:$D$121,4,FALSE)</f>
        <v>0</v>
      </c>
      <c r="H138" s="14">
        <f>H16/VLOOKUP($C138,calendar!$A$2:$D$121,4,FALSE)</f>
        <v>-1370</v>
      </c>
      <c r="I138" s="14">
        <f>I16/VLOOKUP($C138,calendar!$A$2:$D$121,4,FALSE)</f>
        <v>-50</v>
      </c>
      <c r="J138" s="14">
        <f>J16/VLOOKUP($C138,calendar!$A$2:$D$121,4,FALSE)</f>
        <v>0</v>
      </c>
      <c r="K138" s="14">
        <f>K16/VLOOKUP($C138,calendar!$A$2:$D$121,4,FALSE)</f>
        <v>0</v>
      </c>
      <c r="L138" s="14">
        <f>L16/VLOOKUP($C138,calendar!$A$2:$D$121,4,FALSE)</f>
        <v>0</v>
      </c>
      <c r="M138" s="14">
        <f>M16/VLOOKUP($C138,calendar!$A$2:$D$121,4,FALSE)</f>
        <v>0</v>
      </c>
      <c r="N138" s="14"/>
      <c r="O138" s="14">
        <f>O16/VLOOKUP($C138,calendar!$A$2:$D$121,4,FALSE)</f>
        <v>0</v>
      </c>
      <c r="P138" s="14">
        <f>P16/VLOOKUP($C138,calendar!$A$2:$D$121,4,FALSE)</f>
        <v>0</v>
      </c>
      <c r="Q138" s="14">
        <f>Q16/VLOOKUP($C138,calendar!$A$2:$D$121,4,FALSE)</f>
        <v>193.7465</v>
      </c>
      <c r="R138" s="14">
        <f>R16/VLOOKUP($C138,calendar!$A$2:$D$121,4,FALSE)</f>
        <v>-500</v>
      </c>
    </row>
    <row r="139" spans="3:18" s="8" customFormat="1" x14ac:dyDescent="0.2">
      <c r="C139" s="9">
        <f t="shared" si="18"/>
        <v>37316</v>
      </c>
      <c r="E139" s="14">
        <f>E17/VLOOKUP($C139,calendar!$A$2:$D$121,4,FALSE)</f>
        <v>-460.45991071428568</v>
      </c>
      <c r="F139" s="14">
        <f>F17/VLOOKUP($C139,calendar!$A$2:$D$121,4,FALSE)</f>
        <v>0</v>
      </c>
      <c r="G139" s="14">
        <f>G17/VLOOKUP($C139,calendar!$A$2:$D$121,4,FALSE)</f>
        <v>0</v>
      </c>
      <c r="H139" s="14">
        <f>H17/VLOOKUP($C139,calendar!$A$2:$D$121,4,FALSE)</f>
        <v>-470</v>
      </c>
      <c r="I139" s="14">
        <f>I17/VLOOKUP($C139,calendar!$A$2:$D$121,4,FALSE)</f>
        <v>0</v>
      </c>
      <c r="J139" s="14">
        <f>J17/VLOOKUP($C139,calendar!$A$2:$D$121,4,FALSE)</f>
        <v>0</v>
      </c>
      <c r="K139" s="14">
        <f>K17/VLOOKUP($C139,calendar!$A$2:$D$121,4,FALSE)</f>
        <v>0</v>
      </c>
      <c r="L139" s="14">
        <f>L17/VLOOKUP($C139,calendar!$A$2:$D$121,4,FALSE)</f>
        <v>0</v>
      </c>
      <c r="M139" s="14">
        <f>M17/VLOOKUP($C139,calendar!$A$2:$D$121,4,FALSE)</f>
        <v>0</v>
      </c>
      <c r="N139" s="14"/>
      <c r="O139" s="14">
        <f>O17/VLOOKUP($C139,calendar!$A$2:$D$121,4,FALSE)</f>
        <v>0</v>
      </c>
      <c r="P139" s="14">
        <f>P17/VLOOKUP($C139,calendar!$A$2:$D$121,4,FALSE)</f>
        <v>0</v>
      </c>
      <c r="Q139" s="14">
        <f>Q17/VLOOKUP($C139,calendar!$A$2:$D$121,4,FALSE)</f>
        <v>-96.514166666666668</v>
      </c>
      <c r="R139" s="14">
        <f>R17/VLOOKUP($C139,calendar!$A$2:$D$121,4,FALSE)</f>
        <v>0</v>
      </c>
    </row>
    <row r="140" spans="3:18" s="8" customFormat="1" x14ac:dyDescent="0.2">
      <c r="C140" s="9">
        <f t="shared" si="18"/>
        <v>37347</v>
      </c>
      <c r="E140" s="14">
        <f>E18/VLOOKUP($C140,calendar!$A$2:$D$121,4,FALSE)</f>
        <v>-458.76897727272723</v>
      </c>
      <c r="F140" s="14">
        <f>F18/VLOOKUP($C140,calendar!$A$2:$D$121,4,FALSE)</f>
        <v>0</v>
      </c>
      <c r="G140" s="14">
        <f>G18/VLOOKUP($C140,calendar!$A$2:$D$121,4,FALSE)</f>
        <v>0</v>
      </c>
      <c r="H140" s="14">
        <f>H18/VLOOKUP($C140,calendar!$A$2:$D$121,4,FALSE)</f>
        <v>-470</v>
      </c>
      <c r="I140" s="14">
        <f>I18/VLOOKUP($C140,calendar!$A$2:$D$121,4,FALSE)</f>
        <v>0</v>
      </c>
      <c r="J140" s="14">
        <f>J18/VLOOKUP($C140,calendar!$A$2:$D$121,4,FALSE)</f>
        <v>0</v>
      </c>
      <c r="K140" s="14">
        <f>K18/VLOOKUP($C140,calendar!$A$2:$D$121,4,FALSE)</f>
        <v>0</v>
      </c>
      <c r="L140" s="14">
        <f>L18/VLOOKUP($C140,calendar!$A$2:$D$121,4,FALSE)</f>
        <v>0</v>
      </c>
      <c r="M140" s="14">
        <f>M18/VLOOKUP($C140,calendar!$A$2:$D$121,4,FALSE)</f>
        <v>0</v>
      </c>
      <c r="N140" s="14"/>
      <c r="O140" s="14">
        <f>O18/VLOOKUP($C140,calendar!$A$2:$D$121,4,FALSE)</f>
        <v>0</v>
      </c>
      <c r="P140" s="14">
        <f>P18/VLOOKUP($C140,calendar!$A$2:$D$121,4,FALSE)</f>
        <v>0</v>
      </c>
      <c r="Q140" s="14">
        <f>Q18/VLOOKUP($C140,calendar!$A$2:$D$121,4,FALSE)</f>
        <v>48.080965909090907</v>
      </c>
      <c r="R140" s="14">
        <f>R18/VLOOKUP($C140,calendar!$A$2:$D$121,4,FALSE)</f>
        <v>0</v>
      </c>
    </row>
    <row r="141" spans="3:18" s="8" customFormat="1" x14ac:dyDescent="0.2">
      <c r="C141" s="9">
        <f t="shared" si="18"/>
        <v>37377</v>
      </c>
      <c r="E141" s="14">
        <f>E19/VLOOKUP($C141,calendar!$A$2:$D$121,4,FALSE)</f>
        <v>-888.06707386363632</v>
      </c>
      <c r="F141" s="14">
        <f>F19/VLOOKUP($C141,calendar!$A$2:$D$121,4,FALSE)</f>
        <v>0</v>
      </c>
      <c r="G141" s="14">
        <f>G19/VLOOKUP($C141,calendar!$A$2:$D$121,4,FALSE)</f>
        <v>0</v>
      </c>
      <c r="H141" s="14">
        <f>H19/VLOOKUP($C141,calendar!$A$2:$D$121,4,FALSE)</f>
        <v>-270</v>
      </c>
      <c r="I141" s="14">
        <f>I19/VLOOKUP($C141,calendar!$A$2:$D$121,4,FALSE)</f>
        <v>0</v>
      </c>
      <c r="J141" s="14">
        <f>J19/VLOOKUP($C141,calendar!$A$2:$D$121,4,FALSE)</f>
        <v>0</v>
      </c>
      <c r="K141" s="14">
        <f>K19/VLOOKUP($C141,calendar!$A$2:$D$121,4,FALSE)</f>
        <v>0</v>
      </c>
      <c r="L141" s="14">
        <f>L19/VLOOKUP($C141,calendar!$A$2:$D$121,4,FALSE)</f>
        <v>0</v>
      </c>
      <c r="M141" s="14">
        <f>M19/VLOOKUP($C141,calendar!$A$2:$D$121,4,FALSE)</f>
        <v>0</v>
      </c>
      <c r="N141" s="14"/>
      <c r="O141" s="14">
        <f>O19/VLOOKUP($C141,calendar!$A$2:$D$121,4,FALSE)</f>
        <v>0</v>
      </c>
      <c r="P141" s="14">
        <f>P19/VLOOKUP($C141,calendar!$A$2:$D$121,4,FALSE)</f>
        <v>0</v>
      </c>
      <c r="Q141" s="14">
        <f>Q19/VLOOKUP($C141,calendar!$A$2:$D$121,4,FALSE)</f>
        <v>95.791676136363634</v>
      </c>
      <c r="R141" s="14">
        <f>R19/VLOOKUP($C141,calendar!$A$2:$D$121,4,FALSE)</f>
        <v>0</v>
      </c>
    </row>
    <row r="142" spans="3:18" s="8" customFormat="1" x14ac:dyDescent="0.2">
      <c r="C142" s="9">
        <f t="shared" si="18"/>
        <v>37408</v>
      </c>
      <c r="E142" s="14">
        <f>E20/VLOOKUP($C142,calendar!$A$2:$D$121,4,FALSE)</f>
        <v>-1934.3218750000001</v>
      </c>
      <c r="F142" s="14">
        <f>F20/VLOOKUP($C142,calendar!$A$2:$D$121,4,FALSE)</f>
        <v>0</v>
      </c>
      <c r="G142" s="14">
        <f>G20/VLOOKUP($C142,calendar!$A$2:$D$121,4,FALSE)</f>
        <v>250</v>
      </c>
      <c r="H142" s="14">
        <f>H20/VLOOKUP($C142,calendar!$A$2:$D$121,4,FALSE)</f>
        <v>-200</v>
      </c>
      <c r="I142" s="14">
        <f>I20/VLOOKUP($C142,calendar!$A$2:$D$121,4,FALSE)</f>
        <v>0</v>
      </c>
      <c r="J142" s="14">
        <f>J20/VLOOKUP($C142,calendar!$A$2:$D$121,4,FALSE)</f>
        <v>0</v>
      </c>
      <c r="K142" s="14">
        <f>K20/VLOOKUP($C142,calendar!$A$2:$D$121,4,FALSE)</f>
        <v>0</v>
      </c>
      <c r="L142" s="14">
        <f>L20/VLOOKUP($C142,calendar!$A$2:$D$121,4,FALSE)</f>
        <v>0</v>
      </c>
      <c r="M142" s="14">
        <f>M20/VLOOKUP($C142,calendar!$A$2:$D$121,4,FALSE)</f>
        <v>0</v>
      </c>
      <c r="N142" s="14"/>
      <c r="O142" s="14">
        <f>O20/VLOOKUP($C142,calendar!$A$2:$D$121,4,FALSE)</f>
        <v>0</v>
      </c>
      <c r="P142" s="14">
        <f>P20/VLOOKUP($C142,calendar!$A$2:$D$121,4,FALSE)</f>
        <v>0</v>
      </c>
      <c r="Q142" s="14">
        <f>Q20/VLOOKUP($C142,calendar!$A$2:$D$121,4,FALSE)</f>
        <v>381.69662499999998</v>
      </c>
      <c r="R142" s="14">
        <f>R20/VLOOKUP($C142,calendar!$A$2:$D$121,4,FALSE)</f>
        <v>0</v>
      </c>
    </row>
    <row r="143" spans="3:18" s="8" customFormat="1" x14ac:dyDescent="0.2">
      <c r="C143" s="9">
        <f t="shared" si="18"/>
        <v>37438</v>
      </c>
      <c r="E143" s="14">
        <f>E21/VLOOKUP($C143,calendar!$A$2:$D$121,4,FALSE)</f>
        <v>-654.95142045454543</v>
      </c>
      <c r="F143" s="14">
        <f>F21/VLOOKUP($C143,calendar!$A$2:$D$121,4,FALSE)</f>
        <v>0</v>
      </c>
      <c r="G143" s="14">
        <f>G21/VLOOKUP($C143,calendar!$A$2:$D$121,4,FALSE)</f>
        <v>100</v>
      </c>
      <c r="H143" s="14">
        <f>H21/VLOOKUP($C143,calendar!$A$2:$D$121,4,FALSE)</f>
        <v>-650</v>
      </c>
      <c r="I143" s="14">
        <f>I21/VLOOKUP($C143,calendar!$A$2:$D$121,4,FALSE)</f>
        <v>250</v>
      </c>
      <c r="J143" s="14">
        <f>J21/VLOOKUP($C143,calendar!$A$2:$D$121,4,FALSE)</f>
        <v>0</v>
      </c>
      <c r="K143" s="14">
        <f>K21/VLOOKUP($C143,calendar!$A$2:$D$121,4,FALSE)</f>
        <v>-50</v>
      </c>
      <c r="L143" s="14">
        <f>L21/VLOOKUP($C143,calendar!$A$2:$D$121,4,FALSE)</f>
        <v>0</v>
      </c>
      <c r="M143" s="14">
        <f>M21/VLOOKUP($C143,calendar!$A$2:$D$121,4,FALSE)</f>
        <v>0</v>
      </c>
      <c r="N143" s="14"/>
      <c r="O143" s="14">
        <f>O21/VLOOKUP($C143,calendar!$A$2:$D$121,4,FALSE)</f>
        <v>0</v>
      </c>
      <c r="P143" s="14">
        <f>P21/VLOOKUP($C143,calendar!$A$2:$D$121,4,FALSE)</f>
        <v>0</v>
      </c>
      <c r="Q143" s="14">
        <f>Q21/VLOOKUP($C143,calendar!$A$2:$D$121,4,FALSE)</f>
        <v>95.036931818181813</v>
      </c>
      <c r="R143" s="14">
        <f>R21/VLOOKUP($C143,calendar!$A$2:$D$121,4,FALSE)</f>
        <v>0</v>
      </c>
    </row>
    <row r="144" spans="3:18" s="8" customFormat="1" x14ac:dyDescent="0.2">
      <c r="C144" s="9">
        <f t="shared" si="18"/>
        <v>37469</v>
      </c>
      <c r="E144" s="14">
        <f>E22/VLOOKUP($C144,calendar!$A$2:$D$121,4,FALSE)</f>
        <v>-681.91193181818187</v>
      </c>
      <c r="F144" s="14">
        <f>F22/VLOOKUP($C144,calendar!$A$2:$D$121,4,FALSE)</f>
        <v>0</v>
      </c>
      <c r="G144" s="14">
        <f>G22/VLOOKUP($C144,calendar!$A$2:$D$121,4,FALSE)</f>
        <v>100</v>
      </c>
      <c r="H144" s="14">
        <f>H22/VLOOKUP($C144,calendar!$A$2:$D$121,4,FALSE)</f>
        <v>-650</v>
      </c>
      <c r="I144" s="14">
        <f>I22/VLOOKUP($C144,calendar!$A$2:$D$121,4,FALSE)</f>
        <v>250</v>
      </c>
      <c r="J144" s="14">
        <f>J22/VLOOKUP($C144,calendar!$A$2:$D$121,4,FALSE)</f>
        <v>0</v>
      </c>
      <c r="K144" s="14">
        <f>K22/VLOOKUP($C144,calendar!$A$2:$D$121,4,FALSE)</f>
        <v>-50</v>
      </c>
      <c r="L144" s="14">
        <f>L22/VLOOKUP($C144,calendar!$A$2:$D$121,4,FALSE)</f>
        <v>0</v>
      </c>
      <c r="M144" s="14">
        <f>M22/VLOOKUP($C144,calendar!$A$2:$D$121,4,FALSE)</f>
        <v>0</v>
      </c>
      <c r="N144" s="14"/>
      <c r="O144" s="14">
        <f>O22/VLOOKUP($C144,calendar!$A$2:$D$121,4,FALSE)</f>
        <v>0</v>
      </c>
      <c r="P144" s="14">
        <f>P22/VLOOKUP($C144,calendar!$A$2:$D$121,4,FALSE)</f>
        <v>0</v>
      </c>
      <c r="Q144" s="14">
        <f>Q22/VLOOKUP($C144,calendar!$A$2:$D$121,4,FALSE)</f>
        <v>94.643607954545459</v>
      </c>
      <c r="R144" s="14">
        <f>R22/VLOOKUP($C144,calendar!$A$2:$D$121,4,FALSE)</f>
        <v>0</v>
      </c>
    </row>
    <row r="145" spans="3:18" s="8" customFormat="1" x14ac:dyDescent="0.2">
      <c r="C145" s="9">
        <f t="shared" si="18"/>
        <v>37500</v>
      </c>
      <c r="E145" s="14">
        <f>E23/VLOOKUP($C145,calendar!$A$2:$D$121,4,FALSE)</f>
        <v>162.97812500000001</v>
      </c>
      <c r="F145" s="14">
        <f>F23/VLOOKUP($C145,calendar!$A$2:$D$121,4,FALSE)</f>
        <v>0</v>
      </c>
      <c r="G145" s="14">
        <f>G23/VLOOKUP($C145,calendar!$A$2:$D$121,4,FALSE)</f>
        <v>0</v>
      </c>
      <c r="H145" s="14">
        <f>H23/VLOOKUP($C145,calendar!$A$2:$D$121,4,FALSE)</f>
        <v>-300</v>
      </c>
      <c r="I145" s="14">
        <f>I23/VLOOKUP($C145,calendar!$A$2:$D$121,4,FALSE)</f>
        <v>0</v>
      </c>
      <c r="J145" s="14">
        <f>J23/VLOOKUP($C145,calendar!$A$2:$D$121,4,FALSE)</f>
        <v>0</v>
      </c>
      <c r="K145" s="14">
        <f>K23/VLOOKUP($C145,calendar!$A$2:$D$121,4,FALSE)</f>
        <v>0</v>
      </c>
      <c r="L145" s="14">
        <f>L23/VLOOKUP($C145,calendar!$A$2:$D$121,4,FALSE)</f>
        <v>0</v>
      </c>
      <c r="M145" s="14">
        <f>M23/VLOOKUP($C145,calendar!$A$2:$D$121,4,FALSE)</f>
        <v>0</v>
      </c>
      <c r="N145" s="14"/>
      <c r="O145" s="14">
        <f>O23/VLOOKUP($C145,calendar!$A$2:$D$121,4,FALSE)</f>
        <v>0</v>
      </c>
      <c r="P145" s="14">
        <f>P23/VLOOKUP($C145,calendar!$A$2:$D$121,4,FALSE)</f>
        <v>0</v>
      </c>
      <c r="Q145" s="14">
        <f>Q23/VLOOKUP($C145,calendar!$A$2:$D$121,4,FALSE)</f>
        <v>141.38384375000001</v>
      </c>
      <c r="R145" s="14">
        <f>R23/VLOOKUP($C145,calendar!$A$2:$D$121,4,FALSE)</f>
        <v>0</v>
      </c>
    </row>
    <row r="146" spans="3:18" s="8" customFormat="1" x14ac:dyDescent="0.2">
      <c r="C146" s="9">
        <f t="shared" si="18"/>
        <v>37530</v>
      </c>
      <c r="E146" s="14">
        <f>E24/VLOOKUP($C146,calendar!$A$2:$D$121,4,FALSE)</f>
        <v>-353.89641304347828</v>
      </c>
      <c r="F146" s="14">
        <f>F24/VLOOKUP($C146,calendar!$A$2:$D$121,4,FALSE)</f>
        <v>0</v>
      </c>
      <c r="G146" s="14">
        <f>G24/VLOOKUP($C146,calendar!$A$2:$D$121,4,FALSE)</f>
        <v>0</v>
      </c>
      <c r="H146" s="14">
        <f>H24/VLOOKUP($C146,calendar!$A$2:$D$121,4,FALSE)</f>
        <v>-300</v>
      </c>
      <c r="I146" s="14">
        <f>I24/VLOOKUP($C146,calendar!$A$2:$D$121,4,FALSE)</f>
        <v>0</v>
      </c>
      <c r="J146" s="14">
        <f>J24/VLOOKUP($C146,calendar!$A$2:$D$121,4,FALSE)</f>
        <v>0</v>
      </c>
      <c r="K146" s="14">
        <f>K24/VLOOKUP($C146,calendar!$A$2:$D$121,4,FALSE)</f>
        <v>0</v>
      </c>
      <c r="L146" s="14">
        <f>L24/VLOOKUP($C146,calendar!$A$2:$D$121,4,FALSE)</f>
        <v>0</v>
      </c>
      <c r="M146" s="14">
        <f>M24/VLOOKUP($C146,calendar!$A$2:$D$121,4,FALSE)</f>
        <v>0</v>
      </c>
      <c r="N146" s="14"/>
      <c r="O146" s="14">
        <f>O24/VLOOKUP($C146,calendar!$A$2:$D$121,4,FALSE)</f>
        <v>0</v>
      </c>
      <c r="P146" s="14">
        <f>P24/VLOOKUP($C146,calendar!$A$2:$D$121,4,FALSE)</f>
        <v>0</v>
      </c>
      <c r="Q146" s="14">
        <f>Q24/VLOOKUP($C146,calendar!$A$2:$D$121,4,FALSE)</f>
        <v>375.39603260869563</v>
      </c>
      <c r="R146" s="14">
        <f>R24/VLOOKUP($C146,calendar!$A$2:$D$121,4,FALSE)</f>
        <v>0</v>
      </c>
    </row>
    <row r="147" spans="3:18" s="8" customFormat="1" x14ac:dyDescent="0.2">
      <c r="C147" s="9">
        <f t="shared" si="18"/>
        <v>37561</v>
      </c>
      <c r="E147" s="14">
        <f>E25/VLOOKUP($C147,calendar!$A$2:$D$121,4,FALSE)</f>
        <v>-352.39465624999997</v>
      </c>
      <c r="F147" s="14">
        <f>F25/VLOOKUP($C147,calendar!$A$2:$D$121,4,FALSE)</f>
        <v>0</v>
      </c>
      <c r="G147" s="14">
        <f>G25/VLOOKUP($C147,calendar!$A$2:$D$121,4,FALSE)</f>
        <v>0</v>
      </c>
      <c r="H147" s="14">
        <f>H25/VLOOKUP($C147,calendar!$A$2:$D$121,4,FALSE)</f>
        <v>-300</v>
      </c>
      <c r="I147" s="14">
        <f>I25/VLOOKUP($C147,calendar!$A$2:$D$121,4,FALSE)</f>
        <v>0</v>
      </c>
      <c r="J147" s="14">
        <f>J25/VLOOKUP($C147,calendar!$A$2:$D$121,4,FALSE)</f>
        <v>0</v>
      </c>
      <c r="K147" s="14">
        <f>K25/VLOOKUP($C147,calendar!$A$2:$D$121,4,FALSE)</f>
        <v>0</v>
      </c>
      <c r="L147" s="14">
        <f>L25/VLOOKUP($C147,calendar!$A$2:$D$121,4,FALSE)</f>
        <v>0</v>
      </c>
      <c r="M147" s="14">
        <f>M25/VLOOKUP($C147,calendar!$A$2:$D$121,4,FALSE)</f>
        <v>0</v>
      </c>
      <c r="N147" s="14"/>
      <c r="O147" s="14">
        <f>O25/VLOOKUP($C147,calendar!$A$2:$D$121,4,FALSE)</f>
        <v>0</v>
      </c>
      <c r="P147" s="14">
        <f>P25/VLOOKUP($C147,calendar!$A$2:$D$121,4,FALSE)</f>
        <v>0</v>
      </c>
      <c r="Q147" s="14">
        <f>Q25/VLOOKUP($C147,calendar!$A$2:$D$121,4,FALSE)</f>
        <v>373.79374999999999</v>
      </c>
      <c r="R147" s="14">
        <f>R25/VLOOKUP($C147,calendar!$A$2:$D$121,4,FALSE)</f>
        <v>0</v>
      </c>
    </row>
    <row r="148" spans="3:18" s="8" customFormat="1" x14ac:dyDescent="0.2">
      <c r="C148" s="9">
        <f t="shared" si="18"/>
        <v>37591</v>
      </c>
      <c r="E148" s="14">
        <f>E26/VLOOKUP($C148,calendar!$A$2:$D$121,4,FALSE)</f>
        <v>-350.79095238095238</v>
      </c>
      <c r="F148" s="14">
        <f>F26/VLOOKUP($C148,calendar!$A$2:$D$121,4,FALSE)</f>
        <v>0</v>
      </c>
      <c r="G148" s="14">
        <f>G26/VLOOKUP($C148,calendar!$A$2:$D$121,4,FALSE)</f>
        <v>0</v>
      </c>
      <c r="H148" s="14">
        <f>H26/VLOOKUP($C148,calendar!$A$2:$D$121,4,FALSE)</f>
        <v>-300</v>
      </c>
      <c r="I148" s="14">
        <f>I26/VLOOKUP($C148,calendar!$A$2:$D$121,4,FALSE)</f>
        <v>0</v>
      </c>
      <c r="J148" s="14">
        <f>J26/VLOOKUP($C148,calendar!$A$2:$D$121,4,FALSE)</f>
        <v>0</v>
      </c>
      <c r="K148" s="14">
        <f>K26/VLOOKUP($C148,calendar!$A$2:$D$121,4,FALSE)</f>
        <v>0</v>
      </c>
      <c r="L148" s="14">
        <f>L26/VLOOKUP($C148,calendar!$A$2:$D$121,4,FALSE)</f>
        <v>0</v>
      </c>
      <c r="M148" s="14">
        <f>M26/VLOOKUP($C148,calendar!$A$2:$D$121,4,FALSE)</f>
        <v>0</v>
      </c>
      <c r="N148" s="14"/>
      <c r="O148" s="14">
        <f>O26/VLOOKUP($C148,calendar!$A$2:$D$121,4,FALSE)</f>
        <v>0</v>
      </c>
      <c r="P148" s="14">
        <f>P26/VLOOKUP($C148,calendar!$A$2:$D$121,4,FALSE)</f>
        <v>0</v>
      </c>
      <c r="Q148" s="14">
        <f>Q26/VLOOKUP($C148,calendar!$A$2:$D$121,4,FALSE)</f>
        <v>372.10467261904762</v>
      </c>
      <c r="R148" s="14">
        <f>R26/VLOOKUP($C148,calendar!$A$2:$D$121,4,FALSE)</f>
        <v>0</v>
      </c>
    </row>
    <row r="149" spans="3:18" s="8" customFormat="1" x14ac:dyDescent="0.2">
      <c r="C149" s="9">
        <f t="shared" si="18"/>
        <v>37622</v>
      </c>
      <c r="E149" s="14">
        <f>E27/VLOOKUP($C149,calendar!$A$2:$D$121,4,FALSE)</f>
        <v>-580.58215909090916</v>
      </c>
      <c r="F149" s="14">
        <f>F27/VLOOKUP($C149,calendar!$A$2:$D$121,4,FALSE)</f>
        <v>0</v>
      </c>
      <c r="G149" s="14">
        <f>G27/VLOOKUP($C149,calendar!$A$2:$D$121,4,FALSE)</f>
        <v>0</v>
      </c>
      <c r="H149" s="14">
        <f>H27/VLOOKUP($C149,calendar!$A$2:$D$121,4,FALSE)</f>
        <v>-500</v>
      </c>
      <c r="I149" s="14">
        <f>I27/VLOOKUP($C149,calendar!$A$2:$D$121,4,FALSE)</f>
        <v>0</v>
      </c>
      <c r="J149" s="14">
        <f>J27/VLOOKUP($C149,calendar!$A$2:$D$121,4,FALSE)</f>
        <v>0</v>
      </c>
      <c r="K149" s="14">
        <f>K27/VLOOKUP($C149,calendar!$A$2:$D$121,4,FALSE)</f>
        <v>0</v>
      </c>
      <c r="L149" s="14">
        <f>L27/VLOOKUP($C149,calendar!$A$2:$D$121,4,FALSE)</f>
        <v>0</v>
      </c>
      <c r="M149" s="14">
        <f>M27/VLOOKUP($C149,calendar!$A$2:$D$121,4,FALSE)</f>
        <v>0</v>
      </c>
      <c r="N149" s="14"/>
      <c r="O149" s="14">
        <f>O27/VLOOKUP($C149,calendar!$A$2:$D$121,4,FALSE)</f>
        <v>0</v>
      </c>
      <c r="P149" s="14">
        <f>P27/VLOOKUP($C149,calendar!$A$2:$D$121,4,FALSE)</f>
        <v>0</v>
      </c>
      <c r="Q149" s="14">
        <f>Q27/VLOOKUP($C149,calendar!$A$2:$D$121,4,FALSE)</f>
        <v>416.68576704545461</v>
      </c>
      <c r="R149" s="14">
        <f>R27/VLOOKUP($C149,calendar!$A$2:$D$121,4,FALSE)</f>
        <v>-50</v>
      </c>
    </row>
    <row r="150" spans="3:18" s="8" customFormat="1" x14ac:dyDescent="0.2">
      <c r="C150" s="9">
        <f t="shared" si="18"/>
        <v>37653</v>
      </c>
      <c r="E150" s="14">
        <f>E28/VLOOKUP($C150,calendar!$A$2:$D$121,4,FALSE)</f>
        <v>-578.13481250000007</v>
      </c>
      <c r="F150" s="14">
        <f>F28/VLOOKUP($C150,calendar!$A$2:$D$121,4,FALSE)</f>
        <v>0</v>
      </c>
      <c r="G150" s="14">
        <f>G28/VLOOKUP($C150,calendar!$A$2:$D$121,4,FALSE)</f>
        <v>0</v>
      </c>
      <c r="H150" s="14">
        <f>H28/VLOOKUP($C150,calendar!$A$2:$D$121,4,FALSE)</f>
        <v>-500</v>
      </c>
      <c r="I150" s="14">
        <f>I28/VLOOKUP($C150,calendar!$A$2:$D$121,4,FALSE)</f>
        <v>0</v>
      </c>
      <c r="J150" s="14">
        <f>J28/VLOOKUP($C150,calendar!$A$2:$D$121,4,FALSE)</f>
        <v>0</v>
      </c>
      <c r="K150" s="14">
        <f>K28/VLOOKUP($C150,calendar!$A$2:$D$121,4,FALSE)</f>
        <v>0</v>
      </c>
      <c r="L150" s="14">
        <f>L28/VLOOKUP($C150,calendar!$A$2:$D$121,4,FALSE)</f>
        <v>0</v>
      </c>
      <c r="M150" s="14">
        <f>M28/VLOOKUP($C150,calendar!$A$2:$D$121,4,FALSE)</f>
        <v>0</v>
      </c>
      <c r="N150" s="14"/>
      <c r="O150" s="14">
        <f>O28/VLOOKUP($C150,calendar!$A$2:$D$121,4,FALSE)</f>
        <v>0</v>
      </c>
      <c r="P150" s="14">
        <f>P28/VLOOKUP($C150,calendar!$A$2:$D$121,4,FALSE)</f>
        <v>0</v>
      </c>
      <c r="Q150" s="14">
        <f>Q28/VLOOKUP($C150,calendar!$A$2:$D$121,4,FALSE)</f>
        <v>414.92928124999997</v>
      </c>
      <c r="R150" s="14">
        <f>R28/VLOOKUP($C150,calendar!$A$2:$D$121,4,FALSE)</f>
        <v>-50</v>
      </c>
    </row>
    <row r="151" spans="3:18" s="8" customFormat="1" x14ac:dyDescent="0.2">
      <c r="C151" s="9">
        <f t="shared" si="18"/>
        <v>37681</v>
      </c>
      <c r="E151" s="14">
        <f>E29/VLOOKUP($C151,calendar!$A$2:$D$121,4,FALSE)</f>
        <v>-713.08550595238103</v>
      </c>
      <c r="F151" s="14">
        <f>F29/VLOOKUP($C151,calendar!$A$2:$D$121,4,FALSE)</f>
        <v>0</v>
      </c>
      <c r="G151" s="14">
        <f>G29/VLOOKUP($C151,calendar!$A$2:$D$121,4,FALSE)</f>
        <v>0</v>
      </c>
      <c r="H151" s="14">
        <f>H29/VLOOKUP($C151,calendar!$A$2:$D$121,4,FALSE)</f>
        <v>-500</v>
      </c>
      <c r="I151" s="14">
        <f>I29/VLOOKUP($C151,calendar!$A$2:$D$121,4,FALSE)</f>
        <v>0</v>
      </c>
      <c r="J151" s="14">
        <f>J29/VLOOKUP($C151,calendar!$A$2:$D$121,4,FALSE)</f>
        <v>0</v>
      </c>
      <c r="K151" s="14">
        <f>K29/VLOOKUP($C151,calendar!$A$2:$D$121,4,FALSE)</f>
        <v>0</v>
      </c>
      <c r="L151" s="14">
        <f>L29/VLOOKUP($C151,calendar!$A$2:$D$121,4,FALSE)</f>
        <v>0</v>
      </c>
      <c r="M151" s="14">
        <f>M29/VLOOKUP($C151,calendar!$A$2:$D$121,4,FALSE)</f>
        <v>0</v>
      </c>
      <c r="N151" s="14"/>
      <c r="O151" s="14">
        <f>O29/VLOOKUP($C151,calendar!$A$2:$D$121,4,FALSE)</f>
        <v>0</v>
      </c>
      <c r="P151" s="14">
        <f>P29/VLOOKUP($C151,calendar!$A$2:$D$121,4,FALSE)</f>
        <v>0</v>
      </c>
      <c r="Q151" s="14">
        <f>Q29/VLOOKUP($C151,calendar!$A$2:$D$121,4,FALSE)</f>
        <v>550.64517857142857</v>
      </c>
      <c r="R151" s="14">
        <f>R29/VLOOKUP($C151,calendar!$A$2:$D$121,4,FALSE)</f>
        <v>-50</v>
      </c>
    </row>
    <row r="152" spans="3:18" s="8" customFormat="1" x14ac:dyDescent="0.2">
      <c r="C152" s="9">
        <f t="shared" si="18"/>
        <v>37712</v>
      </c>
      <c r="E152" s="14">
        <f>E30/VLOOKUP($C152,calendar!$A$2:$D$121,4,FALSE)</f>
        <v>-709.81624999999997</v>
      </c>
      <c r="F152" s="14">
        <f>F30/VLOOKUP($C152,calendar!$A$2:$D$121,4,FALSE)</f>
        <v>0</v>
      </c>
      <c r="G152" s="14">
        <f>G30/VLOOKUP($C152,calendar!$A$2:$D$121,4,FALSE)</f>
        <v>0</v>
      </c>
      <c r="H152" s="14">
        <f>H30/VLOOKUP($C152,calendar!$A$2:$D$121,4,FALSE)</f>
        <v>-500</v>
      </c>
      <c r="I152" s="14">
        <f>I30/VLOOKUP($C152,calendar!$A$2:$D$121,4,FALSE)</f>
        <v>0</v>
      </c>
      <c r="J152" s="14">
        <f>J30/VLOOKUP($C152,calendar!$A$2:$D$121,4,FALSE)</f>
        <v>0</v>
      </c>
      <c r="K152" s="14">
        <f>K30/VLOOKUP($C152,calendar!$A$2:$D$121,4,FALSE)</f>
        <v>0</v>
      </c>
      <c r="L152" s="14">
        <f>L30/VLOOKUP($C152,calendar!$A$2:$D$121,4,FALSE)</f>
        <v>0</v>
      </c>
      <c r="M152" s="14">
        <f>M30/VLOOKUP($C152,calendar!$A$2:$D$121,4,FALSE)</f>
        <v>0</v>
      </c>
      <c r="N152" s="14"/>
      <c r="O152" s="14">
        <f>O30/VLOOKUP($C152,calendar!$A$2:$D$121,4,FALSE)</f>
        <v>0</v>
      </c>
      <c r="P152" s="14">
        <f>P30/VLOOKUP($C152,calendar!$A$2:$D$121,4,FALSE)</f>
        <v>0</v>
      </c>
      <c r="Q152" s="14">
        <f>Q30/VLOOKUP($C152,calendar!$A$2:$D$121,4,FALSE)</f>
        <v>548.12065340909089</v>
      </c>
      <c r="R152" s="14">
        <f>R30/VLOOKUP($C152,calendar!$A$2:$D$121,4,FALSE)</f>
        <v>-50</v>
      </c>
    </row>
    <row r="153" spans="3:18" s="8" customFormat="1" x14ac:dyDescent="0.2">
      <c r="C153" s="9">
        <f t="shared" si="18"/>
        <v>37742</v>
      </c>
      <c r="E153" s="14">
        <f>E31/VLOOKUP($C153,calendar!$A$2:$D$121,4,FALSE)</f>
        <v>-706.41312500000004</v>
      </c>
      <c r="F153" s="14">
        <f>F31/VLOOKUP($C153,calendar!$A$2:$D$121,4,FALSE)</f>
        <v>0</v>
      </c>
      <c r="G153" s="14">
        <f>G31/VLOOKUP($C153,calendar!$A$2:$D$121,4,FALSE)</f>
        <v>0</v>
      </c>
      <c r="H153" s="14">
        <f>H31/VLOOKUP($C153,calendar!$A$2:$D$121,4,FALSE)</f>
        <v>-500</v>
      </c>
      <c r="I153" s="14">
        <f>I31/VLOOKUP($C153,calendar!$A$2:$D$121,4,FALSE)</f>
        <v>0</v>
      </c>
      <c r="J153" s="14">
        <f>J31/VLOOKUP($C153,calendar!$A$2:$D$121,4,FALSE)</f>
        <v>0</v>
      </c>
      <c r="K153" s="14">
        <f>K31/VLOOKUP($C153,calendar!$A$2:$D$121,4,FALSE)</f>
        <v>0</v>
      </c>
      <c r="L153" s="14">
        <f>L31/VLOOKUP($C153,calendar!$A$2:$D$121,4,FALSE)</f>
        <v>0</v>
      </c>
      <c r="M153" s="14">
        <f>M31/VLOOKUP($C153,calendar!$A$2:$D$121,4,FALSE)</f>
        <v>0</v>
      </c>
      <c r="N153" s="14"/>
      <c r="O153" s="14">
        <f>O31/VLOOKUP($C153,calendar!$A$2:$D$121,4,FALSE)</f>
        <v>0</v>
      </c>
      <c r="P153" s="14">
        <f>P31/VLOOKUP($C153,calendar!$A$2:$D$121,4,FALSE)</f>
        <v>0</v>
      </c>
      <c r="Q153" s="14">
        <f>Q31/VLOOKUP($C153,calendar!$A$2:$D$121,4,FALSE)</f>
        <v>227.28869047619048</v>
      </c>
      <c r="R153" s="14">
        <f>R31/VLOOKUP($C153,calendar!$A$2:$D$121,4,FALSE)</f>
        <v>-50</v>
      </c>
    </row>
    <row r="154" spans="3:18" s="8" customFormat="1" x14ac:dyDescent="0.2">
      <c r="C154" s="9">
        <f t="shared" si="18"/>
        <v>37773</v>
      </c>
      <c r="E154" s="14">
        <f>E32/VLOOKUP($C154,calendar!$A$2:$D$121,4,FALSE)</f>
        <v>-522.12872023809518</v>
      </c>
      <c r="F154" s="14">
        <f>F32/VLOOKUP($C154,calendar!$A$2:$D$121,4,FALSE)</f>
        <v>0</v>
      </c>
      <c r="G154" s="14">
        <f>G32/VLOOKUP($C154,calendar!$A$2:$D$121,4,FALSE)</f>
        <v>0</v>
      </c>
      <c r="H154" s="14">
        <f>H32/VLOOKUP($C154,calendar!$A$2:$D$121,4,FALSE)</f>
        <v>-450</v>
      </c>
      <c r="I154" s="14">
        <f>I32/VLOOKUP($C154,calendar!$A$2:$D$121,4,FALSE)</f>
        <v>0</v>
      </c>
      <c r="J154" s="14">
        <f>J32/VLOOKUP($C154,calendar!$A$2:$D$121,4,FALSE)</f>
        <v>0</v>
      </c>
      <c r="K154" s="14">
        <f>K32/VLOOKUP($C154,calendar!$A$2:$D$121,4,FALSE)</f>
        <v>0</v>
      </c>
      <c r="L154" s="14">
        <f>L32/VLOOKUP($C154,calendar!$A$2:$D$121,4,FALSE)</f>
        <v>0</v>
      </c>
      <c r="M154" s="14">
        <f>M32/VLOOKUP($C154,calendar!$A$2:$D$121,4,FALSE)</f>
        <v>0</v>
      </c>
      <c r="N154" s="14"/>
      <c r="O154" s="14">
        <f>O32/VLOOKUP($C154,calendar!$A$2:$D$121,4,FALSE)</f>
        <v>0</v>
      </c>
      <c r="P154" s="14">
        <f>P32/VLOOKUP($C154,calendar!$A$2:$D$121,4,FALSE)</f>
        <v>0</v>
      </c>
      <c r="Q154" s="14">
        <f>Q32/VLOOKUP($C154,calendar!$A$2:$D$121,4,FALSE)</f>
        <v>226.22562499999998</v>
      </c>
      <c r="R154" s="14">
        <f>R32/VLOOKUP($C154,calendar!$A$2:$D$121,4,FALSE)</f>
        <v>-50</v>
      </c>
    </row>
    <row r="155" spans="3:18" s="8" customFormat="1" x14ac:dyDescent="0.2">
      <c r="C155" s="9">
        <f t="shared" si="18"/>
        <v>37803</v>
      </c>
      <c r="E155" s="14">
        <f>E33/VLOOKUP($C155,calendar!$A$2:$D$121,4,FALSE)</f>
        <v>465.08738636363637</v>
      </c>
      <c r="F155" s="14">
        <f>F33/VLOOKUP($C155,calendar!$A$2:$D$121,4,FALSE)</f>
        <v>0</v>
      </c>
      <c r="G155" s="14">
        <f>G33/VLOOKUP($C155,calendar!$A$2:$D$121,4,FALSE)</f>
        <v>0</v>
      </c>
      <c r="H155" s="14">
        <f>H33/VLOOKUP($C155,calendar!$A$2:$D$121,4,FALSE)</f>
        <v>-650</v>
      </c>
      <c r="I155" s="14">
        <f>I33/VLOOKUP($C155,calendar!$A$2:$D$121,4,FALSE)</f>
        <v>0</v>
      </c>
      <c r="J155" s="14">
        <f>J33/VLOOKUP($C155,calendar!$A$2:$D$121,4,FALSE)</f>
        <v>0</v>
      </c>
      <c r="K155" s="14">
        <f>K33/VLOOKUP($C155,calendar!$A$2:$D$121,4,FALSE)</f>
        <v>0</v>
      </c>
      <c r="L155" s="14">
        <f>L33/VLOOKUP($C155,calendar!$A$2:$D$121,4,FALSE)</f>
        <v>0</v>
      </c>
      <c r="M155" s="14">
        <f>M33/VLOOKUP($C155,calendar!$A$2:$D$121,4,FALSE)</f>
        <v>0</v>
      </c>
      <c r="N155" s="14"/>
      <c r="O155" s="14">
        <f>O33/VLOOKUP($C155,calendar!$A$2:$D$121,4,FALSE)</f>
        <v>0</v>
      </c>
      <c r="P155" s="14">
        <f>P33/VLOOKUP($C155,calendar!$A$2:$D$121,4,FALSE)</f>
        <v>0</v>
      </c>
      <c r="Q155" s="14">
        <f>Q33/VLOOKUP($C155,calendar!$A$2:$D$121,4,FALSE)</f>
        <v>45.023977272727272</v>
      </c>
      <c r="R155" s="14">
        <f>R33/VLOOKUP($C155,calendar!$A$2:$D$121,4,FALSE)</f>
        <v>-50</v>
      </c>
    </row>
    <row r="156" spans="3:18" s="8" customFormat="1" x14ac:dyDescent="0.2">
      <c r="C156" s="9">
        <f t="shared" si="18"/>
        <v>37834</v>
      </c>
      <c r="E156" s="14">
        <f>E34/VLOOKUP($C156,calendar!$A$2:$D$121,4,FALSE)</f>
        <v>438.6953869047619</v>
      </c>
      <c r="F156" s="14">
        <f>F34/VLOOKUP($C156,calendar!$A$2:$D$121,4,FALSE)</f>
        <v>0</v>
      </c>
      <c r="G156" s="14">
        <f>G34/VLOOKUP($C156,calendar!$A$2:$D$121,4,FALSE)</f>
        <v>0</v>
      </c>
      <c r="H156" s="14">
        <f>H34/VLOOKUP($C156,calendar!$A$2:$D$121,4,FALSE)</f>
        <v>-650</v>
      </c>
      <c r="I156" s="14">
        <f>I34/VLOOKUP($C156,calendar!$A$2:$D$121,4,FALSE)</f>
        <v>0</v>
      </c>
      <c r="J156" s="14">
        <f>J34/VLOOKUP($C156,calendar!$A$2:$D$121,4,FALSE)</f>
        <v>0</v>
      </c>
      <c r="K156" s="14">
        <f>K34/VLOOKUP($C156,calendar!$A$2:$D$121,4,FALSE)</f>
        <v>0</v>
      </c>
      <c r="L156" s="14">
        <f>L34/VLOOKUP($C156,calendar!$A$2:$D$121,4,FALSE)</f>
        <v>0</v>
      </c>
      <c r="M156" s="14">
        <f>M34/VLOOKUP($C156,calendar!$A$2:$D$121,4,FALSE)</f>
        <v>0</v>
      </c>
      <c r="N156" s="14"/>
      <c r="O156" s="14">
        <f>O34/VLOOKUP($C156,calendar!$A$2:$D$121,4,FALSE)</f>
        <v>0</v>
      </c>
      <c r="P156" s="14">
        <f>P34/VLOOKUP($C156,calendar!$A$2:$D$121,4,FALSE)</f>
        <v>0</v>
      </c>
      <c r="Q156" s="14">
        <f>Q34/VLOOKUP($C156,calendar!$A$2:$D$121,4,FALSE)</f>
        <v>44.801994047619047</v>
      </c>
      <c r="R156" s="14">
        <f>R34/VLOOKUP($C156,calendar!$A$2:$D$121,4,FALSE)</f>
        <v>-50</v>
      </c>
    </row>
    <row r="157" spans="3:18" s="8" customFormat="1" x14ac:dyDescent="0.2">
      <c r="C157" s="9">
        <f t="shared" ref="C157:C188" si="19">C35</f>
        <v>37865</v>
      </c>
      <c r="E157" s="14">
        <f>E35/VLOOKUP($C157,calendar!$A$2:$D$121,4,FALSE)</f>
        <v>-692.89059523809522</v>
      </c>
      <c r="F157" s="14">
        <f>F35/VLOOKUP($C157,calendar!$A$2:$D$121,4,FALSE)</f>
        <v>0</v>
      </c>
      <c r="G157" s="14">
        <f>G35/VLOOKUP($C157,calendar!$A$2:$D$121,4,FALSE)</f>
        <v>0</v>
      </c>
      <c r="H157" s="14">
        <f>H35/VLOOKUP($C157,calendar!$A$2:$D$121,4,FALSE)</f>
        <v>-400</v>
      </c>
      <c r="I157" s="14">
        <f>I35/VLOOKUP($C157,calendar!$A$2:$D$121,4,FALSE)</f>
        <v>0</v>
      </c>
      <c r="J157" s="14">
        <f>J35/VLOOKUP($C157,calendar!$A$2:$D$121,4,FALSE)</f>
        <v>0</v>
      </c>
      <c r="K157" s="14">
        <f>K35/VLOOKUP($C157,calendar!$A$2:$D$121,4,FALSE)</f>
        <v>0</v>
      </c>
      <c r="L157" s="14">
        <f>L35/VLOOKUP($C157,calendar!$A$2:$D$121,4,FALSE)</f>
        <v>0</v>
      </c>
      <c r="M157" s="14">
        <f>M35/VLOOKUP($C157,calendar!$A$2:$D$121,4,FALSE)</f>
        <v>0</v>
      </c>
      <c r="N157" s="14"/>
      <c r="O157" s="14">
        <f>O35/VLOOKUP($C157,calendar!$A$2:$D$121,4,FALSE)</f>
        <v>0</v>
      </c>
      <c r="P157" s="14">
        <f>P35/VLOOKUP($C157,calendar!$A$2:$D$121,4,FALSE)</f>
        <v>0</v>
      </c>
      <c r="Q157" s="14">
        <f>Q35/VLOOKUP($C157,calendar!$A$2:$D$121,4,FALSE)</f>
        <v>222.93776785714286</v>
      </c>
      <c r="R157" s="14">
        <f>R35/VLOOKUP($C157,calendar!$A$2:$D$121,4,FALSE)</f>
        <v>-50</v>
      </c>
    </row>
    <row r="158" spans="3:18" s="8" customFormat="1" x14ac:dyDescent="0.2">
      <c r="C158" s="9">
        <f t="shared" si="19"/>
        <v>37895</v>
      </c>
      <c r="E158" s="14">
        <f>E36/VLOOKUP($C158,calendar!$A$2:$D$121,4,FALSE)</f>
        <v>-689.43461956521742</v>
      </c>
      <c r="F158" s="14">
        <f>F36/VLOOKUP($C158,calendar!$A$2:$D$121,4,FALSE)</f>
        <v>0</v>
      </c>
      <c r="G158" s="14">
        <f>G36/VLOOKUP($C158,calendar!$A$2:$D$121,4,FALSE)</f>
        <v>0</v>
      </c>
      <c r="H158" s="14">
        <f>H36/VLOOKUP($C158,calendar!$A$2:$D$121,4,FALSE)</f>
        <v>-400</v>
      </c>
      <c r="I158" s="14">
        <f>I36/VLOOKUP($C158,calendar!$A$2:$D$121,4,FALSE)</f>
        <v>0</v>
      </c>
      <c r="J158" s="14">
        <f>J36/VLOOKUP($C158,calendar!$A$2:$D$121,4,FALSE)</f>
        <v>0</v>
      </c>
      <c r="K158" s="14">
        <f>K36/VLOOKUP($C158,calendar!$A$2:$D$121,4,FALSE)</f>
        <v>0</v>
      </c>
      <c r="L158" s="14">
        <f>L36/VLOOKUP($C158,calendar!$A$2:$D$121,4,FALSE)</f>
        <v>0</v>
      </c>
      <c r="M158" s="14">
        <f>M36/VLOOKUP($C158,calendar!$A$2:$D$121,4,FALSE)</f>
        <v>0</v>
      </c>
      <c r="N158" s="14"/>
      <c r="O158" s="14">
        <f>O36/VLOOKUP($C158,calendar!$A$2:$D$121,4,FALSE)</f>
        <v>0</v>
      </c>
      <c r="P158" s="14">
        <f>P36/VLOOKUP($C158,calendar!$A$2:$D$121,4,FALSE)</f>
        <v>0</v>
      </c>
      <c r="Q158" s="14">
        <f>Q36/VLOOKUP($C158,calendar!$A$2:$D$121,4,FALSE)</f>
        <v>399.28646739130437</v>
      </c>
      <c r="R158" s="14">
        <f>R36/VLOOKUP($C158,calendar!$A$2:$D$121,4,FALSE)</f>
        <v>-50</v>
      </c>
    </row>
    <row r="159" spans="3:18" s="8" customFormat="1" x14ac:dyDescent="0.2">
      <c r="C159" s="9">
        <f t="shared" si="19"/>
        <v>37926</v>
      </c>
      <c r="E159" s="14">
        <f>E37/VLOOKUP($C159,calendar!$A$2:$D$121,4,FALSE)</f>
        <v>-686.07671052631576</v>
      </c>
      <c r="F159" s="14">
        <f>F37/VLOOKUP($C159,calendar!$A$2:$D$121,4,FALSE)</f>
        <v>0</v>
      </c>
      <c r="G159" s="14">
        <f>G37/VLOOKUP($C159,calendar!$A$2:$D$121,4,FALSE)</f>
        <v>0</v>
      </c>
      <c r="H159" s="14">
        <f>H37/VLOOKUP($C159,calendar!$A$2:$D$121,4,FALSE)</f>
        <v>-400</v>
      </c>
      <c r="I159" s="14">
        <f>I37/VLOOKUP($C159,calendar!$A$2:$D$121,4,FALSE)</f>
        <v>0</v>
      </c>
      <c r="J159" s="14">
        <f>J37/VLOOKUP($C159,calendar!$A$2:$D$121,4,FALSE)</f>
        <v>0</v>
      </c>
      <c r="K159" s="14">
        <f>K37/VLOOKUP($C159,calendar!$A$2:$D$121,4,FALSE)</f>
        <v>0</v>
      </c>
      <c r="L159" s="14">
        <f>L37/VLOOKUP($C159,calendar!$A$2:$D$121,4,FALSE)</f>
        <v>0</v>
      </c>
      <c r="M159" s="14">
        <f>M37/VLOOKUP($C159,calendar!$A$2:$D$121,4,FALSE)</f>
        <v>0</v>
      </c>
      <c r="N159" s="14"/>
      <c r="O159" s="14">
        <f>O37/VLOOKUP($C159,calendar!$A$2:$D$121,4,FALSE)</f>
        <v>0</v>
      </c>
      <c r="P159" s="14">
        <f>P37/VLOOKUP($C159,calendar!$A$2:$D$121,4,FALSE)</f>
        <v>0</v>
      </c>
      <c r="Q159" s="14">
        <f>Q37/VLOOKUP($C159,calendar!$A$2:$D$121,4,FALSE)</f>
        <v>397.34174342105263</v>
      </c>
      <c r="R159" s="14">
        <f>R37/VLOOKUP($C159,calendar!$A$2:$D$121,4,FALSE)</f>
        <v>-50</v>
      </c>
    </row>
    <row r="160" spans="3:18" s="8" customFormat="1" x14ac:dyDescent="0.2">
      <c r="C160" s="9">
        <f t="shared" si="19"/>
        <v>37956</v>
      </c>
      <c r="E160" s="14">
        <f>E38/VLOOKUP($C160,calendar!$A$2:$D$121,4,FALSE)</f>
        <v>-682.60159090909099</v>
      </c>
      <c r="F160" s="14">
        <f>F38/VLOOKUP($C160,calendar!$A$2:$D$121,4,FALSE)</f>
        <v>0</v>
      </c>
      <c r="G160" s="14">
        <f>G38/VLOOKUP($C160,calendar!$A$2:$D$121,4,FALSE)</f>
        <v>0</v>
      </c>
      <c r="H160" s="14">
        <f>H38/VLOOKUP($C160,calendar!$A$2:$D$121,4,FALSE)</f>
        <v>-400</v>
      </c>
      <c r="I160" s="14">
        <f>I38/VLOOKUP($C160,calendar!$A$2:$D$121,4,FALSE)</f>
        <v>0</v>
      </c>
      <c r="J160" s="14">
        <f>J38/VLOOKUP($C160,calendar!$A$2:$D$121,4,FALSE)</f>
        <v>0</v>
      </c>
      <c r="K160" s="14">
        <f>K38/VLOOKUP($C160,calendar!$A$2:$D$121,4,FALSE)</f>
        <v>0</v>
      </c>
      <c r="L160" s="14">
        <f>L38/VLOOKUP($C160,calendar!$A$2:$D$121,4,FALSE)</f>
        <v>0</v>
      </c>
      <c r="M160" s="14">
        <f>M38/VLOOKUP($C160,calendar!$A$2:$D$121,4,FALSE)</f>
        <v>0</v>
      </c>
      <c r="N160" s="14"/>
      <c r="O160" s="14">
        <f>O38/VLOOKUP($C160,calendar!$A$2:$D$121,4,FALSE)</f>
        <v>0</v>
      </c>
      <c r="P160" s="14">
        <f>P38/VLOOKUP($C160,calendar!$A$2:$D$121,4,FALSE)</f>
        <v>0</v>
      </c>
      <c r="Q160" s="14">
        <f>Q38/VLOOKUP($C160,calendar!$A$2:$D$121,4,FALSE)</f>
        <v>395.32909090909089</v>
      </c>
      <c r="R160" s="14">
        <f>R38/VLOOKUP($C160,calendar!$A$2:$D$121,4,FALSE)</f>
        <v>-50</v>
      </c>
    </row>
    <row r="161" spans="3:18" s="8" customFormat="1" x14ac:dyDescent="0.2">
      <c r="C161" s="9">
        <f t="shared" si="19"/>
        <v>37987</v>
      </c>
      <c r="E161" s="14">
        <f>E39/VLOOKUP($C161,calendar!$A$2:$D$121,4,FALSE)</f>
        <v>20.102410714285714</v>
      </c>
      <c r="F161" s="14">
        <f>F39/VLOOKUP($C161,calendar!$A$2:$D$121,4,FALSE)</f>
        <v>0</v>
      </c>
      <c r="G161" s="14">
        <f>G39/VLOOKUP($C161,calendar!$A$2:$D$121,4,FALSE)</f>
        <v>0</v>
      </c>
      <c r="H161" s="14">
        <f>H39/VLOOKUP($C161,calendar!$A$2:$D$121,4,FALSE)</f>
        <v>0</v>
      </c>
      <c r="I161" s="14">
        <f>I39/VLOOKUP($C161,calendar!$A$2:$D$121,4,FALSE)</f>
        <v>50</v>
      </c>
      <c r="J161" s="14">
        <f>J39/VLOOKUP($C161,calendar!$A$2:$D$121,4,FALSE)</f>
        <v>0</v>
      </c>
      <c r="K161" s="14">
        <f>K39/VLOOKUP($C161,calendar!$A$2:$D$121,4,FALSE)</f>
        <v>0</v>
      </c>
      <c r="L161" s="14">
        <f>L39/VLOOKUP($C161,calendar!$A$2:$D$121,4,FALSE)</f>
        <v>0</v>
      </c>
      <c r="M161" s="14">
        <f>M39/VLOOKUP($C161,calendar!$A$2:$D$121,4,FALSE)</f>
        <v>0</v>
      </c>
      <c r="N161" s="14"/>
      <c r="O161" s="14">
        <f>O39/VLOOKUP($C161,calendar!$A$2:$D$121,4,FALSE)</f>
        <v>0</v>
      </c>
      <c r="P161" s="14">
        <f>P39/VLOOKUP($C161,calendar!$A$2:$D$121,4,FALSE)</f>
        <v>0</v>
      </c>
      <c r="Q161" s="14">
        <f>Q39/VLOOKUP($C161,calendar!$A$2:$D$121,4,FALSE)</f>
        <v>173.05136904761906</v>
      </c>
      <c r="R161" s="14">
        <f>R39/VLOOKUP($C161,calendar!$A$2:$D$121,4,FALSE)</f>
        <v>0</v>
      </c>
    </row>
    <row r="162" spans="3:18" s="8" customFormat="1" x14ac:dyDescent="0.2">
      <c r="C162" s="9">
        <f t="shared" si="19"/>
        <v>38018</v>
      </c>
      <c r="E162" s="14">
        <f>E40/VLOOKUP($C162,calendar!$A$2:$D$121,4,FALSE)</f>
        <v>20.006250000000001</v>
      </c>
      <c r="F162" s="14">
        <f>F40/VLOOKUP($C162,calendar!$A$2:$D$121,4,FALSE)</f>
        <v>0</v>
      </c>
      <c r="G162" s="14">
        <f>G40/VLOOKUP($C162,calendar!$A$2:$D$121,4,FALSE)</f>
        <v>0</v>
      </c>
      <c r="H162" s="14">
        <f>H40/VLOOKUP($C162,calendar!$A$2:$D$121,4,FALSE)</f>
        <v>0</v>
      </c>
      <c r="I162" s="14">
        <f>I40/VLOOKUP($C162,calendar!$A$2:$D$121,4,FALSE)</f>
        <v>50</v>
      </c>
      <c r="J162" s="14">
        <f>J40/VLOOKUP($C162,calendar!$A$2:$D$121,4,FALSE)</f>
        <v>0</v>
      </c>
      <c r="K162" s="14">
        <f>K40/VLOOKUP($C162,calendar!$A$2:$D$121,4,FALSE)</f>
        <v>0</v>
      </c>
      <c r="L162" s="14">
        <f>L40/VLOOKUP($C162,calendar!$A$2:$D$121,4,FALSE)</f>
        <v>0</v>
      </c>
      <c r="M162" s="14">
        <f>M40/VLOOKUP($C162,calendar!$A$2:$D$121,4,FALSE)</f>
        <v>0</v>
      </c>
      <c r="N162" s="14"/>
      <c r="O162" s="14">
        <f>O40/VLOOKUP($C162,calendar!$A$2:$D$121,4,FALSE)</f>
        <v>0</v>
      </c>
      <c r="P162" s="14">
        <f>P40/VLOOKUP($C162,calendar!$A$2:$D$121,4,FALSE)</f>
        <v>0</v>
      </c>
      <c r="Q162" s="14">
        <f>Q40/VLOOKUP($C162,calendar!$A$2:$D$121,4,FALSE)</f>
        <v>172.22221875</v>
      </c>
      <c r="R162" s="14">
        <f>R40/VLOOKUP($C162,calendar!$A$2:$D$121,4,FALSE)</f>
        <v>0</v>
      </c>
    </row>
    <row r="163" spans="3:18" s="8" customFormat="1" x14ac:dyDescent="0.2">
      <c r="C163" s="9">
        <f t="shared" si="19"/>
        <v>38047</v>
      </c>
      <c r="E163" s="14">
        <f>E41/VLOOKUP($C163,calendar!$A$2:$D$121,4,FALSE)</f>
        <v>19.904211956521738</v>
      </c>
      <c r="F163" s="14">
        <f>F41/VLOOKUP($C163,calendar!$A$2:$D$121,4,FALSE)</f>
        <v>0</v>
      </c>
      <c r="G163" s="14">
        <f>G41/VLOOKUP($C163,calendar!$A$2:$D$121,4,FALSE)</f>
        <v>0</v>
      </c>
      <c r="H163" s="14">
        <f>H41/VLOOKUP($C163,calendar!$A$2:$D$121,4,FALSE)</f>
        <v>0</v>
      </c>
      <c r="I163" s="14">
        <f>I41/VLOOKUP($C163,calendar!$A$2:$D$121,4,FALSE)</f>
        <v>50</v>
      </c>
      <c r="J163" s="14">
        <f>J41/VLOOKUP($C163,calendar!$A$2:$D$121,4,FALSE)</f>
        <v>0</v>
      </c>
      <c r="K163" s="14">
        <f>K41/VLOOKUP($C163,calendar!$A$2:$D$121,4,FALSE)</f>
        <v>0</v>
      </c>
      <c r="L163" s="14">
        <f>L41/VLOOKUP($C163,calendar!$A$2:$D$121,4,FALSE)</f>
        <v>0</v>
      </c>
      <c r="M163" s="14">
        <f>M41/VLOOKUP($C163,calendar!$A$2:$D$121,4,FALSE)</f>
        <v>0</v>
      </c>
      <c r="N163" s="14"/>
      <c r="O163" s="14">
        <f>O41/VLOOKUP($C163,calendar!$A$2:$D$121,4,FALSE)</f>
        <v>0</v>
      </c>
      <c r="P163" s="14">
        <f>P41/VLOOKUP($C163,calendar!$A$2:$D$121,4,FALSE)</f>
        <v>0</v>
      </c>
      <c r="Q163" s="14">
        <f>Q41/VLOOKUP($C163,calendar!$A$2:$D$121,4,FALSE)</f>
        <v>171.34551630434783</v>
      </c>
      <c r="R163" s="14">
        <f>R41/VLOOKUP($C163,calendar!$A$2:$D$121,4,FALSE)</f>
        <v>0</v>
      </c>
    </row>
    <row r="164" spans="3:18" s="8" customFormat="1" x14ac:dyDescent="0.2">
      <c r="C164" s="9">
        <f t="shared" si="19"/>
        <v>38078</v>
      </c>
      <c r="E164" s="14">
        <f>E42/VLOOKUP($C164,calendar!$A$2:$D$121,4,FALSE)</f>
        <v>19.805767045454544</v>
      </c>
      <c r="F164" s="14">
        <f>F42/VLOOKUP($C164,calendar!$A$2:$D$121,4,FALSE)</f>
        <v>0</v>
      </c>
      <c r="G164" s="14">
        <f>G42/VLOOKUP($C164,calendar!$A$2:$D$121,4,FALSE)</f>
        <v>0</v>
      </c>
      <c r="H164" s="14">
        <f>H42/VLOOKUP($C164,calendar!$A$2:$D$121,4,FALSE)</f>
        <v>0</v>
      </c>
      <c r="I164" s="14">
        <f>I42/VLOOKUP($C164,calendar!$A$2:$D$121,4,FALSE)</f>
        <v>50</v>
      </c>
      <c r="J164" s="14">
        <f>J42/VLOOKUP($C164,calendar!$A$2:$D$121,4,FALSE)</f>
        <v>0</v>
      </c>
      <c r="K164" s="14">
        <f>K42/VLOOKUP($C164,calendar!$A$2:$D$121,4,FALSE)</f>
        <v>0</v>
      </c>
      <c r="L164" s="14">
        <f>L42/VLOOKUP($C164,calendar!$A$2:$D$121,4,FALSE)</f>
        <v>0</v>
      </c>
      <c r="M164" s="14">
        <f>M42/VLOOKUP($C164,calendar!$A$2:$D$121,4,FALSE)</f>
        <v>0</v>
      </c>
      <c r="N164" s="14"/>
      <c r="O164" s="14">
        <f>O42/VLOOKUP($C164,calendar!$A$2:$D$121,4,FALSE)</f>
        <v>0</v>
      </c>
      <c r="P164" s="14">
        <f>P42/VLOOKUP($C164,calendar!$A$2:$D$121,4,FALSE)</f>
        <v>0</v>
      </c>
      <c r="Q164" s="14">
        <f>Q42/VLOOKUP($C164,calendar!$A$2:$D$121,4,FALSE)</f>
        <v>169.63505681818182</v>
      </c>
      <c r="R164" s="14">
        <f>R42/VLOOKUP($C164,calendar!$A$2:$D$121,4,FALSE)</f>
        <v>0</v>
      </c>
    </row>
    <row r="165" spans="3:18" s="8" customFormat="1" x14ac:dyDescent="0.2">
      <c r="C165" s="9">
        <f t="shared" si="19"/>
        <v>38108</v>
      </c>
      <c r="E165" s="14">
        <f>E43/VLOOKUP($C165,calendar!$A$2:$D$121,4,FALSE)</f>
        <v>19.704062499999999</v>
      </c>
      <c r="F165" s="14">
        <f>F43/VLOOKUP($C165,calendar!$A$2:$D$121,4,FALSE)</f>
        <v>0</v>
      </c>
      <c r="G165" s="14">
        <f>G43/VLOOKUP($C165,calendar!$A$2:$D$121,4,FALSE)</f>
        <v>0</v>
      </c>
      <c r="H165" s="14">
        <f>H43/VLOOKUP($C165,calendar!$A$2:$D$121,4,FALSE)</f>
        <v>0</v>
      </c>
      <c r="I165" s="14">
        <f>I43/VLOOKUP($C165,calendar!$A$2:$D$121,4,FALSE)</f>
        <v>50</v>
      </c>
      <c r="J165" s="14">
        <f>J43/VLOOKUP($C165,calendar!$A$2:$D$121,4,FALSE)</f>
        <v>0</v>
      </c>
      <c r="K165" s="14">
        <f>K43/VLOOKUP($C165,calendar!$A$2:$D$121,4,FALSE)</f>
        <v>0</v>
      </c>
      <c r="L165" s="14">
        <f>L43/VLOOKUP($C165,calendar!$A$2:$D$121,4,FALSE)</f>
        <v>0</v>
      </c>
      <c r="M165" s="14">
        <f>M43/VLOOKUP($C165,calendar!$A$2:$D$121,4,FALSE)</f>
        <v>0</v>
      </c>
      <c r="N165" s="14"/>
      <c r="O165" s="14">
        <f>O43/VLOOKUP($C165,calendar!$A$2:$D$121,4,FALSE)</f>
        <v>0</v>
      </c>
      <c r="P165" s="14">
        <f>P43/VLOOKUP($C165,calendar!$A$2:$D$121,4,FALSE)</f>
        <v>0</v>
      </c>
      <c r="Q165" s="14">
        <f>Q43/VLOOKUP($C165,calendar!$A$2:$D$121,4,FALSE)</f>
        <v>168.76403124999999</v>
      </c>
      <c r="R165" s="14">
        <f>R43/VLOOKUP($C165,calendar!$A$2:$D$121,4,FALSE)</f>
        <v>0</v>
      </c>
    </row>
    <row r="166" spans="3:18" s="8" customFormat="1" x14ac:dyDescent="0.2">
      <c r="C166" s="9">
        <f t="shared" si="19"/>
        <v>38139</v>
      </c>
      <c r="E166" s="14">
        <f>E44/VLOOKUP($C166,calendar!$A$2:$D$121,4,FALSE)</f>
        <v>-449.23428977272727</v>
      </c>
      <c r="F166" s="14">
        <f>F44/VLOOKUP($C166,calendar!$A$2:$D$121,4,FALSE)</f>
        <v>0</v>
      </c>
      <c r="G166" s="14">
        <f>G44/VLOOKUP($C166,calendar!$A$2:$D$121,4,FALSE)</f>
        <v>0</v>
      </c>
      <c r="H166" s="14">
        <f>H44/VLOOKUP($C166,calendar!$A$2:$D$121,4,FALSE)</f>
        <v>0</v>
      </c>
      <c r="I166" s="14">
        <f>I44/VLOOKUP($C166,calendar!$A$2:$D$121,4,FALSE)</f>
        <v>50</v>
      </c>
      <c r="J166" s="14">
        <f>J44/VLOOKUP($C166,calendar!$A$2:$D$121,4,FALSE)</f>
        <v>0</v>
      </c>
      <c r="K166" s="14">
        <f>K44/VLOOKUP($C166,calendar!$A$2:$D$121,4,FALSE)</f>
        <v>0</v>
      </c>
      <c r="L166" s="14">
        <f>L44/VLOOKUP($C166,calendar!$A$2:$D$121,4,FALSE)</f>
        <v>0</v>
      </c>
      <c r="M166" s="14">
        <f>M44/VLOOKUP($C166,calendar!$A$2:$D$121,4,FALSE)</f>
        <v>0</v>
      </c>
      <c r="N166" s="14"/>
      <c r="O166" s="14">
        <f>O44/VLOOKUP($C166,calendar!$A$2:$D$121,4,FALSE)</f>
        <v>0</v>
      </c>
      <c r="P166" s="14">
        <f>P44/VLOOKUP($C166,calendar!$A$2:$D$121,4,FALSE)</f>
        <v>0</v>
      </c>
      <c r="Q166" s="14">
        <f>Q44/VLOOKUP($C166,calendar!$A$2:$D$121,4,FALSE)</f>
        <v>-46.038409090909092</v>
      </c>
      <c r="R166" s="14">
        <f>R44/VLOOKUP($C166,calendar!$A$2:$D$121,4,FALSE)</f>
        <v>0</v>
      </c>
    </row>
    <row r="167" spans="3:18" s="8" customFormat="1" x14ac:dyDescent="0.2">
      <c r="C167" s="9">
        <f t="shared" si="19"/>
        <v>38169</v>
      </c>
      <c r="E167" s="14">
        <f>E45/VLOOKUP($C167,calendar!$A$2:$D$121,4,FALSE)</f>
        <v>-362.109375</v>
      </c>
      <c r="F167" s="14">
        <f>F45/VLOOKUP($C167,calendar!$A$2:$D$121,4,FALSE)</f>
        <v>0</v>
      </c>
      <c r="G167" s="14">
        <f>G45/VLOOKUP($C167,calendar!$A$2:$D$121,4,FALSE)</f>
        <v>0</v>
      </c>
      <c r="H167" s="14">
        <f>H45/VLOOKUP($C167,calendar!$A$2:$D$121,4,FALSE)</f>
        <v>0</v>
      </c>
      <c r="I167" s="14">
        <f>I45/VLOOKUP($C167,calendar!$A$2:$D$121,4,FALSE)</f>
        <v>50</v>
      </c>
      <c r="J167" s="14">
        <f>J45/VLOOKUP($C167,calendar!$A$2:$D$121,4,FALSE)</f>
        <v>0</v>
      </c>
      <c r="K167" s="14">
        <f>K45/VLOOKUP($C167,calendar!$A$2:$D$121,4,FALSE)</f>
        <v>0</v>
      </c>
      <c r="L167" s="14">
        <f>L45/VLOOKUP($C167,calendar!$A$2:$D$121,4,FALSE)</f>
        <v>0</v>
      </c>
      <c r="M167" s="14">
        <f>M45/VLOOKUP($C167,calendar!$A$2:$D$121,4,FALSE)</f>
        <v>0</v>
      </c>
      <c r="N167" s="14"/>
      <c r="O167" s="14">
        <f>O45/VLOOKUP($C167,calendar!$A$2:$D$121,4,FALSE)</f>
        <v>0</v>
      </c>
      <c r="P167" s="14">
        <f>P45/VLOOKUP($C167,calendar!$A$2:$D$121,4,FALSE)</f>
        <v>0</v>
      </c>
      <c r="Q167" s="14">
        <f>Q45/VLOOKUP($C167,calendar!$A$2:$D$121,4,FALSE)</f>
        <v>38.151458333333331</v>
      </c>
      <c r="R167" s="14">
        <f>R45/VLOOKUP($C167,calendar!$A$2:$D$121,4,FALSE)</f>
        <v>0</v>
      </c>
    </row>
    <row r="168" spans="3:18" s="8" customFormat="1" x14ac:dyDescent="0.2">
      <c r="C168" s="9">
        <f t="shared" si="19"/>
        <v>38200</v>
      </c>
      <c r="E168" s="14">
        <f>E46/VLOOKUP($C168,calendar!$A$2:$D$121,4,FALSE)</f>
        <v>-360.23028409090909</v>
      </c>
      <c r="F168" s="14">
        <f>F46/VLOOKUP($C168,calendar!$A$2:$D$121,4,FALSE)</f>
        <v>0</v>
      </c>
      <c r="G168" s="14">
        <f>G46/VLOOKUP($C168,calendar!$A$2:$D$121,4,FALSE)</f>
        <v>0</v>
      </c>
      <c r="H168" s="14">
        <f>H46/VLOOKUP($C168,calendar!$A$2:$D$121,4,FALSE)</f>
        <v>0</v>
      </c>
      <c r="I168" s="14">
        <f>I46/VLOOKUP($C168,calendar!$A$2:$D$121,4,FALSE)</f>
        <v>50</v>
      </c>
      <c r="J168" s="14">
        <f>J46/VLOOKUP($C168,calendar!$A$2:$D$121,4,FALSE)</f>
        <v>0</v>
      </c>
      <c r="K168" s="14">
        <f>K46/VLOOKUP($C168,calendar!$A$2:$D$121,4,FALSE)</f>
        <v>0</v>
      </c>
      <c r="L168" s="14">
        <f>L46/VLOOKUP($C168,calendar!$A$2:$D$121,4,FALSE)</f>
        <v>0</v>
      </c>
      <c r="M168" s="14">
        <f>M46/VLOOKUP($C168,calendar!$A$2:$D$121,4,FALSE)</f>
        <v>0</v>
      </c>
      <c r="N168" s="14"/>
      <c r="O168" s="14">
        <f>O46/VLOOKUP($C168,calendar!$A$2:$D$121,4,FALSE)</f>
        <v>0</v>
      </c>
      <c r="P168" s="14">
        <f>P46/VLOOKUP($C168,calendar!$A$2:$D$121,4,FALSE)</f>
        <v>0</v>
      </c>
      <c r="Q168" s="14">
        <f>Q46/VLOOKUP($C168,calendar!$A$2:$D$121,4,FALSE)</f>
        <v>38.800198863636361</v>
      </c>
      <c r="R168" s="14">
        <f>R46/VLOOKUP($C168,calendar!$A$2:$D$121,4,FALSE)</f>
        <v>0</v>
      </c>
    </row>
    <row r="169" spans="3:18" s="8" customFormat="1" x14ac:dyDescent="0.2">
      <c r="C169" s="9">
        <f t="shared" si="19"/>
        <v>38231</v>
      </c>
      <c r="E169" s="14">
        <f>E47/VLOOKUP($C169,calendar!$A$2:$D$121,4,FALSE)</f>
        <v>19.305982142857143</v>
      </c>
      <c r="F169" s="14">
        <f>F47/VLOOKUP($C169,calendar!$A$2:$D$121,4,FALSE)</f>
        <v>0</v>
      </c>
      <c r="G169" s="14">
        <f>G47/VLOOKUP($C169,calendar!$A$2:$D$121,4,FALSE)</f>
        <v>0</v>
      </c>
      <c r="H169" s="14">
        <f>H47/VLOOKUP($C169,calendar!$A$2:$D$121,4,FALSE)</f>
        <v>0</v>
      </c>
      <c r="I169" s="14">
        <f>I47/VLOOKUP($C169,calendar!$A$2:$D$121,4,FALSE)</f>
        <v>50</v>
      </c>
      <c r="J169" s="14">
        <f>J47/VLOOKUP($C169,calendar!$A$2:$D$121,4,FALSE)</f>
        <v>0</v>
      </c>
      <c r="K169" s="14">
        <f>K47/VLOOKUP($C169,calendar!$A$2:$D$121,4,FALSE)</f>
        <v>0</v>
      </c>
      <c r="L169" s="14">
        <f>L47/VLOOKUP($C169,calendar!$A$2:$D$121,4,FALSE)</f>
        <v>0</v>
      </c>
      <c r="M169" s="14">
        <f>M47/VLOOKUP($C169,calendar!$A$2:$D$121,4,FALSE)</f>
        <v>0</v>
      </c>
      <c r="N169" s="14"/>
      <c r="O169" s="14">
        <f>O47/VLOOKUP($C169,calendar!$A$2:$D$121,4,FALSE)</f>
        <v>0</v>
      </c>
      <c r="P169" s="14">
        <f>P47/VLOOKUP($C169,calendar!$A$2:$D$121,4,FALSE)</f>
        <v>0</v>
      </c>
      <c r="Q169" s="14">
        <f>Q47/VLOOKUP($C169,calendar!$A$2:$D$121,4,FALSE)</f>
        <v>165.35434523809522</v>
      </c>
      <c r="R169" s="14">
        <f>R47/VLOOKUP($C169,calendar!$A$2:$D$121,4,FALSE)</f>
        <v>0</v>
      </c>
    </row>
    <row r="170" spans="3:18" s="8" customFormat="1" x14ac:dyDescent="0.2">
      <c r="C170" s="9">
        <f t="shared" si="19"/>
        <v>38261</v>
      </c>
      <c r="E170" s="14">
        <f>E48/VLOOKUP($C170,calendar!$A$2:$D$121,4,FALSE)</f>
        <v>19.205178571428569</v>
      </c>
      <c r="F170" s="14">
        <f>F48/VLOOKUP($C170,calendar!$A$2:$D$121,4,FALSE)</f>
        <v>0</v>
      </c>
      <c r="G170" s="14">
        <f>G48/VLOOKUP($C170,calendar!$A$2:$D$121,4,FALSE)</f>
        <v>0</v>
      </c>
      <c r="H170" s="14">
        <f>H48/VLOOKUP($C170,calendar!$A$2:$D$121,4,FALSE)</f>
        <v>0</v>
      </c>
      <c r="I170" s="14">
        <f>I48/VLOOKUP($C170,calendar!$A$2:$D$121,4,FALSE)</f>
        <v>50</v>
      </c>
      <c r="J170" s="14">
        <f>J48/VLOOKUP($C170,calendar!$A$2:$D$121,4,FALSE)</f>
        <v>0</v>
      </c>
      <c r="K170" s="14">
        <f>K48/VLOOKUP($C170,calendar!$A$2:$D$121,4,FALSE)</f>
        <v>0</v>
      </c>
      <c r="L170" s="14">
        <f>L48/VLOOKUP($C170,calendar!$A$2:$D$121,4,FALSE)</f>
        <v>0</v>
      </c>
      <c r="M170" s="14">
        <f>M48/VLOOKUP($C170,calendar!$A$2:$D$121,4,FALSE)</f>
        <v>0</v>
      </c>
      <c r="N170" s="14"/>
      <c r="O170" s="14">
        <f>O48/VLOOKUP($C170,calendar!$A$2:$D$121,4,FALSE)</f>
        <v>0</v>
      </c>
      <c r="P170" s="14">
        <f>P48/VLOOKUP($C170,calendar!$A$2:$D$121,4,FALSE)</f>
        <v>0</v>
      </c>
      <c r="Q170" s="14">
        <f>Q48/VLOOKUP($C170,calendar!$A$2:$D$121,4,FALSE)</f>
        <v>164.49023809523811</v>
      </c>
      <c r="R170" s="14">
        <f>R48/VLOOKUP($C170,calendar!$A$2:$D$121,4,FALSE)</f>
        <v>0</v>
      </c>
    </row>
    <row r="171" spans="3:18" s="8" customFormat="1" x14ac:dyDescent="0.2">
      <c r="C171" s="9">
        <f t="shared" si="19"/>
        <v>38292</v>
      </c>
      <c r="E171" s="14">
        <f>E49/VLOOKUP($C171,calendar!$A$2:$D$121,4,FALSE)</f>
        <v>19.107589285714283</v>
      </c>
      <c r="F171" s="14">
        <f>F49/VLOOKUP($C171,calendar!$A$2:$D$121,4,FALSE)</f>
        <v>0</v>
      </c>
      <c r="G171" s="14">
        <f>G49/VLOOKUP($C171,calendar!$A$2:$D$121,4,FALSE)</f>
        <v>0</v>
      </c>
      <c r="H171" s="14">
        <f>H49/VLOOKUP($C171,calendar!$A$2:$D$121,4,FALSE)</f>
        <v>0</v>
      </c>
      <c r="I171" s="14">
        <f>I49/VLOOKUP($C171,calendar!$A$2:$D$121,4,FALSE)</f>
        <v>50</v>
      </c>
      <c r="J171" s="14">
        <f>J49/VLOOKUP($C171,calendar!$A$2:$D$121,4,FALSE)</f>
        <v>0</v>
      </c>
      <c r="K171" s="14">
        <f>K49/VLOOKUP($C171,calendar!$A$2:$D$121,4,FALSE)</f>
        <v>0</v>
      </c>
      <c r="L171" s="14">
        <f>L49/VLOOKUP($C171,calendar!$A$2:$D$121,4,FALSE)</f>
        <v>0</v>
      </c>
      <c r="M171" s="14">
        <f>M49/VLOOKUP($C171,calendar!$A$2:$D$121,4,FALSE)</f>
        <v>0</v>
      </c>
      <c r="N171" s="14"/>
      <c r="O171" s="14">
        <f>O49/VLOOKUP($C171,calendar!$A$2:$D$121,4,FALSE)</f>
        <v>0</v>
      </c>
      <c r="P171" s="14">
        <f>P49/VLOOKUP($C171,calendar!$A$2:$D$121,4,FALSE)</f>
        <v>0</v>
      </c>
      <c r="Q171" s="14">
        <f>Q49/VLOOKUP($C171,calendar!$A$2:$D$121,4,FALSE)</f>
        <v>163.65520833333335</v>
      </c>
      <c r="R171" s="14">
        <f>R49/VLOOKUP($C171,calendar!$A$2:$D$121,4,FALSE)</f>
        <v>0</v>
      </c>
    </row>
    <row r="172" spans="3:18" s="8" customFormat="1" x14ac:dyDescent="0.2">
      <c r="C172" s="9">
        <f t="shared" si="19"/>
        <v>38322</v>
      </c>
      <c r="E172" s="14">
        <f>E50/VLOOKUP($C172,calendar!$A$2:$D$121,4,FALSE)</f>
        <v>19.006793478260871</v>
      </c>
      <c r="F172" s="14">
        <f>F50/VLOOKUP($C172,calendar!$A$2:$D$121,4,FALSE)</f>
        <v>0</v>
      </c>
      <c r="G172" s="14">
        <f>G50/VLOOKUP($C172,calendar!$A$2:$D$121,4,FALSE)</f>
        <v>0</v>
      </c>
      <c r="H172" s="14">
        <f>H50/VLOOKUP($C172,calendar!$A$2:$D$121,4,FALSE)</f>
        <v>0</v>
      </c>
      <c r="I172" s="14">
        <f>I50/VLOOKUP($C172,calendar!$A$2:$D$121,4,FALSE)</f>
        <v>50</v>
      </c>
      <c r="J172" s="14">
        <f>J50/VLOOKUP($C172,calendar!$A$2:$D$121,4,FALSE)</f>
        <v>0</v>
      </c>
      <c r="K172" s="14">
        <f>K50/VLOOKUP($C172,calendar!$A$2:$D$121,4,FALSE)</f>
        <v>0</v>
      </c>
      <c r="L172" s="14">
        <f>L50/VLOOKUP($C172,calendar!$A$2:$D$121,4,FALSE)</f>
        <v>0</v>
      </c>
      <c r="M172" s="14">
        <f>M50/VLOOKUP($C172,calendar!$A$2:$D$121,4,FALSE)</f>
        <v>0</v>
      </c>
      <c r="N172" s="14"/>
      <c r="O172" s="14">
        <f>O50/VLOOKUP($C172,calendar!$A$2:$D$121,4,FALSE)</f>
        <v>0</v>
      </c>
      <c r="P172" s="14">
        <f>P50/VLOOKUP($C172,calendar!$A$2:$D$121,4,FALSE)</f>
        <v>0</v>
      </c>
      <c r="Q172" s="14">
        <f>Q50/VLOOKUP($C172,calendar!$A$2:$D$121,4,FALSE)</f>
        <v>162.79176630434785</v>
      </c>
      <c r="R172" s="14">
        <f>R50/VLOOKUP($C172,calendar!$A$2:$D$121,4,FALSE)</f>
        <v>0</v>
      </c>
    </row>
    <row r="173" spans="3:18" s="8" customFormat="1" x14ac:dyDescent="0.2">
      <c r="C173" s="9">
        <f t="shared" si="19"/>
        <v>38353</v>
      </c>
      <c r="E173" s="14">
        <f>E51/VLOOKUP($C173,calendar!$A$2:$D$121,4,FALSE)</f>
        <v>224.40443452380953</v>
      </c>
      <c r="F173" s="14">
        <f>F51/VLOOKUP($C173,calendar!$A$2:$D$121,4,FALSE)</f>
        <v>0</v>
      </c>
      <c r="G173" s="14">
        <f>G51/VLOOKUP($C173,calendar!$A$2:$D$121,4,FALSE)</f>
        <v>0</v>
      </c>
      <c r="H173" s="14">
        <f>H51/VLOOKUP($C173,calendar!$A$2:$D$121,4,FALSE)</f>
        <v>50</v>
      </c>
      <c r="I173" s="14">
        <f>I51/VLOOKUP($C173,calendar!$A$2:$D$121,4,FALSE)</f>
        <v>-75</v>
      </c>
      <c r="J173" s="14">
        <f>J51/VLOOKUP($C173,calendar!$A$2:$D$121,4,FALSE)</f>
        <v>0</v>
      </c>
      <c r="K173" s="14">
        <f>K51/VLOOKUP($C173,calendar!$A$2:$D$121,4,FALSE)</f>
        <v>0</v>
      </c>
      <c r="L173" s="14">
        <f>L51/VLOOKUP($C173,calendar!$A$2:$D$121,4,FALSE)</f>
        <v>0</v>
      </c>
      <c r="M173" s="14">
        <f>M51/VLOOKUP($C173,calendar!$A$2:$D$121,4,FALSE)</f>
        <v>0</v>
      </c>
      <c r="N173" s="14"/>
      <c r="O173" s="14">
        <f>O51/VLOOKUP($C173,calendar!$A$2:$D$121,4,FALSE)</f>
        <v>0</v>
      </c>
      <c r="P173" s="14">
        <f>P51/VLOOKUP($C173,calendar!$A$2:$D$121,4,FALSE)</f>
        <v>0</v>
      </c>
      <c r="Q173" s="14">
        <f>Q51/VLOOKUP($C173,calendar!$A$2:$D$121,4,FALSE)</f>
        <v>224.40074404761904</v>
      </c>
      <c r="R173" s="14">
        <f>R51/VLOOKUP($C173,calendar!$A$2:$D$121,4,FALSE)</f>
        <v>0</v>
      </c>
    </row>
    <row r="174" spans="3:18" s="8" customFormat="1" x14ac:dyDescent="0.2">
      <c r="C174" s="9">
        <f t="shared" si="19"/>
        <v>38384</v>
      </c>
      <c r="E174" s="14">
        <f>E52/VLOOKUP($C174,calendar!$A$2:$D$121,4,FALSE)</f>
        <v>223.32956250000001</v>
      </c>
      <c r="F174" s="14">
        <f>F52/VLOOKUP($C174,calendar!$A$2:$D$121,4,FALSE)</f>
        <v>0</v>
      </c>
      <c r="G174" s="14">
        <f>G52/VLOOKUP($C174,calendar!$A$2:$D$121,4,FALSE)</f>
        <v>0</v>
      </c>
      <c r="H174" s="14">
        <f>H52/VLOOKUP($C174,calendar!$A$2:$D$121,4,FALSE)</f>
        <v>50</v>
      </c>
      <c r="I174" s="14">
        <f>I52/VLOOKUP($C174,calendar!$A$2:$D$121,4,FALSE)</f>
        <v>-75</v>
      </c>
      <c r="J174" s="14">
        <f>J52/VLOOKUP($C174,calendar!$A$2:$D$121,4,FALSE)</f>
        <v>0</v>
      </c>
      <c r="K174" s="14">
        <f>K52/VLOOKUP($C174,calendar!$A$2:$D$121,4,FALSE)</f>
        <v>0</v>
      </c>
      <c r="L174" s="14">
        <f>L52/VLOOKUP($C174,calendar!$A$2:$D$121,4,FALSE)</f>
        <v>0</v>
      </c>
      <c r="M174" s="14">
        <f>M52/VLOOKUP($C174,calendar!$A$2:$D$121,4,FALSE)</f>
        <v>0</v>
      </c>
      <c r="N174" s="14"/>
      <c r="O174" s="14">
        <f>O52/VLOOKUP($C174,calendar!$A$2:$D$121,4,FALSE)</f>
        <v>0</v>
      </c>
      <c r="P174" s="14">
        <f>P52/VLOOKUP($C174,calendar!$A$2:$D$121,4,FALSE)</f>
        <v>0</v>
      </c>
      <c r="Q174" s="14">
        <f>Q52/VLOOKUP($C174,calendar!$A$2:$D$121,4,FALSE)</f>
        <v>223.32590624999997</v>
      </c>
      <c r="R174" s="14">
        <f>R52/VLOOKUP($C174,calendar!$A$2:$D$121,4,FALSE)</f>
        <v>0</v>
      </c>
    </row>
    <row r="175" spans="3:18" s="8" customFormat="1" x14ac:dyDescent="0.2">
      <c r="C175" s="9">
        <f t="shared" si="19"/>
        <v>38412</v>
      </c>
      <c r="E175" s="14">
        <f>E53/VLOOKUP($C175,calendar!$A$2:$D$121,4,FALSE)</f>
        <v>222.15103260869566</v>
      </c>
      <c r="F175" s="14">
        <f>F53/VLOOKUP($C175,calendar!$A$2:$D$121,4,FALSE)</f>
        <v>0</v>
      </c>
      <c r="G175" s="14">
        <f>G53/VLOOKUP($C175,calendar!$A$2:$D$121,4,FALSE)</f>
        <v>0</v>
      </c>
      <c r="H175" s="14">
        <f>H53/VLOOKUP($C175,calendar!$A$2:$D$121,4,FALSE)</f>
        <v>50</v>
      </c>
      <c r="I175" s="14">
        <f>I53/VLOOKUP($C175,calendar!$A$2:$D$121,4,FALSE)</f>
        <v>-75</v>
      </c>
      <c r="J175" s="14">
        <f>J53/VLOOKUP($C175,calendar!$A$2:$D$121,4,FALSE)</f>
        <v>0</v>
      </c>
      <c r="K175" s="14">
        <f>K53/VLOOKUP($C175,calendar!$A$2:$D$121,4,FALSE)</f>
        <v>0</v>
      </c>
      <c r="L175" s="14">
        <f>L53/VLOOKUP($C175,calendar!$A$2:$D$121,4,FALSE)</f>
        <v>0</v>
      </c>
      <c r="M175" s="14">
        <f>M53/VLOOKUP($C175,calendar!$A$2:$D$121,4,FALSE)</f>
        <v>0</v>
      </c>
      <c r="N175" s="14"/>
      <c r="O175" s="14">
        <f>O53/VLOOKUP($C175,calendar!$A$2:$D$121,4,FALSE)</f>
        <v>0</v>
      </c>
      <c r="P175" s="14">
        <f>P53/VLOOKUP($C175,calendar!$A$2:$D$121,4,FALSE)</f>
        <v>0</v>
      </c>
      <c r="Q175" s="14">
        <f>Q53/VLOOKUP($C175,calendar!$A$2:$D$121,4,FALSE)</f>
        <v>222.1474456521739</v>
      </c>
      <c r="R175" s="14">
        <f>R53/VLOOKUP($C175,calendar!$A$2:$D$121,4,FALSE)</f>
        <v>0</v>
      </c>
    </row>
    <row r="176" spans="3:18" s="8" customFormat="1" x14ac:dyDescent="0.2">
      <c r="C176" s="9">
        <f t="shared" si="19"/>
        <v>38443</v>
      </c>
      <c r="E176" s="14">
        <f>E54/VLOOKUP($C176,calendar!$A$2:$D$121,4,FALSE)</f>
        <v>221.01443452380954</v>
      </c>
      <c r="F176" s="14">
        <f>F54/VLOOKUP($C176,calendar!$A$2:$D$121,4,FALSE)</f>
        <v>0</v>
      </c>
      <c r="G176" s="14">
        <f>G54/VLOOKUP($C176,calendar!$A$2:$D$121,4,FALSE)</f>
        <v>0</v>
      </c>
      <c r="H176" s="14">
        <f>H54/VLOOKUP($C176,calendar!$A$2:$D$121,4,FALSE)</f>
        <v>50</v>
      </c>
      <c r="I176" s="14">
        <f>I54/VLOOKUP($C176,calendar!$A$2:$D$121,4,FALSE)</f>
        <v>-75</v>
      </c>
      <c r="J176" s="14">
        <f>J54/VLOOKUP($C176,calendar!$A$2:$D$121,4,FALSE)</f>
        <v>0</v>
      </c>
      <c r="K176" s="14">
        <f>K54/VLOOKUP($C176,calendar!$A$2:$D$121,4,FALSE)</f>
        <v>0</v>
      </c>
      <c r="L176" s="14">
        <f>L54/VLOOKUP($C176,calendar!$A$2:$D$121,4,FALSE)</f>
        <v>0</v>
      </c>
      <c r="M176" s="14">
        <f>M54/VLOOKUP($C176,calendar!$A$2:$D$121,4,FALSE)</f>
        <v>0</v>
      </c>
      <c r="N176" s="14"/>
      <c r="O176" s="14">
        <f>O54/VLOOKUP($C176,calendar!$A$2:$D$121,4,FALSE)</f>
        <v>0</v>
      </c>
      <c r="P176" s="14">
        <f>P54/VLOOKUP($C176,calendar!$A$2:$D$121,4,FALSE)</f>
        <v>0</v>
      </c>
      <c r="Q176" s="14">
        <f>Q54/VLOOKUP($C176,calendar!$A$2:$D$121,4,FALSE)</f>
        <v>220.19901785714285</v>
      </c>
      <c r="R176" s="14">
        <f>R54/VLOOKUP($C176,calendar!$A$2:$D$121,4,FALSE)</f>
        <v>0</v>
      </c>
    </row>
    <row r="177" spans="3:18" s="8" customFormat="1" x14ac:dyDescent="0.2">
      <c r="C177" s="9">
        <f t="shared" si="19"/>
        <v>38473</v>
      </c>
      <c r="E177" s="14">
        <f>E55/VLOOKUP($C177,calendar!$A$2:$D$121,4,FALSE)</f>
        <v>219.84407738095237</v>
      </c>
      <c r="F177" s="14">
        <f>F55/VLOOKUP($C177,calendar!$A$2:$D$121,4,FALSE)</f>
        <v>0</v>
      </c>
      <c r="G177" s="14">
        <f>G55/VLOOKUP($C177,calendar!$A$2:$D$121,4,FALSE)</f>
        <v>0</v>
      </c>
      <c r="H177" s="14">
        <f>H55/VLOOKUP($C177,calendar!$A$2:$D$121,4,FALSE)</f>
        <v>50</v>
      </c>
      <c r="I177" s="14">
        <f>I55/VLOOKUP($C177,calendar!$A$2:$D$121,4,FALSE)</f>
        <v>-75</v>
      </c>
      <c r="J177" s="14">
        <f>J55/VLOOKUP($C177,calendar!$A$2:$D$121,4,FALSE)</f>
        <v>0</v>
      </c>
      <c r="K177" s="14">
        <f>K55/VLOOKUP($C177,calendar!$A$2:$D$121,4,FALSE)</f>
        <v>0</v>
      </c>
      <c r="L177" s="14">
        <f>L55/VLOOKUP($C177,calendar!$A$2:$D$121,4,FALSE)</f>
        <v>0</v>
      </c>
      <c r="M177" s="14">
        <f>M55/VLOOKUP($C177,calendar!$A$2:$D$121,4,FALSE)</f>
        <v>0</v>
      </c>
      <c r="N177" s="14"/>
      <c r="O177" s="14">
        <f>O55/VLOOKUP($C177,calendar!$A$2:$D$121,4,FALSE)</f>
        <v>0</v>
      </c>
      <c r="P177" s="14">
        <f>P55/VLOOKUP($C177,calendar!$A$2:$D$121,4,FALSE)</f>
        <v>0</v>
      </c>
      <c r="Q177" s="14">
        <f>Q55/VLOOKUP($C177,calendar!$A$2:$D$121,4,FALSE)</f>
        <v>219.0334226190476</v>
      </c>
      <c r="R177" s="14">
        <f>R55/VLOOKUP($C177,calendar!$A$2:$D$121,4,FALSE)</f>
        <v>0</v>
      </c>
    </row>
    <row r="178" spans="3:18" s="8" customFormat="1" x14ac:dyDescent="0.2">
      <c r="C178" s="9">
        <f t="shared" si="19"/>
        <v>38504</v>
      </c>
      <c r="E178" s="14">
        <f>E56/VLOOKUP($C178,calendar!$A$2:$D$121,4,FALSE)</f>
        <v>178.66082386363635</v>
      </c>
      <c r="F178" s="14">
        <f>F56/VLOOKUP($C178,calendar!$A$2:$D$121,4,FALSE)</f>
        <v>0</v>
      </c>
      <c r="G178" s="14">
        <f>G56/VLOOKUP($C178,calendar!$A$2:$D$121,4,FALSE)</f>
        <v>0</v>
      </c>
      <c r="H178" s="14">
        <f>H56/VLOOKUP($C178,calendar!$A$2:$D$121,4,FALSE)</f>
        <v>50</v>
      </c>
      <c r="I178" s="14">
        <f>I56/VLOOKUP($C178,calendar!$A$2:$D$121,4,FALSE)</f>
        <v>-75</v>
      </c>
      <c r="J178" s="14">
        <f>J56/VLOOKUP($C178,calendar!$A$2:$D$121,4,FALSE)</f>
        <v>0</v>
      </c>
      <c r="K178" s="14">
        <f>K56/VLOOKUP($C178,calendar!$A$2:$D$121,4,FALSE)</f>
        <v>0</v>
      </c>
      <c r="L178" s="14">
        <f>L56/VLOOKUP($C178,calendar!$A$2:$D$121,4,FALSE)</f>
        <v>0</v>
      </c>
      <c r="M178" s="14">
        <f>M56/VLOOKUP($C178,calendar!$A$2:$D$121,4,FALSE)</f>
        <v>0</v>
      </c>
      <c r="N178" s="14"/>
      <c r="O178" s="14">
        <f>O56/VLOOKUP($C178,calendar!$A$2:$D$121,4,FALSE)</f>
        <v>0</v>
      </c>
      <c r="P178" s="14">
        <f>P56/VLOOKUP($C178,calendar!$A$2:$D$121,4,FALSE)</f>
        <v>0</v>
      </c>
      <c r="Q178" s="14">
        <f>Q56/VLOOKUP($C178,calendar!$A$2:$D$121,4,FALSE)</f>
        <v>217.11039772727273</v>
      </c>
      <c r="R178" s="14">
        <f>R56/VLOOKUP($C178,calendar!$A$2:$D$121,4,FALSE)</f>
        <v>0</v>
      </c>
    </row>
    <row r="179" spans="3:18" s="8" customFormat="1" x14ac:dyDescent="0.2">
      <c r="C179" s="9">
        <f t="shared" si="19"/>
        <v>38534</v>
      </c>
      <c r="E179" s="14">
        <f>E57/VLOOKUP($C179,calendar!$A$2:$D$121,4,FALSE)</f>
        <v>137.86753125000001</v>
      </c>
      <c r="F179" s="14">
        <f>F57/VLOOKUP($C179,calendar!$A$2:$D$121,4,FALSE)</f>
        <v>0</v>
      </c>
      <c r="G179" s="14">
        <f>G57/VLOOKUP($C179,calendar!$A$2:$D$121,4,FALSE)</f>
        <v>0</v>
      </c>
      <c r="H179" s="14">
        <f>H57/VLOOKUP($C179,calendar!$A$2:$D$121,4,FALSE)</f>
        <v>50</v>
      </c>
      <c r="I179" s="14">
        <f>I57/VLOOKUP($C179,calendar!$A$2:$D$121,4,FALSE)</f>
        <v>-75</v>
      </c>
      <c r="J179" s="14">
        <f>J57/VLOOKUP($C179,calendar!$A$2:$D$121,4,FALSE)</f>
        <v>0</v>
      </c>
      <c r="K179" s="14">
        <f>K57/VLOOKUP($C179,calendar!$A$2:$D$121,4,FALSE)</f>
        <v>0</v>
      </c>
      <c r="L179" s="14">
        <f>L57/VLOOKUP($C179,calendar!$A$2:$D$121,4,FALSE)</f>
        <v>0</v>
      </c>
      <c r="M179" s="14">
        <f>M57/VLOOKUP($C179,calendar!$A$2:$D$121,4,FALSE)</f>
        <v>0</v>
      </c>
      <c r="N179" s="14"/>
      <c r="O179" s="14">
        <f>O57/VLOOKUP($C179,calendar!$A$2:$D$121,4,FALSE)</f>
        <v>0</v>
      </c>
      <c r="P179" s="14">
        <f>P57/VLOOKUP($C179,calendar!$A$2:$D$121,4,FALSE)</f>
        <v>0</v>
      </c>
      <c r="Q179" s="14">
        <f>Q57/VLOOKUP($C179,calendar!$A$2:$D$121,4,FALSE)</f>
        <v>215.15868749999998</v>
      </c>
      <c r="R179" s="14">
        <f>R57/VLOOKUP($C179,calendar!$A$2:$D$121,4,FALSE)</f>
        <v>0</v>
      </c>
    </row>
    <row r="180" spans="3:18" s="8" customFormat="1" x14ac:dyDescent="0.2">
      <c r="C180" s="9">
        <f t="shared" si="19"/>
        <v>38565</v>
      </c>
      <c r="E180" s="14">
        <f>E58/VLOOKUP($C180,calendar!$A$2:$D$121,4,FALSE)</f>
        <v>137.13247282608697</v>
      </c>
      <c r="F180" s="14">
        <f>F58/VLOOKUP($C180,calendar!$A$2:$D$121,4,FALSE)</f>
        <v>0</v>
      </c>
      <c r="G180" s="14">
        <f>G58/VLOOKUP($C180,calendar!$A$2:$D$121,4,FALSE)</f>
        <v>0</v>
      </c>
      <c r="H180" s="14">
        <f>H58/VLOOKUP($C180,calendar!$A$2:$D$121,4,FALSE)</f>
        <v>50</v>
      </c>
      <c r="I180" s="14">
        <f>I58/VLOOKUP($C180,calendar!$A$2:$D$121,4,FALSE)</f>
        <v>-75</v>
      </c>
      <c r="J180" s="14">
        <f>J58/VLOOKUP($C180,calendar!$A$2:$D$121,4,FALSE)</f>
        <v>0</v>
      </c>
      <c r="K180" s="14">
        <f>K58/VLOOKUP($C180,calendar!$A$2:$D$121,4,FALSE)</f>
        <v>0</v>
      </c>
      <c r="L180" s="14">
        <f>L58/VLOOKUP($C180,calendar!$A$2:$D$121,4,FALSE)</f>
        <v>0</v>
      </c>
      <c r="M180" s="14">
        <f>M58/VLOOKUP($C180,calendar!$A$2:$D$121,4,FALSE)</f>
        <v>0</v>
      </c>
      <c r="N180" s="14"/>
      <c r="O180" s="14">
        <f>O58/VLOOKUP($C180,calendar!$A$2:$D$121,4,FALSE)</f>
        <v>0</v>
      </c>
      <c r="P180" s="14">
        <f>P58/VLOOKUP($C180,calendar!$A$2:$D$121,4,FALSE)</f>
        <v>0</v>
      </c>
      <c r="Q180" s="14">
        <f>Q58/VLOOKUP($C180,calendar!$A$2:$D$121,4,FALSE)</f>
        <v>214.80785326086954</v>
      </c>
      <c r="R180" s="14">
        <f>R58/VLOOKUP($C180,calendar!$A$2:$D$121,4,FALSE)</f>
        <v>0</v>
      </c>
    </row>
    <row r="181" spans="3:18" s="8" customFormat="1" x14ac:dyDescent="0.2">
      <c r="C181" s="9">
        <f t="shared" si="19"/>
        <v>38596</v>
      </c>
      <c r="E181" s="14">
        <f>E59/VLOOKUP($C181,calendar!$A$2:$D$121,4,FALSE)</f>
        <v>215.27678571428572</v>
      </c>
      <c r="F181" s="14">
        <f>F59/VLOOKUP($C181,calendar!$A$2:$D$121,4,FALSE)</f>
        <v>0</v>
      </c>
      <c r="G181" s="14">
        <f>G59/VLOOKUP($C181,calendar!$A$2:$D$121,4,FALSE)</f>
        <v>0</v>
      </c>
      <c r="H181" s="14">
        <f>H59/VLOOKUP($C181,calendar!$A$2:$D$121,4,FALSE)</f>
        <v>50</v>
      </c>
      <c r="I181" s="14">
        <f>I59/VLOOKUP($C181,calendar!$A$2:$D$121,4,FALSE)</f>
        <v>-75</v>
      </c>
      <c r="J181" s="14">
        <f>J59/VLOOKUP($C181,calendar!$A$2:$D$121,4,FALSE)</f>
        <v>0</v>
      </c>
      <c r="K181" s="14">
        <f>K59/VLOOKUP($C181,calendar!$A$2:$D$121,4,FALSE)</f>
        <v>0</v>
      </c>
      <c r="L181" s="14">
        <f>L59/VLOOKUP($C181,calendar!$A$2:$D$121,4,FALSE)</f>
        <v>0</v>
      </c>
      <c r="M181" s="14">
        <f>M59/VLOOKUP($C181,calendar!$A$2:$D$121,4,FALSE)</f>
        <v>0</v>
      </c>
      <c r="N181" s="14"/>
      <c r="O181" s="14">
        <f>O59/VLOOKUP($C181,calendar!$A$2:$D$121,4,FALSE)</f>
        <v>0</v>
      </c>
      <c r="P181" s="14">
        <f>P59/VLOOKUP($C181,calendar!$A$2:$D$121,4,FALSE)</f>
        <v>0</v>
      </c>
      <c r="Q181" s="14">
        <f>Q59/VLOOKUP($C181,calendar!$A$2:$D$121,4,FALSE)</f>
        <v>214.48300595238092</v>
      </c>
      <c r="R181" s="14">
        <f>R59/VLOOKUP($C181,calendar!$A$2:$D$121,4,FALSE)</f>
        <v>0</v>
      </c>
    </row>
    <row r="182" spans="3:18" s="8" customFormat="1" x14ac:dyDescent="0.2">
      <c r="C182" s="9">
        <f t="shared" si="19"/>
        <v>38626</v>
      </c>
      <c r="E182" s="14">
        <f>E60/VLOOKUP($C182,calendar!$A$2:$D$121,4,FALSE)</f>
        <v>214.11633928571428</v>
      </c>
      <c r="F182" s="14">
        <f>F60/VLOOKUP($C182,calendar!$A$2:$D$121,4,FALSE)</f>
        <v>0</v>
      </c>
      <c r="G182" s="14">
        <f>G60/VLOOKUP($C182,calendar!$A$2:$D$121,4,FALSE)</f>
        <v>0</v>
      </c>
      <c r="H182" s="14">
        <f>H60/VLOOKUP($C182,calendar!$A$2:$D$121,4,FALSE)</f>
        <v>50</v>
      </c>
      <c r="I182" s="14">
        <f>I60/VLOOKUP($C182,calendar!$A$2:$D$121,4,FALSE)</f>
        <v>-75</v>
      </c>
      <c r="J182" s="14">
        <f>J60/VLOOKUP($C182,calendar!$A$2:$D$121,4,FALSE)</f>
        <v>0</v>
      </c>
      <c r="K182" s="14">
        <f>K60/VLOOKUP($C182,calendar!$A$2:$D$121,4,FALSE)</f>
        <v>0</v>
      </c>
      <c r="L182" s="14">
        <f>L60/VLOOKUP($C182,calendar!$A$2:$D$121,4,FALSE)</f>
        <v>0</v>
      </c>
      <c r="M182" s="14">
        <f>M60/VLOOKUP($C182,calendar!$A$2:$D$121,4,FALSE)</f>
        <v>0</v>
      </c>
      <c r="N182" s="14"/>
      <c r="O182" s="14">
        <f>O60/VLOOKUP($C182,calendar!$A$2:$D$121,4,FALSE)</f>
        <v>0</v>
      </c>
      <c r="P182" s="14">
        <f>P60/VLOOKUP($C182,calendar!$A$2:$D$121,4,FALSE)</f>
        <v>0</v>
      </c>
      <c r="Q182" s="14">
        <f>Q60/VLOOKUP($C182,calendar!$A$2:$D$121,4,FALSE)</f>
        <v>213.32669642857144</v>
      </c>
      <c r="R182" s="14">
        <f>R60/VLOOKUP($C182,calendar!$A$2:$D$121,4,FALSE)</f>
        <v>0</v>
      </c>
    </row>
    <row r="183" spans="3:18" s="8" customFormat="1" x14ac:dyDescent="0.2">
      <c r="C183" s="9">
        <f t="shared" si="19"/>
        <v>38657</v>
      </c>
      <c r="E183" s="14">
        <f>E61/VLOOKUP($C183,calendar!$A$2:$D$121,4,FALSE)</f>
        <v>212.99306547619048</v>
      </c>
      <c r="F183" s="14">
        <f>F61/VLOOKUP($C183,calendar!$A$2:$D$121,4,FALSE)</f>
        <v>0</v>
      </c>
      <c r="G183" s="14">
        <f>G61/VLOOKUP($C183,calendar!$A$2:$D$121,4,FALSE)</f>
        <v>0</v>
      </c>
      <c r="H183" s="14">
        <f>H61/VLOOKUP($C183,calendar!$A$2:$D$121,4,FALSE)</f>
        <v>50</v>
      </c>
      <c r="I183" s="14">
        <f>I61/VLOOKUP($C183,calendar!$A$2:$D$121,4,FALSE)</f>
        <v>-75</v>
      </c>
      <c r="J183" s="14">
        <f>J61/VLOOKUP($C183,calendar!$A$2:$D$121,4,FALSE)</f>
        <v>0</v>
      </c>
      <c r="K183" s="14">
        <f>K61/VLOOKUP($C183,calendar!$A$2:$D$121,4,FALSE)</f>
        <v>0</v>
      </c>
      <c r="L183" s="14">
        <f>L61/VLOOKUP($C183,calendar!$A$2:$D$121,4,FALSE)</f>
        <v>0</v>
      </c>
      <c r="M183" s="14">
        <f>M61/VLOOKUP($C183,calendar!$A$2:$D$121,4,FALSE)</f>
        <v>0</v>
      </c>
      <c r="N183" s="14"/>
      <c r="O183" s="14">
        <f>O61/VLOOKUP($C183,calendar!$A$2:$D$121,4,FALSE)</f>
        <v>0</v>
      </c>
      <c r="P183" s="14">
        <f>P61/VLOOKUP($C183,calendar!$A$2:$D$121,4,FALSE)</f>
        <v>0</v>
      </c>
      <c r="Q183" s="14">
        <f>Q61/VLOOKUP($C183,calendar!$A$2:$D$121,4,FALSE)</f>
        <v>212.20750000000001</v>
      </c>
      <c r="R183" s="14">
        <f>R61/VLOOKUP($C183,calendar!$A$2:$D$121,4,FALSE)</f>
        <v>0</v>
      </c>
    </row>
    <row r="184" spans="3:18" s="8" customFormat="1" x14ac:dyDescent="0.2">
      <c r="C184" s="9">
        <f t="shared" si="19"/>
        <v>38687</v>
      </c>
      <c r="E184" s="14">
        <f>E62/VLOOKUP($C184,calendar!$A$2:$D$121,4,FALSE)</f>
        <v>211.83220238095237</v>
      </c>
      <c r="F184" s="14">
        <f>F62/VLOOKUP($C184,calendar!$A$2:$D$121,4,FALSE)</f>
        <v>0</v>
      </c>
      <c r="G184" s="14">
        <f>G62/VLOOKUP($C184,calendar!$A$2:$D$121,4,FALSE)</f>
        <v>0</v>
      </c>
      <c r="H184" s="14">
        <f>H62/VLOOKUP($C184,calendar!$A$2:$D$121,4,FALSE)</f>
        <v>50</v>
      </c>
      <c r="I184" s="14">
        <f>I62/VLOOKUP($C184,calendar!$A$2:$D$121,4,FALSE)</f>
        <v>-75</v>
      </c>
      <c r="J184" s="14">
        <f>J62/VLOOKUP($C184,calendar!$A$2:$D$121,4,FALSE)</f>
        <v>0</v>
      </c>
      <c r="K184" s="14">
        <f>K62/VLOOKUP($C184,calendar!$A$2:$D$121,4,FALSE)</f>
        <v>0</v>
      </c>
      <c r="L184" s="14">
        <f>L62/VLOOKUP($C184,calendar!$A$2:$D$121,4,FALSE)</f>
        <v>0</v>
      </c>
      <c r="M184" s="14">
        <f>M62/VLOOKUP($C184,calendar!$A$2:$D$121,4,FALSE)</f>
        <v>0</v>
      </c>
      <c r="N184" s="14"/>
      <c r="O184" s="14">
        <f>O62/VLOOKUP($C184,calendar!$A$2:$D$121,4,FALSE)</f>
        <v>0</v>
      </c>
      <c r="P184" s="14">
        <f>P62/VLOOKUP($C184,calendar!$A$2:$D$121,4,FALSE)</f>
        <v>0</v>
      </c>
      <c r="Q184" s="14">
        <f>Q62/VLOOKUP($C184,calendar!$A$2:$D$121,4,FALSE)</f>
        <v>211.05172619047622</v>
      </c>
      <c r="R184" s="14">
        <f>R62/VLOOKUP($C184,calendar!$A$2:$D$121,4,FALSE)</f>
        <v>0</v>
      </c>
    </row>
    <row r="185" spans="3:18" s="8" customFormat="1" x14ac:dyDescent="0.2">
      <c r="C185" s="9">
        <f t="shared" si="19"/>
        <v>38718</v>
      </c>
      <c r="E185" s="14">
        <f>E63/VLOOKUP($C185,calendar!$A$2:$D$121,4,FALSE)</f>
        <v>-20.835625</v>
      </c>
      <c r="F185" s="14">
        <f>F63/VLOOKUP($C185,calendar!$A$2:$D$121,4,FALSE)</f>
        <v>0</v>
      </c>
      <c r="G185" s="14">
        <f>G63/VLOOKUP($C185,calendar!$A$2:$D$121,4,FALSE)</f>
        <v>0</v>
      </c>
      <c r="H185" s="14">
        <f>H63/VLOOKUP($C185,calendar!$A$2:$D$121,4,FALSE)</f>
        <v>-82</v>
      </c>
      <c r="I185" s="14">
        <f>I63/VLOOKUP($C185,calendar!$A$2:$D$121,4,FALSE)</f>
        <v>-25</v>
      </c>
      <c r="J185" s="14">
        <f>J63/VLOOKUP($C185,calendar!$A$2:$D$121,4,FALSE)</f>
        <v>0</v>
      </c>
      <c r="K185" s="14">
        <f>K63/VLOOKUP($C185,calendar!$A$2:$D$121,4,FALSE)</f>
        <v>0</v>
      </c>
      <c r="L185" s="14">
        <f>L63/VLOOKUP($C185,calendar!$A$2:$D$121,4,FALSE)</f>
        <v>0</v>
      </c>
      <c r="M185" s="14">
        <f>M63/VLOOKUP($C185,calendar!$A$2:$D$121,4,FALSE)</f>
        <v>0</v>
      </c>
      <c r="N185" s="14"/>
      <c r="O185" s="14">
        <f>O63/VLOOKUP($C185,calendar!$A$2:$D$121,4,FALSE)</f>
        <v>0</v>
      </c>
      <c r="P185" s="14">
        <f>P63/VLOOKUP($C185,calendar!$A$2:$D$121,4,FALSE)</f>
        <v>0</v>
      </c>
      <c r="Q185" s="14">
        <f>Q63/VLOOKUP($C185,calendar!$A$2:$D$121,4,FALSE)</f>
        <v>94.914255952380955</v>
      </c>
      <c r="R185" s="14">
        <f>R63/VLOOKUP($C185,calendar!$A$2:$D$121,4,FALSE)</f>
        <v>0</v>
      </c>
    </row>
    <row r="186" spans="3:18" s="8" customFormat="1" x14ac:dyDescent="0.2">
      <c r="C186" s="9">
        <f t="shared" si="19"/>
        <v>38749</v>
      </c>
      <c r="E186" s="14">
        <f>E64/VLOOKUP($C186,calendar!$A$2:$D$121,4,FALSE)</f>
        <v>-20.731906250000002</v>
      </c>
      <c r="F186" s="14">
        <f>F64/VLOOKUP($C186,calendar!$A$2:$D$121,4,FALSE)</f>
        <v>0</v>
      </c>
      <c r="G186" s="14">
        <f>G64/VLOOKUP($C186,calendar!$A$2:$D$121,4,FALSE)</f>
        <v>0</v>
      </c>
      <c r="H186" s="14">
        <f>H64/VLOOKUP($C186,calendar!$A$2:$D$121,4,FALSE)</f>
        <v>-82</v>
      </c>
      <c r="I186" s="14">
        <f>I64/VLOOKUP($C186,calendar!$A$2:$D$121,4,FALSE)</f>
        <v>-25</v>
      </c>
      <c r="J186" s="14">
        <f>J64/VLOOKUP($C186,calendar!$A$2:$D$121,4,FALSE)</f>
        <v>0</v>
      </c>
      <c r="K186" s="14">
        <f>K64/VLOOKUP($C186,calendar!$A$2:$D$121,4,FALSE)</f>
        <v>0</v>
      </c>
      <c r="L186" s="14">
        <f>L64/VLOOKUP($C186,calendar!$A$2:$D$121,4,FALSE)</f>
        <v>0</v>
      </c>
      <c r="M186" s="14">
        <f>M64/VLOOKUP($C186,calendar!$A$2:$D$121,4,FALSE)</f>
        <v>0</v>
      </c>
      <c r="N186" s="14"/>
      <c r="O186" s="14">
        <f>O64/VLOOKUP($C186,calendar!$A$2:$D$121,4,FALSE)</f>
        <v>0</v>
      </c>
      <c r="P186" s="14">
        <f>P64/VLOOKUP($C186,calendar!$A$2:$D$121,4,FALSE)</f>
        <v>0</v>
      </c>
      <c r="Q186" s="14">
        <f>Q64/VLOOKUP($C186,calendar!$A$2:$D$121,4,FALSE)</f>
        <v>94.441843750000004</v>
      </c>
      <c r="R186" s="14">
        <f>R64/VLOOKUP($C186,calendar!$A$2:$D$121,4,FALSE)</f>
        <v>0</v>
      </c>
    </row>
    <row r="187" spans="3:18" s="8" customFormat="1" x14ac:dyDescent="0.2">
      <c r="C187" s="9">
        <f t="shared" si="19"/>
        <v>38777</v>
      </c>
      <c r="E187" s="14">
        <f>E65/VLOOKUP($C187,calendar!$A$2:$D$121,4,FALSE)</f>
        <v>-20.617119565217394</v>
      </c>
      <c r="F187" s="14">
        <f>F65/VLOOKUP($C187,calendar!$A$2:$D$121,4,FALSE)</f>
        <v>0</v>
      </c>
      <c r="G187" s="14">
        <f>G65/VLOOKUP($C187,calendar!$A$2:$D$121,4,FALSE)</f>
        <v>0</v>
      </c>
      <c r="H187" s="14">
        <f>H65/VLOOKUP($C187,calendar!$A$2:$D$121,4,FALSE)</f>
        <v>-86</v>
      </c>
      <c r="I187" s="14">
        <f>I65/VLOOKUP($C187,calendar!$A$2:$D$121,4,FALSE)</f>
        <v>-25</v>
      </c>
      <c r="J187" s="14">
        <f>J65/VLOOKUP($C187,calendar!$A$2:$D$121,4,FALSE)</f>
        <v>0</v>
      </c>
      <c r="K187" s="14">
        <f>K65/VLOOKUP($C187,calendar!$A$2:$D$121,4,FALSE)</f>
        <v>0</v>
      </c>
      <c r="L187" s="14">
        <f>L65/VLOOKUP($C187,calendar!$A$2:$D$121,4,FALSE)</f>
        <v>0</v>
      </c>
      <c r="M187" s="14">
        <f>M65/VLOOKUP($C187,calendar!$A$2:$D$121,4,FALSE)</f>
        <v>0</v>
      </c>
      <c r="N187" s="14"/>
      <c r="O187" s="14">
        <f>O65/VLOOKUP($C187,calendar!$A$2:$D$121,4,FALSE)</f>
        <v>0</v>
      </c>
      <c r="P187" s="14">
        <f>P65/VLOOKUP($C187,calendar!$A$2:$D$121,4,FALSE)</f>
        <v>0</v>
      </c>
      <c r="Q187" s="14">
        <f>Q65/VLOOKUP($C187,calendar!$A$2:$D$121,4,FALSE)</f>
        <v>93.918831521739122</v>
      </c>
      <c r="R187" s="14">
        <f>R65/VLOOKUP($C187,calendar!$A$2:$D$121,4,FALSE)</f>
        <v>0</v>
      </c>
    </row>
    <row r="188" spans="3:18" s="8" customFormat="1" x14ac:dyDescent="0.2">
      <c r="C188" s="9">
        <f t="shared" si="19"/>
        <v>38808</v>
      </c>
      <c r="E188" s="14">
        <f>E66/VLOOKUP($C188,calendar!$A$2:$D$121,4,FALSE)</f>
        <v>-20.506031249999999</v>
      </c>
      <c r="F188" s="14">
        <f>F66/VLOOKUP($C188,calendar!$A$2:$D$121,4,FALSE)</f>
        <v>0</v>
      </c>
      <c r="G188" s="14">
        <f>G66/VLOOKUP($C188,calendar!$A$2:$D$121,4,FALSE)</f>
        <v>0</v>
      </c>
      <c r="H188" s="14">
        <f>H66/VLOOKUP($C188,calendar!$A$2:$D$121,4,FALSE)</f>
        <v>-85</v>
      </c>
      <c r="I188" s="14">
        <f>I66/VLOOKUP($C188,calendar!$A$2:$D$121,4,FALSE)</f>
        <v>-25</v>
      </c>
      <c r="J188" s="14">
        <f>J66/VLOOKUP($C188,calendar!$A$2:$D$121,4,FALSE)</f>
        <v>0</v>
      </c>
      <c r="K188" s="14">
        <f>K66/VLOOKUP($C188,calendar!$A$2:$D$121,4,FALSE)</f>
        <v>0</v>
      </c>
      <c r="L188" s="14">
        <f>L66/VLOOKUP($C188,calendar!$A$2:$D$121,4,FALSE)</f>
        <v>0</v>
      </c>
      <c r="M188" s="14">
        <f>M66/VLOOKUP($C188,calendar!$A$2:$D$121,4,FALSE)</f>
        <v>0</v>
      </c>
      <c r="N188" s="14"/>
      <c r="O188" s="14">
        <f>O66/VLOOKUP($C188,calendar!$A$2:$D$121,4,FALSE)</f>
        <v>0</v>
      </c>
      <c r="P188" s="14">
        <f>P66/VLOOKUP($C188,calendar!$A$2:$D$121,4,FALSE)</f>
        <v>0</v>
      </c>
      <c r="Q188" s="14">
        <f>Q66/VLOOKUP($C188,calendar!$A$2:$D$121,4,FALSE)</f>
        <v>92.650687500000004</v>
      </c>
      <c r="R188" s="14">
        <f>R66/VLOOKUP($C188,calendar!$A$2:$D$121,4,FALSE)</f>
        <v>0</v>
      </c>
    </row>
    <row r="189" spans="3:18" s="8" customFormat="1" x14ac:dyDescent="0.2">
      <c r="C189" s="9">
        <f t="shared" ref="C189:C220" si="20">C67</f>
        <v>38838</v>
      </c>
      <c r="E189" s="14">
        <f>E67/VLOOKUP($C189,calendar!$A$2:$D$121,4,FALSE)</f>
        <v>-20.394545454545455</v>
      </c>
      <c r="F189" s="14">
        <f>F67/VLOOKUP($C189,calendar!$A$2:$D$121,4,FALSE)</f>
        <v>0</v>
      </c>
      <c r="G189" s="14">
        <f>G67/VLOOKUP($C189,calendar!$A$2:$D$121,4,FALSE)</f>
        <v>0</v>
      </c>
      <c r="H189" s="14">
        <f>H67/VLOOKUP($C189,calendar!$A$2:$D$121,4,FALSE)</f>
        <v>-76</v>
      </c>
      <c r="I189" s="14">
        <f>I67/VLOOKUP($C189,calendar!$A$2:$D$121,4,FALSE)</f>
        <v>-25</v>
      </c>
      <c r="J189" s="14">
        <f>J67/VLOOKUP($C189,calendar!$A$2:$D$121,4,FALSE)</f>
        <v>0</v>
      </c>
      <c r="K189" s="14">
        <f>K67/VLOOKUP($C189,calendar!$A$2:$D$121,4,FALSE)</f>
        <v>0</v>
      </c>
      <c r="L189" s="14">
        <f>L67/VLOOKUP($C189,calendar!$A$2:$D$121,4,FALSE)</f>
        <v>0</v>
      </c>
      <c r="M189" s="14">
        <f>M67/VLOOKUP($C189,calendar!$A$2:$D$121,4,FALSE)</f>
        <v>0</v>
      </c>
      <c r="N189" s="14"/>
      <c r="O189" s="14">
        <f>O67/VLOOKUP($C189,calendar!$A$2:$D$121,4,FALSE)</f>
        <v>0</v>
      </c>
      <c r="P189" s="14">
        <f>P67/VLOOKUP($C189,calendar!$A$2:$D$121,4,FALSE)</f>
        <v>0</v>
      </c>
      <c r="Q189" s="14">
        <f>Q67/VLOOKUP($C189,calendar!$A$2:$D$121,4,FALSE)</f>
        <v>92.147982954545455</v>
      </c>
      <c r="R189" s="14">
        <f>R67/VLOOKUP($C189,calendar!$A$2:$D$121,4,FALSE)</f>
        <v>0</v>
      </c>
    </row>
    <row r="190" spans="3:18" s="8" customFormat="1" x14ac:dyDescent="0.2">
      <c r="C190" s="9">
        <f t="shared" si="20"/>
        <v>38869</v>
      </c>
      <c r="E190" s="14">
        <f>E68/VLOOKUP($C190,calendar!$A$2:$D$121,4,FALSE)</f>
        <v>-20.289602272727272</v>
      </c>
      <c r="F190" s="14">
        <f>F68/VLOOKUP($C190,calendar!$A$2:$D$121,4,FALSE)</f>
        <v>0</v>
      </c>
      <c r="G190" s="14">
        <f>G68/VLOOKUP($C190,calendar!$A$2:$D$121,4,FALSE)</f>
        <v>0</v>
      </c>
      <c r="H190" s="14">
        <f>H68/VLOOKUP($C190,calendar!$A$2:$D$121,4,FALSE)</f>
        <v>-71</v>
      </c>
      <c r="I190" s="14">
        <f>I68/VLOOKUP($C190,calendar!$A$2:$D$121,4,FALSE)</f>
        <v>-25</v>
      </c>
      <c r="J190" s="14">
        <f>J68/VLOOKUP($C190,calendar!$A$2:$D$121,4,FALSE)</f>
        <v>0</v>
      </c>
      <c r="K190" s="14">
        <f>K68/VLOOKUP($C190,calendar!$A$2:$D$121,4,FALSE)</f>
        <v>0</v>
      </c>
      <c r="L190" s="14">
        <f>L68/VLOOKUP($C190,calendar!$A$2:$D$121,4,FALSE)</f>
        <v>0</v>
      </c>
      <c r="M190" s="14">
        <f>M68/VLOOKUP($C190,calendar!$A$2:$D$121,4,FALSE)</f>
        <v>0</v>
      </c>
      <c r="N190" s="14"/>
      <c r="O190" s="14">
        <f>O68/VLOOKUP($C190,calendar!$A$2:$D$121,4,FALSE)</f>
        <v>0</v>
      </c>
      <c r="P190" s="14">
        <f>P68/VLOOKUP($C190,calendar!$A$2:$D$121,4,FALSE)</f>
        <v>0</v>
      </c>
      <c r="Q190" s="14">
        <f>Q68/VLOOKUP($C190,calendar!$A$2:$D$121,4,FALSE)</f>
        <v>90.922272727272727</v>
      </c>
      <c r="R190" s="14">
        <f>R68/VLOOKUP($C190,calendar!$A$2:$D$121,4,FALSE)</f>
        <v>0</v>
      </c>
    </row>
    <row r="191" spans="3:18" s="8" customFormat="1" x14ac:dyDescent="0.2">
      <c r="C191" s="9">
        <f t="shared" si="20"/>
        <v>38899</v>
      </c>
      <c r="E191" s="14">
        <f>E69/VLOOKUP($C191,calendar!$A$2:$D$121,4,FALSE)</f>
        <v>-20.181812499999999</v>
      </c>
      <c r="F191" s="14">
        <f>F69/VLOOKUP($C191,calendar!$A$2:$D$121,4,FALSE)</f>
        <v>0</v>
      </c>
      <c r="G191" s="14">
        <f>G69/VLOOKUP($C191,calendar!$A$2:$D$121,4,FALSE)</f>
        <v>0</v>
      </c>
      <c r="H191" s="14">
        <f>H69/VLOOKUP($C191,calendar!$A$2:$D$121,4,FALSE)</f>
        <v>-63</v>
      </c>
      <c r="I191" s="14">
        <f>I69/VLOOKUP($C191,calendar!$A$2:$D$121,4,FALSE)</f>
        <v>-25</v>
      </c>
      <c r="J191" s="14">
        <f>J69/VLOOKUP($C191,calendar!$A$2:$D$121,4,FALSE)</f>
        <v>0</v>
      </c>
      <c r="K191" s="14">
        <f>K69/VLOOKUP($C191,calendar!$A$2:$D$121,4,FALSE)</f>
        <v>0</v>
      </c>
      <c r="L191" s="14">
        <f>L69/VLOOKUP($C191,calendar!$A$2:$D$121,4,FALSE)</f>
        <v>0</v>
      </c>
      <c r="M191" s="14">
        <f>M69/VLOOKUP($C191,calendar!$A$2:$D$121,4,FALSE)</f>
        <v>0</v>
      </c>
      <c r="N191" s="14"/>
      <c r="O191" s="14">
        <f>O69/VLOOKUP($C191,calendar!$A$2:$D$121,4,FALSE)</f>
        <v>0</v>
      </c>
      <c r="P191" s="14">
        <f>P69/VLOOKUP($C191,calendar!$A$2:$D$121,4,FALSE)</f>
        <v>0</v>
      </c>
      <c r="Q191" s="14">
        <f>Q69/VLOOKUP($C191,calendar!$A$2:$D$121,4,FALSE)</f>
        <v>89.688593749999995</v>
      </c>
      <c r="R191" s="14">
        <f>R69/VLOOKUP($C191,calendar!$A$2:$D$121,4,FALSE)</f>
        <v>0</v>
      </c>
    </row>
    <row r="192" spans="3:18" s="8" customFormat="1" x14ac:dyDescent="0.2">
      <c r="C192" s="9">
        <f t="shared" si="20"/>
        <v>38930</v>
      </c>
      <c r="E192" s="14">
        <f>E70/VLOOKUP($C192,calendar!$A$2:$D$121,4,FALSE)</f>
        <v>-20.074239130434783</v>
      </c>
      <c r="F192" s="14">
        <f>F70/VLOOKUP($C192,calendar!$A$2:$D$121,4,FALSE)</f>
        <v>0</v>
      </c>
      <c r="G192" s="14">
        <f>G70/VLOOKUP($C192,calendar!$A$2:$D$121,4,FALSE)</f>
        <v>0</v>
      </c>
      <c r="H192" s="14">
        <f>H70/VLOOKUP($C192,calendar!$A$2:$D$121,4,FALSE)</f>
        <v>-62</v>
      </c>
      <c r="I192" s="14">
        <f>I70/VLOOKUP($C192,calendar!$A$2:$D$121,4,FALSE)</f>
        <v>-25</v>
      </c>
      <c r="J192" s="14">
        <f>J70/VLOOKUP($C192,calendar!$A$2:$D$121,4,FALSE)</f>
        <v>0</v>
      </c>
      <c r="K192" s="14">
        <f>K70/VLOOKUP($C192,calendar!$A$2:$D$121,4,FALSE)</f>
        <v>0</v>
      </c>
      <c r="L192" s="14">
        <f>L70/VLOOKUP($C192,calendar!$A$2:$D$121,4,FALSE)</f>
        <v>0</v>
      </c>
      <c r="M192" s="14">
        <f>M70/VLOOKUP($C192,calendar!$A$2:$D$121,4,FALSE)</f>
        <v>0</v>
      </c>
      <c r="N192" s="14"/>
      <c r="O192" s="14">
        <f>O70/VLOOKUP($C192,calendar!$A$2:$D$121,4,FALSE)</f>
        <v>0</v>
      </c>
      <c r="P192" s="14">
        <f>P70/VLOOKUP($C192,calendar!$A$2:$D$121,4,FALSE)</f>
        <v>0</v>
      </c>
      <c r="Q192" s="14">
        <f>Q70/VLOOKUP($C192,calendar!$A$2:$D$121,4,FALSE)</f>
        <v>89.956114130434784</v>
      </c>
      <c r="R192" s="14">
        <f>R70/VLOOKUP($C192,calendar!$A$2:$D$121,4,FALSE)</f>
        <v>0</v>
      </c>
    </row>
    <row r="193" spans="3:18" s="8" customFormat="1" x14ac:dyDescent="0.2">
      <c r="C193" s="9">
        <f t="shared" si="20"/>
        <v>38961</v>
      </c>
      <c r="E193" s="14">
        <f>E71/VLOOKUP($C193,calendar!$A$2:$D$121,4,FALSE)</f>
        <v>-19.970281249999999</v>
      </c>
      <c r="F193" s="14">
        <f>F71/VLOOKUP($C193,calendar!$A$2:$D$121,4,FALSE)</f>
        <v>0</v>
      </c>
      <c r="G193" s="14">
        <f>G71/VLOOKUP($C193,calendar!$A$2:$D$121,4,FALSE)</f>
        <v>0</v>
      </c>
      <c r="H193" s="14">
        <f>H71/VLOOKUP($C193,calendar!$A$2:$D$121,4,FALSE)</f>
        <v>-78</v>
      </c>
      <c r="I193" s="14">
        <f>I71/VLOOKUP($C193,calendar!$A$2:$D$121,4,FALSE)</f>
        <v>-25</v>
      </c>
      <c r="J193" s="14">
        <f>J71/VLOOKUP($C193,calendar!$A$2:$D$121,4,FALSE)</f>
        <v>0</v>
      </c>
      <c r="K193" s="14">
        <f>K71/VLOOKUP($C193,calendar!$A$2:$D$121,4,FALSE)</f>
        <v>0</v>
      </c>
      <c r="L193" s="14">
        <f>L71/VLOOKUP($C193,calendar!$A$2:$D$121,4,FALSE)</f>
        <v>0</v>
      </c>
      <c r="M193" s="14">
        <f>M71/VLOOKUP($C193,calendar!$A$2:$D$121,4,FALSE)</f>
        <v>0</v>
      </c>
      <c r="N193" s="14"/>
      <c r="O193" s="14">
        <f>O71/VLOOKUP($C193,calendar!$A$2:$D$121,4,FALSE)</f>
        <v>0</v>
      </c>
      <c r="P193" s="14">
        <f>P71/VLOOKUP($C193,calendar!$A$2:$D$121,4,FALSE)</f>
        <v>0</v>
      </c>
      <c r="Q193" s="14">
        <f>Q71/VLOOKUP($C193,calendar!$A$2:$D$121,4,FALSE)</f>
        <v>90.23075</v>
      </c>
      <c r="R193" s="14">
        <f>R71/VLOOKUP($C193,calendar!$A$2:$D$121,4,FALSE)</f>
        <v>0</v>
      </c>
    </row>
    <row r="194" spans="3:18" s="8" customFormat="1" x14ac:dyDescent="0.2">
      <c r="C194" s="9">
        <f t="shared" si="20"/>
        <v>38991</v>
      </c>
      <c r="E194" s="14">
        <f>E72/VLOOKUP($C194,calendar!$A$2:$D$121,4,FALSE)</f>
        <v>-19.863068181818182</v>
      </c>
      <c r="F194" s="14">
        <f>F72/VLOOKUP($C194,calendar!$A$2:$D$121,4,FALSE)</f>
        <v>0</v>
      </c>
      <c r="G194" s="14">
        <f>G72/VLOOKUP($C194,calendar!$A$2:$D$121,4,FALSE)</f>
        <v>0</v>
      </c>
      <c r="H194" s="14">
        <f>H72/VLOOKUP($C194,calendar!$A$2:$D$121,4,FALSE)</f>
        <v>-79</v>
      </c>
      <c r="I194" s="14">
        <f>I72/VLOOKUP($C194,calendar!$A$2:$D$121,4,FALSE)</f>
        <v>-25</v>
      </c>
      <c r="J194" s="14">
        <f>J72/VLOOKUP($C194,calendar!$A$2:$D$121,4,FALSE)</f>
        <v>0</v>
      </c>
      <c r="K194" s="14">
        <f>K72/VLOOKUP($C194,calendar!$A$2:$D$121,4,FALSE)</f>
        <v>0</v>
      </c>
      <c r="L194" s="14">
        <f>L72/VLOOKUP($C194,calendar!$A$2:$D$121,4,FALSE)</f>
        <v>0</v>
      </c>
      <c r="M194" s="14">
        <f>M72/VLOOKUP($C194,calendar!$A$2:$D$121,4,FALSE)</f>
        <v>0</v>
      </c>
      <c r="N194" s="14"/>
      <c r="O194" s="14">
        <f>O72/VLOOKUP($C194,calendar!$A$2:$D$121,4,FALSE)</f>
        <v>0</v>
      </c>
      <c r="P194" s="14">
        <f>P72/VLOOKUP($C194,calendar!$A$2:$D$121,4,FALSE)</f>
        <v>0</v>
      </c>
      <c r="Q194" s="14">
        <f>Q72/VLOOKUP($C194,calendar!$A$2:$D$121,4,FALSE)</f>
        <v>89.746704545454548</v>
      </c>
      <c r="R194" s="14">
        <f>R72/VLOOKUP($C194,calendar!$A$2:$D$121,4,FALSE)</f>
        <v>0</v>
      </c>
    </row>
    <row r="195" spans="3:18" s="8" customFormat="1" x14ac:dyDescent="0.2">
      <c r="C195" s="9">
        <f t="shared" si="20"/>
        <v>39022</v>
      </c>
      <c r="E195" s="14">
        <f>E73/VLOOKUP($C195,calendar!$A$2:$D$121,4,FALSE)</f>
        <v>-19.759523809523809</v>
      </c>
      <c r="F195" s="14">
        <f>F73/VLOOKUP($C195,calendar!$A$2:$D$121,4,FALSE)</f>
        <v>0</v>
      </c>
      <c r="G195" s="14">
        <f>G73/VLOOKUP($C195,calendar!$A$2:$D$121,4,FALSE)</f>
        <v>0</v>
      </c>
      <c r="H195" s="14">
        <f>H73/VLOOKUP($C195,calendar!$A$2:$D$121,4,FALSE)</f>
        <v>-80</v>
      </c>
      <c r="I195" s="14">
        <f>I73/VLOOKUP($C195,calendar!$A$2:$D$121,4,FALSE)</f>
        <v>-25</v>
      </c>
      <c r="J195" s="14">
        <f>J73/VLOOKUP($C195,calendar!$A$2:$D$121,4,FALSE)</f>
        <v>0</v>
      </c>
      <c r="K195" s="14">
        <f>K73/VLOOKUP($C195,calendar!$A$2:$D$121,4,FALSE)</f>
        <v>0</v>
      </c>
      <c r="L195" s="14">
        <f>L73/VLOOKUP($C195,calendar!$A$2:$D$121,4,FALSE)</f>
        <v>0</v>
      </c>
      <c r="M195" s="14">
        <f>M73/VLOOKUP($C195,calendar!$A$2:$D$121,4,FALSE)</f>
        <v>0</v>
      </c>
      <c r="N195" s="14"/>
      <c r="O195" s="14">
        <f>O73/VLOOKUP($C195,calendar!$A$2:$D$121,4,FALSE)</f>
        <v>0</v>
      </c>
      <c r="P195" s="14">
        <f>P73/VLOOKUP($C195,calendar!$A$2:$D$121,4,FALSE)</f>
        <v>0</v>
      </c>
      <c r="Q195" s="14">
        <f>Q73/VLOOKUP($C195,calendar!$A$2:$D$121,4,FALSE)</f>
        <v>89.278720238095246</v>
      </c>
      <c r="R195" s="14">
        <f>R73/VLOOKUP($C195,calendar!$A$2:$D$121,4,FALSE)</f>
        <v>0</v>
      </c>
    </row>
    <row r="196" spans="3:18" s="8" customFormat="1" x14ac:dyDescent="0.2">
      <c r="C196" s="9">
        <f t="shared" si="20"/>
        <v>39052</v>
      </c>
      <c r="E196" s="14">
        <f>E74/VLOOKUP($C196,calendar!$A$2:$D$121,4,FALSE)</f>
        <v>-19.652687499999999</v>
      </c>
      <c r="F196" s="14">
        <f>F74/VLOOKUP($C196,calendar!$A$2:$D$121,4,FALSE)</f>
        <v>0</v>
      </c>
      <c r="G196" s="14">
        <f>G74/VLOOKUP($C196,calendar!$A$2:$D$121,4,FALSE)</f>
        <v>0</v>
      </c>
      <c r="H196" s="14">
        <f>H74/VLOOKUP($C196,calendar!$A$2:$D$121,4,FALSE)</f>
        <v>-79</v>
      </c>
      <c r="I196" s="14">
        <f>I74/VLOOKUP($C196,calendar!$A$2:$D$121,4,FALSE)</f>
        <v>-25</v>
      </c>
      <c r="J196" s="14">
        <f>J74/VLOOKUP($C196,calendar!$A$2:$D$121,4,FALSE)</f>
        <v>0</v>
      </c>
      <c r="K196" s="14">
        <f>K74/VLOOKUP($C196,calendar!$A$2:$D$121,4,FALSE)</f>
        <v>0</v>
      </c>
      <c r="L196" s="14">
        <f>L74/VLOOKUP($C196,calendar!$A$2:$D$121,4,FALSE)</f>
        <v>0</v>
      </c>
      <c r="M196" s="14">
        <f>M74/VLOOKUP($C196,calendar!$A$2:$D$121,4,FALSE)</f>
        <v>0</v>
      </c>
      <c r="N196" s="14"/>
      <c r="O196" s="14">
        <f>O74/VLOOKUP($C196,calendar!$A$2:$D$121,4,FALSE)</f>
        <v>0</v>
      </c>
      <c r="P196" s="14">
        <f>P74/VLOOKUP($C196,calendar!$A$2:$D$121,4,FALSE)</f>
        <v>0</v>
      </c>
      <c r="Q196" s="14">
        <f>Q74/VLOOKUP($C196,calendar!$A$2:$D$121,4,FALSE)</f>
        <v>88.796437499999996</v>
      </c>
      <c r="R196" s="14">
        <f>R74/VLOOKUP($C196,calendar!$A$2:$D$121,4,FALSE)</f>
        <v>0</v>
      </c>
    </row>
    <row r="197" spans="3:18" s="8" customFormat="1" x14ac:dyDescent="0.2">
      <c r="C197" s="9">
        <f t="shared" si="20"/>
        <v>39083</v>
      </c>
      <c r="E197" s="14">
        <f>E75/VLOOKUP($C197,calendar!$A$2:$D$121,4,FALSE)</f>
        <v>125.23957386363637</v>
      </c>
      <c r="F197" s="14">
        <f>F75/VLOOKUP($C197,calendar!$A$2:$D$121,4,FALSE)</f>
        <v>0</v>
      </c>
      <c r="G197" s="14">
        <f>G75/VLOOKUP($C197,calendar!$A$2:$D$121,4,FALSE)</f>
        <v>0</v>
      </c>
      <c r="H197" s="14">
        <f>H75/VLOOKUP($C197,calendar!$A$2:$D$121,4,FALSE)</f>
        <v>-132</v>
      </c>
      <c r="I197" s="14">
        <f>I75/VLOOKUP($C197,calendar!$A$2:$D$121,4,FALSE)</f>
        <v>-25</v>
      </c>
      <c r="J197" s="14">
        <f>J75/VLOOKUP($C197,calendar!$A$2:$D$121,4,FALSE)</f>
        <v>0</v>
      </c>
      <c r="K197" s="14">
        <f>K75/VLOOKUP($C197,calendar!$A$2:$D$121,4,FALSE)</f>
        <v>0</v>
      </c>
      <c r="L197" s="14">
        <f>L75/VLOOKUP($C197,calendar!$A$2:$D$121,4,FALSE)</f>
        <v>0</v>
      </c>
      <c r="M197" s="14">
        <f>M75/VLOOKUP($C197,calendar!$A$2:$D$121,4,FALSE)</f>
        <v>0</v>
      </c>
      <c r="N197" s="14"/>
      <c r="O197" s="14">
        <f>O75/VLOOKUP($C197,calendar!$A$2:$D$121,4,FALSE)</f>
        <v>0</v>
      </c>
      <c r="P197" s="14">
        <f>P75/VLOOKUP($C197,calendar!$A$2:$D$121,4,FALSE)</f>
        <v>0</v>
      </c>
      <c r="Q197" s="14">
        <f>Q75/VLOOKUP($C197,calendar!$A$2:$D$121,4,FALSE)</f>
        <v>16.647045454545456</v>
      </c>
      <c r="R197" s="14">
        <f>R75/VLOOKUP($C197,calendar!$A$2:$D$121,4,FALSE)</f>
        <v>0</v>
      </c>
    </row>
    <row r="198" spans="3:18" s="8" customFormat="1" x14ac:dyDescent="0.2">
      <c r="C198" s="9">
        <f t="shared" si="20"/>
        <v>39114</v>
      </c>
      <c r="E198" s="14">
        <f>E76/VLOOKUP($C198,calendar!$A$2:$D$121,4,FALSE)</f>
        <v>124.62362499999999</v>
      </c>
      <c r="F198" s="14">
        <f>F76/VLOOKUP($C198,calendar!$A$2:$D$121,4,FALSE)</f>
        <v>0</v>
      </c>
      <c r="G198" s="14">
        <f>G76/VLOOKUP($C198,calendar!$A$2:$D$121,4,FALSE)</f>
        <v>0</v>
      </c>
      <c r="H198" s="14">
        <f>H76/VLOOKUP($C198,calendar!$A$2:$D$121,4,FALSE)</f>
        <v>-132</v>
      </c>
      <c r="I198" s="14">
        <f>I76/VLOOKUP($C198,calendar!$A$2:$D$121,4,FALSE)</f>
        <v>-25</v>
      </c>
      <c r="J198" s="14">
        <f>J76/VLOOKUP($C198,calendar!$A$2:$D$121,4,FALSE)</f>
        <v>0</v>
      </c>
      <c r="K198" s="14">
        <f>K76/VLOOKUP($C198,calendar!$A$2:$D$121,4,FALSE)</f>
        <v>0</v>
      </c>
      <c r="L198" s="14">
        <f>L76/VLOOKUP($C198,calendar!$A$2:$D$121,4,FALSE)</f>
        <v>0</v>
      </c>
      <c r="M198" s="14">
        <f>M76/VLOOKUP($C198,calendar!$A$2:$D$121,4,FALSE)</f>
        <v>0</v>
      </c>
      <c r="N198" s="14"/>
      <c r="O198" s="14">
        <f>O76/VLOOKUP($C198,calendar!$A$2:$D$121,4,FALSE)</f>
        <v>0</v>
      </c>
      <c r="P198" s="14">
        <f>P76/VLOOKUP($C198,calendar!$A$2:$D$121,4,FALSE)</f>
        <v>0</v>
      </c>
      <c r="Q198" s="14">
        <f>Q76/VLOOKUP($C198,calendar!$A$2:$D$121,4,FALSE)</f>
        <v>16.565156250000001</v>
      </c>
      <c r="R198" s="14">
        <f>R76/VLOOKUP($C198,calendar!$A$2:$D$121,4,FALSE)</f>
        <v>0</v>
      </c>
    </row>
    <row r="199" spans="3:18" s="8" customFormat="1" x14ac:dyDescent="0.2">
      <c r="C199" s="9">
        <f t="shared" si="20"/>
        <v>39142</v>
      </c>
      <c r="E199" s="14">
        <f>E77/VLOOKUP($C199,calendar!$A$2:$D$121,4,FALSE)</f>
        <v>123.94295454545454</v>
      </c>
      <c r="F199" s="14">
        <f>F77/VLOOKUP($C199,calendar!$A$2:$D$121,4,FALSE)</f>
        <v>0</v>
      </c>
      <c r="G199" s="14">
        <f>G77/VLOOKUP($C199,calendar!$A$2:$D$121,4,FALSE)</f>
        <v>0</v>
      </c>
      <c r="H199" s="14">
        <f>H77/VLOOKUP($C199,calendar!$A$2:$D$121,4,FALSE)</f>
        <v>-136</v>
      </c>
      <c r="I199" s="14">
        <f>I77/VLOOKUP($C199,calendar!$A$2:$D$121,4,FALSE)</f>
        <v>-25</v>
      </c>
      <c r="J199" s="14">
        <f>J77/VLOOKUP($C199,calendar!$A$2:$D$121,4,FALSE)</f>
        <v>0</v>
      </c>
      <c r="K199" s="14">
        <f>K77/VLOOKUP($C199,calendar!$A$2:$D$121,4,FALSE)</f>
        <v>0</v>
      </c>
      <c r="L199" s="14">
        <f>L77/VLOOKUP($C199,calendar!$A$2:$D$121,4,FALSE)</f>
        <v>0</v>
      </c>
      <c r="M199" s="14">
        <f>M77/VLOOKUP($C199,calendar!$A$2:$D$121,4,FALSE)</f>
        <v>0</v>
      </c>
      <c r="N199" s="14"/>
      <c r="O199" s="14">
        <f>O77/VLOOKUP($C199,calendar!$A$2:$D$121,4,FALSE)</f>
        <v>0</v>
      </c>
      <c r="P199" s="14">
        <f>P77/VLOOKUP($C199,calendar!$A$2:$D$121,4,FALSE)</f>
        <v>0</v>
      </c>
      <c r="Q199" s="14">
        <f>Q77/VLOOKUP($C199,calendar!$A$2:$D$121,4,FALSE)</f>
        <v>16.474431818181817</v>
      </c>
      <c r="R199" s="14">
        <f>R77/VLOOKUP($C199,calendar!$A$2:$D$121,4,FALSE)</f>
        <v>0</v>
      </c>
    </row>
    <row r="200" spans="3:18" s="8" customFormat="1" x14ac:dyDescent="0.2">
      <c r="C200" s="9">
        <f t="shared" si="20"/>
        <v>39173</v>
      </c>
      <c r="E200" s="14">
        <f>E78/VLOOKUP($C200,calendar!$A$2:$D$121,4,FALSE)</f>
        <v>123.28553571428571</v>
      </c>
      <c r="F200" s="14">
        <f>F78/VLOOKUP($C200,calendar!$A$2:$D$121,4,FALSE)</f>
        <v>0</v>
      </c>
      <c r="G200" s="14">
        <f>G78/VLOOKUP($C200,calendar!$A$2:$D$121,4,FALSE)</f>
        <v>0</v>
      </c>
      <c r="H200" s="14">
        <f>H78/VLOOKUP($C200,calendar!$A$2:$D$121,4,FALSE)</f>
        <v>-135</v>
      </c>
      <c r="I200" s="14">
        <f>I78/VLOOKUP($C200,calendar!$A$2:$D$121,4,FALSE)</f>
        <v>-25</v>
      </c>
      <c r="J200" s="14">
        <f>J78/VLOOKUP($C200,calendar!$A$2:$D$121,4,FALSE)</f>
        <v>0</v>
      </c>
      <c r="K200" s="14">
        <f>K78/VLOOKUP($C200,calendar!$A$2:$D$121,4,FALSE)</f>
        <v>0</v>
      </c>
      <c r="L200" s="14">
        <f>L78/VLOOKUP($C200,calendar!$A$2:$D$121,4,FALSE)</f>
        <v>0</v>
      </c>
      <c r="M200" s="14">
        <f>M78/VLOOKUP($C200,calendar!$A$2:$D$121,4,FALSE)</f>
        <v>0</v>
      </c>
      <c r="N200" s="14"/>
      <c r="O200" s="14">
        <f>O78/VLOOKUP($C200,calendar!$A$2:$D$121,4,FALSE)</f>
        <v>0</v>
      </c>
      <c r="P200" s="14">
        <f>P78/VLOOKUP($C200,calendar!$A$2:$D$121,4,FALSE)</f>
        <v>0</v>
      </c>
      <c r="Q200" s="14">
        <f>Q78/VLOOKUP($C200,calendar!$A$2:$D$121,4,FALSE)</f>
        <v>15.673005952380953</v>
      </c>
      <c r="R200" s="14">
        <f>R78/VLOOKUP($C200,calendar!$A$2:$D$121,4,FALSE)</f>
        <v>0</v>
      </c>
    </row>
    <row r="201" spans="3:18" s="8" customFormat="1" x14ac:dyDescent="0.2">
      <c r="C201" s="9">
        <f t="shared" si="20"/>
        <v>39203</v>
      </c>
      <c r="E201" s="14">
        <f>E79/VLOOKUP($C201,calendar!$A$2:$D$121,4,FALSE)</f>
        <v>122.6075284090909</v>
      </c>
      <c r="F201" s="14">
        <f>F79/VLOOKUP($C201,calendar!$A$2:$D$121,4,FALSE)</f>
        <v>0</v>
      </c>
      <c r="G201" s="14">
        <f>G79/VLOOKUP($C201,calendar!$A$2:$D$121,4,FALSE)</f>
        <v>0</v>
      </c>
      <c r="H201" s="14">
        <f>H79/VLOOKUP($C201,calendar!$A$2:$D$121,4,FALSE)</f>
        <v>-126</v>
      </c>
      <c r="I201" s="14">
        <f>I79/VLOOKUP($C201,calendar!$A$2:$D$121,4,FALSE)</f>
        <v>-25</v>
      </c>
      <c r="J201" s="14">
        <f>J79/VLOOKUP($C201,calendar!$A$2:$D$121,4,FALSE)</f>
        <v>0</v>
      </c>
      <c r="K201" s="14">
        <f>K79/VLOOKUP($C201,calendar!$A$2:$D$121,4,FALSE)</f>
        <v>0</v>
      </c>
      <c r="L201" s="14">
        <f>L79/VLOOKUP($C201,calendar!$A$2:$D$121,4,FALSE)</f>
        <v>0</v>
      </c>
      <c r="M201" s="14">
        <f>M79/VLOOKUP($C201,calendar!$A$2:$D$121,4,FALSE)</f>
        <v>0</v>
      </c>
      <c r="N201" s="14"/>
      <c r="O201" s="14">
        <f>O79/VLOOKUP($C201,calendar!$A$2:$D$121,4,FALSE)</f>
        <v>0</v>
      </c>
      <c r="P201" s="14">
        <f>P79/VLOOKUP($C201,calendar!$A$2:$D$121,4,FALSE)</f>
        <v>0</v>
      </c>
      <c r="Q201" s="14">
        <f>Q79/VLOOKUP($C201,calendar!$A$2:$D$121,4,FALSE)</f>
        <v>15.586789772727274</v>
      </c>
      <c r="R201" s="14">
        <f>R79/VLOOKUP($C201,calendar!$A$2:$D$121,4,FALSE)</f>
        <v>0</v>
      </c>
    </row>
    <row r="202" spans="3:18" s="8" customFormat="1" x14ac:dyDescent="0.2">
      <c r="C202" s="9">
        <f t="shared" si="20"/>
        <v>39234</v>
      </c>
      <c r="E202" s="14">
        <f>E80/VLOOKUP($C202,calendar!$A$2:$D$121,4,FALSE)</f>
        <v>121.95270833333333</v>
      </c>
      <c r="F202" s="14">
        <f>F80/VLOOKUP($C202,calendar!$A$2:$D$121,4,FALSE)</f>
        <v>0</v>
      </c>
      <c r="G202" s="14">
        <f>G80/VLOOKUP($C202,calendar!$A$2:$D$121,4,FALSE)</f>
        <v>0</v>
      </c>
      <c r="H202" s="14">
        <f>H80/VLOOKUP($C202,calendar!$A$2:$D$121,4,FALSE)</f>
        <v>-121</v>
      </c>
      <c r="I202" s="14">
        <f>I80/VLOOKUP($C202,calendar!$A$2:$D$121,4,FALSE)</f>
        <v>-25</v>
      </c>
      <c r="J202" s="14">
        <f>J80/VLOOKUP($C202,calendar!$A$2:$D$121,4,FALSE)</f>
        <v>0</v>
      </c>
      <c r="K202" s="14">
        <f>K80/VLOOKUP($C202,calendar!$A$2:$D$121,4,FALSE)</f>
        <v>0</v>
      </c>
      <c r="L202" s="14">
        <f>L80/VLOOKUP($C202,calendar!$A$2:$D$121,4,FALSE)</f>
        <v>0</v>
      </c>
      <c r="M202" s="14">
        <f>M80/VLOOKUP($C202,calendar!$A$2:$D$121,4,FALSE)</f>
        <v>0</v>
      </c>
      <c r="N202" s="14"/>
      <c r="O202" s="14">
        <f>O80/VLOOKUP($C202,calendar!$A$2:$D$121,4,FALSE)</f>
        <v>0</v>
      </c>
      <c r="P202" s="14">
        <f>P80/VLOOKUP($C202,calendar!$A$2:$D$121,4,FALSE)</f>
        <v>0</v>
      </c>
      <c r="Q202" s="14">
        <f>Q80/VLOOKUP($C202,calendar!$A$2:$D$121,4,FALSE)</f>
        <v>14.797946428571427</v>
      </c>
      <c r="R202" s="14">
        <f>R80/VLOOKUP($C202,calendar!$A$2:$D$121,4,FALSE)</f>
        <v>0</v>
      </c>
    </row>
    <row r="203" spans="3:18" s="8" customFormat="1" x14ac:dyDescent="0.2">
      <c r="C203" s="9">
        <f t="shared" si="20"/>
        <v>39264</v>
      </c>
      <c r="E203" s="14">
        <f>E81/VLOOKUP($C203,calendar!$A$2:$D$121,4,FALSE)</f>
        <v>121.27744047619048</v>
      </c>
      <c r="F203" s="14">
        <f>F81/VLOOKUP($C203,calendar!$A$2:$D$121,4,FALSE)</f>
        <v>0</v>
      </c>
      <c r="G203" s="14">
        <f>G81/VLOOKUP($C203,calendar!$A$2:$D$121,4,FALSE)</f>
        <v>0</v>
      </c>
      <c r="H203" s="14">
        <f>H81/VLOOKUP($C203,calendar!$A$2:$D$121,4,FALSE)</f>
        <v>-113</v>
      </c>
      <c r="I203" s="14">
        <f>I81/VLOOKUP($C203,calendar!$A$2:$D$121,4,FALSE)</f>
        <v>-25</v>
      </c>
      <c r="J203" s="14">
        <f>J81/VLOOKUP($C203,calendar!$A$2:$D$121,4,FALSE)</f>
        <v>0</v>
      </c>
      <c r="K203" s="14">
        <f>K81/VLOOKUP($C203,calendar!$A$2:$D$121,4,FALSE)</f>
        <v>0</v>
      </c>
      <c r="L203" s="14">
        <f>L81/VLOOKUP($C203,calendar!$A$2:$D$121,4,FALSE)</f>
        <v>0</v>
      </c>
      <c r="M203" s="14">
        <f>M81/VLOOKUP($C203,calendar!$A$2:$D$121,4,FALSE)</f>
        <v>0</v>
      </c>
      <c r="N203" s="14"/>
      <c r="O203" s="14">
        <f>O81/VLOOKUP($C203,calendar!$A$2:$D$121,4,FALSE)</f>
        <v>0</v>
      </c>
      <c r="P203" s="14">
        <f>P81/VLOOKUP($C203,calendar!$A$2:$D$121,4,FALSE)</f>
        <v>0</v>
      </c>
      <c r="Q203" s="14">
        <f>Q81/VLOOKUP($C203,calendar!$A$2:$D$121,4,FALSE)</f>
        <v>14.012321428571429</v>
      </c>
      <c r="R203" s="14">
        <f>R81/VLOOKUP($C203,calendar!$A$2:$D$121,4,FALSE)</f>
        <v>0</v>
      </c>
    </row>
    <row r="204" spans="3:18" s="8" customFormat="1" x14ac:dyDescent="0.2">
      <c r="C204" s="9">
        <f t="shared" si="20"/>
        <v>39295</v>
      </c>
      <c r="E204" s="14">
        <f>E82/VLOOKUP($C204,calendar!$A$2:$D$121,4,FALSE)</f>
        <v>120.60358695652175</v>
      </c>
      <c r="F204" s="14">
        <f>F82/VLOOKUP($C204,calendar!$A$2:$D$121,4,FALSE)</f>
        <v>0</v>
      </c>
      <c r="G204" s="14">
        <f>G82/VLOOKUP($C204,calendar!$A$2:$D$121,4,FALSE)</f>
        <v>0</v>
      </c>
      <c r="H204" s="14">
        <f>H82/VLOOKUP($C204,calendar!$A$2:$D$121,4,FALSE)</f>
        <v>-112</v>
      </c>
      <c r="I204" s="14">
        <f>I82/VLOOKUP($C204,calendar!$A$2:$D$121,4,FALSE)</f>
        <v>-25</v>
      </c>
      <c r="J204" s="14">
        <f>J82/VLOOKUP($C204,calendar!$A$2:$D$121,4,FALSE)</f>
        <v>0</v>
      </c>
      <c r="K204" s="14">
        <f>K82/VLOOKUP($C204,calendar!$A$2:$D$121,4,FALSE)</f>
        <v>0</v>
      </c>
      <c r="L204" s="14">
        <f>L82/VLOOKUP($C204,calendar!$A$2:$D$121,4,FALSE)</f>
        <v>0</v>
      </c>
      <c r="M204" s="14">
        <f>M82/VLOOKUP($C204,calendar!$A$2:$D$121,4,FALSE)</f>
        <v>0</v>
      </c>
      <c r="N204" s="14"/>
      <c r="O204" s="14">
        <f>O82/VLOOKUP($C204,calendar!$A$2:$D$121,4,FALSE)</f>
        <v>0</v>
      </c>
      <c r="P204" s="14">
        <f>P82/VLOOKUP($C204,calendar!$A$2:$D$121,4,FALSE)</f>
        <v>0</v>
      </c>
      <c r="Q204" s="14">
        <f>Q82/VLOOKUP($C204,calendar!$A$2:$D$121,4,FALSE)</f>
        <v>14.634728260869565</v>
      </c>
      <c r="R204" s="14">
        <f>R82/VLOOKUP($C204,calendar!$A$2:$D$121,4,FALSE)</f>
        <v>0</v>
      </c>
    </row>
    <row r="205" spans="3:18" s="8" customFormat="1" x14ac:dyDescent="0.2">
      <c r="C205" s="9">
        <f t="shared" si="20"/>
        <v>39326</v>
      </c>
      <c r="E205" s="14">
        <f>E83/VLOOKUP($C205,calendar!$A$2:$D$121,4,FALSE)</f>
        <v>119.95282894736843</v>
      </c>
      <c r="F205" s="14">
        <f>F83/VLOOKUP($C205,calendar!$A$2:$D$121,4,FALSE)</f>
        <v>0</v>
      </c>
      <c r="G205" s="14">
        <f>G83/VLOOKUP($C205,calendar!$A$2:$D$121,4,FALSE)</f>
        <v>0</v>
      </c>
      <c r="H205" s="14">
        <f>H83/VLOOKUP($C205,calendar!$A$2:$D$121,4,FALSE)</f>
        <v>-128</v>
      </c>
      <c r="I205" s="14">
        <f>I83/VLOOKUP($C205,calendar!$A$2:$D$121,4,FALSE)</f>
        <v>-25</v>
      </c>
      <c r="J205" s="14">
        <f>J83/VLOOKUP($C205,calendar!$A$2:$D$121,4,FALSE)</f>
        <v>0</v>
      </c>
      <c r="K205" s="14">
        <f>K83/VLOOKUP($C205,calendar!$A$2:$D$121,4,FALSE)</f>
        <v>0</v>
      </c>
      <c r="L205" s="14">
        <f>L83/VLOOKUP($C205,calendar!$A$2:$D$121,4,FALSE)</f>
        <v>0</v>
      </c>
      <c r="M205" s="14">
        <f>M83/VLOOKUP($C205,calendar!$A$2:$D$121,4,FALSE)</f>
        <v>0</v>
      </c>
      <c r="N205" s="14"/>
      <c r="O205" s="14">
        <f>O83/VLOOKUP($C205,calendar!$A$2:$D$121,4,FALSE)</f>
        <v>0</v>
      </c>
      <c r="P205" s="14">
        <f>P83/VLOOKUP($C205,calendar!$A$2:$D$121,4,FALSE)</f>
        <v>0</v>
      </c>
      <c r="Q205" s="14">
        <f>Q83/VLOOKUP($C205,calendar!$A$2:$D$121,4,FALSE)</f>
        <v>15.248486842105264</v>
      </c>
      <c r="R205" s="14">
        <f>R83/VLOOKUP($C205,calendar!$A$2:$D$121,4,FALSE)</f>
        <v>0</v>
      </c>
    </row>
    <row r="206" spans="3:18" s="8" customFormat="1" x14ac:dyDescent="0.2">
      <c r="C206" s="9">
        <f t="shared" si="20"/>
        <v>39356</v>
      </c>
      <c r="E206" s="14">
        <f>E84/VLOOKUP($C206,calendar!$A$2:$D$121,4,FALSE)</f>
        <v>119.28182065217391</v>
      </c>
      <c r="F206" s="14">
        <f>F84/VLOOKUP($C206,calendar!$A$2:$D$121,4,FALSE)</f>
        <v>0</v>
      </c>
      <c r="G206" s="14">
        <f>G84/VLOOKUP($C206,calendar!$A$2:$D$121,4,FALSE)</f>
        <v>0</v>
      </c>
      <c r="H206" s="14">
        <f>H84/VLOOKUP($C206,calendar!$A$2:$D$121,4,FALSE)</f>
        <v>-129</v>
      </c>
      <c r="I206" s="14">
        <f>I84/VLOOKUP($C206,calendar!$A$2:$D$121,4,FALSE)</f>
        <v>-25</v>
      </c>
      <c r="J206" s="14">
        <f>J84/VLOOKUP($C206,calendar!$A$2:$D$121,4,FALSE)</f>
        <v>0</v>
      </c>
      <c r="K206" s="14">
        <f>K84/VLOOKUP($C206,calendar!$A$2:$D$121,4,FALSE)</f>
        <v>0</v>
      </c>
      <c r="L206" s="14">
        <f>L84/VLOOKUP($C206,calendar!$A$2:$D$121,4,FALSE)</f>
        <v>0</v>
      </c>
      <c r="M206" s="14">
        <f>M84/VLOOKUP($C206,calendar!$A$2:$D$121,4,FALSE)</f>
        <v>0</v>
      </c>
      <c r="N206" s="14"/>
      <c r="O206" s="14">
        <f>O84/VLOOKUP($C206,calendar!$A$2:$D$121,4,FALSE)</f>
        <v>0</v>
      </c>
      <c r="P206" s="14">
        <f>P84/VLOOKUP($C206,calendar!$A$2:$D$121,4,FALSE)</f>
        <v>0</v>
      </c>
      <c r="Q206" s="14">
        <f>Q84/VLOOKUP($C206,calendar!$A$2:$D$121,4,FALSE)</f>
        <v>15.16391304347826</v>
      </c>
      <c r="R206" s="14">
        <f>R84/VLOOKUP($C206,calendar!$A$2:$D$121,4,FALSE)</f>
        <v>0</v>
      </c>
    </row>
    <row r="207" spans="3:18" s="8" customFormat="1" x14ac:dyDescent="0.2">
      <c r="C207" s="9">
        <f t="shared" si="20"/>
        <v>39387</v>
      </c>
      <c r="E207" s="14">
        <f>E85/VLOOKUP($C207,calendar!$A$2:$D$121,4,FALSE)</f>
        <v>118.63392857142857</v>
      </c>
      <c r="F207" s="14">
        <f>F85/VLOOKUP($C207,calendar!$A$2:$D$121,4,FALSE)</f>
        <v>0</v>
      </c>
      <c r="G207" s="14">
        <f>G85/VLOOKUP($C207,calendar!$A$2:$D$121,4,FALSE)</f>
        <v>0</v>
      </c>
      <c r="H207" s="14">
        <f>H85/VLOOKUP($C207,calendar!$A$2:$D$121,4,FALSE)</f>
        <v>-130</v>
      </c>
      <c r="I207" s="14">
        <f>I85/VLOOKUP($C207,calendar!$A$2:$D$121,4,FALSE)</f>
        <v>-25</v>
      </c>
      <c r="J207" s="14">
        <f>J85/VLOOKUP($C207,calendar!$A$2:$D$121,4,FALSE)</f>
        <v>0</v>
      </c>
      <c r="K207" s="14">
        <f>K85/VLOOKUP($C207,calendar!$A$2:$D$121,4,FALSE)</f>
        <v>0</v>
      </c>
      <c r="L207" s="14">
        <f>L85/VLOOKUP($C207,calendar!$A$2:$D$121,4,FALSE)</f>
        <v>0</v>
      </c>
      <c r="M207" s="14">
        <f>M85/VLOOKUP($C207,calendar!$A$2:$D$121,4,FALSE)</f>
        <v>0</v>
      </c>
      <c r="N207" s="14"/>
      <c r="O207" s="14">
        <f>O85/VLOOKUP($C207,calendar!$A$2:$D$121,4,FALSE)</f>
        <v>0</v>
      </c>
      <c r="P207" s="14">
        <f>P85/VLOOKUP($C207,calendar!$A$2:$D$121,4,FALSE)</f>
        <v>0</v>
      </c>
      <c r="Q207" s="14">
        <f>Q85/VLOOKUP($C207,calendar!$A$2:$D$121,4,FALSE)</f>
        <v>15.081517857142858</v>
      </c>
      <c r="R207" s="14">
        <f>R85/VLOOKUP($C207,calendar!$A$2:$D$121,4,FALSE)</f>
        <v>0</v>
      </c>
    </row>
    <row r="208" spans="3:18" s="8" customFormat="1" x14ac:dyDescent="0.2">
      <c r="C208" s="9">
        <f t="shared" si="20"/>
        <v>39417</v>
      </c>
      <c r="E208" s="14">
        <f>E86/VLOOKUP($C208,calendar!$A$2:$D$121,4,FALSE)</f>
        <v>117.96578125000001</v>
      </c>
      <c r="F208" s="14">
        <f>F86/VLOOKUP($C208,calendar!$A$2:$D$121,4,FALSE)</f>
        <v>0</v>
      </c>
      <c r="G208" s="14">
        <f>G86/VLOOKUP($C208,calendar!$A$2:$D$121,4,FALSE)</f>
        <v>0</v>
      </c>
      <c r="H208" s="14">
        <f>H86/VLOOKUP($C208,calendar!$A$2:$D$121,4,FALSE)</f>
        <v>-129</v>
      </c>
      <c r="I208" s="14">
        <f>I86/VLOOKUP($C208,calendar!$A$2:$D$121,4,FALSE)</f>
        <v>-25</v>
      </c>
      <c r="J208" s="14">
        <f>J86/VLOOKUP($C208,calendar!$A$2:$D$121,4,FALSE)</f>
        <v>0</v>
      </c>
      <c r="K208" s="14">
        <f>K86/VLOOKUP($C208,calendar!$A$2:$D$121,4,FALSE)</f>
        <v>0</v>
      </c>
      <c r="L208" s="14">
        <f>L86/VLOOKUP($C208,calendar!$A$2:$D$121,4,FALSE)</f>
        <v>0</v>
      </c>
      <c r="M208" s="14">
        <f>M86/VLOOKUP($C208,calendar!$A$2:$D$121,4,FALSE)</f>
        <v>0</v>
      </c>
      <c r="N208" s="14"/>
      <c r="O208" s="14">
        <f>O86/VLOOKUP($C208,calendar!$A$2:$D$121,4,FALSE)</f>
        <v>0</v>
      </c>
      <c r="P208" s="14">
        <f>P86/VLOOKUP($C208,calendar!$A$2:$D$121,4,FALSE)</f>
        <v>0</v>
      </c>
      <c r="Q208" s="14">
        <f>Q86/VLOOKUP($C208,calendar!$A$2:$D$121,4,FALSE)</f>
        <v>14.996874999999999</v>
      </c>
      <c r="R208" s="14">
        <f>R86/VLOOKUP($C208,calendar!$A$2:$D$121,4,FALSE)</f>
        <v>0</v>
      </c>
    </row>
    <row r="209" spans="3:18" s="8" customFormat="1" x14ac:dyDescent="0.2">
      <c r="C209" s="9">
        <f t="shared" si="20"/>
        <v>39448</v>
      </c>
      <c r="E209" s="14">
        <f>E87/VLOOKUP($C209,calendar!$A$2:$D$121,4,FALSE)</f>
        <v>15.594687499999999</v>
      </c>
      <c r="F209" s="14">
        <f>F87/VLOOKUP($C209,calendar!$A$2:$D$121,4,FALSE)</f>
        <v>0</v>
      </c>
      <c r="G209" s="14">
        <f>G87/VLOOKUP($C209,calendar!$A$2:$D$121,4,FALSE)</f>
        <v>0</v>
      </c>
      <c r="H209" s="14">
        <f>H87/VLOOKUP($C209,calendar!$A$2:$D$121,4,FALSE)</f>
        <v>-32</v>
      </c>
      <c r="I209" s="14">
        <f>I87/VLOOKUP($C209,calendar!$A$2:$D$121,4,FALSE)</f>
        <v>-25</v>
      </c>
      <c r="J209" s="14">
        <f>J87/VLOOKUP($C209,calendar!$A$2:$D$121,4,FALSE)</f>
        <v>0</v>
      </c>
      <c r="K209" s="14">
        <f>K87/VLOOKUP($C209,calendar!$A$2:$D$121,4,FALSE)</f>
        <v>0</v>
      </c>
      <c r="L209" s="14">
        <f>L87/VLOOKUP($C209,calendar!$A$2:$D$121,4,FALSE)</f>
        <v>0</v>
      </c>
      <c r="M209" s="14">
        <f>M87/VLOOKUP($C209,calendar!$A$2:$D$121,4,FALSE)</f>
        <v>0</v>
      </c>
      <c r="N209" s="14"/>
      <c r="O209" s="14">
        <f>O87/VLOOKUP($C209,calendar!$A$2:$D$121,4,FALSE)</f>
        <v>0</v>
      </c>
      <c r="P209" s="14">
        <f>P87/VLOOKUP($C209,calendar!$A$2:$D$121,4,FALSE)</f>
        <v>0</v>
      </c>
      <c r="Q209" s="14">
        <f>Q87/VLOOKUP($C209,calendar!$A$2:$D$121,4,FALSE)</f>
        <v>15.591448863636362</v>
      </c>
      <c r="R209" s="14">
        <f>R87/VLOOKUP($C209,calendar!$A$2:$D$121,4,FALSE)</f>
        <v>0</v>
      </c>
    </row>
    <row r="210" spans="3:18" s="8" customFormat="1" x14ac:dyDescent="0.2">
      <c r="C210" s="9">
        <f t="shared" si="20"/>
        <v>39479</v>
      </c>
      <c r="E210" s="14">
        <f>E88/VLOOKUP($C210,calendar!$A$2:$D$121,4,FALSE)</f>
        <v>15.511904761904763</v>
      </c>
      <c r="F210" s="14">
        <f>F88/VLOOKUP($C210,calendar!$A$2:$D$121,4,FALSE)</f>
        <v>0</v>
      </c>
      <c r="G210" s="14">
        <f>G88/VLOOKUP($C210,calendar!$A$2:$D$121,4,FALSE)</f>
        <v>0</v>
      </c>
      <c r="H210" s="14">
        <f>H88/VLOOKUP($C210,calendar!$A$2:$D$121,4,FALSE)</f>
        <v>-32</v>
      </c>
      <c r="I210" s="14">
        <f>I88/VLOOKUP($C210,calendar!$A$2:$D$121,4,FALSE)</f>
        <v>-25</v>
      </c>
      <c r="J210" s="14">
        <f>J88/VLOOKUP($C210,calendar!$A$2:$D$121,4,FALSE)</f>
        <v>0</v>
      </c>
      <c r="K210" s="14">
        <f>K88/VLOOKUP($C210,calendar!$A$2:$D$121,4,FALSE)</f>
        <v>0</v>
      </c>
      <c r="L210" s="14">
        <f>L88/VLOOKUP($C210,calendar!$A$2:$D$121,4,FALSE)</f>
        <v>0</v>
      </c>
      <c r="M210" s="14">
        <f>M88/VLOOKUP($C210,calendar!$A$2:$D$121,4,FALSE)</f>
        <v>0</v>
      </c>
      <c r="N210" s="14"/>
      <c r="O210" s="14">
        <f>O88/VLOOKUP($C210,calendar!$A$2:$D$121,4,FALSE)</f>
        <v>0</v>
      </c>
      <c r="P210" s="14">
        <f>P88/VLOOKUP($C210,calendar!$A$2:$D$121,4,FALSE)</f>
        <v>0</v>
      </c>
      <c r="Q210" s="14">
        <f>Q88/VLOOKUP($C210,calendar!$A$2:$D$121,4,FALSE)</f>
        <v>15.508749999999999</v>
      </c>
      <c r="R210" s="14">
        <f>R88/VLOOKUP($C210,calendar!$A$2:$D$121,4,FALSE)</f>
        <v>0</v>
      </c>
    </row>
    <row r="211" spans="3:18" s="8" customFormat="1" x14ac:dyDescent="0.2">
      <c r="C211" s="9">
        <f t="shared" si="20"/>
        <v>39508</v>
      </c>
      <c r="E211" s="14">
        <f>E89/VLOOKUP($C211,calendar!$A$2:$D$121,4,FALSE)</f>
        <v>15.42375</v>
      </c>
      <c r="F211" s="14">
        <f>F89/VLOOKUP($C211,calendar!$A$2:$D$121,4,FALSE)</f>
        <v>0</v>
      </c>
      <c r="G211" s="14">
        <f>G89/VLOOKUP($C211,calendar!$A$2:$D$121,4,FALSE)</f>
        <v>0</v>
      </c>
      <c r="H211" s="14">
        <f>H89/VLOOKUP($C211,calendar!$A$2:$D$121,4,FALSE)</f>
        <v>-36</v>
      </c>
      <c r="I211" s="14">
        <f>I89/VLOOKUP($C211,calendar!$A$2:$D$121,4,FALSE)</f>
        <v>-25</v>
      </c>
      <c r="J211" s="14">
        <f>J89/VLOOKUP($C211,calendar!$A$2:$D$121,4,FALSE)</f>
        <v>0</v>
      </c>
      <c r="K211" s="14">
        <f>K89/VLOOKUP($C211,calendar!$A$2:$D$121,4,FALSE)</f>
        <v>0</v>
      </c>
      <c r="L211" s="14">
        <f>L89/VLOOKUP($C211,calendar!$A$2:$D$121,4,FALSE)</f>
        <v>0</v>
      </c>
      <c r="M211" s="14">
        <f>M89/VLOOKUP($C211,calendar!$A$2:$D$121,4,FALSE)</f>
        <v>0</v>
      </c>
      <c r="N211" s="14"/>
      <c r="O211" s="14">
        <f>O89/VLOOKUP($C211,calendar!$A$2:$D$121,4,FALSE)</f>
        <v>0</v>
      </c>
      <c r="P211" s="14">
        <f>P89/VLOOKUP($C211,calendar!$A$2:$D$121,4,FALSE)</f>
        <v>0</v>
      </c>
      <c r="Q211" s="14">
        <f>Q89/VLOOKUP($C211,calendar!$A$2:$D$121,4,FALSE)</f>
        <v>15.420535714285714</v>
      </c>
      <c r="R211" s="14">
        <f>R89/VLOOKUP($C211,calendar!$A$2:$D$121,4,FALSE)</f>
        <v>0</v>
      </c>
    </row>
    <row r="212" spans="3:18" s="8" customFormat="1" x14ac:dyDescent="0.2">
      <c r="C212" s="9">
        <f t="shared" si="20"/>
        <v>39539</v>
      </c>
      <c r="E212" s="14">
        <f>E90/VLOOKUP($C212,calendar!$A$2:$D$121,4,FALSE)</f>
        <v>15.338551136363636</v>
      </c>
      <c r="F212" s="14">
        <f>F90/VLOOKUP($C212,calendar!$A$2:$D$121,4,FALSE)</f>
        <v>0</v>
      </c>
      <c r="G212" s="14">
        <f>G90/VLOOKUP($C212,calendar!$A$2:$D$121,4,FALSE)</f>
        <v>0</v>
      </c>
      <c r="H212" s="14">
        <f>H90/VLOOKUP($C212,calendar!$A$2:$D$121,4,FALSE)</f>
        <v>-35</v>
      </c>
      <c r="I212" s="14">
        <f>I90/VLOOKUP($C212,calendar!$A$2:$D$121,4,FALSE)</f>
        <v>-25</v>
      </c>
      <c r="J212" s="14">
        <f>J90/VLOOKUP($C212,calendar!$A$2:$D$121,4,FALSE)</f>
        <v>0</v>
      </c>
      <c r="K212" s="14">
        <f>K90/VLOOKUP($C212,calendar!$A$2:$D$121,4,FALSE)</f>
        <v>0</v>
      </c>
      <c r="L212" s="14">
        <f>L90/VLOOKUP($C212,calendar!$A$2:$D$121,4,FALSE)</f>
        <v>0</v>
      </c>
      <c r="M212" s="14">
        <f>M90/VLOOKUP($C212,calendar!$A$2:$D$121,4,FALSE)</f>
        <v>0</v>
      </c>
      <c r="N212" s="14"/>
      <c r="O212" s="14">
        <f>O90/VLOOKUP($C212,calendar!$A$2:$D$121,4,FALSE)</f>
        <v>0</v>
      </c>
      <c r="P212" s="14">
        <f>P90/VLOOKUP($C212,calendar!$A$2:$D$121,4,FALSE)</f>
        <v>0</v>
      </c>
      <c r="Q212" s="14">
        <f>Q90/VLOOKUP($C212,calendar!$A$2:$D$121,4,FALSE)</f>
        <v>14.66684659090909</v>
      </c>
      <c r="R212" s="14">
        <f>R90/VLOOKUP($C212,calendar!$A$2:$D$121,4,FALSE)</f>
        <v>0</v>
      </c>
    </row>
    <row r="213" spans="3:18" s="8" customFormat="1" x14ac:dyDescent="0.2">
      <c r="C213" s="9">
        <f t="shared" si="20"/>
        <v>39569</v>
      </c>
      <c r="E213" s="14">
        <f>E91/VLOOKUP($C213,calendar!$A$2:$D$121,4,FALSE)</f>
        <v>15.25297619047619</v>
      </c>
      <c r="F213" s="14">
        <f>F91/VLOOKUP($C213,calendar!$A$2:$D$121,4,FALSE)</f>
        <v>0</v>
      </c>
      <c r="G213" s="14">
        <f>G91/VLOOKUP($C213,calendar!$A$2:$D$121,4,FALSE)</f>
        <v>0</v>
      </c>
      <c r="H213" s="14">
        <f>H91/VLOOKUP($C213,calendar!$A$2:$D$121,4,FALSE)</f>
        <v>-26</v>
      </c>
      <c r="I213" s="14">
        <f>I91/VLOOKUP($C213,calendar!$A$2:$D$121,4,FALSE)</f>
        <v>-25</v>
      </c>
      <c r="J213" s="14">
        <f>J91/VLOOKUP($C213,calendar!$A$2:$D$121,4,FALSE)</f>
        <v>0</v>
      </c>
      <c r="K213" s="14">
        <f>K91/VLOOKUP($C213,calendar!$A$2:$D$121,4,FALSE)</f>
        <v>0</v>
      </c>
      <c r="L213" s="14">
        <f>L91/VLOOKUP($C213,calendar!$A$2:$D$121,4,FALSE)</f>
        <v>0</v>
      </c>
      <c r="M213" s="14">
        <f>M91/VLOOKUP($C213,calendar!$A$2:$D$121,4,FALSE)</f>
        <v>0</v>
      </c>
      <c r="N213" s="14"/>
      <c r="O213" s="14">
        <f>O91/VLOOKUP($C213,calendar!$A$2:$D$121,4,FALSE)</f>
        <v>0</v>
      </c>
      <c r="P213" s="14">
        <f>P91/VLOOKUP($C213,calendar!$A$2:$D$121,4,FALSE)</f>
        <v>0</v>
      </c>
      <c r="Q213" s="14">
        <f>Q91/VLOOKUP($C213,calendar!$A$2:$D$121,4,FALSE)</f>
        <v>14.584702380952381</v>
      </c>
      <c r="R213" s="14">
        <f>R91/VLOOKUP($C213,calendar!$A$2:$D$121,4,FALSE)</f>
        <v>0</v>
      </c>
    </row>
    <row r="214" spans="3:18" s="8" customFormat="1" x14ac:dyDescent="0.2">
      <c r="C214" s="9">
        <f t="shared" si="20"/>
        <v>39600</v>
      </c>
      <c r="E214" s="14">
        <f>E92/VLOOKUP($C214,calendar!$A$2:$D$121,4,FALSE)</f>
        <v>15.17217261904762</v>
      </c>
      <c r="F214" s="14">
        <f>F92/VLOOKUP($C214,calendar!$A$2:$D$121,4,FALSE)</f>
        <v>0</v>
      </c>
      <c r="G214" s="14">
        <f>G92/VLOOKUP($C214,calendar!$A$2:$D$121,4,FALSE)</f>
        <v>0</v>
      </c>
      <c r="H214" s="14">
        <f>H92/VLOOKUP($C214,calendar!$A$2:$D$121,4,FALSE)</f>
        <v>-21</v>
      </c>
      <c r="I214" s="14">
        <f>I92/VLOOKUP($C214,calendar!$A$2:$D$121,4,FALSE)</f>
        <v>-25</v>
      </c>
      <c r="J214" s="14">
        <f>J92/VLOOKUP($C214,calendar!$A$2:$D$121,4,FALSE)</f>
        <v>0</v>
      </c>
      <c r="K214" s="14">
        <f>K92/VLOOKUP($C214,calendar!$A$2:$D$121,4,FALSE)</f>
        <v>0</v>
      </c>
      <c r="L214" s="14">
        <f>L92/VLOOKUP($C214,calendar!$A$2:$D$121,4,FALSE)</f>
        <v>0</v>
      </c>
      <c r="M214" s="14">
        <f>M92/VLOOKUP($C214,calendar!$A$2:$D$121,4,FALSE)</f>
        <v>0</v>
      </c>
      <c r="N214" s="14"/>
      <c r="O214" s="14">
        <f>O92/VLOOKUP($C214,calendar!$A$2:$D$121,4,FALSE)</f>
        <v>0</v>
      </c>
      <c r="P214" s="14">
        <f>P92/VLOOKUP($C214,calendar!$A$2:$D$121,4,FALSE)</f>
        <v>0</v>
      </c>
      <c r="Q214" s="14">
        <f>Q92/VLOOKUP($C214,calendar!$A$2:$D$121,4,FALSE)</f>
        <v>13.847291666666665</v>
      </c>
      <c r="R214" s="14">
        <f>R92/VLOOKUP($C214,calendar!$A$2:$D$121,4,FALSE)</f>
        <v>0</v>
      </c>
    </row>
    <row r="215" spans="3:18" s="8" customFormat="1" x14ac:dyDescent="0.2">
      <c r="C215" s="9">
        <f t="shared" si="20"/>
        <v>39630</v>
      </c>
      <c r="E215" s="14">
        <f>E93/VLOOKUP($C215,calendar!$A$2:$D$121,4,FALSE)</f>
        <v>15.089545454545457</v>
      </c>
      <c r="F215" s="14">
        <f>F93/VLOOKUP($C215,calendar!$A$2:$D$121,4,FALSE)</f>
        <v>0</v>
      </c>
      <c r="G215" s="14">
        <f>G93/VLOOKUP($C215,calendar!$A$2:$D$121,4,FALSE)</f>
        <v>0</v>
      </c>
      <c r="H215" s="14">
        <f>H93/VLOOKUP($C215,calendar!$A$2:$D$121,4,FALSE)</f>
        <v>-13</v>
      </c>
      <c r="I215" s="14">
        <f>I93/VLOOKUP($C215,calendar!$A$2:$D$121,4,FALSE)</f>
        <v>-25</v>
      </c>
      <c r="J215" s="14">
        <f>J93/VLOOKUP($C215,calendar!$A$2:$D$121,4,FALSE)</f>
        <v>0</v>
      </c>
      <c r="K215" s="14">
        <f>K93/VLOOKUP($C215,calendar!$A$2:$D$121,4,FALSE)</f>
        <v>0</v>
      </c>
      <c r="L215" s="14">
        <f>L93/VLOOKUP($C215,calendar!$A$2:$D$121,4,FALSE)</f>
        <v>0</v>
      </c>
      <c r="M215" s="14">
        <f>M93/VLOOKUP($C215,calendar!$A$2:$D$121,4,FALSE)</f>
        <v>0</v>
      </c>
      <c r="N215" s="14"/>
      <c r="O215" s="14">
        <f>O93/VLOOKUP($C215,calendar!$A$2:$D$121,4,FALSE)</f>
        <v>0</v>
      </c>
      <c r="P215" s="14">
        <f>P93/VLOOKUP($C215,calendar!$A$2:$D$121,4,FALSE)</f>
        <v>0</v>
      </c>
      <c r="Q215" s="14">
        <f>Q93/VLOOKUP($C215,calendar!$A$2:$D$121,4,FALSE)</f>
        <v>13.113806818181819</v>
      </c>
      <c r="R215" s="14">
        <f>R93/VLOOKUP($C215,calendar!$A$2:$D$121,4,FALSE)</f>
        <v>0</v>
      </c>
    </row>
    <row r="216" spans="3:18" s="8" customFormat="1" x14ac:dyDescent="0.2">
      <c r="C216" s="9">
        <f t="shared" si="20"/>
        <v>39661</v>
      </c>
      <c r="E216" s="14">
        <f>E94/VLOOKUP($C216,calendar!$A$2:$D$121,4,FALSE)</f>
        <v>15.007202380952382</v>
      </c>
      <c r="F216" s="14">
        <f>F94/VLOOKUP($C216,calendar!$A$2:$D$121,4,FALSE)</f>
        <v>0</v>
      </c>
      <c r="G216" s="14">
        <f>G94/VLOOKUP($C216,calendar!$A$2:$D$121,4,FALSE)</f>
        <v>0</v>
      </c>
      <c r="H216" s="14">
        <f>H94/VLOOKUP($C216,calendar!$A$2:$D$121,4,FALSE)</f>
        <v>-12</v>
      </c>
      <c r="I216" s="14">
        <f>I94/VLOOKUP($C216,calendar!$A$2:$D$121,4,FALSE)</f>
        <v>-25</v>
      </c>
      <c r="J216" s="14">
        <f>J94/VLOOKUP($C216,calendar!$A$2:$D$121,4,FALSE)</f>
        <v>0</v>
      </c>
      <c r="K216" s="14">
        <f>K94/VLOOKUP($C216,calendar!$A$2:$D$121,4,FALSE)</f>
        <v>0</v>
      </c>
      <c r="L216" s="14">
        <f>L94/VLOOKUP($C216,calendar!$A$2:$D$121,4,FALSE)</f>
        <v>0</v>
      </c>
      <c r="M216" s="14">
        <f>M94/VLOOKUP($C216,calendar!$A$2:$D$121,4,FALSE)</f>
        <v>0</v>
      </c>
      <c r="N216" s="14"/>
      <c r="O216" s="14">
        <f>O94/VLOOKUP($C216,calendar!$A$2:$D$121,4,FALSE)</f>
        <v>0</v>
      </c>
      <c r="P216" s="14">
        <f>P94/VLOOKUP($C216,calendar!$A$2:$D$121,4,FALSE)</f>
        <v>0</v>
      </c>
      <c r="Q216" s="14">
        <f>Q94/VLOOKUP($C216,calendar!$A$2:$D$121,4,FALSE)</f>
        <v>13.696666666666667</v>
      </c>
      <c r="R216" s="14">
        <f>R94/VLOOKUP($C216,calendar!$A$2:$D$121,4,FALSE)</f>
        <v>0</v>
      </c>
    </row>
    <row r="217" spans="3:18" s="8" customFormat="1" x14ac:dyDescent="0.2">
      <c r="C217" s="9">
        <f t="shared" si="20"/>
        <v>39692</v>
      </c>
      <c r="E217" s="14">
        <f>E95/VLOOKUP($C217,calendar!$A$2:$D$121,4,FALSE)</f>
        <v>14.927738095238096</v>
      </c>
      <c r="F217" s="14">
        <f>F95/VLOOKUP($C217,calendar!$A$2:$D$121,4,FALSE)</f>
        <v>0</v>
      </c>
      <c r="G217" s="14">
        <f>G95/VLOOKUP($C217,calendar!$A$2:$D$121,4,FALSE)</f>
        <v>0</v>
      </c>
      <c r="H217" s="14">
        <f>H95/VLOOKUP($C217,calendar!$A$2:$D$121,4,FALSE)</f>
        <v>0</v>
      </c>
      <c r="I217" s="14">
        <f>I95/VLOOKUP($C217,calendar!$A$2:$D$121,4,FALSE)</f>
        <v>-25</v>
      </c>
      <c r="J217" s="14">
        <f>J95/VLOOKUP($C217,calendar!$A$2:$D$121,4,FALSE)</f>
        <v>0</v>
      </c>
      <c r="K217" s="14">
        <f>K95/VLOOKUP($C217,calendar!$A$2:$D$121,4,FALSE)</f>
        <v>0</v>
      </c>
      <c r="L217" s="14">
        <f>L95/VLOOKUP($C217,calendar!$A$2:$D$121,4,FALSE)</f>
        <v>0</v>
      </c>
      <c r="M217" s="14">
        <f>M95/VLOOKUP($C217,calendar!$A$2:$D$121,4,FALSE)</f>
        <v>0</v>
      </c>
      <c r="N217" s="14"/>
      <c r="O217" s="14">
        <f>O95/VLOOKUP($C217,calendar!$A$2:$D$121,4,FALSE)</f>
        <v>0</v>
      </c>
      <c r="P217" s="14">
        <f>P95/VLOOKUP($C217,calendar!$A$2:$D$121,4,FALSE)</f>
        <v>0</v>
      </c>
      <c r="Q217" s="14">
        <f>Q95/VLOOKUP($C217,calendar!$A$2:$D$121,4,FALSE)</f>
        <v>14.274226190476192</v>
      </c>
      <c r="R217" s="14">
        <f>R95/VLOOKUP($C217,calendar!$A$2:$D$121,4,FALSE)</f>
        <v>0</v>
      </c>
    </row>
    <row r="218" spans="3:18" s="8" customFormat="1" x14ac:dyDescent="0.2">
      <c r="C218" s="9">
        <f t="shared" si="20"/>
        <v>39722</v>
      </c>
      <c r="E218" s="14">
        <f>E96/VLOOKUP($C218,calendar!$A$2:$D$121,4,FALSE)</f>
        <v>14.845923913043478</v>
      </c>
      <c r="F218" s="14">
        <f>F96/VLOOKUP($C218,calendar!$A$2:$D$121,4,FALSE)</f>
        <v>0</v>
      </c>
      <c r="G218" s="14">
        <f>G96/VLOOKUP($C218,calendar!$A$2:$D$121,4,FALSE)</f>
        <v>0</v>
      </c>
      <c r="H218" s="14">
        <f>H96/VLOOKUP($C218,calendar!$A$2:$D$121,4,FALSE)</f>
        <v>0</v>
      </c>
      <c r="I218" s="14">
        <f>I96/VLOOKUP($C218,calendar!$A$2:$D$121,4,FALSE)</f>
        <v>-25</v>
      </c>
      <c r="J218" s="14">
        <f>J96/VLOOKUP($C218,calendar!$A$2:$D$121,4,FALSE)</f>
        <v>0</v>
      </c>
      <c r="K218" s="14">
        <f>K96/VLOOKUP($C218,calendar!$A$2:$D$121,4,FALSE)</f>
        <v>0</v>
      </c>
      <c r="L218" s="14">
        <f>L96/VLOOKUP($C218,calendar!$A$2:$D$121,4,FALSE)</f>
        <v>0</v>
      </c>
      <c r="M218" s="14">
        <f>M96/VLOOKUP($C218,calendar!$A$2:$D$121,4,FALSE)</f>
        <v>0</v>
      </c>
      <c r="N218" s="14"/>
      <c r="O218" s="14">
        <f>O96/VLOOKUP($C218,calendar!$A$2:$D$121,4,FALSE)</f>
        <v>0</v>
      </c>
      <c r="P218" s="14">
        <f>P96/VLOOKUP($C218,calendar!$A$2:$D$121,4,FALSE)</f>
        <v>0</v>
      </c>
      <c r="Q218" s="14">
        <f>Q96/VLOOKUP($C218,calendar!$A$2:$D$121,4,FALSE)</f>
        <v>14.195978260869564</v>
      </c>
      <c r="R218" s="14">
        <f>R96/VLOOKUP($C218,calendar!$A$2:$D$121,4,FALSE)</f>
        <v>0</v>
      </c>
    </row>
    <row r="219" spans="3:18" s="8" customFormat="1" x14ac:dyDescent="0.2">
      <c r="C219" s="9">
        <f t="shared" si="20"/>
        <v>39753</v>
      </c>
      <c r="E219" s="14">
        <f>E97/VLOOKUP($C219,calendar!$A$2:$D$121,4,FALSE)</f>
        <v>14.767006578947369</v>
      </c>
      <c r="F219" s="14">
        <f>F97/VLOOKUP($C219,calendar!$A$2:$D$121,4,FALSE)</f>
        <v>0</v>
      </c>
      <c r="G219" s="14">
        <f>G97/VLOOKUP($C219,calendar!$A$2:$D$121,4,FALSE)</f>
        <v>0</v>
      </c>
      <c r="H219" s="14">
        <f>H97/VLOOKUP($C219,calendar!$A$2:$D$121,4,FALSE)</f>
        <v>0</v>
      </c>
      <c r="I219" s="14">
        <f>I97/VLOOKUP($C219,calendar!$A$2:$D$121,4,FALSE)</f>
        <v>-25</v>
      </c>
      <c r="J219" s="14">
        <f>J97/VLOOKUP($C219,calendar!$A$2:$D$121,4,FALSE)</f>
        <v>0</v>
      </c>
      <c r="K219" s="14">
        <f>K97/VLOOKUP($C219,calendar!$A$2:$D$121,4,FALSE)</f>
        <v>0</v>
      </c>
      <c r="L219" s="14">
        <f>L97/VLOOKUP($C219,calendar!$A$2:$D$121,4,FALSE)</f>
        <v>0</v>
      </c>
      <c r="M219" s="14">
        <f>M97/VLOOKUP($C219,calendar!$A$2:$D$121,4,FALSE)</f>
        <v>0</v>
      </c>
      <c r="N219" s="14"/>
      <c r="O219" s="14">
        <f>O97/VLOOKUP($C219,calendar!$A$2:$D$121,4,FALSE)</f>
        <v>0</v>
      </c>
      <c r="P219" s="14">
        <f>P97/VLOOKUP($C219,calendar!$A$2:$D$121,4,FALSE)</f>
        <v>0</v>
      </c>
      <c r="Q219" s="14">
        <f>Q97/VLOOKUP($C219,calendar!$A$2:$D$121,4,FALSE)</f>
        <v>14.119802631578947</v>
      </c>
      <c r="R219" s="14">
        <f>R97/VLOOKUP($C219,calendar!$A$2:$D$121,4,FALSE)</f>
        <v>0</v>
      </c>
    </row>
    <row r="220" spans="3:18" s="8" customFormat="1" x14ac:dyDescent="0.2">
      <c r="C220" s="9">
        <f t="shared" si="20"/>
        <v>39783</v>
      </c>
      <c r="E220" s="14">
        <f>E98/VLOOKUP($C220,calendar!$A$2:$D$121,4,FALSE)</f>
        <v>14.685710227272727</v>
      </c>
      <c r="F220" s="14">
        <f>F98/VLOOKUP($C220,calendar!$A$2:$D$121,4,FALSE)</f>
        <v>0</v>
      </c>
      <c r="G220" s="14">
        <f>G98/VLOOKUP($C220,calendar!$A$2:$D$121,4,FALSE)</f>
        <v>0</v>
      </c>
      <c r="H220" s="14">
        <f>H98/VLOOKUP($C220,calendar!$A$2:$D$121,4,FALSE)</f>
        <v>0</v>
      </c>
      <c r="I220" s="14">
        <f>I98/VLOOKUP($C220,calendar!$A$2:$D$121,4,FALSE)</f>
        <v>-25</v>
      </c>
      <c r="J220" s="14">
        <f>J98/VLOOKUP($C220,calendar!$A$2:$D$121,4,FALSE)</f>
        <v>0</v>
      </c>
      <c r="K220" s="14">
        <f>K98/VLOOKUP($C220,calendar!$A$2:$D$121,4,FALSE)</f>
        <v>0</v>
      </c>
      <c r="L220" s="14">
        <f>L98/VLOOKUP($C220,calendar!$A$2:$D$121,4,FALSE)</f>
        <v>0</v>
      </c>
      <c r="M220" s="14">
        <f>M98/VLOOKUP($C220,calendar!$A$2:$D$121,4,FALSE)</f>
        <v>0</v>
      </c>
      <c r="N220" s="14"/>
      <c r="O220" s="14">
        <f>O98/VLOOKUP($C220,calendar!$A$2:$D$121,4,FALSE)</f>
        <v>0</v>
      </c>
      <c r="P220" s="14">
        <f>P98/VLOOKUP($C220,calendar!$A$2:$D$121,4,FALSE)</f>
        <v>0</v>
      </c>
      <c r="Q220" s="14">
        <f>Q98/VLOOKUP($C220,calendar!$A$2:$D$121,4,FALSE)</f>
        <v>14.043096590909091</v>
      </c>
      <c r="R220" s="14">
        <f>R98/VLOOKUP($C220,calendar!$A$2:$D$121,4,FALSE)</f>
        <v>0</v>
      </c>
    </row>
    <row r="221" spans="3:18" s="8" customFormat="1" x14ac:dyDescent="0.2">
      <c r="C221" s="9">
        <f t="shared" ref="C221:C244" si="21">C99</f>
        <v>39814</v>
      </c>
      <c r="E221" s="14">
        <f>E99/VLOOKUP($C221,calendar!$A$2:$D$121,4,FALSE)</f>
        <v>0</v>
      </c>
      <c r="F221" s="14">
        <f>F99/VLOOKUP($C221,calendar!$A$2:$D$121,4,FALSE)</f>
        <v>0</v>
      </c>
      <c r="G221" s="14">
        <f>G99/VLOOKUP($C221,calendar!$A$2:$D$121,4,FALSE)</f>
        <v>0</v>
      </c>
      <c r="H221" s="14">
        <f>H99/VLOOKUP($C221,calendar!$A$2:$D$121,4,FALSE)</f>
        <v>-50</v>
      </c>
      <c r="I221" s="14">
        <f>I99/VLOOKUP($C221,calendar!$A$2:$D$121,4,FALSE)</f>
        <v>0</v>
      </c>
      <c r="J221" s="14">
        <f>J99/VLOOKUP($C221,calendar!$A$2:$D$121,4,FALSE)</f>
        <v>0</v>
      </c>
      <c r="K221" s="14">
        <f>K99/VLOOKUP($C221,calendar!$A$2:$D$121,4,FALSE)</f>
        <v>0</v>
      </c>
      <c r="L221" s="14">
        <f>L99/VLOOKUP($C221,calendar!$A$2:$D$121,4,FALSE)</f>
        <v>0</v>
      </c>
      <c r="M221" s="14">
        <f>M99/VLOOKUP($C221,calendar!$A$2:$D$121,4,FALSE)</f>
        <v>0</v>
      </c>
      <c r="N221" s="14"/>
      <c r="O221" s="14">
        <f>O99/VLOOKUP($C221,calendar!$A$2:$D$121,4,FALSE)</f>
        <v>0</v>
      </c>
      <c r="P221" s="14">
        <f>P99/VLOOKUP($C221,calendar!$A$2:$D$121,4,FALSE)</f>
        <v>0</v>
      </c>
      <c r="Q221" s="14">
        <f>Q99/VLOOKUP($C221,calendar!$A$2:$D$121,4,FALSE)</f>
        <v>-1.2731547619047618</v>
      </c>
      <c r="R221" s="14">
        <f>R99/VLOOKUP($C221,calendar!$A$2:$D$121,4,FALSE)</f>
        <v>0</v>
      </c>
    </row>
    <row r="222" spans="3:18" s="8" customFormat="1" x14ac:dyDescent="0.2">
      <c r="C222" s="9">
        <f t="shared" si="21"/>
        <v>39845</v>
      </c>
      <c r="E222" s="14">
        <f>E100/VLOOKUP($C222,calendar!$A$2:$D$121,4,FALSE)</f>
        <v>0</v>
      </c>
      <c r="F222" s="14">
        <f>F100/VLOOKUP($C222,calendar!$A$2:$D$121,4,FALSE)</f>
        <v>0</v>
      </c>
      <c r="G222" s="14">
        <f>G100/VLOOKUP($C222,calendar!$A$2:$D$121,4,FALSE)</f>
        <v>0</v>
      </c>
      <c r="H222" s="14">
        <f>H100/VLOOKUP($C222,calendar!$A$2:$D$121,4,FALSE)</f>
        <v>-50</v>
      </c>
      <c r="I222" s="14">
        <f>I100/VLOOKUP($C222,calendar!$A$2:$D$121,4,FALSE)</f>
        <v>0</v>
      </c>
      <c r="J222" s="14">
        <f>J100/VLOOKUP($C222,calendar!$A$2:$D$121,4,FALSE)</f>
        <v>0</v>
      </c>
      <c r="K222" s="14">
        <f>K100/VLOOKUP($C222,calendar!$A$2:$D$121,4,FALSE)</f>
        <v>0</v>
      </c>
      <c r="L222" s="14">
        <f>L100/VLOOKUP($C222,calendar!$A$2:$D$121,4,FALSE)</f>
        <v>0</v>
      </c>
      <c r="M222" s="14">
        <f>M100/VLOOKUP($C222,calendar!$A$2:$D$121,4,FALSE)</f>
        <v>0</v>
      </c>
      <c r="N222" s="14"/>
      <c r="O222" s="14">
        <f>O100/VLOOKUP($C222,calendar!$A$2:$D$121,4,FALSE)</f>
        <v>0</v>
      </c>
      <c r="P222" s="14">
        <f>P100/VLOOKUP($C222,calendar!$A$2:$D$121,4,FALSE)</f>
        <v>0</v>
      </c>
      <c r="Q222" s="14">
        <f>Q100/VLOOKUP($C222,calendar!$A$2:$D$121,4,FALSE)</f>
        <v>-1.2668124999999999</v>
      </c>
      <c r="R222" s="14">
        <f>R100/VLOOKUP($C222,calendar!$A$2:$D$121,4,FALSE)</f>
        <v>0</v>
      </c>
    </row>
    <row r="223" spans="3:18" s="8" customFormat="1" x14ac:dyDescent="0.2">
      <c r="C223" s="9">
        <f t="shared" si="21"/>
        <v>39873</v>
      </c>
      <c r="E223" s="14">
        <f>E101/VLOOKUP($C223,calendar!$A$2:$D$121,4,FALSE)</f>
        <v>0</v>
      </c>
      <c r="F223" s="14">
        <f>F101/VLOOKUP($C223,calendar!$A$2:$D$121,4,FALSE)</f>
        <v>0</v>
      </c>
      <c r="G223" s="14">
        <f>G101/VLOOKUP($C223,calendar!$A$2:$D$121,4,FALSE)</f>
        <v>0</v>
      </c>
      <c r="H223" s="14">
        <f>H101/VLOOKUP($C223,calendar!$A$2:$D$121,4,FALSE)</f>
        <v>-50</v>
      </c>
      <c r="I223" s="14">
        <f>I101/VLOOKUP($C223,calendar!$A$2:$D$121,4,FALSE)</f>
        <v>0</v>
      </c>
      <c r="J223" s="14">
        <f>J101/VLOOKUP($C223,calendar!$A$2:$D$121,4,FALSE)</f>
        <v>0</v>
      </c>
      <c r="K223" s="14">
        <f>K101/VLOOKUP($C223,calendar!$A$2:$D$121,4,FALSE)</f>
        <v>0</v>
      </c>
      <c r="L223" s="14">
        <f>L101/VLOOKUP($C223,calendar!$A$2:$D$121,4,FALSE)</f>
        <v>0</v>
      </c>
      <c r="M223" s="14">
        <f>M101/VLOOKUP($C223,calendar!$A$2:$D$121,4,FALSE)</f>
        <v>0</v>
      </c>
      <c r="N223" s="14"/>
      <c r="O223" s="14">
        <f>O101/VLOOKUP($C223,calendar!$A$2:$D$121,4,FALSE)</f>
        <v>0</v>
      </c>
      <c r="P223" s="14">
        <f>P101/VLOOKUP($C223,calendar!$A$2:$D$121,4,FALSE)</f>
        <v>0</v>
      </c>
      <c r="Q223" s="14">
        <f>Q101/VLOOKUP($C223,calendar!$A$2:$D$121,4,FALSE)</f>
        <v>-1.2595738636363636</v>
      </c>
      <c r="R223" s="14">
        <f>R101/VLOOKUP($C223,calendar!$A$2:$D$121,4,FALSE)</f>
        <v>0</v>
      </c>
    </row>
    <row r="224" spans="3:18" s="8" customFormat="1" x14ac:dyDescent="0.2">
      <c r="C224" s="9">
        <f t="shared" si="21"/>
        <v>39904</v>
      </c>
      <c r="E224" s="14">
        <f>E102/VLOOKUP($C224,calendar!$A$2:$D$121,4,FALSE)</f>
        <v>0</v>
      </c>
      <c r="F224" s="14">
        <f>F102/VLOOKUP($C224,calendar!$A$2:$D$121,4,FALSE)</f>
        <v>0</v>
      </c>
      <c r="G224" s="14">
        <f>G102/VLOOKUP($C224,calendar!$A$2:$D$121,4,FALSE)</f>
        <v>0</v>
      </c>
      <c r="H224" s="14">
        <f>H102/VLOOKUP($C224,calendar!$A$2:$D$121,4,FALSE)</f>
        <v>-50</v>
      </c>
      <c r="I224" s="14">
        <f>I102/VLOOKUP($C224,calendar!$A$2:$D$121,4,FALSE)</f>
        <v>0</v>
      </c>
      <c r="J224" s="14">
        <f>J102/VLOOKUP($C224,calendar!$A$2:$D$121,4,FALSE)</f>
        <v>0</v>
      </c>
      <c r="K224" s="14">
        <f>K102/VLOOKUP($C224,calendar!$A$2:$D$121,4,FALSE)</f>
        <v>0</v>
      </c>
      <c r="L224" s="14">
        <f>L102/VLOOKUP($C224,calendar!$A$2:$D$121,4,FALSE)</f>
        <v>0</v>
      </c>
      <c r="M224" s="14">
        <f>M102/VLOOKUP($C224,calendar!$A$2:$D$121,4,FALSE)</f>
        <v>0</v>
      </c>
      <c r="N224" s="14"/>
      <c r="O224" s="14">
        <f>O102/VLOOKUP($C224,calendar!$A$2:$D$121,4,FALSE)</f>
        <v>0</v>
      </c>
      <c r="P224" s="14">
        <f>P102/VLOOKUP($C224,calendar!$A$2:$D$121,4,FALSE)</f>
        <v>0</v>
      </c>
      <c r="Q224" s="14">
        <f>Q102/VLOOKUP($C224,calendar!$A$2:$D$121,4,FALSE)</f>
        <v>-1.8792045454545454</v>
      </c>
      <c r="R224" s="14">
        <f>R102/VLOOKUP($C224,calendar!$A$2:$D$121,4,FALSE)</f>
        <v>0</v>
      </c>
    </row>
    <row r="225" spans="3:18" s="8" customFormat="1" x14ac:dyDescent="0.2">
      <c r="C225" s="9">
        <f t="shared" si="21"/>
        <v>39934</v>
      </c>
      <c r="E225" s="14">
        <f>E103/VLOOKUP($C225,calendar!$A$2:$D$121,4,FALSE)</f>
        <v>0</v>
      </c>
      <c r="F225" s="14">
        <f>F103/VLOOKUP($C225,calendar!$A$2:$D$121,4,FALSE)</f>
        <v>0</v>
      </c>
      <c r="G225" s="14">
        <f>G103/VLOOKUP($C225,calendar!$A$2:$D$121,4,FALSE)</f>
        <v>0</v>
      </c>
      <c r="H225" s="14">
        <f>H103/VLOOKUP($C225,calendar!$A$2:$D$121,4,FALSE)</f>
        <v>-50</v>
      </c>
      <c r="I225" s="14">
        <f>I103/VLOOKUP($C225,calendar!$A$2:$D$121,4,FALSE)</f>
        <v>0</v>
      </c>
      <c r="J225" s="14">
        <f>J103/VLOOKUP($C225,calendar!$A$2:$D$121,4,FALSE)</f>
        <v>0</v>
      </c>
      <c r="K225" s="14">
        <f>K103/VLOOKUP($C225,calendar!$A$2:$D$121,4,FALSE)</f>
        <v>0</v>
      </c>
      <c r="L225" s="14">
        <f>L103/VLOOKUP($C225,calendar!$A$2:$D$121,4,FALSE)</f>
        <v>0</v>
      </c>
      <c r="M225" s="14">
        <f>M103/VLOOKUP($C225,calendar!$A$2:$D$121,4,FALSE)</f>
        <v>0</v>
      </c>
      <c r="N225" s="14"/>
      <c r="O225" s="14">
        <f>O103/VLOOKUP($C225,calendar!$A$2:$D$121,4,FALSE)</f>
        <v>0</v>
      </c>
      <c r="P225" s="14">
        <f>P103/VLOOKUP($C225,calendar!$A$2:$D$121,4,FALSE)</f>
        <v>0</v>
      </c>
      <c r="Q225" s="14">
        <f>Q103/VLOOKUP($C225,calendar!$A$2:$D$121,4,FALSE)</f>
        <v>-1.8694375000000001</v>
      </c>
      <c r="R225" s="14">
        <f>R103/VLOOKUP($C225,calendar!$A$2:$D$121,4,FALSE)</f>
        <v>0</v>
      </c>
    </row>
    <row r="226" spans="3:18" s="8" customFormat="1" x14ac:dyDescent="0.2">
      <c r="C226" s="9">
        <f t="shared" si="21"/>
        <v>39965</v>
      </c>
      <c r="E226" s="14">
        <f>E104/VLOOKUP($C226,calendar!$A$2:$D$121,4,FALSE)</f>
        <v>0</v>
      </c>
      <c r="F226" s="14">
        <f>F104/VLOOKUP($C226,calendar!$A$2:$D$121,4,FALSE)</f>
        <v>0</v>
      </c>
      <c r="G226" s="14">
        <f>G104/VLOOKUP($C226,calendar!$A$2:$D$121,4,FALSE)</f>
        <v>0</v>
      </c>
      <c r="H226" s="14">
        <f>H104/VLOOKUP($C226,calendar!$A$2:$D$121,4,FALSE)</f>
        <v>-50</v>
      </c>
      <c r="I226" s="14">
        <f>I104/VLOOKUP($C226,calendar!$A$2:$D$121,4,FALSE)</f>
        <v>0</v>
      </c>
      <c r="J226" s="14">
        <f>J104/VLOOKUP($C226,calendar!$A$2:$D$121,4,FALSE)</f>
        <v>0</v>
      </c>
      <c r="K226" s="14">
        <f>K104/VLOOKUP($C226,calendar!$A$2:$D$121,4,FALSE)</f>
        <v>0</v>
      </c>
      <c r="L226" s="14">
        <f>L104/VLOOKUP($C226,calendar!$A$2:$D$121,4,FALSE)</f>
        <v>0</v>
      </c>
      <c r="M226" s="14">
        <f>M104/VLOOKUP($C226,calendar!$A$2:$D$121,4,FALSE)</f>
        <v>0</v>
      </c>
      <c r="N226" s="14"/>
      <c r="O226" s="14">
        <f>O104/VLOOKUP($C226,calendar!$A$2:$D$121,4,FALSE)</f>
        <v>0</v>
      </c>
      <c r="P226" s="14">
        <f>P104/VLOOKUP($C226,calendar!$A$2:$D$121,4,FALSE)</f>
        <v>0</v>
      </c>
      <c r="Q226" s="14">
        <f>Q104/VLOOKUP($C226,calendar!$A$2:$D$121,4,FALSE)</f>
        <v>-2.4782670454545457</v>
      </c>
      <c r="R226" s="14">
        <f>R104/VLOOKUP($C226,calendar!$A$2:$D$121,4,FALSE)</f>
        <v>0</v>
      </c>
    </row>
    <row r="227" spans="3:18" s="8" customFormat="1" x14ac:dyDescent="0.2">
      <c r="C227" s="9">
        <f t="shared" si="21"/>
        <v>39995</v>
      </c>
      <c r="E227" s="14">
        <f>E105/VLOOKUP($C227,calendar!$A$2:$D$121,4,FALSE)</f>
        <v>0</v>
      </c>
      <c r="F227" s="14">
        <f>F105/VLOOKUP($C227,calendar!$A$2:$D$121,4,FALSE)</f>
        <v>0</v>
      </c>
      <c r="G227" s="14">
        <f>G105/VLOOKUP($C227,calendar!$A$2:$D$121,4,FALSE)</f>
        <v>0</v>
      </c>
      <c r="H227" s="14">
        <f>H105/VLOOKUP($C227,calendar!$A$2:$D$121,4,FALSE)</f>
        <v>-50</v>
      </c>
      <c r="I227" s="14">
        <f>I105/VLOOKUP($C227,calendar!$A$2:$D$121,4,FALSE)</f>
        <v>0</v>
      </c>
      <c r="J227" s="14">
        <f>J105/VLOOKUP($C227,calendar!$A$2:$D$121,4,FALSE)</f>
        <v>0</v>
      </c>
      <c r="K227" s="14">
        <f>K105/VLOOKUP($C227,calendar!$A$2:$D$121,4,FALSE)</f>
        <v>0</v>
      </c>
      <c r="L227" s="14">
        <f>L105/VLOOKUP($C227,calendar!$A$2:$D$121,4,FALSE)</f>
        <v>0</v>
      </c>
      <c r="M227" s="14">
        <f>M105/VLOOKUP($C227,calendar!$A$2:$D$121,4,FALSE)</f>
        <v>0</v>
      </c>
      <c r="N227" s="14"/>
      <c r="O227" s="14">
        <f>O105/VLOOKUP($C227,calendar!$A$2:$D$121,4,FALSE)</f>
        <v>0</v>
      </c>
      <c r="P227" s="14">
        <f>P105/VLOOKUP($C227,calendar!$A$2:$D$121,4,FALSE)</f>
        <v>0</v>
      </c>
      <c r="Q227" s="14">
        <f>Q105/VLOOKUP($C227,calendar!$A$2:$D$121,4,FALSE)</f>
        <v>0</v>
      </c>
      <c r="R227" s="14">
        <f>R105/VLOOKUP($C227,calendar!$A$2:$D$121,4,FALSE)</f>
        <v>0</v>
      </c>
    </row>
    <row r="228" spans="3:18" s="8" customFormat="1" x14ac:dyDescent="0.2">
      <c r="C228" s="9">
        <f t="shared" si="21"/>
        <v>40026</v>
      </c>
      <c r="E228" s="14">
        <f>E106/VLOOKUP($C228,calendar!$A$2:$D$121,4,FALSE)</f>
        <v>0</v>
      </c>
      <c r="F228" s="14">
        <f>F106/VLOOKUP($C228,calendar!$A$2:$D$121,4,FALSE)</f>
        <v>0</v>
      </c>
      <c r="G228" s="14">
        <f>G106/VLOOKUP($C228,calendar!$A$2:$D$121,4,FALSE)</f>
        <v>0</v>
      </c>
      <c r="H228" s="14">
        <f>H106/VLOOKUP($C228,calendar!$A$2:$D$121,4,FALSE)</f>
        <v>-50</v>
      </c>
      <c r="I228" s="14">
        <f>I106/VLOOKUP($C228,calendar!$A$2:$D$121,4,FALSE)</f>
        <v>0</v>
      </c>
      <c r="J228" s="14">
        <f>J106/VLOOKUP($C228,calendar!$A$2:$D$121,4,FALSE)</f>
        <v>0</v>
      </c>
      <c r="K228" s="14">
        <f>K106/VLOOKUP($C228,calendar!$A$2:$D$121,4,FALSE)</f>
        <v>0</v>
      </c>
      <c r="L228" s="14">
        <f>L106/VLOOKUP($C228,calendar!$A$2:$D$121,4,FALSE)</f>
        <v>0</v>
      </c>
      <c r="M228" s="14">
        <f>M106/VLOOKUP($C228,calendar!$A$2:$D$121,4,FALSE)</f>
        <v>0</v>
      </c>
      <c r="N228" s="14"/>
      <c r="O228" s="14">
        <f>O106/VLOOKUP($C228,calendar!$A$2:$D$121,4,FALSE)</f>
        <v>0</v>
      </c>
      <c r="P228" s="14">
        <f>P106/VLOOKUP($C228,calendar!$A$2:$D$121,4,FALSE)</f>
        <v>0</v>
      </c>
      <c r="Q228" s="14">
        <f>Q106/VLOOKUP($C228,calendar!$A$2:$D$121,4,FALSE)</f>
        <v>0</v>
      </c>
      <c r="R228" s="14">
        <f>R106/VLOOKUP($C228,calendar!$A$2:$D$121,4,FALSE)</f>
        <v>0</v>
      </c>
    </row>
    <row r="229" spans="3:18" s="8" customFormat="1" x14ac:dyDescent="0.2">
      <c r="C229" s="9">
        <f t="shared" si="21"/>
        <v>40057</v>
      </c>
      <c r="E229" s="14">
        <f>E107/VLOOKUP($C229,calendar!$A$2:$D$121,4,FALSE)</f>
        <v>0</v>
      </c>
      <c r="F229" s="14">
        <f>F107/VLOOKUP($C229,calendar!$A$2:$D$121,4,FALSE)</f>
        <v>0</v>
      </c>
      <c r="G229" s="14">
        <f>G107/VLOOKUP($C229,calendar!$A$2:$D$121,4,FALSE)</f>
        <v>0</v>
      </c>
      <c r="H229" s="14">
        <f>H107/VLOOKUP($C229,calendar!$A$2:$D$121,4,FALSE)</f>
        <v>-50</v>
      </c>
      <c r="I229" s="14">
        <f>I107/VLOOKUP($C229,calendar!$A$2:$D$121,4,FALSE)</f>
        <v>0</v>
      </c>
      <c r="J229" s="14">
        <f>J107/VLOOKUP($C229,calendar!$A$2:$D$121,4,FALSE)</f>
        <v>0</v>
      </c>
      <c r="K229" s="14">
        <f>K107/VLOOKUP($C229,calendar!$A$2:$D$121,4,FALSE)</f>
        <v>0</v>
      </c>
      <c r="L229" s="14">
        <f>L107/VLOOKUP($C229,calendar!$A$2:$D$121,4,FALSE)</f>
        <v>0</v>
      </c>
      <c r="M229" s="14">
        <f>M107/VLOOKUP($C229,calendar!$A$2:$D$121,4,FALSE)</f>
        <v>0</v>
      </c>
      <c r="N229" s="14"/>
      <c r="O229" s="14">
        <f>O107/VLOOKUP($C229,calendar!$A$2:$D$121,4,FALSE)</f>
        <v>0</v>
      </c>
      <c r="P229" s="14">
        <f>P107/VLOOKUP($C229,calendar!$A$2:$D$121,4,FALSE)</f>
        <v>0</v>
      </c>
      <c r="Q229" s="14">
        <f>Q107/VLOOKUP($C229,calendar!$A$2:$D$121,4,FALSE)</f>
        <v>0</v>
      </c>
      <c r="R229" s="14">
        <f>R107/VLOOKUP($C229,calendar!$A$2:$D$121,4,FALSE)</f>
        <v>0</v>
      </c>
    </row>
    <row r="230" spans="3:18" s="8" customFormat="1" x14ac:dyDescent="0.2">
      <c r="C230" s="9">
        <f t="shared" si="21"/>
        <v>40087</v>
      </c>
      <c r="E230" s="14">
        <f>E108/VLOOKUP($C230,calendar!$A$2:$D$121,4,FALSE)</f>
        <v>0</v>
      </c>
      <c r="F230" s="14">
        <f>F108/VLOOKUP($C230,calendar!$A$2:$D$121,4,FALSE)</f>
        <v>0</v>
      </c>
      <c r="G230" s="14">
        <f>G108/VLOOKUP($C230,calendar!$A$2:$D$121,4,FALSE)</f>
        <v>0</v>
      </c>
      <c r="H230" s="14">
        <f>H108/VLOOKUP($C230,calendar!$A$2:$D$121,4,FALSE)</f>
        <v>-50</v>
      </c>
      <c r="I230" s="14">
        <f>I108/VLOOKUP($C230,calendar!$A$2:$D$121,4,FALSE)</f>
        <v>0</v>
      </c>
      <c r="J230" s="14">
        <f>J108/VLOOKUP($C230,calendar!$A$2:$D$121,4,FALSE)</f>
        <v>0</v>
      </c>
      <c r="K230" s="14">
        <f>K108/VLOOKUP($C230,calendar!$A$2:$D$121,4,FALSE)</f>
        <v>0</v>
      </c>
      <c r="L230" s="14">
        <f>L108/VLOOKUP($C230,calendar!$A$2:$D$121,4,FALSE)</f>
        <v>0</v>
      </c>
      <c r="M230" s="14">
        <f>M108/VLOOKUP($C230,calendar!$A$2:$D$121,4,FALSE)</f>
        <v>0</v>
      </c>
      <c r="N230" s="14"/>
      <c r="O230" s="14">
        <f>O108/VLOOKUP($C230,calendar!$A$2:$D$121,4,FALSE)</f>
        <v>0</v>
      </c>
      <c r="P230" s="14">
        <f>P108/VLOOKUP($C230,calendar!$A$2:$D$121,4,FALSE)</f>
        <v>0</v>
      </c>
      <c r="Q230" s="14">
        <f>Q108/VLOOKUP($C230,calendar!$A$2:$D$121,4,FALSE)</f>
        <v>0</v>
      </c>
      <c r="R230" s="14">
        <f>R108/VLOOKUP($C230,calendar!$A$2:$D$121,4,FALSE)</f>
        <v>0</v>
      </c>
    </row>
    <row r="231" spans="3:18" s="8" customFormat="1" x14ac:dyDescent="0.2">
      <c r="C231" s="9">
        <f t="shared" si="21"/>
        <v>40118</v>
      </c>
      <c r="E231" s="14">
        <f>E109/VLOOKUP($C231,calendar!$A$2:$D$121,4,FALSE)</f>
        <v>0</v>
      </c>
      <c r="F231" s="14">
        <f>F109/VLOOKUP($C231,calendar!$A$2:$D$121,4,FALSE)</f>
        <v>0</v>
      </c>
      <c r="G231" s="14">
        <f>G109/VLOOKUP($C231,calendar!$A$2:$D$121,4,FALSE)</f>
        <v>0</v>
      </c>
      <c r="H231" s="14">
        <f>H109/VLOOKUP($C231,calendar!$A$2:$D$121,4,FALSE)</f>
        <v>-50</v>
      </c>
      <c r="I231" s="14">
        <f>I109/VLOOKUP($C231,calendar!$A$2:$D$121,4,FALSE)</f>
        <v>0</v>
      </c>
      <c r="J231" s="14">
        <f>J109/VLOOKUP($C231,calendar!$A$2:$D$121,4,FALSE)</f>
        <v>0</v>
      </c>
      <c r="K231" s="14">
        <f>K109/VLOOKUP($C231,calendar!$A$2:$D$121,4,FALSE)</f>
        <v>0</v>
      </c>
      <c r="L231" s="14">
        <f>L109/VLOOKUP($C231,calendar!$A$2:$D$121,4,FALSE)</f>
        <v>0</v>
      </c>
      <c r="M231" s="14">
        <f>M109/VLOOKUP($C231,calendar!$A$2:$D$121,4,FALSE)</f>
        <v>0</v>
      </c>
      <c r="N231" s="14"/>
      <c r="O231" s="14">
        <f>O109/VLOOKUP($C231,calendar!$A$2:$D$121,4,FALSE)</f>
        <v>0</v>
      </c>
      <c r="P231" s="14">
        <f>P109/VLOOKUP($C231,calendar!$A$2:$D$121,4,FALSE)</f>
        <v>0</v>
      </c>
      <c r="Q231" s="14">
        <f>Q109/VLOOKUP($C231,calendar!$A$2:$D$121,4,FALSE)</f>
        <v>0</v>
      </c>
      <c r="R231" s="14">
        <f>R109/VLOOKUP($C231,calendar!$A$2:$D$121,4,FALSE)</f>
        <v>0</v>
      </c>
    </row>
    <row r="232" spans="3:18" s="8" customFormat="1" x14ac:dyDescent="0.2">
      <c r="C232" s="9">
        <f t="shared" si="21"/>
        <v>40148</v>
      </c>
      <c r="E232" s="14">
        <f>E110/VLOOKUP($C232,calendar!$A$2:$D$121,4,FALSE)</f>
        <v>0</v>
      </c>
      <c r="F232" s="14">
        <f>F110/VLOOKUP($C232,calendar!$A$2:$D$121,4,FALSE)</f>
        <v>0</v>
      </c>
      <c r="G232" s="14">
        <f>G110/VLOOKUP($C232,calendar!$A$2:$D$121,4,FALSE)</f>
        <v>0</v>
      </c>
      <c r="H232" s="14">
        <f>H110/VLOOKUP($C232,calendar!$A$2:$D$121,4,FALSE)</f>
        <v>-50</v>
      </c>
      <c r="I232" s="14">
        <f>I110/VLOOKUP($C232,calendar!$A$2:$D$121,4,FALSE)</f>
        <v>0</v>
      </c>
      <c r="J232" s="14">
        <f>J110/VLOOKUP($C232,calendar!$A$2:$D$121,4,FALSE)</f>
        <v>0</v>
      </c>
      <c r="K232" s="14">
        <f>K110/VLOOKUP($C232,calendar!$A$2:$D$121,4,FALSE)</f>
        <v>0</v>
      </c>
      <c r="L232" s="14">
        <f>L110/VLOOKUP($C232,calendar!$A$2:$D$121,4,FALSE)</f>
        <v>0</v>
      </c>
      <c r="M232" s="14">
        <f>M110/VLOOKUP($C232,calendar!$A$2:$D$121,4,FALSE)</f>
        <v>0</v>
      </c>
      <c r="N232" s="14"/>
      <c r="O232" s="14">
        <f>O110/VLOOKUP($C232,calendar!$A$2:$D$121,4,FALSE)</f>
        <v>0</v>
      </c>
      <c r="P232" s="14">
        <f>P110/VLOOKUP($C232,calendar!$A$2:$D$121,4,FALSE)</f>
        <v>0</v>
      </c>
      <c r="Q232" s="14">
        <f>Q110/VLOOKUP($C232,calendar!$A$2:$D$121,4,FALSE)</f>
        <v>0</v>
      </c>
      <c r="R232" s="14">
        <f>R110/VLOOKUP($C232,calendar!$A$2:$D$121,4,FALSE)</f>
        <v>0</v>
      </c>
    </row>
    <row r="233" spans="3:18" s="8" customFormat="1" x14ac:dyDescent="0.2">
      <c r="C233" s="9">
        <f t="shared" si="21"/>
        <v>40179</v>
      </c>
      <c r="E233" s="14">
        <f>E111/VLOOKUP($C233,calendar!$A$2:$D$121,4,FALSE)</f>
        <v>0</v>
      </c>
      <c r="F233" s="14">
        <f>F111/VLOOKUP($C233,calendar!$A$2:$D$121,4,FALSE)</f>
        <v>0</v>
      </c>
      <c r="G233" s="14">
        <f>G111/VLOOKUP($C233,calendar!$A$2:$D$121,4,FALSE)</f>
        <v>0</v>
      </c>
      <c r="H233" s="14">
        <f>H111/VLOOKUP($C233,calendar!$A$2:$D$121,4,FALSE)</f>
        <v>-100</v>
      </c>
      <c r="I233" s="14">
        <f>I111/VLOOKUP($C233,calendar!$A$2:$D$121,4,FALSE)</f>
        <v>0</v>
      </c>
      <c r="J233" s="14">
        <f>J111/VLOOKUP($C233,calendar!$A$2:$D$121,4,FALSE)</f>
        <v>0</v>
      </c>
      <c r="K233" s="14">
        <f>K111/VLOOKUP($C233,calendar!$A$2:$D$121,4,FALSE)</f>
        <v>0</v>
      </c>
      <c r="L233" s="14">
        <f>L111/VLOOKUP($C233,calendar!$A$2:$D$121,4,FALSE)</f>
        <v>0</v>
      </c>
      <c r="M233" s="14">
        <f>M111/VLOOKUP($C233,calendar!$A$2:$D$121,4,FALSE)</f>
        <v>0</v>
      </c>
      <c r="N233" s="14"/>
      <c r="O233" s="14">
        <f>O111/VLOOKUP($C233,calendar!$A$2:$D$121,4,FALSE)</f>
        <v>0</v>
      </c>
      <c r="P233" s="14">
        <f>P111/VLOOKUP($C233,calendar!$A$2:$D$121,4,FALSE)</f>
        <v>0</v>
      </c>
      <c r="Q233" s="14">
        <f>Q111/VLOOKUP($C233,calendar!$A$2:$D$121,4,FALSE)</f>
        <v>0</v>
      </c>
      <c r="R233" s="14">
        <f>R111/VLOOKUP($C233,calendar!$A$2:$D$121,4,FALSE)</f>
        <v>0</v>
      </c>
    </row>
    <row r="234" spans="3:18" s="8" customFormat="1" x14ac:dyDescent="0.2">
      <c r="C234" s="9">
        <f t="shared" si="21"/>
        <v>40210</v>
      </c>
      <c r="E234" s="14">
        <f>E112/VLOOKUP($C234,calendar!$A$2:$D$121,4,FALSE)</f>
        <v>0</v>
      </c>
      <c r="F234" s="14">
        <f>F112/VLOOKUP($C234,calendar!$A$2:$D$121,4,FALSE)</f>
        <v>0</v>
      </c>
      <c r="G234" s="14">
        <f>G112/VLOOKUP($C234,calendar!$A$2:$D$121,4,FALSE)</f>
        <v>0</v>
      </c>
      <c r="H234" s="14">
        <f>H112/VLOOKUP($C234,calendar!$A$2:$D$121,4,FALSE)</f>
        <v>-100</v>
      </c>
      <c r="I234" s="14">
        <f>I112/VLOOKUP($C234,calendar!$A$2:$D$121,4,FALSE)</f>
        <v>0</v>
      </c>
      <c r="J234" s="14">
        <f>J112/VLOOKUP($C234,calendar!$A$2:$D$121,4,FALSE)</f>
        <v>0</v>
      </c>
      <c r="K234" s="14">
        <f>K112/VLOOKUP($C234,calendar!$A$2:$D$121,4,FALSE)</f>
        <v>0</v>
      </c>
      <c r="L234" s="14">
        <f>L112/VLOOKUP($C234,calendar!$A$2:$D$121,4,FALSE)</f>
        <v>0</v>
      </c>
      <c r="M234" s="14">
        <f>M112/VLOOKUP($C234,calendar!$A$2:$D$121,4,FALSE)</f>
        <v>0</v>
      </c>
      <c r="N234" s="14"/>
      <c r="O234" s="14">
        <f>O112/VLOOKUP($C234,calendar!$A$2:$D$121,4,FALSE)</f>
        <v>0</v>
      </c>
      <c r="P234" s="14">
        <f>P112/VLOOKUP($C234,calendar!$A$2:$D$121,4,FALSE)</f>
        <v>0</v>
      </c>
      <c r="Q234" s="14">
        <f>Q112/VLOOKUP($C234,calendar!$A$2:$D$121,4,FALSE)</f>
        <v>0</v>
      </c>
      <c r="R234" s="14">
        <f>R112/VLOOKUP($C234,calendar!$A$2:$D$121,4,FALSE)</f>
        <v>0</v>
      </c>
    </row>
    <row r="235" spans="3:18" s="8" customFormat="1" x14ac:dyDescent="0.2">
      <c r="C235" s="9">
        <f t="shared" si="21"/>
        <v>40238</v>
      </c>
      <c r="E235" s="14">
        <f>E113/VLOOKUP($C235,calendar!$A$2:$D$121,4,FALSE)</f>
        <v>0</v>
      </c>
      <c r="F235" s="14">
        <f>F113/VLOOKUP($C235,calendar!$A$2:$D$121,4,FALSE)</f>
        <v>0</v>
      </c>
      <c r="G235" s="14">
        <f>G113/VLOOKUP($C235,calendar!$A$2:$D$121,4,FALSE)</f>
        <v>0</v>
      </c>
      <c r="H235" s="14">
        <f>H113/VLOOKUP($C235,calendar!$A$2:$D$121,4,FALSE)</f>
        <v>-100</v>
      </c>
      <c r="I235" s="14">
        <f>I113/VLOOKUP($C235,calendar!$A$2:$D$121,4,FALSE)</f>
        <v>0</v>
      </c>
      <c r="J235" s="14">
        <f>J113/VLOOKUP($C235,calendar!$A$2:$D$121,4,FALSE)</f>
        <v>0</v>
      </c>
      <c r="K235" s="14">
        <f>K113/VLOOKUP($C235,calendar!$A$2:$D$121,4,FALSE)</f>
        <v>0</v>
      </c>
      <c r="L235" s="14">
        <f>L113/VLOOKUP($C235,calendar!$A$2:$D$121,4,FALSE)</f>
        <v>0</v>
      </c>
      <c r="M235" s="14">
        <f>M113/VLOOKUP($C235,calendar!$A$2:$D$121,4,FALSE)</f>
        <v>0</v>
      </c>
      <c r="N235" s="14"/>
      <c r="O235" s="14">
        <f>O113/VLOOKUP($C235,calendar!$A$2:$D$121,4,FALSE)</f>
        <v>0</v>
      </c>
      <c r="P235" s="14">
        <f>P113/VLOOKUP($C235,calendar!$A$2:$D$121,4,FALSE)</f>
        <v>0</v>
      </c>
      <c r="Q235" s="14">
        <f>Q113/VLOOKUP($C235,calendar!$A$2:$D$121,4,FALSE)</f>
        <v>0</v>
      </c>
      <c r="R235" s="14">
        <f>R113/VLOOKUP($C235,calendar!$A$2:$D$121,4,FALSE)</f>
        <v>0</v>
      </c>
    </row>
    <row r="236" spans="3:18" s="8" customFormat="1" x14ac:dyDescent="0.2">
      <c r="C236" s="9">
        <f t="shared" si="21"/>
        <v>40269</v>
      </c>
      <c r="E236" s="14">
        <f>E114/VLOOKUP($C236,calendar!$A$2:$D$121,4,FALSE)</f>
        <v>0</v>
      </c>
      <c r="F236" s="14">
        <f>F114/VLOOKUP($C236,calendar!$A$2:$D$121,4,FALSE)</f>
        <v>0</v>
      </c>
      <c r="G236" s="14">
        <f>G114/VLOOKUP($C236,calendar!$A$2:$D$121,4,FALSE)</f>
        <v>0</v>
      </c>
      <c r="H236" s="14">
        <f>H114/VLOOKUP($C236,calendar!$A$2:$D$121,4,FALSE)</f>
        <v>-100</v>
      </c>
      <c r="I236" s="14">
        <f>I114/VLOOKUP($C236,calendar!$A$2:$D$121,4,FALSE)</f>
        <v>0</v>
      </c>
      <c r="J236" s="14">
        <f>J114/VLOOKUP($C236,calendar!$A$2:$D$121,4,FALSE)</f>
        <v>0</v>
      </c>
      <c r="K236" s="14">
        <f>K114/VLOOKUP($C236,calendar!$A$2:$D$121,4,FALSE)</f>
        <v>0</v>
      </c>
      <c r="L236" s="14">
        <f>L114/VLOOKUP($C236,calendar!$A$2:$D$121,4,FALSE)</f>
        <v>0</v>
      </c>
      <c r="M236" s="14">
        <f>M114/VLOOKUP($C236,calendar!$A$2:$D$121,4,FALSE)</f>
        <v>0</v>
      </c>
      <c r="N236" s="14"/>
      <c r="O236" s="14">
        <f>O114/VLOOKUP($C236,calendar!$A$2:$D$121,4,FALSE)</f>
        <v>0</v>
      </c>
      <c r="P236" s="14">
        <f>P114/VLOOKUP($C236,calendar!$A$2:$D$121,4,FALSE)</f>
        <v>0</v>
      </c>
      <c r="Q236" s="14">
        <f>Q114/VLOOKUP($C236,calendar!$A$2:$D$121,4,FALSE)</f>
        <v>0</v>
      </c>
      <c r="R236" s="14">
        <f>R114/VLOOKUP($C236,calendar!$A$2:$D$121,4,FALSE)</f>
        <v>0</v>
      </c>
    </row>
    <row r="237" spans="3:18" s="8" customFormat="1" x14ac:dyDescent="0.2">
      <c r="C237" s="9">
        <f t="shared" si="21"/>
        <v>40299</v>
      </c>
      <c r="E237" s="14">
        <f>E115/VLOOKUP($C237,calendar!$A$2:$D$121,4,FALSE)</f>
        <v>0</v>
      </c>
      <c r="F237" s="14">
        <f>F115/VLOOKUP($C237,calendar!$A$2:$D$121,4,FALSE)</f>
        <v>0</v>
      </c>
      <c r="G237" s="14">
        <f>G115/VLOOKUP($C237,calendar!$A$2:$D$121,4,FALSE)</f>
        <v>0</v>
      </c>
      <c r="H237" s="14">
        <f>H115/VLOOKUP($C237,calendar!$A$2:$D$121,4,FALSE)</f>
        <v>-100</v>
      </c>
      <c r="I237" s="14">
        <f>I115/VLOOKUP($C237,calendar!$A$2:$D$121,4,FALSE)</f>
        <v>0</v>
      </c>
      <c r="J237" s="14">
        <f>J115/VLOOKUP($C237,calendar!$A$2:$D$121,4,FALSE)</f>
        <v>0</v>
      </c>
      <c r="K237" s="14">
        <f>K115/VLOOKUP($C237,calendar!$A$2:$D$121,4,FALSE)</f>
        <v>0</v>
      </c>
      <c r="L237" s="14">
        <f>L115/VLOOKUP($C237,calendar!$A$2:$D$121,4,FALSE)</f>
        <v>0</v>
      </c>
      <c r="M237" s="14">
        <f>M115/VLOOKUP($C237,calendar!$A$2:$D$121,4,FALSE)</f>
        <v>0</v>
      </c>
      <c r="N237" s="14"/>
      <c r="O237" s="14">
        <f>O115/VLOOKUP($C237,calendar!$A$2:$D$121,4,FALSE)</f>
        <v>0</v>
      </c>
      <c r="P237" s="14">
        <f>P115/VLOOKUP($C237,calendar!$A$2:$D$121,4,FALSE)</f>
        <v>0</v>
      </c>
      <c r="Q237" s="14">
        <f>Q115/VLOOKUP($C237,calendar!$A$2:$D$121,4,FALSE)</f>
        <v>0</v>
      </c>
      <c r="R237" s="14">
        <f>R115/VLOOKUP($C237,calendar!$A$2:$D$121,4,FALSE)</f>
        <v>0</v>
      </c>
    </row>
    <row r="238" spans="3:18" s="8" customFormat="1" x14ac:dyDescent="0.2">
      <c r="C238" s="9">
        <f t="shared" si="21"/>
        <v>40330</v>
      </c>
      <c r="E238" s="14">
        <f>E116/VLOOKUP($C238,calendar!$A$2:$D$121,4,FALSE)</f>
        <v>0</v>
      </c>
      <c r="F238" s="14">
        <f>F116/VLOOKUP($C238,calendar!$A$2:$D$121,4,FALSE)</f>
        <v>0</v>
      </c>
      <c r="G238" s="14">
        <f>G116/VLOOKUP($C238,calendar!$A$2:$D$121,4,FALSE)</f>
        <v>0</v>
      </c>
      <c r="H238" s="14">
        <f>H116/VLOOKUP($C238,calendar!$A$2:$D$121,4,FALSE)</f>
        <v>-100</v>
      </c>
      <c r="I238" s="14">
        <f>I116/VLOOKUP($C238,calendar!$A$2:$D$121,4,FALSE)</f>
        <v>0</v>
      </c>
      <c r="J238" s="14">
        <f>J116/VLOOKUP($C238,calendar!$A$2:$D$121,4,FALSE)</f>
        <v>0</v>
      </c>
      <c r="K238" s="14">
        <f>K116/VLOOKUP($C238,calendar!$A$2:$D$121,4,FALSE)</f>
        <v>0</v>
      </c>
      <c r="L238" s="14">
        <f>L116/VLOOKUP($C238,calendar!$A$2:$D$121,4,FALSE)</f>
        <v>0</v>
      </c>
      <c r="M238" s="14">
        <f>M116/VLOOKUP($C238,calendar!$A$2:$D$121,4,FALSE)</f>
        <v>0</v>
      </c>
      <c r="N238" s="14"/>
      <c r="O238" s="14">
        <f>O116/VLOOKUP($C238,calendar!$A$2:$D$121,4,FALSE)</f>
        <v>0</v>
      </c>
      <c r="P238" s="14">
        <f>P116/VLOOKUP($C238,calendar!$A$2:$D$121,4,FALSE)</f>
        <v>0</v>
      </c>
      <c r="Q238" s="14">
        <f>Q116/VLOOKUP($C238,calendar!$A$2:$D$121,4,FALSE)</f>
        <v>0</v>
      </c>
      <c r="R238" s="14">
        <f>R116/VLOOKUP($C238,calendar!$A$2:$D$121,4,FALSE)</f>
        <v>0</v>
      </c>
    </row>
    <row r="239" spans="3:18" s="8" customFormat="1" x14ac:dyDescent="0.2">
      <c r="C239" s="9">
        <f t="shared" si="21"/>
        <v>40360</v>
      </c>
      <c r="E239" s="14">
        <f>E117/VLOOKUP($C239,calendar!$A$2:$D$121,4,FALSE)</f>
        <v>0</v>
      </c>
      <c r="F239" s="14">
        <f>F117/VLOOKUP($C239,calendar!$A$2:$D$121,4,FALSE)</f>
        <v>0</v>
      </c>
      <c r="G239" s="14">
        <f>G117/VLOOKUP($C239,calendar!$A$2:$D$121,4,FALSE)</f>
        <v>0</v>
      </c>
      <c r="H239" s="14">
        <f>H117/VLOOKUP($C239,calendar!$A$2:$D$121,4,FALSE)</f>
        <v>-100</v>
      </c>
      <c r="I239" s="14">
        <f>I117/VLOOKUP($C239,calendar!$A$2:$D$121,4,FALSE)</f>
        <v>0</v>
      </c>
      <c r="J239" s="14">
        <f>J117/VLOOKUP($C239,calendar!$A$2:$D$121,4,FALSE)</f>
        <v>0</v>
      </c>
      <c r="K239" s="14">
        <f>K117/VLOOKUP($C239,calendar!$A$2:$D$121,4,FALSE)</f>
        <v>0</v>
      </c>
      <c r="L239" s="14">
        <f>L117/VLOOKUP($C239,calendar!$A$2:$D$121,4,FALSE)</f>
        <v>0</v>
      </c>
      <c r="M239" s="14">
        <f>M117/VLOOKUP($C239,calendar!$A$2:$D$121,4,FALSE)</f>
        <v>0</v>
      </c>
      <c r="N239" s="14"/>
      <c r="O239" s="14">
        <f>O117/VLOOKUP($C239,calendar!$A$2:$D$121,4,FALSE)</f>
        <v>0</v>
      </c>
      <c r="P239" s="14">
        <f>P117/VLOOKUP($C239,calendar!$A$2:$D$121,4,FALSE)</f>
        <v>0</v>
      </c>
      <c r="Q239" s="14">
        <f>Q117/VLOOKUP($C239,calendar!$A$2:$D$121,4,FALSE)</f>
        <v>0</v>
      </c>
      <c r="R239" s="14">
        <f>R117/VLOOKUP($C239,calendar!$A$2:$D$121,4,FALSE)</f>
        <v>0</v>
      </c>
    </row>
    <row r="240" spans="3:18" s="8" customFormat="1" x14ac:dyDescent="0.2">
      <c r="C240" s="9">
        <f t="shared" si="21"/>
        <v>40391</v>
      </c>
      <c r="E240" s="14">
        <f>E118/VLOOKUP($C240,calendar!$A$2:$D$121,4,FALSE)</f>
        <v>0</v>
      </c>
      <c r="F240" s="14">
        <f>F118/VLOOKUP($C240,calendar!$A$2:$D$121,4,FALSE)</f>
        <v>0</v>
      </c>
      <c r="G240" s="14">
        <f>G118/VLOOKUP($C240,calendar!$A$2:$D$121,4,FALSE)</f>
        <v>0</v>
      </c>
      <c r="H240" s="14">
        <f>H118/VLOOKUP($C240,calendar!$A$2:$D$121,4,FALSE)</f>
        <v>-100</v>
      </c>
      <c r="I240" s="14">
        <f>I118/VLOOKUP($C240,calendar!$A$2:$D$121,4,FALSE)</f>
        <v>0</v>
      </c>
      <c r="J240" s="14">
        <f>J118/VLOOKUP($C240,calendar!$A$2:$D$121,4,FALSE)</f>
        <v>0</v>
      </c>
      <c r="K240" s="14">
        <f>K118/VLOOKUP($C240,calendar!$A$2:$D$121,4,FALSE)</f>
        <v>0</v>
      </c>
      <c r="L240" s="14">
        <f>L118/VLOOKUP($C240,calendar!$A$2:$D$121,4,FALSE)</f>
        <v>0</v>
      </c>
      <c r="M240" s="14">
        <f>M118/VLOOKUP($C240,calendar!$A$2:$D$121,4,FALSE)</f>
        <v>0</v>
      </c>
      <c r="N240" s="14"/>
      <c r="O240" s="14">
        <f>O118/VLOOKUP($C240,calendar!$A$2:$D$121,4,FALSE)</f>
        <v>0</v>
      </c>
      <c r="P240" s="14">
        <f>P118/VLOOKUP($C240,calendar!$A$2:$D$121,4,FALSE)</f>
        <v>0</v>
      </c>
      <c r="Q240" s="14">
        <f>Q118/VLOOKUP($C240,calendar!$A$2:$D$121,4,FALSE)</f>
        <v>0</v>
      </c>
      <c r="R240" s="14">
        <f>R118/VLOOKUP($C240,calendar!$A$2:$D$121,4,FALSE)</f>
        <v>0</v>
      </c>
    </row>
    <row r="241" spans="1:20" s="8" customFormat="1" x14ac:dyDescent="0.2">
      <c r="C241" s="9">
        <f t="shared" si="21"/>
        <v>40422</v>
      </c>
      <c r="E241" s="14">
        <f>E119/VLOOKUP($C241,calendar!$A$2:$D$121,4,FALSE)</f>
        <v>0</v>
      </c>
      <c r="F241" s="14">
        <f>F119/VLOOKUP($C241,calendar!$A$2:$D$121,4,FALSE)</f>
        <v>0</v>
      </c>
      <c r="G241" s="14">
        <f>G119/VLOOKUP($C241,calendar!$A$2:$D$121,4,FALSE)</f>
        <v>0</v>
      </c>
      <c r="H241" s="14">
        <f>H119/VLOOKUP($C241,calendar!$A$2:$D$121,4,FALSE)</f>
        <v>-100</v>
      </c>
      <c r="I241" s="14">
        <f>I119/VLOOKUP($C241,calendar!$A$2:$D$121,4,FALSE)</f>
        <v>0</v>
      </c>
      <c r="J241" s="14">
        <f>J119/VLOOKUP($C241,calendar!$A$2:$D$121,4,FALSE)</f>
        <v>0</v>
      </c>
      <c r="K241" s="14">
        <f>K119/VLOOKUP($C241,calendar!$A$2:$D$121,4,FALSE)</f>
        <v>0</v>
      </c>
      <c r="L241" s="14">
        <f>L119/VLOOKUP($C241,calendar!$A$2:$D$121,4,FALSE)</f>
        <v>0</v>
      </c>
      <c r="M241" s="14">
        <f>M119/VLOOKUP($C241,calendar!$A$2:$D$121,4,FALSE)</f>
        <v>0</v>
      </c>
      <c r="N241" s="14"/>
      <c r="O241" s="14">
        <f>O119/VLOOKUP($C241,calendar!$A$2:$D$121,4,FALSE)</f>
        <v>0</v>
      </c>
      <c r="P241" s="14">
        <f>P119/VLOOKUP($C241,calendar!$A$2:$D$121,4,FALSE)</f>
        <v>0</v>
      </c>
      <c r="Q241" s="14">
        <f>Q119/VLOOKUP($C241,calendar!$A$2:$D$121,4,FALSE)</f>
        <v>0</v>
      </c>
      <c r="R241" s="14">
        <f>R119/VLOOKUP($C241,calendar!$A$2:$D$121,4,FALSE)</f>
        <v>0</v>
      </c>
    </row>
    <row r="242" spans="1:20" s="8" customFormat="1" x14ac:dyDescent="0.2">
      <c r="C242" s="9">
        <f t="shared" si="21"/>
        <v>40452</v>
      </c>
      <c r="E242" s="14">
        <f>E120/VLOOKUP($C242,calendar!$A$2:$D$121,4,FALSE)</f>
        <v>0</v>
      </c>
      <c r="F242" s="14">
        <f>F120/VLOOKUP($C242,calendar!$A$2:$D$121,4,FALSE)</f>
        <v>0</v>
      </c>
      <c r="G242" s="14">
        <f>G120/VLOOKUP($C242,calendar!$A$2:$D$121,4,FALSE)</f>
        <v>0</v>
      </c>
      <c r="H242" s="14">
        <f>H120/VLOOKUP($C242,calendar!$A$2:$D$121,4,FALSE)</f>
        <v>-100</v>
      </c>
      <c r="I242" s="14">
        <f>I120/VLOOKUP($C242,calendar!$A$2:$D$121,4,FALSE)</f>
        <v>0</v>
      </c>
      <c r="J242" s="14">
        <f>J120/VLOOKUP($C242,calendar!$A$2:$D$121,4,FALSE)</f>
        <v>0</v>
      </c>
      <c r="K242" s="14">
        <f>K120/VLOOKUP($C242,calendar!$A$2:$D$121,4,FALSE)</f>
        <v>0</v>
      </c>
      <c r="L242" s="14">
        <f>L120/VLOOKUP($C242,calendar!$A$2:$D$121,4,FALSE)</f>
        <v>0</v>
      </c>
      <c r="M242" s="14">
        <f>M120/VLOOKUP($C242,calendar!$A$2:$D$121,4,FALSE)</f>
        <v>0</v>
      </c>
      <c r="N242" s="14"/>
      <c r="O242" s="14">
        <f>O120/VLOOKUP($C242,calendar!$A$2:$D$121,4,FALSE)</f>
        <v>0</v>
      </c>
      <c r="P242" s="14">
        <f>P120/VLOOKUP($C242,calendar!$A$2:$D$121,4,FALSE)</f>
        <v>0</v>
      </c>
      <c r="Q242" s="14">
        <f>Q120/VLOOKUP($C242,calendar!$A$2:$D$121,4,FALSE)</f>
        <v>0</v>
      </c>
      <c r="R242" s="14">
        <f>R120/VLOOKUP($C242,calendar!$A$2:$D$121,4,FALSE)</f>
        <v>0</v>
      </c>
    </row>
    <row r="243" spans="1:20" s="8" customFormat="1" x14ac:dyDescent="0.2">
      <c r="C243" s="9">
        <f t="shared" si="21"/>
        <v>40483</v>
      </c>
      <c r="E243" s="14">
        <f>E121/VLOOKUP($C243,calendar!$A$2:$D$121,4,FALSE)</f>
        <v>0</v>
      </c>
      <c r="F243" s="14">
        <f>F121/VLOOKUP($C243,calendar!$A$2:$D$121,4,FALSE)</f>
        <v>0</v>
      </c>
      <c r="G243" s="14">
        <f>G121/VLOOKUP($C243,calendar!$A$2:$D$121,4,FALSE)</f>
        <v>0</v>
      </c>
      <c r="H243" s="14">
        <f>H121/VLOOKUP($C243,calendar!$A$2:$D$121,4,FALSE)</f>
        <v>-100</v>
      </c>
      <c r="I243" s="14">
        <f>I121/VLOOKUP($C243,calendar!$A$2:$D$121,4,FALSE)</f>
        <v>0</v>
      </c>
      <c r="J243" s="14">
        <f>J121/VLOOKUP($C243,calendar!$A$2:$D$121,4,FALSE)</f>
        <v>0</v>
      </c>
      <c r="K243" s="14">
        <f>K121/VLOOKUP($C243,calendar!$A$2:$D$121,4,FALSE)</f>
        <v>0</v>
      </c>
      <c r="L243" s="14">
        <f>L121/VLOOKUP($C243,calendar!$A$2:$D$121,4,FALSE)</f>
        <v>0</v>
      </c>
      <c r="M243" s="14">
        <f>M121/VLOOKUP($C243,calendar!$A$2:$D$121,4,FALSE)</f>
        <v>0</v>
      </c>
      <c r="N243" s="14"/>
      <c r="O243" s="14">
        <f>O121/VLOOKUP($C243,calendar!$A$2:$D$121,4,FALSE)</f>
        <v>0</v>
      </c>
      <c r="P243" s="14">
        <f>P121/VLOOKUP($C243,calendar!$A$2:$D$121,4,FALSE)</f>
        <v>0</v>
      </c>
      <c r="Q243" s="14">
        <f>Q121/VLOOKUP($C243,calendar!$A$2:$D$121,4,FALSE)</f>
        <v>0</v>
      </c>
      <c r="R243" s="14">
        <f>R121/VLOOKUP($C243,calendar!$A$2:$D$121,4,FALSE)</f>
        <v>0</v>
      </c>
    </row>
    <row r="244" spans="1:20" s="8" customFormat="1" x14ac:dyDescent="0.2">
      <c r="C244" s="9">
        <f t="shared" si="21"/>
        <v>40513</v>
      </c>
      <c r="E244" s="14">
        <f>E122/VLOOKUP($C244,calendar!$A$2:$D$121,4,FALSE)</f>
        <v>0</v>
      </c>
      <c r="F244" s="14">
        <f>F122/VLOOKUP($C244,calendar!$A$2:$D$121,4,FALSE)</f>
        <v>0</v>
      </c>
      <c r="G244" s="14">
        <f>G122/VLOOKUP($C244,calendar!$A$2:$D$121,4,FALSE)</f>
        <v>0</v>
      </c>
      <c r="H244" s="14">
        <f>H122/VLOOKUP($C244,calendar!$A$2:$D$121,4,FALSE)</f>
        <v>-100</v>
      </c>
      <c r="I244" s="14">
        <f>I122/VLOOKUP($C244,calendar!$A$2:$D$121,4,FALSE)</f>
        <v>0</v>
      </c>
      <c r="J244" s="14">
        <f>J122/VLOOKUP($C244,calendar!$A$2:$D$121,4,FALSE)</f>
        <v>0</v>
      </c>
      <c r="K244" s="14">
        <f>K122/VLOOKUP($C244,calendar!$A$2:$D$121,4,FALSE)</f>
        <v>0</v>
      </c>
      <c r="L244" s="14">
        <f>L122/VLOOKUP($C244,calendar!$A$2:$D$121,4,FALSE)</f>
        <v>0</v>
      </c>
      <c r="M244" s="14">
        <f>M122/VLOOKUP($C244,calendar!$A$2:$D$121,4,FALSE)</f>
        <v>0</v>
      </c>
      <c r="N244" s="14"/>
      <c r="O244" s="14">
        <f>O122/VLOOKUP($C244,calendar!$A$2:$D$121,4,FALSE)</f>
        <v>0</v>
      </c>
      <c r="P244" s="14">
        <f>P122/VLOOKUP($C244,calendar!$A$2:$D$121,4,FALSE)</f>
        <v>0</v>
      </c>
      <c r="Q244" s="14">
        <f>Q122/VLOOKUP($C244,calendar!$A$2:$D$121,4,FALSE)</f>
        <v>0</v>
      </c>
      <c r="R244" s="14">
        <f>R122/VLOOKUP($C244,calendar!$A$2:$D$121,4,FALSE)</f>
        <v>0</v>
      </c>
    </row>
    <row r="245" spans="1:20" s="8" customFormat="1" x14ac:dyDescent="0.2">
      <c r="C245" s="9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1:20" x14ac:dyDescent="0.2">
      <c r="C246" s="1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6"/>
      <c r="T246" s="6"/>
    </row>
    <row r="247" spans="1:20" s="5" customFormat="1" x14ac:dyDescent="0.2">
      <c r="A247" s="5" t="s">
        <v>43</v>
      </c>
      <c r="E247" s="13" t="str">
        <f t="shared" ref="E247:R247" si="22">E$1</f>
        <v>CINERGY</v>
      </c>
      <c r="F247" s="13" t="str">
        <f t="shared" si="22"/>
        <v>Manitoba</v>
      </c>
      <c r="G247" s="13" t="str">
        <f t="shared" si="22"/>
        <v>ERCOT</v>
      </c>
      <c r="H247" s="13" t="str">
        <f t="shared" si="22"/>
        <v>INTO COMED</v>
      </c>
      <c r="I247" s="13" t="str">
        <f t="shared" si="22"/>
        <v>INTO TVA</v>
      </c>
      <c r="J247" s="13" t="str">
        <f t="shared" si="22"/>
        <v>MAPP</v>
      </c>
      <c r="K247" s="13" t="str">
        <f t="shared" si="22"/>
        <v>NEPOOL</v>
      </c>
      <c r="L247" s="13" t="str">
        <f t="shared" si="22"/>
        <v>INTO AEP</v>
      </c>
      <c r="M247" s="13" t="str">
        <f t="shared" si="22"/>
        <v>NY Zone A</v>
      </c>
      <c r="N247" s="13"/>
      <c r="O247" s="13" t="str">
        <f t="shared" si="22"/>
        <v>SOCO</v>
      </c>
      <c r="P247" s="13" t="str">
        <f t="shared" si="22"/>
        <v>NSP</v>
      </c>
      <c r="Q247" s="13" t="str">
        <f t="shared" si="22"/>
        <v>SPP</v>
      </c>
      <c r="R247" s="13" t="str">
        <f t="shared" si="22"/>
        <v>WESTERN HUB</v>
      </c>
      <c r="S247" s="5" t="s">
        <v>37</v>
      </c>
      <c r="T247" s="5" t="s">
        <v>38</v>
      </c>
    </row>
    <row r="248" spans="1:20" x14ac:dyDescent="0.2">
      <c r="C248" s="1">
        <f t="shared" ref="C248:C279" si="23">C3</f>
        <v>36892</v>
      </c>
      <c r="E248" s="22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1:20" x14ac:dyDescent="0.2">
      <c r="C249" s="1">
        <f t="shared" si="23"/>
        <v>36923</v>
      </c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</row>
    <row r="250" spans="1:20" x14ac:dyDescent="0.2">
      <c r="C250" s="1">
        <f t="shared" si="23"/>
        <v>36951</v>
      </c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</row>
    <row r="251" spans="1:20" x14ac:dyDescent="0.2">
      <c r="C251" s="1">
        <f t="shared" si="23"/>
        <v>36982</v>
      </c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</row>
    <row r="252" spans="1:20" x14ac:dyDescent="0.2">
      <c r="C252" s="1">
        <f t="shared" si="23"/>
        <v>37012</v>
      </c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1:20" x14ac:dyDescent="0.2">
      <c r="C253" s="1">
        <f t="shared" si="23"/>
        <v>37043</v>
      </c>
      <c r="E253" s="18">
        <f>'price-old'!E9/VLOOKUP($C253,'nymex-old'!$A$2:$B$243,2,FALSE)*1000</f>
        <v>13982.792610141647</v>
      </c>
      <c r="F253" s="18">
        <f>'price-old'!F9/VLOOKUP($C253,'nymex-old'!$A$2:$B$243,2,FALSE)*1000</f>
        <v>13982.792610141647</v>
      </c>
      <c r="G253" s="18">
        <f>'price-old'!G9/VLOOKUP($C253,'nymex-old'!$A$2:$B$243,2,FALSE)*1000</f>
        <v>12156.185629468073</v>
      </c>
      <c r="H253" s="18">
        <f>'price-old'!H9/VLOOKUP($C253,'nymex-old'!$A$2:$B$243,2,FALSE)*1000</f>
        <v>13186.111921659169</v>
      </c>
      <c r="I253" s="18">
        <f>'price-old'!I9/VLOOKUP($C253,'nymex-old'!$A$2:$B$243,2,FALSE)*1000</f>
        <v>14337.210711256512</v>
      </c>
      <c r="J253" s="18">
        <f>'price-old'!J9/VLOOKUP($C253,'nymex-old'!$A$2:$B$243,2,FALSE)*1000</f>
        <v>12534.227952456797</v>
      </c>
      <c r="K253" s="18">
        <f>'price-old'!K9/VLOOKUP($C253,'nymex-old'!$A$2:$B$243,2,FALSE)*1000</f>
        <v>15168.726523688356</v>
      </c>
      <c r="L253" s="18">
        <f>'price-old'!L9/VLOOKUP($C253,'nymex-old'!$A$2:$B$243,2,FALSE)*1000</f>
        <v>18847.691748455105</v>
      </c>
      <c r="M253" s="18">
        <f>'price-old'!M9/VLOOKUP($C253,'nymex-old'!$A$2:$B$243,2,FALSE)*1000</f>
        <v>13714.406882345813</v>
      </c>
      <c r="N253" s="18"/>
      <c r="O253" s="18">
        <f>'price-old'!N9/VLOOKUP($C253,'nymex-old'!$A$2:$B$243,2,FALSE)*1000</f>
        <v>16030.534351145036</v>
      </c>
      <c r="P253" s="18">
        <f>'price-old'!O9/VLOOKUP($C253,'nymex-old'!$A$2:$B$243,2,FALSE)*1000</f>
        <v>14115.471414085099</v>
      </c>
      <c r="Q253" s="18">
        <f>'price-old'!P9/VLOOKUP($C253,'nymex-old'!$A$2:$B$243,2,FALSE)*1000</f>
        <v>16248.63685932388</v>
      </c>
      <c r="R253" s="18">
        <f>'price-old'!Q9/VLOOKUP($C253,'nymex-old'!$A$2:$B$243,2,FALSE)*1000</f>
        <v>13714.406882345813</v>
      </c>
    </row>
    <row r="254" spans="1:20" x14ac:dyDescent="0.2">
      <c r="C254" s="1">
        <f t="shared" si="23"/>
        <v>37073</v>
      </c>
      <c r="E254" s="18">
        <f>'price-old'!E10/VLOOKUP($C254,'nymex-old'!$A$2:$B$243,2,FALSE)*1000</f>
        <v>20234.363529584491</v>
      </c>
      <c r="F254" s="18">
        <f>'price-old'!F10/VLOOKUP($C254,'nymex-old'!$A$2:$B$243,2,FALSE)*1000</f>
        <v>20234.363529584491</v>
      </c>
      <c r="G254" s="18">
        <f>'price-old'!G10/VLOOKUP($C254,'nymex-old'!$A$2:$B$243,2,FALSE)*1000</f>
        <v>15994.347379239463</v>
      </c>
      <c r="H254" s="18">
        <f>'price-old'!H10/VLOOKUP($C254,'nymex-old'!$A$2:$B$243,2,FALSE)*1000</f>
        <v>21126.975970244213</v>
      </c>
      <c r="I254" s="18">
        <f>'price-old'!I10/VLOOKUP($C254,'nymex-old'!$A$2:$B$243,2,FALSE)*1000</f>
        <v>22610.483042137716</v>
      </c>
      <c r="J254" s="18">
        <f>'price-old'!J10/VLOOKUP($C254,'nymex-old'!$A$2:$B$243,2,FALSE)*1000</f>
        <v>13933.711037238845</v>
      </c>
      <c r="K254" s="18">
        <f>'price-old'!K10/VLOOKUP($C254,'nymex-old'!$A$2:$B$243,2,FALSE)*1000</f>
        <v>19141.829393627955</v>
      </c>
      <c r="L254" s="18">
        <f>'price-old'!L10/VLOOKUP($C254,'nymex-old'!$A$2:$B$243,2,FALSE)*1000</f>
        <v>27235.354573484066</v>
      </c>
      <c r="M254" s="18">
        <f>'price-old'!M10/VLOOKUP($C254,'nymex-old'!$A$2:$B$243,2,FALSE)*1000</f>
        <v>21325.796505652619</v>
      </c>
      <c r="N254" s="18"/>
      <c r="O254" s="18">
        <f>'price-old'!N10/VLOOKUP($C254,'nymex-old'!$A$2:$B$243,2,FALSE)*1000</f>
        <v>25115.621788283657</v>
      </c>
      <c r="P254" s="18">
        <f>'price-old'!O10/VLOOKUP($C254,'nymex-old'!$A$2:$B$243,2,FALSE)*1000</f>
        <v>18173.176607639667</v>
      </c>
      <c r="Q254" s="18">
        <f>'price-old'!P10/VLOOKUP($C254,'nymex-old'!$A$2:$B$243,2,FALSE)*1000</f>
        <v>23188.591983556009</v>
      </c>
      <c r="R254" s="18">
        <f>'price-old'!Q10/VLOOKUP($C254,'nymex-old'!$A$2:$B$243,2,FALSE)*1000</f>
        <v>21325.796505652619</v>
      </c>
    </row>
    <row r="255" spans="1:20" x14ac:dyDescent="0.2">
      <c r="C255" s="1">
        <f t="shared" si="23"/>
        <v>37104</v>
      </c>
      <c r="E255" s="18">
        <f>'price-old'!E11/VLOOKUP($C255,'nymex-old'!$A$2:$B$243,2,FALSE)*1000</f>
        <v>18301.886792452831</v>
      </c>
      <c r="F255" s="18">
        <f>'price-old'!F11/VLOOKUP($C255,'nymex-old'!$A$2:$B$243,2,FALSE)*1000</f>
        <v>18301.886792452831</v>
      </c>
      <c r="G255" s="18">
        <f>'price-old'!G11/VLOOKUP($C255,'nymex-old'!$A$2:$B$243,2,FALSE)*1000</f>
        <v>15408.80503144654</v>
      </c>
      <c r="H255" s="18">
        <f>'price-old'!H11/VLOOKUP($C255,'nymex-old'!$A$2:$B$243,2,FALSE)*1000</f>
        <v>17798.740219020241</v>
      </c>
      <c r="I255" s="18">
        <f>'price-old'!I11/VLOOKUP($C255,'nymex-old'!$A$2:$B$243,2,FALSE)*1000</f>
        <v>19245.283018867922</v>
      </c>
      <c r="J255" s="18">
        <f>'price-old'!J11/VLOOKUP($C255,'nymex-old'!$A$2:$B$243,2,FALSE)*1000</f>
        <v>17987.419464303261</v>
      </c>
      <c r="K255" s="18">
        <f>'price-old'!K11/VLOOKUP($C255,'nymex-old'!$A$2:$B$243,2,FALSE)*1000</f>
        <v>18742.138364779872</v>
      </c>
      <c r="L255" s="18">
        <f>'price-old'!L11/VLOOKUP($C255,'nymex-old'!$A$2:$B$243,2,FALSE)*1000</f>
        <v>26666.666666666664</v>
      </c>
      <c r="M255" s="18">
        <f>'price-old'!M11/VLOOKUP($C255,'nymex-old'!$A$2:$B$243,2,FALSE)*1000</f>
        <v>18490.566037735851</v>
      </c>
      <c r="N255" s="18"/>
      <c r="O255" s="18">
        <f>'price-old'!N11/VLOOKUP($C255,'nymex-old'!$A$2:$B$243,2,FALSE)*1000</f>
        <v>24591.19496855346</v>
      </c>
      <c r="P255" s="18">
        <f>'price-old'!O11/VLOOKUP($C255,'nymex-old'!$A$2:$B$243,2,FALSE)*1000</f>
        <v>22138.36286052968</v>
      </c>
      <c r="Q255" s="18">
        <f>'price-old'!P11/VLOOKUP($C255,'nymex-old'!$A$2:$B$243,2,FALSE)*1000</f>
        <v>22704.402515723272</v>
      </c>
      <c r="R255" s="18">
        <f>'price-old'!Q11/VLOOKUP($C255,'nymex-old'!$A$2:$B$243,2,FALSE)*1000</f>
        <v>18490.566037735851</v>
      </c>
    </row>
    <row r="256" spans="1:20" x14ac:dyDescent="0.2">
      <c r="C256" s="1">
        <f t="shared" si="23"/>
        <v>37135</v>
      </c>
      <c r="E256" s="18">
        <f>'price-old'!E12/VLOOKUP($C256,'nymex-old'!$A$2:$B$243,2,FALSE)*1000</f>
        <v>9093.1738913801673</v>
      </c>
      <c r="F256" s="18">
        <f>'price-old'!F12/VLOOKUP($C256,'nymex-old'!$A$2:$B$243,2,FALSE)*1000</f>
        <v>9093.1738913801673</v>
      </c>
      <c r="G256" s="18">
        <f>'price-old'!G12/VLOOKUP($C256,'nymex-old'!$A$2:$B$243,2,FALSE)*1000</f>
        <v>11023.917243322685</v>
      </c>
      <c r="H256" s="18">
        <f>'price-old'!H12/VLOOKUP($C256,'nymex-old'!$A$2:$B$243,2,FALSE)*1000</f>
        <v>8657.1988503494595</v>
      </c>
      <c r="I256" s="18">
        <f>'price-old'!I12/VLOOKUP($C256,'nymex-old'!$A$2:$B$243,2,FALSE)*1000</f>
        <v>9342.3019431988032</v>
      </c>
      <c r="J256" s="18">
        <f>'price-old'!J12/VLOOKUP($C256,'nymex-old'!$A$2:$B$243,2,FALSE)*1000</f>
        <v>8557.5472494827663</v>
      </c>
      <c r="K256" s="18">
        <f>'price-old'!K12/VLOOKUP($C256,'nymex-old'!$A$2:$B$243,2,FALSE)*1000</f>
        <v>12518.684603886397</v>
      </c>
      <c r="L256" s="18">
        <f>'price-old'!L12/VLOOKUP($C256,'nymex-old'!$A$2:$B$243,2,FALSE)*1000</f>
        <v>14947.683109118087</v>
      </c>
      <c r="M256" s="18">
        <f>'price-old'!M12/VLOOKUP($C256,'nymex-old'!$A$2:$B$243,2,FALSE)*1000</f>
        <v>9778.2760338814151</v>
      </c>
      <c r="N256" s="18"/>
      <c r="O256" s="18">
        <f>'price-old'!N12/VLOOKUP($C256,'nymex-old'!$A$2:$B$243,2,FALSE)*1000</f>
        <v>10774.788241155953</v>
      </c>
      <c r="P256" s="18">
        <f>'price-old'!O12/VLOOKUP($C256,'nymex-old'!$A$2:$B$243,2,FALSE)*1000</f>
        <v>11048.829668365312</v>
      </c>
      <c r="Q256" s="18">
        <f>'price-old'!P12/VLOOKUP($C256,'nymex-old'!$A$2:$B$243,2,FALSE)*1000</f>
        <v>10587.943152640075</v>
      </c>
      <c r="R256" s="18">
        <f>'price-old'!Q12/VLOOKUP($C256,'nymex-old'!$A$2:$B$243,2,FALSE)*1000</f>
        <v>9778.2760338814151</v>
      </c>
    </row>
    <row r="257" spans="3:18" x14ac:dyDescent="0.2">
      <c r="C257" s="1">
        <f t="shared" si="23"/>
        <v>37165</v>
      </c>
      <c r="E257" s="18">
        <f>'price-old'!E13/VLOOKUP($C257,'nymex-old'!$A$2:$B$243,2,FALSE)*1000</f>
        <v>8534.3951948417125</v>
      </c>
      <c r="F257" s="18">
        <f>'price-old'!F13/VLOOKUP($C257,'nymex-old'!$A$2:$B$243,2,FALSE)*1000</f>
        <v>8534.3951948417125</v>
      </c>
      <c r="G257" s="18">
        <f>'price-old'!G13/VLOOKUP($C257,'nymex-old'!$A$2:$B$243,2,FALSE)*1000</f>
        <v>8991.1181878502503</v>
      </c>
      <c r="H257" s="18">
        <f>'price-old'!H13/VLOOKUP($C257,'nymex-old'!$A$2:$B$243,2,FALSE)*1000</f>
        <v>8191.9071176808402</v>
      </c>
      <c r="I257" s="18">
        <f>'price-old'!I13/VLOOKUP($C257,'nymex-old'!$A$2:$B$243,2,FALSE)*1000</f>
        <v>8571.780957079427</v>
      </c>
      <c r="J257" s="18">
        <f>'price-old'!J13/VLOOKUP($C257,'nymex-old'!$A$2:$B$243,2,FALSE)*1000</f>
        <v>7639.3669440820404</v>
      </c>
      <c r="K257" s="18">
        <f>'price-old'!K13/VLOOKUP($C257,'nymex-old'!$A$2:$B$243,2,FALSE)*1000</f>
        <v>12395.165268870251</v>
      </c>
      <c r="L257" s="18">
        <f>'price-old'!L13/VLOOKUP($C257,'nymex-old'!$A$2:$B$243,2,FALSE)*1000</f>
        <v>14553.527380365071</v>
      </c>
      <c r="M257" s="18">
        <f>'price-old'!M13/VLOOKUP($C257,'nymex-old'!$A$2:$B$243,2,FALSE)*1000</f>
        <v>8818.4509126788362</v>
      </c>
      <c r="N257" s="18"/>
      <c r="O257" s="18">
        <f>'price-old'!N13/VLOOKUP($C257,'nymex-old'!$A$2:$B$243,2,FALSE)*1000</f>
        <v>9435.1258016773554</v>
      </c>
      <c r="P257" s="18">
        <f>'price-old'!O13/VLOOKUP($C257,'nymex-old'!$A$2:$B$243,2,FALSE)*1000</f>
        <v>9003.4514974359809</v>
      </c>
      <c r="Q257" s="18">
        <f>'price-old'!P13/VLOOKUP($C257,'nymex-old'!$A$2:$B$243,2,FALSE)*1000</f>
        <v>9003.4533793783903</v>
      </c>
      <c r="R257" s="18">
        <f>'price-old'!Q13/VLOOKUP($C257,'nymex-old'!$A$2:$B$243,2,FALSE)*1000</f>
        <v>8818.4509126788362</v>
      </c>
    </row>
    <row r="258" spans="3:18" x14ac:dyDescent="0.2">
      <c r="C258" s="1">
        <f t="shared" si="23"/>
        <v>37196</v>
      </c>
      <c r="E258" s="18">
        <f>'price-old'!E14/VLOOKUP($C258,'nymex-old'!$A$2:$B$243,2,FALSE)*1000</f>
        <v>7820.9919943025297</v>
      </c>
      <c r="F258" s="18">
        <f>'price-old'!F14/VLOOKUP($C258,'nymex-old'!$A$2:$B$243,2,FALSE)*1000</f>
        <v>7820.9919943025297</v>
      </c>
      <c r="G258" s="18">
        <f>'price-old'!G14/VLOOKUP($C258,'nymex-old'!$A$2:$B$243,2,FALSE)*1000</f>
        <v>7785.9143002948149</v>
      </c>
      <c r="H258" s="18">
        <f>'price-old'!H14/VLOOKUP($C258,'nymex-old'!$A$2:$B$243,2,FALSE)*1000</f>
        <v>7514.1757106961286</v>
      </c>
      <c r="I258" s="18">
        <f>'price-old'!I14/VLOOKUP($C258,'nymex-old'!$A$2:$B$243,2,FALSE)*1000</f>
        <v>8211.2476370510394</v>
      </c>
      <c r="J258" s="18">
        <f>'price-old'!J14/VLOOKUP($C258,'nymex-old'!$A$2:$B$243,2,FALSE)*1000</f>
        <v>6981.7834179883639</v>
      </c>
      <c r="K258" s="18">
        <f>'price-old'!K14/VLOOKUP($C258,'nymex-old'!$A$2:$B$243,2,FALSE)*1000</f>
        <v>11873.818525519848</v>
      </c>
      <c r="L258" s="18">
        <f>'price-old'!L14/VLOOKUP($C258,'nymex-old'!$A$2:$B$243,2,FALSE)*1000</f>
        <v>13941.398865784498</v>
      </c>
      <c r="M258" s="18">
        <f>'price-old'!M14/VLOOKUP($C258,'nymex-old'!$A$2:$B$243,2,FALSE)*1000</f>
        <v>8447.542533081285</v>
      </c>
      <c r="N258" s="18"/>
      <c r="O258" s="18">
        <f>'price-old'!N14/VLOOKUP($C258,'nymex-old'!$A$2:$B$243,2,FALSE)*1000</f>
        <v>9038.279773156899</v>
      </c>
      <c r="P258" s="18">
        <f>'price-old'!O14/VLOOKUP($C258,'nymex-old'!$A$2:$B$243,2,FALSE)*1000</f>
        <v>8270.3195582716126</v>
      </c>
      <c r="Q258" s="18">
        <f>'price-old'!P14/VLOOKUP($C258,'nymex-old'!$A$2:$B$243,2,FALSE)*1000</f>
        <v>8624.7637051039692</v>
      </c>
      <c r="R258" s="18">
        <f>'price-old'!Q14/VLOOKUP($C258,'nymex-old'!$A$2:$B$243,2,FALSE)*1000</f>
        <v>8447.542533081285</v>
      </c>
    </row>
    <row r="259" spans="3:18" x14ac:dyDescent="0.2">
      <c r="C259" s="1">
        <f t="shared" si="23"/>
        <v>37226</v>
      </c>
      <c r="E259" s="18">
        <f>'price-old'!E15/VLOOKUP($C259,'nymex-old'!$A$2:$B$243,2,FALSE)*1000</f>
        <v>8214.9037548241886</v>
      </c>
      <c r="F259" s="18">
        <f>'price-old'!F15/VLOOKUP($C259,'nymex-old'!$A$2:$B$243,2,FALSE)*1000</f>
        <v>8214.9037548241886</v>
      </c>
      <c r="G259" s="18">
        <f>'price-old'!G15/VLOOKUP($C259,'nymex-old'!$A$2:$B$243,2,FALSE)*1000</f>
        <v>7708.8985737619569</v>
      </c>
      <c r="H259" s="18">
        <f>'price-old'!H15/VLOOKUP($C259,'nymex-old'!$A$2:$B$243,2,FALSE)*1000</f>
        <v>8090.37003270287</v>
      </c>
      <c r="I259" s="18">
        <f>'price-old'!I15/VLOOKUP($C259,'nymex-old'!$A$2:$B$243,2,FALSE)*1000</f>
        <v>7890.5540417801994</v>
      </c>
      <c r="J259" s="18">
        <f>'price-old'!J15/VLOOKUP($C259,'nymex-old'!$A$2:$B$243,2,FALSE)*1000</f>
        <v>7579.9940284223148</v>
      </c>
      <c r="K259" s="18">
        <f>'price-old'!K15/VLOOKUP($C259,'nymex-old'!$A$2:$B$243,2,FALSE)*1000</f>
        <v>11410.08174386921</v>
      </c>
      <c r="L259" s="18">
        <f>'price-old'!L15/VLOOKUP($C259,'nymex-old'!$A$2:$B$243,2,FALSE)*1000</f>
        <v>13396.911898274297</v>
      </c>
      <c r="M259" s="18">
        <f>'price-old'!M15/VLOOKUP($C259,'nymex-old'!$A$2:$B$243,2,FALSE)*1000</f>
        <v>8117.62034514078</v>
      </c>
      <c r="N259" s="18"/>
      <c r="O259" s="18">
        <f>'price-old'!N15/VLOOKUP($C259,'nymex-old'!$A$2:$B$243,2,FALSE)*1000</f>
        <v>8685.2861035422338</v>
      </c>
      <c r="P259" s="18">
        <f>'price-old'!O15/VLOOKUP($C259,'nymex-old'!$A$2:$B$243,2,FALSE)*1000</f>
        <v>8646.6826491741358</v>
      </c>
      <c r="Q259" s="18">
        <f>'price-old'!P15/VLOOKUP($C259,'nymex-old'!$A$2:$B$243,2,FALSE)*1000</f>
        <v>8287.920072661218</v>
      </c>
      <c r="R259" s="18">
        <f>'price-old'!Q15/VLOOKUP($C259,'nymex-old'!$A$2:$B$243,2,FALSE)*1000</f>
        <v>8117.62034514078</v>
      </c>
    </row>
    <row r="260" spans="3:18" x14ac:dyDescent="0.2">
      <c r="C260" s="1">
        <f t="shared" si="23"/>
        <v>37257</v>
      </c>
      <c r="E260" s="18">
        <f>'price-old'!E16/VLOOKUP($C260,'nymex-old'!$A$2:$B$243,2,FALSE)*1000</f>
        <v>8501.5009780124692</v>
      </c>
      <c r="F260" s="18">
        <f>'price-old'!F16/VLOOKUP($C260,'nymex-old'!$A$2:$B$243,2,FALSE)*1000</f>
        <v>8501.5009780124692</v>
      </c>
      <c r="G260" s="18">
        <f>'price-old'!G16/VLOOKUP($C260,'nymex-old'!$A$2:$B$243,2,FALSE)*1000</f>
        <v>8296.8241623804734</v>
      </c>
      <c r="H260" s="18">
        <f>'price-old'!H16/VLOOKUP($C260,'nymex-old'!$A$2:$B$243,2,FALSE)*1000</f>
        <v>8054.3461792374164</v>
      </c>
      <c r="I260" s="18">
        <f>'price-old'!I16/VLOOKUP($C260,'nymex-old'!$A$2:$B$243,2,FALSE)*1000</f>
        <v>8494.6350588775076</v>
      </c>
      <c r="J260" s="18">
        <f>'price-old'!J16/VLOOKUP($C260,'nymex-old'!$A$2:$B$243,2,FALSE)*1000</f>
        <v>9120.2147155134189</v>
      </c>
      <c r="K260" s="18">
        <f>'price-old'!K16/VLOOKUP($C260,'nymex-old'!$A$2:$B$243,2,FALSE)*1000</f>
        <v>13410.818059901654</v>
      </c>
      <c r="L260" s="18">
        <f>'price-old'!L16/VLOOKUP($C260,'nymex-old'!$A$2:$B$243,2,FALSE)*1000</f>
        <v>15645.954403218597</v>
      </c>
      <c r="M260" s="18">
        <f>'price-old'!M16/VLOOKUP($C260,'nymex-old'!$A$2:$B$243,2,FALSE)*1000</f>
        <v>9331.694233348233</v>
      </c>
      <c r="N260" s="18"/>
      <c r="O260" s="18">
        <f>'price-old'!N16/VLOOKUP($C260,'nymex-old'!$A$2:$B$243,2,FALSE)*1000</f>
        <v>9109.2975532896671</v>
      </c>
      <c r="P260" s="18">
        <f>'price-old'!O16/VLOOKUP($C260,'nymex-old'!$A$2:$B$243,2,FALSE)*1000</f>
        <v>8334.1850038612847</v>
      </c>
      <c r="Q260" s="18">
        <f>'price-old'!P16/VLOOKUP($C260,'nymex-old'!$A$2:$B$243,2,FALSE)*1000</f>
        <v>8627.6262852033979</v>
      </c>
      <c r="R260" s="18">
        <f>'price-old'!Q16/VLOOKUP($C260,'nymex-old'!$A$2:$B$243,2,FALSE)*1000</f>
        <v>9331.694233348233</v>
      </c>
    </row>
    <row r="261" spans="3:18" x14ac:dyDescent="0.2">
      <c r="C261" s="1">
        <f t="shared" si="23"/>
        <v>37288</v>
      </c>
      <c r="E261" s="18">
        <f>'price-old'!E17/VLOOKUP($C261,'nymex-old'!$A$2:$B$243,2,FALSE)*1000</f>
        <v>8578.3027238335071</v>
      </c>
      <c r="F261" s="18">
        <f>'price-old'!F17/VLOOKUP($C261,'nymex-old'!$A$2:$B$243,2,FALSE)*1000</f>
        <v>8578.3027238335071</v>
      </c>
      <c r="G261" s="18">
        <f>'price-old'!G17/VLOOKUP($C261,'nymex-old'!$A$2:$B$243,2,FALSE)*1000</f>
        <v>8104.9467203925224</v>
      </c>
      <c r="H261" s="18">
        <f>'price-old'!H17/VLOOKUP($C261,'nymex-old'!$A$2:$B$243,2,FALSE)*1000</f>
        <v>8120.334880489695</v>
      </c>
      <c r="I261" s="18">
        <f>'price-old'!I17/VLOOKUP($C261,'nymex-old'!$A$2:$B$243,2,FALSE)*1000</f>
        <v>8707.6085734870012</v>
      </c>
      <c r="J261" s="18">
        <f>'price-old'!J17/VLOOKUP($C261,'nymex-old'!$A$2:$B$243,2,FALSE)*1000</f>
        <v>8891.805828874205</v>
      </c>
      <c r="K261" s="18">
        <f>'price-old'!K17/VLOOKUP($C261,'nymex-old'!$A$2:$B$243,2,FALSE)*1000</f>
        <v>13748.854262144821</v>
      </c>
      <c r="L261" s="18">
        <f>'price-old'!L17/VLOOKUP($C261,'nymex-old'!$A$2:$B$243,2,FALSE)*1000</f>
        <v>16040.329972502292</v>
      </c>
      <c r="M261" s="18">
        <f>'price-old'!M17/VLOOKUP($C261,'nymex-old'!$A$2:$B$243,2,FALSE)*1000</f>
        <v>9566.9110907424383</v>
      </c>
      <c r="N261" s="18"/>
      <c r="O261" s="18">
        <f>'price-old'!N17/VLOOKUP($C261,'nymex-old'!$A$2:$B$243,2,FALSE)*1000</f>
        <v>9337.7643938353031</v>
      </c>
      <c r="P261" s="18">
        <f>'price-old'!O17/VLOOKUP($C261,'nymex-old'!$A$2:$B$243,2,FALSE)*1000</f>
        <v>8406.7693442843793</v>
      </c>
      <c r="Q261" s="18">
        <f>'price-old'!P17/VLOOKUP($C261,'nymex-old'!$A$2:$B$243,2,FALSE)*1000</f>
        <v>8845.0962419798343</v>
      </c>
      <c r="R261" s="18">
        <f>'price-old'!Q17/VLOOKUP($C261,'nymex-old'!$A$2:$B$243,2,FALSE)*1000</f>
        <v>9566.9110907424383</v>
      </c>
    </row>
    <row r="262" spans="3:18" x14ac:dyDescent="0.2">
      <c r="C262" s="1">
        <f t="shared" si="23"/>
        <v>37316</v>
      </c>
      <c r="E262" s="18">
        <f>'price-old'!E18/VLOOKUP($C262,'nymex-old'!$A$2:$B$243,2,FALSE)*1000</f>
        <v>8251.4103540266642</v>
      </c>
      <c r="F262" s="18">
        <f>'price-old'!F18/VLOOKUP($C262,'nymex-old'!$A$2:$B$243,2,FALSE)*1000</f>
        <v>8251.4103540266642</v>
      </c>
      <c r="G262" s="18">
        <f>'price-old'!G18/VLOOKUP($C262,'nymex-old'!$A$2:$B$243,2,FALSE)*1000</f>
        <v>8287.6855460028619</v>
      </c>
      <c r="H262" s="18">
        <f>'price-old'!H18/VLOOKUP($C262,'nymex-old'!$A$2:$B$243,2,FALSE)*1000</f>
        <v>8133.1371608079126</v>
      </c>
      <c r="I262" s="18">
        <f>'price-old'!I18/VLOOKUP($C262,'nymex-old'!$A$2:$B$243,2,FALSE)*1000</f>
        <v>8335.3179328411534</v>
      </c>
      <c r="J262" s="18">
        <f>'price-old'!J18/VLOOKUP($C262,'nymex-old'!$A$2:$B$243,2,FALSE)*1000</f>
        <v>8167.8773426220341</v>
      </c>
      <c r="K262" s="18">
        <f>'price-old'!K18/VLOOKUP($C262,'nymex-old'!$A$2:$B$243,2,FALSE)*1000</f>
        <v>11074.065253631818</v>
      </c>
      <c r="L262" s="18">
        <f>'price-old'!L18/VLOOKUP($C262,'nymex-old'!$A$2:$B$243,2,FALSE)*1000</f>
        <v>13098.356751607525</v>
      </c>
      <c r="M262" s="18">
        <f>'price-old'!M18/VLOOKUP($C262,'nymex-old'!$A$2:$B$243,2,FALSE)*1000</f>
        <v>9109.3117408906892</v>
      </c>
      <c r="N262" s="18"/>
      <c r="O262" s="18">
        <f>'price-old'!N18/VLOOKUP($C262,'nymex-old'!$A$2:$B$243,2,FALSE)*1000</f>
        <v>9228.3877113598464</v>
      </c>
      <c r="P262" s="18">
        <f>'price-old'!O18/VLOOKUP($C262,'nymex-old'!$A$2:$B$243,2,FALSE)*1000</f>
        <v>7835.4463261574556</v>
      </c>
      <c r="Q262" s="18">
        <f>'price-old'!P18/VLOOKUP($C262,'nymex-old'!$A$2:$B$243,2,FALSE)*1000</f>
        <v>8454.3939033103106</v>
      </c>
      <c r="R262" s="18">
        <f>'price-old'!Q18/VLOOKUP($C262,'nymex-old'!$A$2:$B$243,2,FALSE)*1000</f>
        <v>9109.3117408906892</v>
      </c>
    </row>
    <row r="263" spans="3:18" x14ac:dyDescent="0.2">
      <c r="C263" s="1">
        <f t="shared" si="23"/>
        <v>37347</v>
      </c>
      <c r="E263" s="18">
        <f>'price-old'!E19/VLOOKUP($C263,'nymex-old'!$A$2:$B$243,2,FALSE)*1000</f>
        <v>9077.2796702773339</v>
      </c>
      <c r="F263" s="18">
        <f>'price-old'!F19/VLOOKUP($C263,'nymex-old'!$A$2:$B$243,2,FALSE)*1000</f>
        <v>9077.2796702773339</v>
      </c>
      <c r="G263" s="18">
        <f>'price-old'!G19/VLOOKUP($C263,'nymex-old'!$A$2:$B$243,2,FALSE)*1000</f>
        <v>8986.7123094316757</v>
      </c>
      <c r="H263" s="18">
        <f>'price-old'!H19/VLOOKUP($C263,'nymex-old'!$A$2:$B$243,2,FALSE)*1000</f>
        <v>8947.9144832435213</v>
      </c>
      <c r="I263" s="18">
        <f>'price-old'!I19/VLOOKUP($C263,'nymex-old'!$A$2:$B$243,2,FALSE)*1000</f>
        <v>9116.9575410263096</v>
      </c>
      <c r="J263" s="18">
        <f>'price-old'!J19/VLOOKUP($C263,'nymex-old'!$A$2:$B$243,2,FALSE)*1000</f>
        <v>8321.6761325479456</v>
      </c>
      <c r="K263" s="18">
        <f>'price-old'!K19/VLOOKUP($C263,'nymex-old'!$A$2:$B$243,2,FALSE)*1000</f>
        <v>12112.529304506381</v>
      </c>
      <c r="L263" s="18">
        <f>'price-old'!L19/VLOOKUP($C263,'nymex-old'!$A$2:$B$243,2,FALSE)*1000</f>
        <v>14066.163063297734</v>
      </c>
      <c r="M263" s="18">
        <f>'price-old'!M19/VLOOKUP($C263,'nymex-old'!$A$2:$B$243,2,FALSE)*1000</f>
        <v>9703.0476686637139</v>
      </c>
      <c r="N263" s="18"/>
      <c r="O263" s="18">
        <f>'price-old'!N19/VLOOKUP($C263,'nymex-old'!$A$2:$B$243,2,FALSE)*1000</f>
        <v>10093.774420421985</v>
      </c>
      <c r="P263" s="18">
        <f>'price-old'!O19/VLOOKUP($C263,'nymex-old'!$A$2:$B$243,2,FALSE)*1000</f>
        <v>8622.3088567782943</v>
      </c>
      <c r="Q263" s="18">
        <f>'price-old'!P19/VLOOKUP($C263,'nymex-old'!$A$2:$B$243,2,FALSE)*1000</f>
        <v>9247.1997916123983</v>
      </c>
      <c r="R263" s="18">
        <f>'price-old'!Q19/VLOOKUP($C263,'nymex-old'!$A$2:$B$243,2,FALSE)*1000</f>
        <v>9703.0476686637139</v>
      </c>
    </row>
    <row r="264" spans="3:18" x14ac:dyDescent="0.2">
      <c r="C264" s="1">
        <f t="shared" si="23"/>
        <v>37377</v>
      </c>
      <c r="E264" s="18">
        <f>'price-old'!E20/VLOOKUP($C264,'nymex-old'!$A$2:$B$243,2,FALSE)*1000</f>
        <v>10480.233483682674</v>
      </c>
      <c r="F264" s="18">
        <f>'price-old'!F20/VLOOKUP($C264,'nymex-old'!$A$2:$B$243,2,FALSE)*1000</f>
        <v>10480.233483682674</v>
      </c>
      <c r="G264" s="18">
        <f>'price-old'!G20/VLOOKUP($C264,'nymex-old'!$A$2:$B$243,2,FALSE)*1000</f>
        <v>10652.695451120571</v>
      </c>
      <c r="H264" s="18">
        <f>'price-old'!H20/VLOOKUP($C264,'nymex-old'!$A$2:$B$243,2,FALSE)*1000</f>
        <v>10148.578501089272</v>
      </c>
      <c r="I264" s="18">
        <f>'price-old'!I20/VLOOKUP($C264,'nymex-old'!$A$2:$B$243,2,FALSE)*1000</f>
        <v>10679.225258689306</v>
      </c>
      <c r="J264" s="18">
        <f>'price-old'!J20/VLOOKUP($C264,'nymex-old'!$A$2:$B$243,2,FALSE)*1000</f>
        <v>9179.3356855214824</v>
      </c>
      <c r="K264" s="18">
        <f>'price-old'!K20/VLOOKUP($C264,'nymex-old'!$A$2:$B$243,2,FALSE)*1000</f>
        <v>12337.490050411248</v>
      </c>
      <c r="L264" s="18">
        <f>'price-old'!L20/VLOOKUP($C264,'nymex-old'!$A$2:$B$243,2,FALSE)*1000</f>
        <v>14592.730167153091</v>
      </c>
      <c r="M264" s="18">
        <f>'price-old'!M20/VLOOKUP($C264,'nymex-old'!$A$2:$B$243,2,FALSE)*1000</f>
        <v>10745.555850358185</v>
      </c>
      <c r="N264" s="18"/>
      <c r="O264" s="18">
        <f>'price-old'!N20/VLOOKUP($C264,'nymex-old'!$A$2:$B$243,2,FALSE)*1000</f>
        <v>11475.19235871584</v>
      </c>
      <c r="P264" s="18">
        <f>'price-old'!O20/VLOOKUP($C264,'nymex-old'!$A$2:$B$243,2,FALSE)*1000</f>
        <v>10745.554838233678</v>
      </c>
      <c r="Q264" s="18">
        <f>'price-old'!P20/VLOOKUP($C264,'nymex-old'!$A$2:$B$243,2,FALSE)*1000</f>
        <v>10811.886442027064</v>
      </c>
      <c r="R264" s="18">
        <f>'price-old'!Q20/VLOOKUP($C264,'nymex-old'!$A$2:$B$243,2,FALSE)*1000</f>
        <v>10745.555850358185</v>
      </c>
    </row>
    <row r="265" spans="3:18" x14ac:dyDescent="0.2">
      <c r="C265" s="1">
        <f t="shared" si="23"/>
        <v>37408</v>
      </c>
      <c r="E265" s="18">
        <f>'price-old'!E21/VLOOKUP($C265,'nymex-old'!$A$2:$B$243,2,FALSE)*1000</f>
        <v>13026.97041110238</v>
      </c>
      <c r="F265" s="18">
        <f>'price-old'!F21/VLOOKUP($C265,'nymex-old'!$A$2:$B$243,2,FALSE)*1000</f>
        <v>13026.97041110238</v>
      </c>
      <c r="G265" s="18">
        <f>'price-old'!G21/VLOOKUP($C265,'nymex-old'!$A$2:$B$243,2,FALSE)*1000</f>
        <v>11063.104526133211</v>
      </c>
      <c r="H265" s="18">
        <f>'price-old'!H21/VLOOKUP($C265,'nymex-old'!$A$2:$B$243,2,FALSE)*1000</f>
        <v>12437.81094527363</v>
      </c>
      <c r="I265" s="18">
        <f>'price-old'!I21/VLOOKUP($C265,'nymex-old'!$A$2:$B$243,2,FALSE)*1000</f>
        <v>13157.894736842105</v>
      </c>
      <c r="J265" s="18">
        <f>'price-old'!J21/VLOOKUP($C265,'nymex-old'!$A$2:$B$243,2,FALSE)*1000</f>
        <v>12222.388927522645</v>
      </c>
      <c r="K265" s="18">
        <f>'price-old'!K21/VLOOKUP($C265,'nymex-old'!$A$2:$B$243,2,FALSE)*1000</f>
        <v>14270.751505629745</v>
      </c>
      <c r="L265" s="18">
        <f>'price-old'!L21/VLOOKUP($C265,'nymex-old'!$A$2:$B$243,2,FALSE)*1000</f>
        <v>19900.497512437811</v>
      </c>
      <c r="M265" s="18">
        <f>'price-old'!M21/VLOOKUP($C265,'nymex-old'!$A$2:$B$243,2,FALSE)*1000</f>
        <v>13419.743388321549</v>
      </c>
      <c r="N265" s="18"/>
      <c r="O265" s="18">
        <f>'price-old'!N21/VLOOKUP($C265,'nymex-old'!$A$2:$B$243,2,FALSE)*1000</f>
        <v>14598.06231997905</v>
      </c>
      <c r="P265" s="18">
        <f>'price-old'!O21/VLOOKUP($C265,'nymex-old'!$A$2:$B$243,2,FALSE)*1000</f>
        <v>13812.516365540716</v>
      </c>
      <c r="Q265" s="18">
        <f>'price-old'!P21/VLOOKUP($C265,'nymex-old'!$A$2:$B$243,2,FALSE)*1000</f>
        <v>13616.129876931132</v>
      </c>
      <c r="R265" s="18">
        <f>'price-old'!Q21/VLOOKUP($C265,'nymex-old'!$A$2:$B$243,2,FALSE)*1000</f>
        <v>13419.743388321549</v>
      </c>
    </row>
    <row r="266" spans="3:18" x14ac:dyDescent="0.2">
      <c r="C266" s="1">
        <f t="shared" si="23"/>
        <v>37438</v>
      </c>
      <c r="E266" s="18">
        <f>'price-old'!E22/VLOOKUP($C266,'nymex-old'!$A$2:$B$243,2,FALSE)*1000</f>
        <v>17945.063487950247</v>
      </c>
      <c r="F266" s="18">
        <f>'price-old'!F22/VLOOKUP($C266,'nymex-old'!$A$2:$B$243,2,FALSE)*1000</f>
        <v>17945.063487950247</v>
      </c>
      <c r="G266" s="18">
        <f>'price-old'!G22/VLOOKUP($C266,'nymex-old'!$A$2:$B$243,2,FALSE)*1000</f>
        <v>13474.991544598462</v>
      </c>
      <c r="H266" s="18">
        <f>'price-old'!H22/VLOOKUP($C266,'nymex-old'!$A$2:$B$243,2,FALSE)*1000</f>
        <v>17491.578129048979</v>
      </c>
      <c r="I266" s="18">
        <f>'price-old'!I22/VLOOKUP($C266,'nymex-old'!$A$2:$B$243,2,FALSE)*1000</f>
        <v>18333.765224151335</v>
      </c>
      <c r="J266" s="18">
        <f>'price-old'!J22/VLOOKUP($C266,'nymex-old'!$A$2:$B$243,2,FALSE)*1000</f>
        <v>16066.338429644986</v>
      </c>
      <c r="K266" s="18">
        <f>'price-old'!K22/VLOOKUP($C266,'nymex-old'!$A$2:$B$243,2,FALSE)*1000</f>
        <v>17945.063487950247</v>
      </c>
      <c r="L266" s="18">
        <f>'price-old'!L22/VLOOKUP($C266,'nymex-old'!$A$2:$B$243,2,FALSE)*1000</f>
        <v>25913.449080072558</v>
      </c>
      <c r="M266" s="18">
        <f>'price-old'!M22/VLOOKUP($C266,'nymex-old'!$A$2:$B$243,2,FALSE)*1000</f>
        <v>18139.414356050791</v>
      </c>
      <c r="N266" s="18"/>
      <c r="O266" s="18">
        <f>'price-old'!N22/VLOOKUP($C266,'nymex-old'!$A$2:$B$243,2,FALSE)*1000</f>
        <v>20212.490282456594</v>
      </c>
      <c r="P266" s="18">
        <f>'price-old'!O22/VLOOKUP($C266,'nymex-old'!$A$2:$B$243,2,FALSE)*1000</f>
        <v>18528.116092251879</v>
      </c>
      <c r="Q266" s="18">
        <f>'price-old'!P22/VLOOKUP($C266,'nymex-old'!$A$2:$B$243,2,FALSE)*1000</f>
        <v>18398.548846851514</v>
      </c>
      <c r="R266" s="18">
        <f>'price-old'!Q22/VLOOKUP($C266,'nymex-old'!$A$2:$B$243,2,FALSE)*1000</f>
        <v>18139.414356050791</v>
      </c>
    </row>
    <row r="267" spans="3:18" x14ac:dyDescent="0.2">
      <c r="C267" s="1">
        <f t="shared" si="23"/>
        <v>37469</v>
      </c>
      <c r="E267" s="18">
        <f>'price-old'!E23/VLOOKUP($C267,'nymex-old'!$A$2:$B$243,2,FALSE)*1000</f>
        <v>17829.557157569514</v>
      </c>
      <c r="F267" s="18">
        <f>'price-old'!F23/VLOOKUP($C267,'nymex-old'!$A$2:$B$243,2,FALSE)*1000</f>
        <v>17829.557157569514</v>
      </c>
      <c r="G267" s="18">
        <f>'price-old'!G23/VLOOKUP($C267,'nymex-old'!$A$2:$B$243,2,FALSE)*1000</f>
        <v>13388.259526261585</v>
      </c>
      <c r="H267" s="18">
        <f>'price-old'!H23/VLOOKUP($C267,'nymex-old'!$A$2:$B$243,2,FALSE)*1000</f>
        <v>17378.99073120494</v>
      </c>
      <c r="I267" s="18">
        <f>'price-old'!I23/VLOOKUP($C267,'nymex-old'!$A$2:$B$243,2,FALSE)*1000</f>
        <v>18215.75695159629</v>
      </c>
      <c r="J267" s="18">
        <f>'price-old'!J23/VLOOKUP($C267,'nymex-old'!$A$2:$B$243,2,FALSE)*1000</f>
        <v>15962.924819773429</v>
      </c>
      <c r="K267" s="18">
        <f>'price-old'!K23/VLOOKUP($C267,'nymex-old'!$A$2:$B$243,2,FALSE)*1000</f>
        <v>17829.557157569514</v>
      </c>
      <c r="L267" s="18">
        <f>'price-old'!L23/VLOOKUP($C267,'nymex-old'!$A$2:$B$243,2,FALSE)*1000</f>
        <v>25746.652935118433</v>
      </c>
      <c r="M267" s="18">
        <f>'price-old'!M23/VLOOKUP($C267,'nymex-old'!$A$2:$B$243,2,FALSE)*1000</f>
        <v>18022.657054582905</v>
      </c>
      <c r="N267" s="18"/>
      <c r="O267" s="18">
        <f>'price-old'!N23/VLOOKUP($C267,'nymex-old'!$A$2:$B$243,2,FALSE)*1000</f>
        <v>20082.389289392377</v>
      </c>
      <c r="P267" s="18">
        <f>'price-old'!O23/VLOOKUP($C267,'nymex-old'!$A$2:$B$243,2,FALSE)*1000</f>
        <v>18408.856848609681</v>
      </c>
      <c r="Q267" s="18">
        <f>'price-old'!P23/VLOOKUP($C267,'nymex-old'!$A$2:$B$243,2,FALSE)*1000</f>
        <v>18280.123583934088</v>
      </c>
      <c r="R267" s="18">
        <f>'price-old'!Q23/VLOOKUP($C267,'nymex-old'!$A$2:$B$243,2,FALSE)*1000</f>
        <v>18022.657054582905</v>
      </c>
    </row>
    <row r="268" spans="3:18" x14ac:dyDescent="0.2">
      <c r="C268" s="1">
        <f t="shared" si="23"/>
        <v>37500</v>
      </c>
      <c r="E268" s="18">
        <f>'price-old'!E24/VLOOKUP($C268,'nymex-old'!$A$2:$B$243,2,FALSE)*1000</f>
        <v>8585.3408508457196</v>
      </c>
      <c r="F268" s="18">
        <f>'price-old'!F24/VLOOKUP($C268,'nymex-old'!$A$2:$B$243,2,FALSE)*1000</f>
        <v>8585.3408508457196</v>
      </c>
      <c r="G268" s="18">
        <f>'price-old'!G24/VLOOKUP($C268,'nymex-old'!$A$2:$B$243,2,FALSE)*1000</f>
        <v>9482.3177382617287</v>
      </c>
      <c r="H268" s="18">
        <f>'price-old'!H24/VLOOKUP($C268,'nymex-old'!$A$2:$B$243,2,FALSE)*1000</f>
        <v>8649.4105586878522</v>
      </c>
      <c r="I268" s="18">
        <f>'price-old'!I24/VLOOKUP($C268,'nymex-old'!$A$2:$B$243,2,FALSE)*1000</f>
        <v>8777.5499743721157</v>
      </c>
      <c r="J268" s="18">
        <f>'price-old'!J24/VLOOKUP($C268,'nymex-old'!$A$2:$B$243,2,FALSE)*1000</f>
        <v>8244.980304195964</v>
      </c>
      <c r="K268" s="18">
        <f>'price-old'!K24/VLOOKUP($C268,'nymex-old'!$A$2:$B$243,2,FALSE)*1000</f>
        <v>11596.617119425935</v>
      </c>
      <c r="L268" s="18">
        <f>'price-old'!L24/VLOOKUP($C268,'nymex-old'!$A$2:$B$243,2,FALSE)*1000</f>
        <v>14607.89338800615</v>
      </c>
      <c r="M268" s="18">
        <f>'price-old'!M24/VLOOKUP($C268,'nymex-old'!$A$2:$B$243,2,FALSE)*1000</f>
        <v>9033.8288057406462</v>
      </c>
      <c r="N268" s="18"/>
      <c r="O268" s="18">
        <f>'price-old'!N24/VLOOKUP($C268,'nymex-old'!$A$2:$B$243,2,FALSE)*1000</f>
        <v>9482.316760635571</v>
      </c>
      <c r="P268" s="18">
        <f>'price-old'!O24/VLOOKUP($C268,'nymex-old'!$A$2:$B$243,2,FALSE)*1000</f>
        <v>8841.620659840406</v>
      </c>
      <c r="Q268" s="18">
        <f>'price-old'!P24/VLOOKUP($C268,'nymex-old'!$A$2:$B$243,2,FALSE)*1000</f>
        <v>8905.6893900563809</v>
      </c>
      <c r="R268" s="18">
        <f>'price-old'!Q24/VLOOKUP($C268,'nymex-old'!$A$2:$B$243,2,FALSE)*1000</f>
        <v>9033.8288057406462</v>
      </c>
    </row>
    <row r="269" spans="3:18" x14ac:dyDescent="0.2">
      <c r="C269" s="1">
        <f t="shared" si="23"/>
        <v>37530</v>
      </c>
      <c r="E269" s="18">
        <f>'price-old'!E25/VLOOKUP($C269,'nymex-old'!$A$2:$B$243,2,FALSE)*1000</f>
        <v>8266.1036934171407</v>
      </c>
      <c r="F269" s="18">
        <f>'price-old'!F25/VLOOKUP($C269,'nymex-old'!$A$2:$B$243,2,FALSE)*1000</f>
        <v>8266.1036934171407</v>
      </c>
      <c r="G269" s="18">
        <f>'price-old'!G25/VLOOKUP($C269,'nymex-old'!$A$2:$B$243,2,FALSE)*1000</f>
        <v>8750.0007785096459</v>
      </c>
      <c r="H269" s="18">
        <f>'price-old'!H25/VLOOKUP($C269,'nymex-old'!$A$2:$B$243,2,FALSE)*1000</f>
        <v>7815.0496190907998</v>
      </c>
      <c r="I269" s="18">
        <f>'price-old'!I25/VLOOKUP($C269,'nymex-old'!$A$2:$B$243,2,FALSE)*1000</f>
        <v>8418.3673469387759</v>
      </c>
      <c r="J269" s="18">
        <f>'price-old'!J25/VLOOKUP($C269,'nymex-old'!$A$2:$B$243,2,FALSE)*1000</f>
        <v>8584.1830895871535</v>
      </c>
      <c r="K269" s="18">
        <f>'price-old'!K25/VLOOKUP($C269,'nymex-old'!$A$2:$B$243,2,FALSE)*1000</f>
        <v>11415.816326530612</v>
      </c>
      <c r="L269" s="18">
        <f>'price-old'!L25/VLOOKUP($C269,'nymex-old'!$A$2:$B$243,2,FALSE)*1000</f>
        <v>14285.714285714286</v>
      </c>
      <c r="M269" s="18">
        <f>'price-old'!M25/VLOOKUP($C269,'nymex-old'!$A$2:$B$243,2,FALSE)*1000</f>
        <v>8737.2448979591827</v>
      </c>
      <c r="N269" s="18"/>
      <c r="O269" s="18">
        <f>'price-old'!N25/VLOOKUP($C269,'nymex-old'!$A$2:$B$243,2,FALSE)*1000</f>
        <v>8864.7959183673483</v>
      </c>
      <c r="P269" s="18">
        <f>'price-old'!O25/VLOOKUP($C269,'nymex-old'!$A$2:$B$243,2,FALSE)*1000</f>
        <v>8075.2547906369582</v>
      </c>
      <c r="Q269" s="18">
        <f>'price-old'!P25/VLOOKUP($C269,'nymex-old'!$A$2:$B$243,2,FALSE)*1000</f>
        <v>8418.3673469387759</v>
      </c>
      <c r="R269" s="18">
        <f>'price-old'!Q25/VLOOKUP($C269,'nymex-old'!$A$2:$B$243,2,FALSE)*1000</f>
        <v>8737.2448979591827</v>
      </c>
    </row>
    <row r="270" spans="3:18" x14ac:dyDescent="0.2">
      <c r="C270" s="1">
        <f t="shared" si="23"/>
        <v>37561</v>
      </c>
      <c r="E270" s="18">
        <f>'price-old'!E26/VLOOKUP($C270,'nymex-old'!$A$2:$B$243,2,FALSE)*1000</f>
        <v>8069.2961649245981</v>
      </c>
      <c r="F270" s="18">
        <f>'price-old'!F26/VLOOKUP($C270,'nymex-old'!$A$2:$B$243,2,FALSE)*1000</f>
        <v>8069.2961649245981</v>
      </c>
      <c r="G270" s="18">
        <f>'price-old'!G26/VLOOKUP($C270,'nymex-old'!$A$2:$B$243,2,FALSE)*1000</f>
        <v>8440.9126577216302</v>
      </c>
      <c r="H270" s="18">
        <f>'price-old'!H26/VLOOKUP($C270,'nymex-old'!$A$2:$B$243,2,FALSE)*1000</f>
        <v>8169.0652841607762</v>
      </c>
      <c r="I270" s="18">
        <f>'price-old'!I26/VLOOKUP($C270,'nymex-old'!$A$2:$B$243,2,FALSE)*1000</f>
        <v>8192.6514399205553</v>
      </c>
      <c r="J270" s="18">
        <f>'price-old'!J26/VLOOKUP($C270,'nymex-old'!$A$2:$B$243,2,FALSE)*1000</f>
        <v>8551.8656089502365</v>
      </c>
      <c r="K270" s="18">
        <f>'price-old'!K26/VLOOKUP($C270,'nymex-old'!$A$2:$B$243,2,FALSE)*1000</f>
        <v>11109.731876861964</v>
      </c>
      <c r="L270" s="18">
        <f>'price-old'!L26/VLOOKUP($C270,'nymex-old'!$A$2:$B$243,2,FALSE)*1000</f>
        <v>13902.681231380337</v>
      </c>
      <c r="M270" s="18">
        <f>'price-old'!M26/VLOOKUP($C270,'nymex-old'!$A$2:$B$243,2,FALSE)*1000</f>
        <v>8502.9791459781518</v>
      </c>
      <c r="N270" s="18"/>
      <c r="O270" s="18">
        <f>'price-old'!N26/VLOOKUP($C270,'nymex-old'!$A$2:$B$243,2,FALSE)*1000</f>
        <v>8627.1102284011922</v>
      </c>
      <c r="P270" s="18">
        <f>'price-old'!O26/VLOOKUP($C270,'nymex-old'!$A$2:$B$243,2,FALSE)*1000</f>
        <v>7883.5643628147882</v>
      </c>
      <c r="Q270" s="18">
        <f>'price-old'!P26/VLOOKUP($C270,'nymex-old'!$A$2:$B$243,2,FALSE)*1000</f>
        <v>8192.6514399205553</v>
      </c>
      <c r="R270" s="18">
        <f>'price-old'!Q26/VLOOKUP($C270,'nymex-old'!$A$2:$B$243,2,FALSE)*1000</f>
        <v>8502.9791459781518</v>
      </c>
    </row>
    <row r="271" spans="3:18" x14ac:dyDescent="0.2">
      <c r="C271" s="1">
        <f t="shared" si="23"/>
        <v>37591</v>
      </c>
      <c r="E271" s="18">
        <f>'price-old'!E27/VLOOKUP($C271,'nymex-old'!$A$2:$B$243,2,FALSE)*1000</f>
        <v>7837.2892852012919</v>
      </c>
      <c r="F271" s="18">
        <f>'price-old'!F27/VLOOKUP($C271,'nymex-old'!$A$2:$B$243,2,FALSE)*1000</f>
        <v>7837.2892852012919</v>
      </c>
      <c r="G271" s="18">
        <f>'price-old'!G27/VLOOKUP($C271,'nymex-old'!$A$2:$B$243,2,FALSE)*1000</f>
        <v>8173.0760060823877</v>
      </c>
      <c r="H271" s="18">
        <f>'price-old'!H27/VLOOKUP($C271,'nymex-old'!$A$2:$B$243,2,FALSE)*1000</f>
        <v>8030.0468664902901</v>
      </c>
      <c r="I271" s="18">
        <f>'price-old'!I27/VLOOKUP($C271,'nymex-old'!$A$2:$B$243,2,FALSE)*1000</f>
        <v>7932.6923076923076</v>
      </c>
      <c r="J271" s="18">
        <f>'price-old'!J27/VLOOKUP($C271,'nymex-old'!$A$2:$B$243,2,FALSE)*1000</f>
        <v>8462.0915926419766</v>
      </c>
      <c r="K271" s="18">
        <f>'price-old'!K27/VLOOKUP($C271,'nymex-old'!$A$2:$B$243,2,FALSE)*1000</f>
        <v>10757.211538461539</v>
      </c>
      <c r="L271" s="18">
        <f>'price-old'!L27/VLOOKUP($C271,'nymex-old'!$A$2:$B$243,2,FALSE)*1000</f>
        <v>13461.538461538461</v>
      </c>
      <c r="M271" s="18">
        <f>'price-old'!M27/VLOOKUP($C271,'nymex-old'!$A$2:$B$243,2,FALSE)*1000</f>
        <v>8233.1730769230762</v>
      </c>
      <c r="N271" s="18"/>
      <c r="O271" s="18">
        <f>'price-old'!N27/VLOOKUP($C271,'nymex-old'!$A$2:$B$243,2,FALSE)*1000</f>
        <v>8353.3653846153848</v>
      </c>
      <c r="P271" s="18">
        <f>'price-old'!O27/VLOOKUP($C271,'nymex-old'!$A$2:$B$243,2,FALSE)*1000</f>
        <v>7657.450896043043</v>
      </c>
      <c r="Q271" s="18">
        <f>'price-old'!P27/VLOOKUP($C271,'nymex-old'!$A$2:$B$243,2,FALSE)*1000</f>
        <v>7932.6923076923076</v>
      </c>
      <c r="R271" s="18">
        <f>'price-old'!Q27/VLOOKUP($C271,'nymex-old'!$A$2:$B$243,2,FALSE)*1000</f>
        <v>8233.1730769230762</v>
      </c>
    </row>
    <row r="272" spans="3:18" x14ac:dyDescent="0.2">
      <c r="C272" s="1">
        <f t="shared" si="23"/>
        <v>37622</v>
      </c>
      <c r="E272" s="18">
        <f>'price-old'!E28/VLOOKUP($C272,'nymex-old'!$A$2:$B$243,2,FALSE)*1000</f>
        <v>8468.9787657504767</v>
      </c>
      <c r="F272" s="18">
        <f>'price-old'!F28/VLOOKUP($C272,'nymex-old'!$A$2:$B$243,2,FALSE)*1000</f>
        <v>8468.9787657504767</v>
      </c>
      <c r="G272" s="18">
        <f>'price-old'!G28/VLOOKUP($C272,'nymex-old'!$A$2:$B$243,2,FALSE)*1000</f>
        <v>9460.3549573548444</v>
      </c>
      <c r="H272" s="18">
        <f>'price-old'!H28/VLOOKUP($C272,'nymex-old'!$A$2:$B$243,2,FALSE)*1000</f>
        <v>8094.8796921227813</v>
      </c>
      <c r="I272" s="18">
        <f>'price-old'!I28/VLOOKUP($C272,'nymex-old'!$A$2:$B$243,2,FALSE)*1000</f>
        <v>8226.0348528799932</v>
      </c>
      <c r="J272" s="18">
        <f>'price-old'!J28/VLOOKUP($C272,'nymex-old'!$A$2:$B$243,2,FALSE)*1000</f>
        <v>11048.246304664386</v>
      </c>
      <c r="K272" s="18">
        <f>'price-old'!K28/VLOOKUP($C272,'nymex-old'!$A$2:$B$243,2,FALSE)*1000</f>
        <v>12662.721893491125</v>
      </c>
      <c r="L272" s="18">
        <f>'price-old'!L28/VLOOKUP($C272,'nymex-old'!$A$2:$B$243,2,FALSE)*1000</f>
        <v>15384.615384615385</v>
      </c>
      <c r="M272" s="18">
        <f>'price-old'!M28/VLOOKUP($C272,'nymex-old'!$A$2:$B$243,2,FALSE)*1000</f>
        <v>9230.7692307692323</v>
      </c>
      <c r="N272" s="18"/>
      <c r="O272" s="18">
        <f>'price-old'!N28/VLOOKUP($C272,'nymex-old'!$A$2:$B$243,2,FALSE)*1000</f>
        <v>8995.2656221107627</v>
      </c>
      <c r="P272" s="18">
        <f>'price-old'!O28/VLOOKUP($C272,'nymex-old'!$A$2:$B$243,2,FALSE)*1000</f>
        <v>8204.2283278245195</v>
      </c>
      <c r="Q272" s="18">
        <f>'price-old'!P28/VLOOKUP($C272,'nymex-old'!$A$2:$B$243,2,FALSE)*1000</f>
        <v>8284.0236686390544</v>
      </c>
      <c r="R272" s="18">
        <f>'price-old'!Q28/VLOOKUP($C272,'nymex-old'!$A$2:$B$243,2,FALSE)*1000</f>
        <v>9230.7692307692323</v>
      </c>
    </row>
    <row r="273" spans="3:18" x14ac:dyDescent="0.2">
      <c r="C273" s="1">
        <f t="shared" si="23"/>
        <v>37653</v>
      </c>
      <c r="E273" s="18">
        <f>'price-old'!E29/VLOOKUP($C273,'nymex-old'!$A$2:$B$243,2,FALSE)*1000</f>
        <v>8559.9593665395132</v>
      </c>
      <c r="F273" s="18">
        <f>'price-old'!F29/VLOOKUP($C273,'nymex-old'!$A$2:$B$243,2,FALSE)*1000</f>
        <v>8559.9593665395132</v>
      </c>
      <c r="G273" s="18">
        <f>'price-old'!G29/VLOOKUP($C273,'nymex-old'!$A$2:$B$243,2,FALSE)*1000</f>
        <v>9445.2541007902782</v>
      </c>
      <c r="H273" s="18">
        <f>'price-old'!H29/VLOOKUP($C273,'nymex-old'!$A$2:$B$243,2,FALSE)*1000</f>
        <v>8601.6699055395547</v>
      </c>
      <c r="I273" s="18">
        <f>'price-old'!I29/VLOOKUP($C273,'nymex-old'!$A$2:$B$243,2,FALSE)*1000</f>
        <v>8454.9887627000626</v>
      </c>
      <c r="J273" s="18">
        <f>'price-old'!J29/VLOOKUP($C273,'nymex-old'!$A$2:$B$243,2,FALSE)*1000</f>
        <v>10749.109644089302</v>
      </c>
      <c r="K273" s="18">
        <f>'price-old'!K29/VLOOKUP($C273,'nymex-old'!$A$2:$B$243,2,FALSE)*1000</f>
        <v>13017.031630170315</v>
      </c>
      <c r="L273" s="18">
        <f>'price-old'!L29/VLOOKUP($C273,'nymex-old'!$A$2:$B$243,2,FALSE)*1000</f>
        <v>15815.08515815085</v>
      </c>
      <c r="M273" s="18">
        <f>'price-old'!M29/VLOOKUP($C273,'nymex-old'!$A$2:$B$243,2,FALSE)*1000</f>
        <v>9489.0510948905103</v>
      </c>
      <c r="N273" s="18"/>
      <c r="O273" s="18">
        <f>'price-old'!N29/VLOOKUP($C273,'nymex-old'!$A$2:$B$243,2,FALSE)*1000</f>
        <v>9245.7430206076078</v>
      </c>
      <c r="P273" s="18">
        <f>'price-old'!O29/VLOOKUP($C273,'nymex-old'!$A$2:$B$243,2,FALSE)*1000</f>
        <v>8287.8010696448255</v>
      </c>
      <c r="Q273" s="18">
        <f>'price-old'!P29/VLOOKUP($C273,'nymex-old'!$A$2:$B$243,2,FALSE)*1000</f>
        <v>8515.8150851581504</v>
      </c>
      <c r="R273" s="18">
        <f>'price-old'!Q29/VLOOKUP($C273,'nymex-old'!$A$2:$B$243,2,FALSE)*1000</f>
        <v>9489.0510948905103</v>
      </c>
    </row>
    <row r="274" spans="3:18" x14ac:dyDescent="0.2">
      <c r="C274" s="1">
        <f t="shared" si="23"/>
        <v>37681</v>
      </c>
      <c r="E274" s="18">
        <f>'price-old'!E30/VLOOKUP($C274,'nymex-old'!$A$2:$B$243,2,FALSE)*1000</f>
        <v>8302.6696780783041</v>
      </c>
      <c r="F274" s="18">
        <f>'price-old'!F30/VLOOKUP($C274,'nymex-old'!$A$2:$B$243,2,FALSE)*1000</f>
        <v>8302.6696780783041</v>
      </c>
      <c r="G274" s="18">
        <f>'price-old'!G30/VLOOKUP($C274,'nymex-old'!$A$2:$B$243,2,FALSE)*1000</f>
        <v>8543.66308267161</v>
      </c>
      <c r="H274" s="18">
        <f>'price-old'!H30/VLOOKUP($C274,'nymex-old'!$A$2:$B$243,2,FALSE)*1000</f>
        <v>8169.7489985427974</v>
      </c>
      <c r="I274" s="18">
        <f>'price-old'!I30/VLOOKUP($C274,'nymex-old'!$A$2:$B$243,2,FALSE)*1000</f>
        <v>8455.3255931347812</v>
      </c>
      <c r="J274" s="18">
        <f>'price-old'!J30/VLOOKUP($C274,'nymex-old'!$A$2:$B$243,2,FALSE)*1000</f>
        <v>9918.4545587253706</v>
      </c>
      <c r="K274" s="18">
        <f>'price-old'!K30/VLOOKUP($C274,'nymex-old'!$A$2:$B$243,2,FALSE)*1000</f>
        <v>10600.706713780917</v>
      </c>
      <c r="L274" s="18">
        <f>'price-old'!L30/VLOOKUP($C274,'nymex-old'!$A$2:$B$243,2,FALSE)*1000</f>
        <v>13124.684502776376</v>
      </c>
      <c r="M274" s="18">
        <f>'price-old'!M30/VLOOKUP($C274,'nymex-old'!$A$2:$B$243,2,FALSE)*1000</f>
        <v>8833.9222614840983</v>
      </c>
      <c r="N274" s="18"/>
      <c r="O274" s="18">
        <f>'price-old'!N30/VLOOKUP($C274,'nymex-old'!$A$2:$B$243,2,FALSE)*1000</f>
        <v>9274.9886895477739</v>
      </c>
      <c r="P274" s="18">
        <f>'price-old'!O30/VLOOKUP($C274,'nymex-old'!$A$2:$B$243,2,FALSE)*1000</f>
        <v>8177.3206238070252</v>
      </c>
      <c r="Q274" s="18">
        <f>'price-old'!P30/VLOOKUP($C274,'nymex-old'!$A$2:$B$243,2,FALSE)*1000</f>
        <v>7799.0917531244077</v>
      </c>
      <c r="R274" s="18">
        <f>'price-old'!Q30/VLOOKUP($C274,'nymex-old'!$A$2:$B$243,2,FALSE)*1000</f>
        <v>8833.9222614840983</v>
      </c>
    </row>
    <row r="275" spans="3:18" x14ac:dyDescent="0.2">
      <c r="C275" s="1">
        <f t="shared" si="23"/>
        <v>37712</v>
      </c>
      <c r="E275" s="18">
        <f>'price-old'!E31/VLOOKUP($C275,'nymex-old'!$A$2:$B$243,2,FALSE)*1000</f>
        <v>8944.6427101312674</v>
      </c>
      <c r="F275" s="18">
        <f>'price-old'!F31/VLOOKUP($C275,'nymex-old'!$A$2:$B$243,2,FALSE)*1000</f>
        <v>8944.6427101312674</v>
      </c>
      <c r="G275" s="18">
        <f>'price-old'!G31/VLOOKUP($C275,'nymex-old'!$A$2:$B$243,2,FALSE)*1000</f>
        <v>8770.2680020718963</v>
      </c>
      <c r="H275" s="18">
        <f>'price-old'!H31/VLOOKUP($C275,'nymex-old'!$A$2:$B$243,2,FALSE)*1000</f>
        <v>8815.82311681799</v>
      </c>
      <c r="I275" s="18">
        <f>'price-old'!I31/VLOOKUP($C275,'nymex-old'!$A$2:$B$243,2,FALSE)*1000</f>
        <v>9054.0540540540551</v>
      </c>
      <c r="J275" s="18">
        <f>'price-old'!J31/VLOOKUP($C275,'nymex-old'!$A$2:$B$243,2,FALSE)*1000</f>
        <v>9985.6526142842049</v>
      </c>
      <c r="K275" s="18">
        <f>'price-old'!K31/VLOOKUP($C275,'nymex-old'!$A$2:$B$243,2,FALSE)*1000</f>
        <v>11351.351351351352</v>
      </c>
      <c r="L275" s="18">
        <f>'price-old'!L31/VLOOKUP($C275,'nymex-old'!$A$2:$B$243,2,FALSE)*1000</f>
        <v>14054.054054054053</v>
      </c>
      <c r="M275" s="18">
        <f>'price-old'!M31/VLOOKUP($C275,'nymex-old'!$A$2:$B$243,2,FALSE)*1000</f>
        <v>9189.1891891891901</v>
      </c>
      <c r="N275" s="18"/>
      <c r="O275" s="18">
        <f>'price-old'!N31/VLOOKUP($C275,'nymex-old'!$A$2:$B$243,2,FALSE)*1000</f>
        <v>9931.7571279164913</v>
      </c>
      <c r="P275" s="18">
        <f>'price-old'!O31/VLOOKUP($C275,'nymex-old'!$A$2:$B$243,2,FALSE)*1000</f>
        <v>8810.4175876926729</v>
      </c>
      <c r="Q275" s="18">
        <f>'price-old'!P31/VLOOKUP($C275,'nymex-old'!$A$2:$B$243,2,FALSE)*1000</f>
        <v>8351.351763751054</v>
      </c>
      <c r="R275" s="18">
        <f>'price-old'!Q31/VLOOKUP($C275,'nymex-old'!$A$2:$B$243,2,FALSE)*1000</f>
        <v>9189.1891891891901</v>
      </c>
    </row>
    <row r="276" spans="3:18" x14ac:dyDescent="0.2">
      <c r="C276" s="1">
        <f t="shared" si="23"/>
        <v>37742</v>
      </c>
      <c r="E276" s="18">
        <f>'price-old'!E32/VLOOKUP($C276,'nymex-old'!$A$2:$B$243,2,FALSE)*1000</f>
        <v>10502.32264407605</v>
      </c>
      <c r="F276" s="18">
        <f>'price-old'!F32/VLOOKUP($C276,'nymex-old'!$A$2:$B$243,2,FALSE)*1000</f>
        <v>10502.32264407605</v>
      </c>
      <c r="G276" s="18">
        <f>'price-old'!G32/VLOOKUP($C276,'nymex-old'!$A$2:$B$243,2,FALSE)*1000</f>
        <v>10135.503836117463</v>
      </c>
      <c r="H276" s="18">
        <f>'price-old'!H32/VLOOKUP($C276,'nymex-old'!$A$2:$B$243,2,FALSE)*1000</f>
        <v>9892.5655127217778</v>
      </c>
      <c r="I276" s="18">
        <f>'price-old'!I32/VLOOKUP($C276,'nymex-old'!$A$2:$B$243,2,FALSE)*1000</f>
        <v>9756.0975609756097</v>
      </c>
      <c r="J276" s="18">
        <f>'price-old'!J32/VLOOKUP($C276,'nymex-old'!$A$2:$B$243,2,FALSE)*1000</f>
        <v>10812.172204821414</v>
      </c>
      <c r="K276" s="18">
        <f>'price-old'!K32/VLOOKUP($C276,'nymex-old'!$A$2:$B$243,2,FALSE)*1000</f>
        <v>11382.113821138211</v>
      </c>
      <c r="L276" s="18">
        <f>'price-old'!L32/VLOOKUP($C276,'nymex-old'!$A$2:$B$243,2,FALSE)*1000</f>
        <v>14363.143631436315</v>
      </c>
      <c r="M276" s="18">
        <f>'price-old'!M32/VLOOKUP($C276,'nymex-old'!$A$2:$B$243,2,FALSE)*1000</f>
        <v>10433.604336043361</v>
      </c>
      <c r="N276" s="18"/>
      <c r="O276" s="18">
        <f>'price-old'!N32/VLOOKUP($C276,'nymex-old'!$A$2:$B$243,2,FALSE)*1000</f>
        <v>10907.859078590785</v>
      </c>
      <c r="P276" s="18">
        <f>'price-old'!O32/VLOOKUP($C276,'nymex-old'!$A$2:$B$243,2,FALSE)*1000</f>
        <v>10976.57635283018</v>
      </c>
      <c r="Q276" s="18">
        <f>'price-old'!P32/VLOOKUP($C276,'nymex-old'!$A$2:$B$243,2,FALSE)*1000</f>
        <v>9823.8482384823856</v>
      </c>
      <c r="R276" s="18">
        <f>'price-old'!Q32/VLOOKUP($C276,'nymex-old'!$A$2:$B$243,2,FALSE)*1000</f>
        <v>10433.604336043361</v>
      </c>
    </row>
    <row r="277" spans="3:18" x14ac:dyDescent="0.2">
      <c r="C277" s="1">
        <f t="shared" si="23"/>
        <v>37773</v>
      </c>
      <c r="E277" s="18">
        <f>'price-old'!E33/VLOOKUP($C277,'nymex-old'!$A$2:$B$243,2,FALSE)*1000</f>
        <v>12065.109171113125</v>
      </c>
      <c r="F277" s="18">
        <f>'price-old'!F33/VLOOKUP($C277,'nymex-old'!$A$2:$B$243,2,FALSE)*1000</f>
        <v>12065.109171113125</v>
      </c>
      <c r="G277" s="18">
        <f>'price-old'!G33/VLOOKUP($C277,'nymex-old'!$A$2:$B$243,2,FALSE)*1000</f>
        <v>10321.714794987327</v>
      </c>
      <c r="H277" s="18">
        <f>'price-old'!H33/VLOOKUP($C277,'nymex-old'!$A$2:$B$243,2,FALSE)*1000</f>
        <v>11327.843755563526</v>
      </c>
      <c r="I277" s="18">
        <f>'price-old'!I33/VLOOKUP($C277,'nymex-old'!$A$2:$B$243,2,FALSE)*1000</f>
        <v>12399.463806970509</v>
      </c>
      <c r="J277" s="18">
        <f>'price-old'!J33/VLOOKUP($C277,'nymex-old'!$A$2:$B$243,2,FALSE)*1000</f>
        <v>10115.899093668839</v>
      </c>
      <c r="K277" s="18">
        <f>'price-old'!K33/VLOOKUP($C277,'nymex-old'!$A$2:$B$243,2,FALSE)*1000</f>
        <v>13136.729222520107</v>
      </c>
      <c r="L277" s="18">
        <f>'price-old'!L33/VLOOKUP($C277,'nymex-old'!$A$2:$B$243,2,FALSE)*1000</f>
        <v>19034.852546916893</v>
      </c>
      <c r="M277" s="18">
        <f>'price-old'!M33/VLOOKUP($C277,'nymex-old'!$A$2:$B$243,2,FALSE)*1000</f>
        <v>13002.680965147454</v>
      </c>
      <c r="N277" s="18"/>
      <c r="O277" s="18">
        <f>'price-old'!N33/VLOOKUP($C277,'nymex-old'!$A$2:$B$243,2,FALSE)*1000</f>
        <v>13404.825737265415</v>
      </c>
      <c r="P277" s="18">
        <f>'price-old'!O33/VLOOKUP($C277,'nymex-old'!$A$2:$B$243,2,FALSE)*1000</f>
        <v>12802.374586662721</v>
      </c>
      <c r="Q277" s="18">
        <f>'price-old'!P33/VLOOKUP($C277,'nymex-old'!$A$2:$B$243,2,FALSE)*1000</f>
        <v>12667.560321715819</v>
      </c>
      <c r="R277" s="18">
        <f>'price-old'!Q33/VLOOKUP($C277,'nymex-old'!$A$2:$B$243,2,FALSE)*1000</f>
        <v>13002.680965147454</v>
      </c>
    </row>
    <row r="278" spans="3:18" x14ac:dyDescent="0.2">
      <c r="C278" s="1">
        <f t="shared" si="23"/>
        <v>37803</v>
      </c>
      <c r="E278" s="18">
        <f>'price-old'!E34/VLOOKUP($C278,'nymex-old'!$A$2:$B$243,2,FALSE)*1000</f>
        <v>15521.042696550941</v>
      </c>
      <c r="F278" s="18">
        <f>'price-old'!F34/VLOOKUP($C278,'nymex-old'!$A$2:$B$243,2,FALSE)*1000</f>
        <v>15521.042696550941</v>
      </c>
      <c r="G278" s="18">
        <f>'price-old'!G34/VLOOKUP($C278,'nymex-old'!$A$2:$B$243,2,FALSE)*1000</f>
        <v>12615.585831071458</v>
      </c>
      <c r="H278" s="18">
        <f>'price-old'!H34/VLOOKUP($C278,'nymex-old'!$A$2:$B$243,2,FALSE)*1000</f>
        <v>15190.791705797968</v>
      </c>
      <c r="I278" s="18">
        <f>'price-old'!I34/VLOOKUP($C278,'nymex-old'!$A$2:$B$243,2,FALSE)*1000</f>
        <v>16248.348745046236</v>
      </c>
      <c r="J278" s="18">
        <f>'price-old'!J34/VLOOKUP($C278,'nymex-old'!$A$2:$B$243,2,FALSE)*1000</f>
        <v>12780.713342140025</v>
      </c>
      <c r="K278" s="18">
        <f>'price-old'!K34/VLOOKUP($C278,'nymex-old'!$A$2:$B$243,2,FALSE)*1000</f>
        <v>16314.398943196828</v>
      </c>
      <c r="L278" s="18">
        <f>'price-old'!L34/VLOOKUP($C278,'nymex-old'!$A$2:$B$243,2,FALSE)*1000</f>
        <v>25627.476882430645</v>
      </c>
      <c r="M278" s="18">
        <f>'price-old'!M34/VLOOKUP($C278,'nymex-old'!$A$2:$B$243,2,FALSE)*1000</f>
        <v>16776.75033025099</v>
      </c>
      <c r="N278" s="18"/>
      <c r="O278" s="18">
        <f>'price-old'!N34/VLOOKUP($C278,'nymex-old'!$A$2:$B$243,2,FALSE)*1000</f>
        <v>18229.854689564068</v>
      </c>
      <c r="P278" s="18">
        <f>'price-old'!O34/VLOOKUP($C278,'nymex-old'!$A$2:$B$243,2,FALSE)*1000</f>
        <v>16379.69527250867</v>
      </c>
      <c r="Q278" s="18">
        <f>'price-old'!P34/VLOOKUP($C278,'nymex-old'!$A$2:$B$243,2,FALSE)*1000</f>
        <v>17107.001321003961</v>
      </c>
      <c r="R278" s="18">
        <f>'price-old'!Q34/VLOOKUP($C278,'nymex-old'!$A$2:$B$243,2,FALSE)*1000</f>
        <v>16776.75033025099</v>
      </c>
    </row>
    <row r="279" spans="3:18" x14ac:dyDescent="0.2">
      <c r="C279" s="1">
        <f t="shared" si="23"/>
        <v>37834</v>
      </c>
      <c r="E279" s="18">
        <f>'price-old'!E35/VLOOKUP($C279,'nymex-old'!$A$2:$B$243,2,FALSE)*1000</f>
        <v>15398.989936158667</v>
      </c>
      <c r="F279" s="18">
        <f>'price-old'!F35/VLOOKUP($C279,'nymex-old'!$A$2:$B$243,2,FALSE)*1000</f>
        <v>15398.989936158667</v>
      </c>
      <c r="G279" s="18">
        <f>'price-old'!G35/VLOOKUP($C279,'nymex-old'!$A$2:$B$243,2,FALSE)*1000</f>
        <v>12516.382699868938</v>
      </c>
      <c r="H279" s="18">
        <f>'price-old'!H35/VLOOKUP($C279,'nymex-old'!$A$2:$B$243,2,FALSE)*1000</f>
        <v>15071.335938779899</v>
      </c>
      <c r="I279" s="18">
        <f>'price-old'!I35/VLOOKUP($C279,'nymex-old'!$A$2:$B$243,2,FALSE)*1000</f>
        <v>16120.576671035387</v>
      </c>
      <c r="J279" s="18">
        <f>'price-old'!J35/VLOOKUP($C279,'nymex-old'!$A$2:$B$243,2,FALSE)*1000</f>
        <v>12680.209698558321</v>
      </c>
      <c r="K279" s="18">
        <f>'price-old'!K35/VLOOKUP($C279,'nymex-old'!$A$2:$B$243,2,FALSE)*1000</f>
        <v>16186.107470511139</v>
      </c>
      <c r="L279" s="18">
        <f>'price-old'!L35/VLOOKUP($C279,'nymex-old'!$A$2:$B$243,2,FALSE)*1000</f>
        <v>25554.390563564877</v>
      </c>
      <c r="M279" s="18">
        <f>'price-old'!M35/VLOOKUP($C279,'nymex-old'!$A$2:$B$243,2,FALSE)*1000</f>
        <v>16644.823066841414</v>
      </c>
      <c r="N279" s="18"/>
      <c r="O279" s="18">
        <f>'price-old'!N35/VLOOKUP($C279,'nymex-old'!$A$2:$B$243,2,FALSE)*1000</f>
        <v>18086.500655307995</v>
      </c>
      <c r="P279" s="18">
        <f>'price-old'!O35/VLOOKUP($C279,'nymex-old'!$A$2:$B$243,2,FALSE)*1000</f>
        <v>16250.890329343463</v>
      </c>
      <c r="Q279" s="18">
        <f>'price-old'!P35/VLOOKUP($C279,'nymex-old'!$A$2:$B$243,2,FALSE)*1000</f>
        <v>16972.477064220184</v>
      </c>
      <c r="R279" s="18">
        <f>'price-old'!Q35/VLOOKUP($C279,'nymex-old'!$A$2:$B$243,2,FALSE)*1000</f>
        <v>16644.823066841414</v>
      </c>
    </row>
    <row r="280" spans="3:18" x14ac:dyDescent="0.2">
      <c r="C280" s="1">
        <f t="shared" ref="C280:C311" si="24">C35</f>
        <v>37865</v>
      </c>
      <c r="E280" s="18">
        <f>'price-old'!E36/VLOOKUP($C280,'nymex-old'!$A$2:$B$243,2,FALSE)*1000</f>
        <v>8558.1761288649104</v>
      </c>
      <c r="F280" s="18">
        <f>'price-old'!F36/VLOOKUP($C280,'nymex-old'!$A$2:$B$243,2,FALSE)*1000</f>
        <v>8558.1761288649104</v>
      </c>
      <c r="G280" s="18">
        <f>'price-old'!G36/VLOOKUP($C280,'nymex-old'!$A$2:$B$243,2,FALSE)*1000</f>
        <v>8949.5698496726582</v>
      </c>
      <c r="H280" s="18">
        <f>'price-old'!H36/VLOOKUP($C280,'nymex-old'!$A$2:$B$243,2,FALSE)*1000</f>
        <v>8035.5745648976417</v>
      </c>
      <c r="I280" s="18">
        <f>'price-old'!I36/VLOOKUP($C280,'nymex-old'!$A$2:$B$243,2,FALSE)*1000</f>
        <v>8492.2916122288989</v>
      </c>
      <c r="J280" s="18">
        <f>'price-old'!J36/VLOOKUP($C280,'nymex-old'!$A$2:$B$243,2,FALSE)*1000</f>
        <v>8654.7985131727492</v>
      </c>
      <c r="K280" s="18">
        <f>'price-old'!K36/VLOOKUP($C280,'nymex-old'!$A$2:$B$243,2,FALSE)*1000</f>
        <v>10386.725894956884</v>
      </c>
      <c r="L280" s="18">
        <f>'price-old'!L36/VLOOKUP($C280,'nymex-old'!$A$2:$B$243,2,FALSE)*1000</f>
        <v>14238.306767703161</v>
      </c>
      <c r="M280" s="18">
        <f>'price-old'!M36/VLOOKUP($C280,'nymex-old'!$A$2:$B$243,2,FALSE)*1000</f>
        <v>9014.8941729814469</v>
      </c>
      <c r="N280" s="18"/>
      <c r="O280" s="18">
        <f>'price-old'!N36/VLOOKUP($C280,'nymex-old'!$A$2:$B$243,2,FALSE)*1000</f>
        <v>8884.243532793309</v>
      </c>
      <c r="P280" s="18">
        <f>'price-old'!O36/VLOOKUP($C280,'nymex-old'!$A$2:$B$243,2,FALSE)*1000</f>
        <v>9211.4303265908748</v>
      </c>
      <c r="Q280" s="18">
        <f>'price-old'!P36/VLOOKUP($C280,'nymex-old'!$A$2:$B$243,2,FALSE)*1000</f>
        <v>7904.3637313822828</v>
      </c>
      <c r="R280" s="18">
        <f>'price-old'!Q36/VLOOKUP($C280,'nymex-old'!$A$2:$B$243,2,FALSE)*1000</f>
        <v>9014.8941729814469</v>
      </c>
    </row>
    <row r="281" spans="3:18" x14ac:dyDescent="0.2">
      <c r="C281" s="1">
        <f t="shared" si="24"/>
        <v>37895</v>
      </c>
      <c r="E281" s="18">
        <f>'price-old'!E37/VLOOKUP($C281,'nymex-old'!$A$2:$B$243,2,FALSE)*1000</f>
        <v>8221.3148513397609</v>
      </c>
      <c r="F281" s="18">
        <f>'price-old'!F37/VLOOKUP($C281,'nymex-old'!$A$2:$B$243,2,FALSE)*1000</f>
        <v>8221.3148513397609</v>
      </c>
      <c r="G281" s="18">
        <f>'price-old'!G37/VLOOKUP($C281,'nymex-old'!$A$2:$B$243,2,FALSE)*1000</f>
        <v>8194.8059874695609</v>
      </c>
      <c r="H281" s="18">
        <f>'price-old'!H37/VLOOKUP($C281,'nymex-old'!$A$2:$B$243,2,FALSE)*1000</f>
        <v>7491.9296859146707</v>
      </c>
      <c r="I281" s="18">
        <f>'price-old'!I37/VLOOKUP($C281,'nymex-old'!$A$2:$B$243,2,FALSE)*1000</f>
        <v>8246.7532467532474</v>
      </c>
      <c r="J281" s="18">
        <f>'price-old'!J37/VLOOKUP($C281,'nymex-old'!$A$2:$B$243,2,FALSE)*1000</f>
        <v>10105.194488129058</v>
      </c>
      <c r="K281" s="18">
        <f>'price-old'!K37/VLOOKUP($C281,'nymex-old'!$A$2:$B$243,2,FALSE)*1000</f>
        <v>10519.480519480519</v>
      </c>
      <c r="L281" s="18">
        <f>'price-old'!L37/VLOOKUP($C281,'nymex-old'!$A$2:$B$243,2,FALSE)*1000</f>
        <v>13893.506493506493</v>
      </c>
      <c r="M281" s="18">
        <f>'price-old'!M37/VLOOKUP($C281,'nymex-old'!$A$2:$B$243,2,FALSE)*1000</f>
        <v>8571.4285714285706</v>
      </c>
      <c r="N281" s="18"/>
      <c r="O281" s="18">
        <f>'price-old'!N37/VLOOKUP($C281,'nymex-old'!$A$2:$B$243,2,FALSE)*1000</f>
        <v>8376.6233766233763</v>
      </c>
      <c r="P281" s="18">
        <f>'price-old'!O37/VLOOKUP($C281,'nymex-old'!$A$2:$B$243,2,FALSE)*1000</f>
        <v>8221.8011633142251</v>
      </c>
      <c r="Q281" s="18">
        <f>'price-old'!P37/VLOOKUP($C281,'nymex-old'!$A$2:$B$243,2,FALSE)*1000</f>
        <v>7727.2727272727279</v>
      </c>
      <c r="R281" s="18">
        <f>'price-old'!Q37/VLOOKUP($C281,'nymex-old'!$A$2:$B$243,2,FALSE)*1000</f>
        <v>8571.4285714285706</v>
      </c>
    </row>
    <row r="282" spans="3:18" x14ac:dyDescent="0.2">
      <c r="C282" s="1">
        <f t="shared" si="24"/>
        <v>37926</v>
      </c>
      <c r="E282" s="18">
        <f>'price-old'!E38/VLOOKUP($C282,'nymex-old'!$A$2:$B$243,2,FALSE)*1000</f>
        <v>7967.8947683260167</v>
      </c>
      <c r="F282" s="18">
        <f>'price-old'!F38/VLOOKUP($C282,'nymex-old'!$A$2:$B$243,2,FALSE)*1000</f>
        <v>7967.8947683260167</v>
      </c>
      <c r="G282" s="18">
        <f>'price-old'!G38/VLOOKUP($C282,'nymex-old'!$A$2:$B$243,2,FALSE)*1000</f>
        <v>7841.9061945552658</v>
      </c>
      <c r="H282" s="18">
        <f>'price-old'!H38/VLOOKUP($C282,'nymex-old'!$A$2:$B$243,2,FALSE)*1000</f>
        <v>8116.4188935436596</v>
      </c>
      <c r="I282" s="18">
        <f>'price-old'!I38/VLOOKUP($C282,'nymex-old'!$A$2:$B$243,2,FALSE)*1000</f>
        <v>7841.9071518193223</v>
      </c>
      <c r="J282" s="18">
        <f>'price-old'!J38/VLOOKUP($C282,'nymex-old'!$A$2:$B$243,2,FALSE)*1000</f>
        <v>9962.8395836805012</v>
      </c>
      <c r="K282" s="18">
        <f>'price-old'!K38/VLOOKUP($C282,'nymex-old'!$A$2:$B$243,2,FALSE)*1000</f>
        <v>10163.111668757843</v>
      </c>
      <c r="L282" s="18">
        <f>'price-old'!L38/VLOOKUP($C282,'nymex-old'!$A$2:$B$243,2,FALSE)*1000</f>
        <v>13422.835633626099</v>
      </c>
      <c r="M282" s="18">
        <f>'price-old'!M38/VLOOKUP($C282,'nymex-old'!$A$2:$B$243,2,FALSE)*1000</f>
        <v>8281.0539523212046</v>
      </c>
      <c r="N282" s="18"/>
      <c r="O282" s="18">
        <f>'price-old'!N38/VLOOKUP($C282,'nymex-old'!$A$2:$B$243,2,FALSE)*1000</f>
        <v>8092.8481806775408</v>
      </c>
      <c r="P282" s="18">
        <f>'price-old'!O38/VLOOKUP($C282,'nymex-old'!$A$2:$B$243,2,FALSE)*1000</f>
        <v>7968.3646054908049</v>
      </c>
      <c r="Q282" s="18">
        <f>'price-old'!P38/VLOOKUP($C282,'nymex-old'!$A$2:$B$243,2,FALSE)*1000</f>
        <v>7465.4956085319955</v>
      </c>
      <c r="R282" s="18">
        <f>'price-old'!Q38/VLOOKUP($C282,'nymex-old'!$A$2:$B$243,2,FALSE)*1000</f>
        <v>8281.0539523212046</v>
      </c>
    </row>
    <row r="283" spans="3:18" x14ac:dyDescent="0.2">
      <c r="C283" s="1">
        <f t="shared" si="24"/>
        <v>37956</v>
      </c>
      <c r="E283" s="18">
        <f>'price-old'!E39/VLOOKUP($C283,'nymex-old'!$A$2:$B$243,2,FALSE)*1000</f>
        <v>7721.7113032485495</v>
      </c>
      <c r="F283" s="18">
        <f>'price-old'!F39/VLOOKUP($C283,'nymex-old'!$A$2:$B$243,2,FALSE)*1000</f>
        <v>7721.7113032485495</v>
      </c>
      <c r="G283" s="18">
        <f>'price-old'!G39/VLOOKUP($C283,'nymex-old'!$A$2:$B$243,2,FALSE)*1000</f>
        <v>7818.180893406724</v>
      </c>
      <c r="H283" s="18">
        <f>'price-old'!H39/VLOOKUP($C283,'nymex-old'!$A$2:$B$243,2,FALSE)*1000</f>
        <v>7962.164676550663</v>
      </c>
      <c r="I283" s="18">
        <f>'price-old'!I39/VLOOKUP($C283,'nymex-old'!$A$2:$B$243,2,FALSE)*1000</f>
        <v>7636.3636363636369</v>
      </c>
      <c r="J283" s="18">
        <f>'price-old'!J39/VLOOKUP($C283,'nymex-old'!$A$2:$B$243,2,FALSE)*1000</f>
        <v>9807.830810546875</v>
      </c>
      <c r="K283" s="18">
        <f>'price-old'!K39/VLOOKUP($C283,'nymex-old'!$A$2:$B$243,2,FALSE)*1000</f>
        <v>9818.181818181818</v>
      </c>
      <c r="L283" s="18">
        <f>'price-old'!L39/VLOOKUP($C283,'nymex-old'!$A$2:$B$243,2,FALSE)*1000</f>
        <v>12967.272727272728</v>
      </c>
      <c r="M283" s="18">
        <f>'price-old'!M39/VLOOKUP($C283,'nymex-old'!$A$2:$B$243,2,FALSE)*1000</f>
        <v>8000</v>
      </c>
      <c r="N283" s="18"/>
      <c r="O283" s="18">
        <f>'price-old'!N39/VLOOKUP($C283,'nymex-old'!$A$2:$B$243,2,FALSE)*1000</f>
        <v>7818.181818181818</v>
      </c>
      <c r="P283" s="18">
        <f>'price-old'!O39/VLOOKUP($C283,'nymex-old'!$A$2:$B$243,2,FALSE)*1000</f>
        <v>7722.165194424716</v>
      </c>
      <c r="Q283" s="18">
        <f>'price-old'!P39/VLOOKUP($C283,'nymex-old'!$A$2:$B$243,2,FALSE)*1000</f>
        <v>7212.121212121212</v>
      </c>
      <c r="R283" s="18">
        <f>'price-old'!Q39/VLOOKUP($C283,'nymex-old'!$A$2:$B$243,2,FALSE)*1000</f>
        <v>8000</v>
      </c>
    </row>
    <row r="284" spans="3:18" x14ac:dyDescent="0.2">
      <c r="C284" s="1">
        <f t="shared" si="24"/>
        <v>37987</v>
      </c>
      <c r="E284" s="18">
        <f>'price-old'!E40/VLOOKUP($C284,'nymex-old'!$A$2:$B$243,2,FALSE)*1000</f>
        <v>9177.9993491478672</v>
      </c>
      <c r="F284" s="18">
        <f>'price-old'!F40/VLOOKUP($C284,'nymex-old'!$A$2:$B$243,2,FALSE)*1000</f>
        <v>9177.9993491478672</v>
      </c>
      <c r="G284" s="18">
        <f>'price-old'!G40/VLOOKUP($C284,'nymex-old'!$A$2:$B$243,2,FALSE)*1000</f>
        <v>9223.2077906555296</v>
      </c>
      <c r="H284" s="18">
        <f>'price-old'!H40/VLOOKUP($C284,'nymex-old'!$A$2:$B$243,2,FALSE)*1000</f>
        <v>9285.7505342880886</v>
      </c>
      <c r="I284" s="18">
        <f>'price-old'!I40/VLOOKUP($C284,'nymex-old'!$A$2:$B$243,2,FALSE)*1000</f>
        <v>8452.408835631255</v>
      </c>
      <c r="J284" s="18">
        <f>'price-old'!J40/VLOOKUP($C284,'nymex-old'!$A$2:$B$243,2,FALSE)*1000</f>
        <v>11579.678630805991</v>
      </c>
      <c r="K284" s="18">
        <f>'price-old'!K40/VLOOKUP($C284,'nymex-old'!$A$2:$B$243,2,FALSE)*1000</f>
        <v>12251.2586909614</v>
      </c>
      <c r="L284" s="18">
        <f>'price-old'!L40/VLOOKUP($C284,'nymex-old'!$A$2:$B$243,2,FALSE)*1000</f>
        <v>15595.780388396066</v>
      </c>
      <c r="M284" s="18">
        <f>'price-old'!M40/VLOOKUP($C284,'nymex-old'!$A$2:$B$243,2,FALSE)*1000</f>
        <v>9170.4627187724764</v>
      </c>
      <c r="N284" s="18"/>
      <c r="O284" s="18">
        <f>'price-old'!N40/VLOOKUP($C284,'nymex-old'!$A$2:$B$243,2,FALSE)*1000</f>
        <v>8392.4711708026771</v>
      </c>
      <c r="P284" s="18">
        <f>'price-old'!O40/VLOOKUP($C284,'nymex-old'!$A$2:$B$243,2,FALSE)*1000</f>
        <v>9058.4664629449417</v>
      </c>
      <c r="Q284" s="18">
        <f>'price-old'!P40/VLOOKUP($C284,'nymex-old'!$A$2:$B$243,2,FALSE)*1000</f>
        <v>8810.8367298010053</v>
      </c>
      <c r="R284" s="18">
        <f>'price-old'!Q40/VLOOKUP($C284,'nymex-old'!$A$2:$B$243,2,FALSE)*1000</f>
        <v>9170.4627187724764</v>
      </c>
    </row>
    <row r="285" spans="3:18" x14ac:dyDescent="0.2">
      <c r="C285" s="1">
        <f t="shared" si="24"/>
        <v>38018</v>
      </c>
      <c r="E285" s="18">
        <f>'price-old'!E41/VLOOKUP($C285,'nymex-old'!$A$2:$B$243,2,FALSE)*1000</f>
        <v>9235.4880326862567</v>
      </c>
      <c r="F285" s="18">
        <f>'price-old'!F41/VLOOKUP($C285,'nymex-old'!$A$2:$B$243,2,FALSE)*1000</f>
        <v>9235.4880326862567</v>
      </c>
      <c r="G285" s="18">
        <f>'price-old'!G41/VLOOKUP($C285,'nymex-old'!$A$2:$B$243,2,FALSE)*1000</f>
        <v>9207.9926854794085</v>
      </c>
      <c r="H285" s="18">
        <f>'price-old'!H41/VLOOKUP($C285,'nymex-old'!$A$2:$B$243,2,FALSE)*1000</f>
        <v>9716.9657268848878</v>
      </c>
      <c r="I285" s="18">
        <f>'price-old'!I41/VLOOKUP($C285,'nymex-old'!$A$2:$B$243,2,FALSE)*1000</f>
        <v>8635.5795249684852</v>
      </c>
      <c r="J285" s="18">
        <f>'price-old'!J41/VLOOKUP($C285,'nymex-old'!$A$2:$B$243,2,FALSE)*1000</f>
        <v>11423.350498172167</v>
      </c>
      <c r="K285" s="18">
        <f>'price-old'!K41/VLOOKUP($C285,'nymex-old'!$A$2:$B$243,2,FALSE)*1000</f>
        <v>12607.944732297065</v>
      </c>
      <c r="L285" s="18">
        <f>'price-old'!L41/VLOOKUP($C285,'nymex-old'!$A$2:$B$243,2,FALSE)*1000</f>
        <v>16049.83962496916</v>
      </c>
      <c r="M285" s="18">
        <f>'price-old'!M41/VLOOKUP($C285,'nymex-old'!$A$2:$B$243,2,FALSE)*1000</f>
        <v>9437.4537379718731</v>
      </c>
      <c r="N285" s="18"/>
      <c r="O285" s="18">
        <f>'price-old'!N41/VLOOKUP($C285,'nymex-old'!$A$2:$B$243,2,FALSE)*1000</f>
        <v>8635.5795249684852</v>
      </c>
      <c r="P285" s="18">
        <f>'price-old'!O41/VLOOKUP($C285,'nymex-old'!$A$2:$B$243,2,FALSE)*1000</f>
        <v>9112.4750377806558</v>
      </c>
      <c r="Q285" s="18">
        <f>'price-old'!P41/VLOOKUP($C285,'nymex-old'!$A$2:$B$243,2,FALSE)*1000</f>
        <v>8820.6266962743648</v>
      </c>
      <c r="R285" s="18">
        <f>'price-old'!Q41/VLOOKUP($C285,'nymex-old'!$A$2:$B$243,2,FALSE)*1000</f>
        <v>9437.4537379718731</v>
      </c>
    </row>
    <row r="286" spans="3:18" x14ac:dyDescent="0.2">
      <c r="C286" s="1">
        <f t="shared" si="24"/>
        <v>38047</v>
      </c>
      <c r="E286" s="18">
        <f>'price-old'!E42/VLOOKUP($C286,'nymex-old'!$A$2:$B$243,2,FALSE)*1000</f>
        <v>8264.0758327924086</v>
      </c>
      <c r="F286" s="18">
        <f>'price-old'!F42/VLOOKUP($C286,'nymex-old'!$A$2:$B$243,2,FALSE)*1000</f>
        <v>8264.0758327924086</v>
      </c>
      <c r="G286" s="18">
        <f>'price-old'!G42/VLOOKUP($C286,'nymex-old'!$A$2:$B$243,2,FALSE)*1000</f>
        <v>8507.6513095777864</v>
      </c>
      <c r="H286" s="18">
        <f>'price-old'!H42/VLOOKUP($C286,'nymex-old'!$A$2:$B$243,2,FALSE)*1000</f>
        <v>8252.1798659344095</v>
      </c>
      <c r="I286" s="18">
        <f>'price-old'!I42/VLOOKUP($C286,'nymex-old'!$A$2:$B$243,2,FALSE)*1000</f>
        <v>7780.6122448979595</v>
      </c>
      <c r="J286" s="18">
        <f>'price-old'!J42/VLOOKUP($C286,'nymex-old'!$A$2:$B$243,2,FALSE)*1000</f>
        <v>10216.050245323959</v>
      </c>
      <c r="K286" s="18">
        <f>'price-old'!K42/VLOOKUP($C286,'nymex-old'!$A$2:$B$243,2,FALSE)*1000</f>
        <v>10255.102040816328</v>
      </c>
      <c r="L286" s="18">
        <f>'price-old'!L42/VLOOKUP($C286,'nymex-old'!$A$2:$B$243,2,FALSE)*1000</f>
        <v>13278.061224489795</v>
      </c>
      <c r="M286" s="18">
        <f>'price-old'!M42/VLOOKUP($C286,'nymex-old'!$A$2:$B$243,2,FALSE)*1000</f>
        <v>8737.2448979591827</v>
      </c>
      <c r="N286" s="18"/>
      <c r="O286" s="18">
        <f>'price-old'!N42/VLOOKUP($C286,'nymex-old'!$A$2:$B$243,2,FALSE)*1000</f>
        <v>8418.3673469387759</v>
      </c>
      <c r="P286" s="18">
        <f>'price-old'!O42/VLOOKUP($C286,'nymex-old'!$A$2:$B$243,2,FALSE)*1000</f>
        <v>8073.6082427355705</v>
      </c>
      <c r="Q286" s="18">
        <f>'price-old'!P42/VLOOKUP($C286,'nymex-old'!$A$2:$B$243,2,FALSE)*1000</f>
        <v>7563.775899458904</v>
      </c>
      <c r="R286" s="18">
        <f>'price-old'!Q42/VLOOKUP($C286,'nymex-old'!$A$2:$B$243,2,FALSE)*1000</f>
        <v>8737.2448979591827</v>
      </c>
    </row>
    <row r="287" spans="3:18" x14ac:dyDescent="0.2">
      <c r="C287" s="1">
        <f t="shared" si="24"/>
        <v>38078</v>
      </c>
      <c r="E287" s="18">
        <f>'price-old'!E43/VLOOKUP($C287,'nymex-old'!$A$2:$B$243,2,FALSE)*1000</f>
        <v>8793.8896994606948</v>
      </c>
      <c r="F287" s="18">
        <f>'price-old'!F43/VLOOKUP($C287,'nymex-old'!$A$2:$B$243,2,FALSE)*1000</f>
        <v>8793.8896994606948</v>
      </c>
      <c r="G287" s="18">
        <f>'price-old'!G43/VLOOKUP($C287,'nymex-old'!$A$2:$B$243,2,FALSE)*1000</f>
        <v>8554.2146205263762</v>
      </c>
      <c r="H287" s="18">
        <f>'price-old'!H43/VLOOKUP($C287,'nymex-old'!$A$2:$B$243,2,FALSE)*1000</f>
        <v>8660.9223760275472</v>
      </c>
      <c r="I287" s="18">
        <f>'price-old'!I43/VLOOKUP($C287,'nymex-old'!$A$2:$B$243,2,FALSE)*1000</f>
        <v>7965.1941097724239</v>
      </c>
      <c r="J287" s="18">
        <f>'price-old'!J43/VLOOKUP($C287,'nymex-old'!$A$2:$B$243,2,FALSE)*1000</f>
        <v>10159.816512142319</v>
      </c>
      <c r="K287" s="18">
        <f>'price-old'!K43/VLOOKUP($C287,'nymex-old'!$A$2:$B$243,2,FALSE)*1000</f>
        <v>10763.052208835343</v>
      </c>
      <c r="L287" s="18">
        <f>'price-old'!L43/VLOOKUP($C287,'nymex-old'!$A$2:$B$243,2,FALSE)*1000</f>
        <v>13935.74297188755</v>
      </c>
      <c r="M287" s="18">
        <f>'price-old'!M43/VLOOKUP($C287,'nymex-old'!$A$2:$B$243,2,FALSE)*1000</f>
        <v>8902.2757697456491</v>
      </c>
      <c r="N287" s="18"/>
      <c r="O287" s="18">
        <f>'price-old'!N43/VLOOKUP($C287,'nymex-old'!$A$2:$B$243,2,FALSE)*1000</f>
        <v>8835.3413654618471</v>
      </c>
      <c r="P287" s="18">
        <f>'price-old'!O43/VLOOKUP($C287,'nymex-old'!$A$2:$B$243,2,FALSE)*1000</f>
        <v>8593.9879717437452</v>
      </c>
      <c r="Q287" s="18">
        <f>'price-old'!P43/VLOOKUP($C287,'nymex-old'!$A$2:$B$243,2,FALSE)*1000</f>
        <v>8058.9028885725202</v>
      </c>
      <c r="R287" s="18">
        <f>'price-old'!Q43/VLOOKUP($C287,'nymex-old'!$A$2:$B$243,2,FALSE)*1000</f>
        <v>8902.2757697456491</v>
      </c>
    </row>
    <row r="288" spans="3:18" x14ac:dyDescent="0.2">
      <c r="C288" s="1">
        <f t="shared" si="24"/>
        <v>38108</v>
      </c>
      <c r="E288" s="18">
        <f>'price-old'!E44/VLOOKUP($C288,'nymex-old'!$A$2:$B$243,2,FALSE)*1000</f>
        <v>10470.75719641359</v>
      </c>
      <c r="F288" s="18">
        <f>'price-old'!F44/VLOOKUP($C288,'nymex-old'!$A$2:$B$243,2,FALSE)*1000</f>
        <v>10470.75719641359</v>
      </c>
      <c r="G288" s="18">
        <f>'price-old'!G44/VLOOKUP($C288,'nymex-old'!$A$2:$B$243,2,FALSE)*1000</f>
        <v>9637.5863504089775</v>
      </c>
      <c r="H288" s="18">
        <f>'price-old'!H44/VLOOKUP($C288,'nymex-old'!$A$2:$B$243,2,FALSE)*1000</f>
        <v>8873.4405312762156</v>
      </c>
      <c r="I288" s="18">
        <f>'price-old'!I44/VLOOKUP($C288,'nymex-old'!$A$2:$B$243,2,FALSE)*1000</f>
        <v>8724.8322147651015</v>
      </c>
      <c r="J288" s="18">
        <f>'price-old'!J44/VLOOKUP($C288,'nymex-old'!$A$2:$B$243,2,FALSE)*1000</f>
        <v>10726.689076263632</v>
      </c>
      <c r="K288" s="18">
        <f>'price-old'!K44/VLOOKUP($C288,'nymex-old'!$A$2:$B$243,2,FALSE)*1000</f>
        <v>10791.946308724833</v>
      </c>
      <c r="L288" s="18">
        <f>'price-old'!L44/VLOOKUP($C288,'nymex-old'!$A$2:$B$243,2,FALSE)*1000</f>
        <v>14241.610738255033</v>
      </c>
      <c r="M288" s="18">
        <f>'price-old'!M44/VLOOKUP($C288,'nymex-old'!$A$2:$B$243,2,FALSE)*1000</f>
        <v>10268.456375838927</v>
      </c>
      <c r="N288" s="18"/>
      <c r="O288" s="18">
        <f>'price-old'!N44/VLOOKUP($C288,'nymex-old'!$A$2:$B$243,2,FALSE)*1000</f>
        <v>10335.570469798657</v>
      </c>
      <c r="P288" s="18">
        <f>'price-old'!O44/VLOOKUP($C288,'nymex-old'!$A$2:$B$243,2,FALSE)*1000</f>
        <v>10943.910739565854</v>
      </c>
      <c r="Q288" s="18">
        <f>'price-old'!P44/VLOOKUP($C288,'nymex-old'!$A$2:$B$243,2,FALSE)*1000</f>
        <v>9664.4295302013434</v>
      </c>
      <c r="R288" s="18">
        <f>'price-old'!Q44/VLOOKUP($C288,'nymex-old'!$A$2:$B$243,2,FALSE)*1000</f>
        <v>10268.456375838927</v>
      </c>
    </row>
    <row r="289" spans="3:18" x14ac:dyDescent="0.2">
      <c r="C289" s="1">
        <f t="shared" si="24"/>
        <v>38139</v>
      </c>
      <c r="E289" s="18">
        <f>'price-old'!E45/VLOOKUP($C289,'nymex-old'!$A$2:$B$243,2,FALSE)*1000</f>
        <v>11234.474131415036</v>
      </c>
      <c r="F289" s="18">
        <f>'price-old'!F45/VLOOKUP($C289,'nymex-old'!$A$2:$B$243,2,FALSE)*1000</f>
        <v>11234.474131415036</v>
      </c>
      <c r="G289" s="18">
        <f>'price-old'!G45/VLOOKUP($C289,'nymex-old'!$A$2:$B$243,2,FALSE)*1000</f>
        <v>9571.9213467967911</v>
      </c>
      <c r="H289" s="18">
        <f>'price-old'!H45/VLOOKUP($C289,'nymex-old'!$A$2:$B$243,2,FALSE)*1000</f>
        <v>9306.7953225875972</v>
      </c>
      <c r="I289" s="18">
        <f>'price-old'!I45/VLOOKUP($C289,'nymex-old'!$A$2:$B$243,2,FALSE)*1000</f>
        <v>11632.544536027652</v>
      </c>
      <c r="J289" s="18">
        <f>'price-old'!J45/VLOOKUP($C289,'nymex-old'!$A$2:$B$243,2,FALSE)*1000</f>
        <v>9062.0319312698375</v>
      </c>
      <c r="K289" s="18">
        <f>'price-old'!K45/VLOOKUP($C289,'nymex-old'!$A$2:$B$243,2,FALSE)*1000</f>
        <v>12523.265089072054</v>
      </c>
      <c r="L289" s="18">
        <f>'price-old'!L45/VLOOKUP($C289,'nymex-old'!$A$2:$B$243,2,FALSE)*1000</f>
        <v>18891.252326508904</v>
      </c>
      <c r="M289" s="18">
        <f>'price-old'!M45/VLOOKUP($C289,'nymex-old'!$A$2:$B$243,2,FALSE)*1000</f>
        <v>13094.921563413985</v>
      </c>
      <c r="N289" s="18"/>
      <c r="O289" s="18">
        <f>'price-old'!N45/VLOOKUP($C289,'nymex-old'!$A$2:$B$243,2,FALSE)*1000</f>
        <v>12496.676415846849</v>
      </c>
      <c r="P289" s="18">
        <f>'price-old'!O45/VLOOKUP($C289,'nymex-old'!$A$2:$B$243,2,FALSE)*1000</f>
        <v>12324.609327937529</v>
      </c>
      <c r="Q289" s="18">
        <f>'price-old'!P45/VLOOKUP($C289,'nymex-old'!$A$2:$B$243,2,FALSE)*1000</f>
        <v>11632.544536027652</v>
      </c>
      <c r="R289" s="18">
        <f>'price-old'!Q45/VLOOKUP($C289,'nymex-old'!$A$2:$B$243,2,FALSE)*1000</f>
        <v>13094.921563413985</v>
      </c>
    </row>
    <row r="290" spans="3:18" x14ac:dyDescent="0.2">
      <c r="C290" s="1">
        <f t="shared" si="24"/>
        <v>38169</v>
      </c>
      <c r="E290" s="18">
        <f>'price-old'!E46/VLOOKUP($C290,'nymex-old'!$A$2:$B$243,2,FALSE)*1000</f>
        <v>14133.109345523704</v>
      </c>
      <c r="F290" s="18">
        <f>'price-old'!F46/VLOOKUP($C290,'nymex-old'!$A$2:$B$243,2,FALSE)*1000</f>
        <v>14133.109345523704</v>
      </c>
      <c r="G290" s="18">
        <f>'price-old'!G46/VLOOKUP($C290,'nymex-old'!$A$2:$B$243,2,FALSE)*1000</f>
        <v>12139.105609082801</v>
      </c>
      <c r="H290" s="18">
        <f>'price-old'!H46/VLOOKUP($C290,'nymex-old'!$A$2:$B$243,2,FALSE)*1000</f>
        <v>12335.209083056512</v>
      </c>
      <c r="I290" s="18">
        <f>'price-old'!I46/VLOOKUP($C290,'nymex-old'!$A$2:$B$243,2,FALSE)*1000</f>
        <v>15452.755905511811</v>
      </c>
      <c r="J290" s="18">
        <f>'price-old'!J46/VLOOKUP($C290,'nymex-old'!$A$2:$B$243,2,FALSE)*1000</f>
        <v>10859.580052493438</v>
      </c>
      <c r="K290" s="18">
        <f>'price-old'!K46/VLOOKUP($C290,'nymex-old'!$A$2:$B$243,2,FALSE)*1000</f>
        <v>15446.194225721785</v>
      </c>
      <c r="L290" s="18">
        <f>'price-old'!L46/VLOOKUP($C290,'nymex-old'!$A$2:$B$243,2,FALSE)*1000</f>
        <v>25472.440944881888</v>
      </c>
      <c r="M290" s="18">
        <f>'price-old'!M46/VLOOKUP($C290,'nymex-old'!$A$2:$B$243,2,FALSE)*1000</f>
        <v>16207.349081364828</v>
      </c>
      <c r="N290" s="18"/>
      <c r="O290" s="18">
        <f>'price-old'!N46/VLOOKUP($C290,'nymex-old'!$A$2:$B$243,2,FALSE)*1000</f>
        <v>17321.523030598957</v>
      </c>
      <c r="P290" s="18">
        <f>'price-old'!O46/VLOOKUP($C290,'nymex-old'!$A$2:$B$243,2,FALSE)*1000</f>
        <v>14539.933892998482</v>
      </c>
      <c r="Q290" s="18">
        <f>'price-old'!P46/VLOOKUP($C290,'nymex-old'!$A$2:$B$243,2,FALSE)*1000</f>
        <v>15944.881889763779</v>
      </c>
      <c r="R290" s="18">
        <f>'price-old'!Q46/VLOOKUP($C290,'nymex-old'!$A$2:$B$243,2,FALSE)*1000</f>
        <v>16207.349081364828</v>
      </c>
    </row>
    <row r="291" spans="3:18" x14ac:dyDescent="0.2">
      <c r="C291" s="1">
        <f t="shared" si="24"/>
        <v>38200</v>
      </c>
      <c r="E291" s="18">
        <f>'price-old'!E47/VLOOKUP($C291,'nymex-old'!$A$2:$B$243,2,FALSE)*1000</f>
        <v>13968.131415420316</v>
      </c>
      <c r="F291" s="18">
        <f>'price-old'!F47/VLOOKUP($C291,'nymex-old'!$A$2:$B$243,2,FALSE)*1000</f>
        <v>13968.131415420316</v>
      </c>
      <c r="G291" s="18">
        <f>'price-old'!G47/VLOOKUP($C291,'nymex-old'!$A$2:$B$243,2,FALSE)*1000</f>
        <v>11997.405966277562</v>
      </c>
      <c r="H291" s="18">
        <f>'price-old'!H47/VLOOKUP($C291,'nymex-old'!$A$2:$B$243,2,FALSE)*1000</f>
        <v>12191.218315550015</v>
      </c>
      <c r="I291" s="18">
        <f>'price-old'!I47/VLOOKUP($C291,'nymex-old'!$A$2:$B$243,2,FALSE)*1000</f>
        <v>15239.948119325552</v>
      </c>
      <c r="J291" s="18">
        <f>'price-old'!J47/VLOOKUP($C291,'nymex-old'!$A$2:$B$243,2,FALSE)*1000</f>
        <v>10732.814526588845</v>
      </c>
      <c r="K291" s="18">
        <f>'price-old'!K47/VLOOKUP($C291,'nymex-old'!$A$2:$B$243,2,FALSE)*1000</f>
        <v>15265.888456549936</v>
      </c>
      <c r="L291" s="18">
        <f>'price-old'!L47/VLOOKUP($C291,'nymex-old'!$A$2:$B$243,2,FALSE)*1000</f>
        <v>25302.204928664076</v>
      </c>
      <c r="M291" s="18">
        <f>'price-old'!M47/VLOOKUP($C291,'nymex-old'!$A$2:$B$243,2,FALSE)*1000</f>
        <v>16018.158236057068</v>
      </c>
      <c r="N291" s="18"/>
      <c r="O291" s="18">
        <f>'price-old'!N47/VLOOKUP($C291,'nymex-old'!$A$2:$B$243,2,FALSE)*1000</f>
        <v>17120.622568093386</v>
      </c>
      <c r="P291" s="18">
        <f>'price-old'!O47/VLOOKUP($C291,'nymex-old'!$A$2:$B$243,2,FALSE)*1000</f>
        <v>14370.2070382164</v>
      </c>
      <c r="Q291" s="18">
        <f>'price-old'!P47/VLOOKUP($C291,'nymex-old'!$A$2:$B$243,2,FALSE)*1000</f>
        <v>15758.75486381323</v>
      </c>
      <c r="R291" s="18">
        <f>'price-old'!Q47/VLOOKUP($C291,'nymex-old'!$A$2:$B$243,2,FALSE)*1000</f>
        <v>16018.158236057068</v>
      </c>
    </row>
    <row r="292" spans="3:18" x14ac:dyDescent="0.2">
      <c r="C292" s="1">
        <f t="shared" si="24"/>
        <v>38231</v>
      </c>
      <c r="E292" s="18">
        <f>'price-old'!E48/VLOOKUP($C292,'nymex-old'!$A$2:$B$243,2,FALSE)*1000</f>
        <v>8648.922849602799</v>
      </c>
      <c r="F292" s="18">
        <f>'price-old'!F48/VLOOKUP($C292,'nymex-old'!$A$2:$B$243,2,FALSE)*1000</f>
        <v>8648.922849602799</v>
      </c>
      <c r="G292" s="18">
        <f>'price-old'!G48/VLOOKUP($C292,'nymex-old'!$A$2:$B$243,2,FALSE)*1000</f>
        <v>8738.9963269542386</v>
      </c>
      <c r="H292" s="18">
        <f>'price-old'!H48/VLOOKUP($C292,'nymex-old'!$A$2:$B$243,2,FALSE)*1000</f>
        <v>7147.1113049879032</v>
      </c>
      <c r="I292" s="18">
        <f>'price-old'!I48/VLOOKUP($C292,'nymex-old'!$A$2:$B$243,2,FALSE)*1000</f>
        <v>8803.7286380113928</v>
      </c>
      <c r="J292" s="18">
        <f>'price-old'!J48/VLOOKUP($C292,'nymex-old'!$A$2:$B$243,2,FALSE)*1000</f>
        <v>8664.4002873930895</v>
      </c>
      <c r="K292" s="18">
        <f>'price-old'!K48/VLOOKUP($C292,'nymex-old'!$A$2:$B$243,2,FALSE)*1000</f>
        <v>9800.6214396685664</v>
      </c>
      <c r="L292" s="18">
        <f>'price-old'!L48/VLOOKUP($C292,'nymex-old'!$A$2:$B$243,2,FALSE)*1000</f>
        <v>14122.216468151217</v>
      </c>
      <c r="M292" s="18">
        <f>'price-old'!M48/VLOOKUP($C292,'nymex-old'!$A$2:$B$243,2,FALSE)*1000</f>
        <v>8738.9953392024854</v>
      </c>
      <c r="N292" s="18"/>
      <c r="O292" s="18">
        <f>'price-old'!N48/VLOOKUP($C292,'nymex-old'!$A$2:$B$243,2,FALSE)*1000</f>
        <v>8738.9953392024854</v>
      </c>
      <c r="P292" s="18">
        <f>'price-old'!O48/VLOOKUP($C292,'nymex-old'!$A$2:$B$243,2,FALSE)*1000</f>
        <v>9260.6537086490771</v>
      </c>
      <c r="Q292" s="18">
        <f>'price-old'!P48/VLOOKUP($C292,'nymex-old'!$A$2:$B$243,2,FALSE)*1000</f>
        <v>7871.5695302638287</v>
      </c>
      <c r="R292" s="18">
        <f>'price-old'!Q48/VLOOKUP($C292,'nymex-old'!$A$2:$B$243,2,FALSE)*1000</f>
        <v>8738.9953392024854</v>
      </c>
    </row>
    <row r="293" spans="3:18" x14ac:dyDescent="0.2">
      <c r="C293" s="1">
        <f t="shared" si="24"/>
        <v>38261</v>
      </c>
      <c r="E293" s="18">
        <f>'price-old'!E49/VLOOKUP($C293,'nymex-old'!$A$2:$B$243,2,FALSE)*1000</f>
        <v>8329.5789659789407</v>
      </c>
      <c r="F293" s="18">
        <f>'price-old'!F49/VLOOKUP($C293,'nymex-old'!$A$2:$B$243,2,FALSE)*1000</f>
        <v>8329.5789659789407</v>
      </c>
      <c r="G293" s="18">
        <f>'price-old'!G49/VLOOKUP($C293,'nymex-old'!$A$2:$B$243,2,FALSE)*1000</f>
        <v>7917.7385737166605</v>
      </c>
      <c r="H293" s="18">
        <f>'price-old'!H49/VLOOKUP($C293,'nymex-old'!$A$2:$B$243,2,FALSE)*1000</f>
        <v>8121.8327225633629</v>
      </c>
      <c r="I293" s="18">
        <f>'price-old'!I49/VLOOKUP($C293,'nymex-old'!$A$2:$B$243,2,FALSE)*1000</f>
        <v>8322.6221079691513</v>
      </c>
      <c r="J293" s="18">
        <f>'price-old'!J49/VLOOKUP($C293,'nymex-old'!$A$2:$B$243,2,FALSE)*1000</f>
        <v>10065.552385423362</v>
      </c>
      <c r="K293" s="18">
        <f>'price-old'!K49/VLOOKUP($C293,'nymex-old'!$A$2:$B$243,2,FALSE)*1000</f>
        <v>10051.413881748073</v>
      </c>
      <c r="L293" s="18">
        <f>'price-old'!L49/VLOOKUP($C293,'nymex-old'!$A$2:$B$243,2,FALSE)*1000</f>
        <v>13763.496143958868</v>
      </c>
      <c r="M293" s="18">
        <f>'price-old'!M49/VLOOKUP($C293,'nymex-old'!$A$2:$B$243,2,FALSE)*1000</f>
        <v>8419.0231362467857</v>
      </c>
      <c r="N293" s="18"/>
      <c r="O293" s="18">
        <f>'price-old'!N49/VLOOKUP($C293,'nymex-old'!$A$2:$B$243,2,FALSE)*1000</f>
        <v>8227.5061521554653</v>
      </c>
      <c r="P293" s="18">
        <f>'price-old'!O49/VLOOKUP($C293,'nymex-old'!$A$2:$B$243,2,FALSE)*1000</f>
        <v>8265.7929251310452</v>
      </c>
      <c r="Q293" s="18">
        <f>'price-old'!P49/VLOOKUP($C293,'nymex-old'!$A$2:$B$243,2,FALSE)*1000</f>
        <v>7583.5475578406167</v>
      </c>
      <c r="R293" s="18">
        <f>'price-old'!Q49/VLOOKUP($C293,'nymex-old'!$A$2:$B$243,2,FALSE)*1000</f>
        <v>8419.0231362467857</v>
      </c>
    </row>
    <row r="294" spans="3:18" x14ac:dyDescent="0.2">
      <c r="C294" s="1">
        <f t="shared" si="24"/>
        <v>38292</v>
      </c>
      <c r="E294" s="18">
        <f>'price-old'!E50/VLOOKUP($C294,'nymex-old'!$A$2:$B$243,2,FALSE)*1000</f>
        <v>8075.0461246656332</v>
      </c>
      <c r="F294" s="18">
        <f>'price-old'!F50/VLOOKUP($C294,'nymex-old'!$A$2:$B$243,2,FALSE)*1000</f>
        <v>8075.0461246656332</v>
      </c>
      <c r="G294" s="18">
        <f>'price-old'!G50/VLOOKUP($C294,'nymex-old'!$A$2:$B$243,2,FALSE)*1000</f>
        <v>7577.6388038019213</v>
      </c>
      <c r="H294" s="18">
        <f>'price-old'!H50/VLOOKUP($C294,'nymex-old'!$A$2:$B$243,2,FALSE)*1000</f>
        <v>8718.9886436699326</v>
      </c>
      <c r="I294" s="18">
        <f>'price-old'!I50/VLOOKUP($C294,'nymex-old'!$A$2:$B$243,2,FALSE)*1000</f>
        <v>8012.4223602484471</v>
      </c>
      <c r="J294" s="18">
        <f>'price-old'!J50/VLOOKUP($C294,'nymex-old'!$A$2:$B$243,2,FALSE)*1000</f>
        <v>9925.9417989979611</v>
      </c>
      <c r="K294" s="18">
        <f>'price-old'!K50/VLOOKUP($C294,'nymex-old'!$A$2:$B$243,2,FALSE)*1000</f>
        <v>9714.2857142857138</v>
      </c>
      <c r="L294" s="18">
        <f>'price-old'!L50/VLOOKUP($C294,'nymex-old'!$A$2:$B$243,2,FALSE)*1000</f>
        <v>13301.863354037267</v>
      </c>
      <c r="M294" s="18">
        <f>'price-old'!M50/VLOOKUP($C294,'nymex-old'!$A$2:$B$243,2,FALSE)*1000</f>
        <v>8136.6459627329186</v>
      </c>
      <c r="N294" s="18"/>
      <c r="O294" s="18">
        <f>'price-old'!N50/VLOOKUP($C294,'nymex-old'!$A$2:$B$243,2,FALSE)*1000</f>
        <v>7950.3105590062105</v>
      </c>
      <c r="P294" s="18">
        <f>'price-old'!O50/VLOOKUP($C294,'nymex-old'!$A$2:$B$243,2,FALSE)*1000</f>
        <v>8013.3994913989709</v>
      </c>
      <c r="Q294" s="18">
        <f>'price-old'!P50/VLOOKUP($C294,'nymex-old'!$A$2:$B$243,2,FALSE)*1000</f>
        <v>7329.1925465838503</v>
      </c>
      <c r="R294" s="18">
        <f>'price-old'!Q50/VLOOKUP($C294,'nymex-old'!$A$2:$B$243,2,FALSE)*1000</f>
        <v>8136.6459627329186</v>
      </c>
    </row>
    <row r="295" spans="3:18" x14ac:dyDescent="0.2">
      <c r="C295" s="1">
        <f t="shared" si="24"/>
        <v>38322</v>
      </c>
      <c r="E295" s="18">
        <f>'price-old'!E51/VLOOKUP($C295,'nymex-old'!$A$2:$B$243,2,FALSE)*1000</f>
        <v>7837.0334437260253</v>
      </c>
      <c r="F295" s="18">
        <f>'price-old'!F51/VLOOKUP($C295,'nymex-old'!$A$2:$B$243,2,FALSE)*1000</f>
        <v>7837.0334437260253</v>
      </c>
      <c r="G295" s="18">
        <f>'price-old'!G51/VLOOKUP($C295,'nymex-old'!$A$2:$B$243,2,FALSE)*1000</f>
        <v>7572.1144676208496</v>
      </c>
      <c r="H295" s="18">
        <f>'price-old'!H51/VLOOKUP($C295,'nymex-old'!$A$2:$B$243,2,FALSE)*1000</f>
        <v>8556.2330025892988</v>
      </c>
      <c r="I295" s="18">
        <f>'price-old'!I51/VLOOKUP($C295,'nymex-old'!$A$2:$B$243,2,FALSE)*1000</f>
        <v>7722.3557692307695</v>
      </c>
      <c r="J295" s="18">
        <f>'price-old'!J51/VLOOKUP($C295,'nymex-old'!$A$2:$B$243,2,FALSE)*1000</f>
        <v>9785.409157092754</v>
      </c>
      <c r="K295" s="18">
        <f>'price-old'!K51/VLOOKUP($C295,'nymex-old'!$A$2:$B$243,2,FALSE)*1000</f>
        <v>9399.038461538461</v>
      </c>
      <c r="L295" s="18">
        <f>'price-old'!L51/VLOOKUP($C295,'nymex-old'!$A$2:$B$243,2,FALSE)*1000</f>
        <v>12870.192307692307</v>
      </c>
      <c r="M295" s="18">
        <f>'price-old'!M51/VLOOKUP($C295,'nymex-old'!$A$2:$B$243,2,FALSE)*1000</f>
        <v>7872.5961538461534</v>
      </c>
      <c r="N295" s="18"/>
      <c r="O295" s="18">
        <f>'price-old'!N51/VLOOKUP($C295,'nymex-old'!$A$2:$B$243,2,FALSE)*1000</f>
        <v>7693.5093586261446</v>
      </c>
      <c r="P295" s="18">
        <f>'price-old'!O51/VLOOKUP($C295,'nymex-old'!$A$2:$B$243,2,FALSE)*1000</f>
        <v>7777.387362260084</v>
      </c>
      <c r="Q295" s="18">
        <f>'price-old'!P51/VLOOKUP($C295,'nymex-old'!$A$2:$B$243,2,FALSE)*1000</f>
        <v>7091.3461538461534</v>
      </c>
      <c r="R295" s="18">
        <f>'price-old'!Q51/VLOOKUP($C295,'nymex-old'!$A$2:$B$243,2,FALSE)*1000</f>
        <v>7872.5961538461534</v>
      </c>
    </row>
    <row r="296" spans="3:18" x14ac:dyDescent="0.2">
      <c r="C296" s="1">
        <f t="shared" si="24"/>
        <v>38353</v>
      </c>
      <c r="E296" s="18">
        <f>'price-old'!E52/VLOOKUP($C296,'nymex-old'!$A$2:$B$243,2,FALSE)*1000</f>
        <v>9136.2616722913008</v>
      </c>
      <c r="F296" s="18">
        <f>'price-old'!F52/VLOOKUP($C296,'nymex-old'!$A$2:$B$243,2,FALSE)*1000</f>
        <v>9136.2616722913008</v>
      </c>
      <c r="G296" s="18">
        <f>'price-old'!G52/VLOOKUP($C296,'nymex-old'!$A$2:$B$243,2,FALSE)*1000</f>
        <v>9038.3241358781761</v>
      </c>
      <c r="H296" s="18">
        <f>'price-old'!H52/VLOOKUP($C296,'nymex-old'!$A$2:$B$243,2,FALSE)*1000</f>
        <v>9338.4588142146204</v>
      </c>
      <c r="I296" s="18">
        <f>'price-old'!I52/VLOOKUP($C296,'nymex-old'!$A$2:$B$243,2,FALSE)*1000</f>
        <v>9225.1838260933018</v>
      </c>
      <c r="J296" s="18">
        <f>'price-old'!J52/VLOOKUP($C296,'nymex-old'!$A$2:$B$243,2,FALSE)*1000</f>
        <v>11616.005610352722</v>
      </c>
      <c r="K296" s="18">
        <f>'price-old'!K52/VLOOKUP($C296,'nymex-old'!$A$2:$B$243,2,FALSE)*1000</f>
        <v>12044.751249702451</v>
      </c>
      <c r="L296" s="18">
        <f>'price-old'!L52/VLOOKUP($C296,'nymex-old'!$A$2:$B$243,2,FALSE)*1000</f>
        <v>15484.408474172813</v>
      </c>
      <c r="M296" s="18">
        <f>'price-old'!M52/VLOOKUP($C296,'nymex-old'!$A$2:$B$243,2,FALSE)*1000</f>
        <v>9045.4653653891928</v>
      </c>
      <c r="N296" s="18"/>
      <c r="O296" s="18">
        <f>'price-old'!N52/VLOOKUP($C296,'nymex-old'!$A$2:$B$243,2,FALSE)*1000</f>
        <v>9664.5363397014844</v>
      </c>
      <c r="P296" s="18">
        <f>'price-old'!O52/VLOOKUP($C296,'nymex-old'!$A$2:$B$243,2,FALSE)*1000</f>
        <v>9017.5823891795662</v>
      </c>
      <c r="Q296" s="18">
        <f>'price-old'!P52/VLOOKUP($C296,'nymex-old'!$A$2:$B$243,2,FALSE)*1000</f>
        <v>8367.0558262030227</v>
      </c>
      <c r="R296" s="18">
        <f>'price-old'!Q52/VLOOKUP($C296,'nymex-old'!$A$2:$B$243,2,FALSE)*1000</f>
        <v>9045.4653653891928</v>
      </c>
    </row>
    <row r="297" spans="3:18" x14ac:dyDescent="0.2">
      <c r="C297" s="1">
        <f t="shared" si="24"/>
        <v>38384</v>
      </c>
      <c r="E297" s="18">
        <f>'price-old'!E53/VLOOKUP($C297,'nymex-old'!$A$2:$B$243,2,FALSE)*1000</f>
        <v>9314.5806996025949</v>
      </c>
      <c r="F297" s="18">
        <f>'price-old'!F53/VLOOKUP($C297,'nymex-old'!$A$2:$B$243,2,FALSE)*1000</f>
        <v>9314.5806996025949</v>
      </c>
      <c r="G297" s="18">
        <f>'price-old'!G53/VLOOKUP($C297,'nymex-old'!$A$2:$B$243,2,FALSE)*1000</f>
        <v>9017.8776277854631</v>
      </c>
      <c r="H297" s="18">
        <f>'price-old'!H53/VLOOKUP($C297,'nymex-old'!$A$2:$B$243,2,FALSE)*1000</f>
        <v>9768.0289226217119</v>
      </c>
      <c r="I297" s="18">
        <f>'price-old'!I53/VLOOKUP($C297,'nymex-old'!$A$2:$B$243,2,FALSE)*1000</f>
        <v>9475.3520441440687</v>
      </c>
      <c r="J297" s="18">
        <f>'price-old'!J53/VLOOKUP($C297,'nymex-old'!$A$2:$B$243,2,FALSE)*1000</f>
        <v>11461.875965978887</v>
      </c>
      <c r="K297" s="18">
        <f>'price-old'!K53/VLOOKUP($C297,'nymex-old'!$A$2:$B$243,2,FALSE)*1000</f>
        <v>12392.84839578741</v>
      </c>
      <c r="L297" s="18">
        <f>'price-old'!L53/VLOOKUP($C297,'nymex-old'!$A$2:$B$243,2,FALSE)*1000</f>
        <v>15931.912809208914</v>
      </c>
      <c r="M297" s="18">
        <f>'price-old'!M53/VLOOKUP($C297,'nymex-old'!$A$2:$B$243,2,FALSE)*1000</f>
        <v>9306.8821944648535</v>
      </c>
      <c r="N297" s="18"/>
      <c r="O297" s="18">
        <f>'price-old'!N53/VLOOKUP($C297,'nymex-old'!$A$2:$B$243,2,FALSE)*1000</f>
        <v>10003.851022376986</v>
      </c>
      <c r="P297" s="18">
        <f>'price-old'!O53/VLOOKUP($C297,'nymex-old'!$A$2:$B$243,2,FALSE)*1000</f>
        <v>9192.4715474222394</v>
      </c>
      <c r="Q297" s="18">
        <f>'price-old'!P53/VLOOKUP($C297,'nymex-old'!$A$2:$B$243,2,FALSE)*1000</f>
        <v>9659.0405085085076</v>
      </c>
      <c r="R297" s="18">
        <f>'price-old'!Q53/VLOOKUP($C297,'nymex-old'!$A$2:$B$243,2,FALSE)*1000</f>
        <v>9306.8821944648535</v>
      </c>
    </row>
    <row r="298" spans="3:18" x14ac:dyDescent="0.2">
      <c r="C298" s="1">
        <f t="shared" si="24"/>
        <v>38412</v>
      </c>
      <c r="E298" s="18">
        <f>'price-old'!E54/VLOOKUP($C298,'nymex-old'!$A$2:$B$243,2,FALSE)*1000</f>
        <v>8353.2094340623389</v>
      </c>
      <c r="F298" s="18">
        <f>'price-old'!F54/VLOOKUP($C298,'nymex-old'!$A$2:$B$243,2,FALSE)*1000</f>
        <v>8353.2094340623389</v>
      </c>
      <c r="G298" s="18">
        <f>'price-old'!G54/VLOOKUP($C298,'nymex-old'!$A$2:$B$243,2,FALSE)*1000</f>
        <v>8443.0362363404856</v>
      </c>
      <c r="H298" s="18">
        <f>'price-old'!H54/VLOOKUP($C298,'nymex-old'!$A$2:$B$243,2,FALSE)*1000</f>
        <v>8316.0873606235164</v>
      </c>
      <c r="I298" s="18">
        <f>'price-old'!I54/VLOOKUP($C298,'nymex-old'!$A$2:$B$243,2,FALSE)*1000</f>
        <v>8189.4934931887847</v>
      </c>
      <c r="J298" s="18">
        <f>'price-old'!J54/VLOOKUP($C298,'nymex-old'!$A$2:$B$243,2,FALSE)*1000</f>
        <v>10201.751129536689</v>
      </c>
      <c r="K298" s="18">
        <f>'price-old'!K54/VLOOKUP($C298,'nymex-old'!$A$2:$B$243,2,FALSE)*1000</f>
        <v>10050.632911392406</v>
      </c>
      <c r="L298" s="18">
        <f>'price-old'!L54/VLOOKUP($C298,'nymex-old'!$A$2:$B$243,2,FALSE)*1000</f>
        <v>13177.215189873417</v>
      </c>
      <c r="M298" s="18">
        <f>'price-old'!M54/VLOOKUP($C298,'nymex-old'!$A$2:$B$243,2,FALSE)*1000</f>
        <v>8607.5949367088597</v>
      </c>
      <c r="N298" s="18"/>
      <c r="O298" s="18">
        <f>'price-old'!N54/VLOOKUP($C298,'nymex-old'!$A$2:$B$243,2,FALSE)*1000</f>
        <v>9265.1911868324769</v>
      </c>
      <c r="P298" s="18">
        <f>'price-old'!O54/VLOOKUP($C298,'nymex-old'!$A$2:$B$243,2,FALSE)*1000</f>
        <v>8164.1884332970722</v>
      </c>
      <c r="Q298" s="18">
        <f>'price-old'!P54/VLOOKUP($C298,'nymex-old'!$A$2:$B$243,2,FALSE)*1000</f>
        <v>7809.7466577457471</v>
      </c>
      <c r="R298" s="18">
        <f>'price-old'!Q54/VLOOKUP($C298,'nymex-old'!$A$2:$B$243,2,FALSE)*1000</f>
        <v>8607.5949367088597</v>
      </c>
    </row>
    <row r="299" spans="3:18" x14ac:dyDescent="0.2">
      <c r="C299" s="1">
        <f t="shared" si="24"/>
        <v>38443</v>
      </c>
      <c r="E299" s="18">
        <f>'price-old'!E55/VLOOKUP($C299,'nymex-old'!$A$2:$B$243,2,FALSE)*1000</f>
        <v>8883.1814150028422</v>
      </c>
      <c r="F299" s="18">
        <f>'price-old'!F55/VLOOKUP($C299,'nymex-old'!$A$2:$B$243,2,FALSE)*1000</f>
        <v>8883.1814150028422</v>
      </c>
      <c r="G299" s="18">
        <f>'price-old'!G55/VLOOKUP($C299,'nymex-old'!$A$2:$B$243,2,FALSE)*1000</f>
        <v>8486.0535478528582</v>
      </c>
      <c r="H299" s="18">
        <f>'price-old'!H55/VLOOKUP($C299,'nymex-old'!$A$2:$B$243,2,FALSE)*1000</f>
        <v>8724.7131671880179</v>
      </c>
      <c r="I299" s="18">
        <f>'price-old'!I55/VLOOKUP($C299,'nymex-old'!$A$2:$B$243,2,FALSE)*1000</f>
        <v>8618.4710620408987</v>
      </c>
      <c r="J299" s="18">
        <f>'price-old'!J55/VLOOKUP($C299,'nymex-old'!$A$2:$B$243,2,FALSE)*1000</f>
        <v>10145.262861315156</v>
      </c>
      <c r="K299" s="18">
        <f>'price-old'!K55/VLOOKUP($C299,'nymex-old'!$A$2:$B$243,2,FALSE)*1000</f>
        <v>10544.488711819391</v>
      </c>
      <c r="L299" s="18">
        <f>'price-old'!L55/VLOOKUP($C299,'nymex-old'!$A$2:$B$243,2,FALSE)*1000</f>
        <v>13824.701195219122</v>
      </c>
      <c r="M299" s="18">
        <f>'price-old'!M55/VLOOKUP($C299,'nymex-old'!$A$2:$B$243,2,FALSE)*1000</f>
        <v>8897.7423638778218</v>
      </c>
      <c r="N299" s="18"/>
      <c r="O299" s="18">
        <f>'price-old'!N55/VLOOKUP($C299,'nymex-old'!$A$2:$B$243,2,FALSE)*1000</f>
        <v>9786.8529543933637</v>
      </c>
      <c r="P299" s="18">
        <f>'price-old'!O55/VLOOKUP($C299,'nymex-old'!$A$2:$B$243,2,FALSE)*1000</f>
        <v>8684.8725297378205</v>
      </c>
      <c r="Q299" s="18">
        <f>'price-old'!P55/VLOOKUP($C299,'nymex-old'!$A$2:$B$243,2,FALSE)*1000</f>
        <v>8512.2299700935837</v>
      </c>
      <c r="R299" s="18">
        <f>'price-old'!Q55/VLOOKUP($C299,'nymex-old'!$A$2:$B$243,2,FALSE)*1000</f>
        <v>8897.7423638778218</v>
      </c>
    </row>
    <row r="300" spans="3:18" x14ac:dyDescent="0.2">
      <c r="C300" s="1">
        <f t="shared" si="24"/>
        <v>38473</v>
      </c>
      <c r="E300" s="18">
        <f>'price-old'!E56/VLOOKUP($C300,'nymex-old'!$A$2:$B$243,2,FALSE)*1000</f>
        <v>10546.889628932258</v>
      </c>
      <c r="F300" s="18">
        <f>'price-old'!F56/VLOOKUP($C300,'nymex-old'!$A$2:$B$243,2,FALSE)*1000</f>
        <v>10546.889628932258</v>
      </c>
      <c r="G300" s="18">
        <f>'price-old'!G56/VLOOKUP($C300,'nymex-old'!$A$2:$B$243,2,FALSE)*1000</f>
        <v>9427.4325313644313</v>
      </c>
      <c r="H300" s="18">
        <f>'price-old'!H56/VLOOKUP($C300,'nymex-old'!$A$2:$B$243,2,FALSE)*1000</f>
        <v>8935.7033233033035</v>
      </c>
      <c r="I300" s="18">
        <f>'price-old'!I56/VLOOKUP($C300,'nymex-old'!$A$2:$B$243,2,FALSE)*1000</f>
        <v>9015.5965954898675</v>
      </c>
      <c r="J300" s="18">
        <f>'price-old'!J56/VLOOKUP($C300,'nymex-old'!$A$2:$B$243,2,FALSE)*1000</f>
        <v>10776.808737438623</v>
      </c>
      <c r="K300" s="18">
        <f>'price-old'!K56/VLOOKUP($C300,'nymex-old'!$A$2:$B$243,2,FALSE)*1000</f>
        <v>10572.569906790946</v>
      </c>
      <c r="L300" s="18">
        <f>'price-old'!L56/VLOOKUP($C300,'nymex-old'!$A$2:$B$243,2,FALSE)*1000</f>
        <v>14127.829560585886</v>
      </c>
      <c r="M300" s="18">
        <f>'price-old'!M56/VLOOKUP($C300,'nymex-old'!$A$2:$B$243,2,FALSE)*1000</f>
        <v>10119.840213049267</v>
      </c>
      <c r="N300" s="18"/>
      <c r="O300" s="18">
        <f>'price-old'!N56/VLOOKUP($C300,'nymex-old'!$A$2:$B$243,2,FALSE)*1000</f>
        <v>11146.090694178596</v>
      </c>
      <c r="P300" s="18">
        <f>'price-old'!O56/VLOOKUP($C300,'nymex-old'!$A$2:$B$243,2,FALSE)*1000</f>
        <v>11006.275690030481</v>
      </c>
      <c r="Q300" s="18">
        <f>'price-old'!P56/VLOOKUP($C300,'nymex-old'!$A$2:$B$243,2,FALSE)*1000</f>
        <v>8909.0725712071398</v>
      </c>
      <c r="R300" s="18">
        <f>'price-old'!Q56/VLOOKUP($C300,'nymex-old'!$A$2:$B$243,2,FALSE)*1000</f>
        <v>10119.840213049267</v>
      </c>
    </row>
    <row r="301" spans="3:18" x14ac:dyDescent="0.2">
      <c r="C301" s="1">
        <f t="shared" si="24"/>
        <v>38504</v>
      </c>
      <c r="E301" s="18">
        <f>'price-old'!E57/VLOOKUP($C301,'nymex-old'!$A$2:$B$243,2,FALSE)*1000</f>
        <v>10380.600688011593</v>
      </c>
      <c r="F301" s="18">
        <f>'price-old'!F57/VLOOKUP($C301,'nymex-old'!$A$2:$B$243,2,FALSE)*1000</f>
        <v>10380.600688011593</v>
      </c>
      <c r="G301" s="18">
        <f>'price-old'!G57/VLOOKUP($C301,'nymex-old'!$A$2:$B$243,2,FALSE)*1000</f>
        <v>9364.282823873049</v>
      </c>
      <c r="H301" s="18">
        <f>'price-old'!H57/VLOOKUP($C301,'nymex-old'!$A$2:$B$243,2,FALSE)*1000</f>
        <v>8705.5809043133613</v>
      </c>
      <c r="I301" s="18">
        <f>'price-old'!I57/VLOOKUP($C301,'nymex-old'!$A$2:$B$243,2,FALSE)*1000</f>
        <v>10380.600285511224</v>
      </c>
      <c r="J301" s="18">
        <f>'price-old'!J57/VLOOKUP($C301,'nymex-old'!$A$2:$B$243,2,FALSE)*1000</f>
        <v>8493.0894469812338</v>
      </c>
      <c r="K301" s="18">
        <f>'price-old'!K57/VLOOKUP($C301,'nymex-old'!$A$2:$B$243,2,FALSE)*1000</f>
        <v>12292.271168557107</v>
      </c>
      <c r="L301" s="18">
        <f>'price-old'!L57/VLOOKUP($C301,'nymex-old'!$A$2:$B$243,2,FALSE)*1000</f>
        <v>18741.756792403055</v>
      </c>
      <c r="M301" s="18">
        <f>'price-old'!M57/VLOOKUP($C301,'nymex-old'!$A$2:$B$243,2,FALSE)*1000</f>
        <v>12925.349512002109</v>
      </c>
      <c r="N301" s="18"/>
      <c r="O301" s="18">
        <f>'price-old'!N57/VLOOKUP($C301,'nymex-old'!$A$2:$B$243,2,FALSE)*1000</f>
        <v>11963.296546624097</v>
      </c>
      <c r="P301" s="18">
        <f>'price-old'!O57/VLOOKUP($C301,'nymex-old'!$A$2:$B$243,2,FALSE)*1000</f>
        <v>11762.162080008573</v>
      </c>
      <c r="Q301" s="18">
        <f>'price-old'!P57/VLOOKUP($C301,'nymex-old'!$A$2:$B$243,2,FALSE)*1000</f>
        <v>10406.979153571987</v>
      </c>
      <c r="R301" s="18">
        <f>'price-old'!Q57/VLOOKUP($C301,'nymex-old'!$A$2:$B$243,2,FALSE)*1000</f>
        <v>12925.349512002109</v>
      </c>
    </row>
    <row r="302" spans="3:18" x14ac:dyDescent="0.2">
      <c r="C302" s="1">
        <f t="shared" si="24"/>
        <v>38534</v>
      </c>
      <c r="E302" s="18">
        <f>'price-old'!E58/VLOOKUP($C302,'nymex-old'!$A$2:$B$243,2,FALSE)*1000</f>
        <v>13397.694428761801</v>
      </c>
      <c r="F302" s="18">
        <f>'price-old'!F58/VLOOKUP($C302,'nymex-old'!$A$2:$B$243,2,FALSE)*1000</f>
        <v>13397.694428761801</v>
      </c>
      <c r="G302" s="18">
        <f>'price-old'!G58/VLOOKUP($C302,'nymex-old'!$A$2:$B$243,2,FALSE)*1000</f>
        <v>12044.268846511841</v>
      </c>
      <c r="H302" s="18">
        <f>'price-old'!H58/VLOOKUP($C302,'nymex-old'!$A$2:$B$243,2,FALSE)*1000</f>
        <v>11457.590262095135</v>
      </c>
      <c r="I302" s="18">
        <f>'price-old'!I58/VLOOKUP($C302,'nymex-old'!$A$2:$B$243,2,FALSE)*1000</f>
        <v>14615.142345428467</v>
      </c>
      <c r="J302" s="18">
        <f>'price-old'!J58/VLOOKUP($C302,'nymex-old'!$A$2:$B$243,2,FALSE)*1000</f>
        <v>10337.239583333334</v>
      </c>
      <c r="K302" s="18">
        <f>'price-old'!K58/VLOOKUP($C302,'nymex-old'!$A$2:$B$243,2,FALSE)*1000</f>
        <v>15195.312500000002</v>
      </c>
      <c r="L302" s="18">
        <f>'price-old'!L58/VLOOKUP($C302,'nymex-old'!$A$2:$B$243,2,FALSE)*1000</f>
        <v>25273.4375</v>
      </c>
      <c r="M302" s="18">
        <f>'price-old'!M58/VLOOKUP($C302,'nymex-old'!$A$2:$B$243,2,FALSE)*1000</f>
        <v>16406.25</v>
      </c>
      <c r="N302" s="18"/>
      <c r="O302" s="18">
        <f>'price-old'!N58/VLOOKUP($C302,'nymex-old'!$A$2:$B$243,2,FALSE)*1000</f>
        <v>16001.861095428467</v>
      </c>
      <c r="P302" s="18">
        <f>'price-old'!O58/VLOOKUP($C302,'nymex-old'!$A$2:$B$243,2,FALSE)*1000</f>
        <v>14289.622306823732</v>
      </c>
      <c r="Q302" s="18">
        <f>'price-old'!P58/VLOOKUP($C302,'nymex-old'!$A$2:$B$243,2,FALSE)*1000</f>
        <v>15259.673198064169</v>
      </c>
      <c r="R302" s="18">
        <f>'price-old'!Q58/VLOOKUP($C302,'nymex-old'!$A$2:$B$243,2,FALSE)*1000</f>
        <v>16406.25</v>
      </c>
    </row>
    <row r="303" spans="3:18" x14ac:dyDescent="0.2">
      <c r="C303" s="1">
        <f t="shared" si="24"/>
        <v>38565</v>
      </c>
      <c r="E303" s="18">
        <f>'price-old'!E59/VLOOKUP($C303,'nymex-old'!$A$2:$B$243,2,FALSE)*1000</f>
        <v>13242.508779007803</v>
      </c>
      <c r="F303" s="18">
        <f>'price-old'!F59/VLOOKUP($C303,'nymex-old'!$A$2:$B$243,2,FALSE)*1000</f>
        <v>13242.508779007803</v>
      </c>
      <c r="G303" s="18">
        <f>'price-old'!G59/VLOOKUP($C303,'nymex-old'!$A$2:$B$243,2,FALSE)*1000</f>
        <v>11904.761904761905</v>
      </c>
      <c r="H303" s="18">
        <f>'price-old'!H59/VLOOKUP($C303,'nymex-old'!$A$2:$B$243,2,FALSE)*1000</f>
        <v>11324.876861375886</v>
      </c>
      <c r="I303" s="18">
        <f>'price-old'!I59/VLOOKUP($C303,'nymex-old'!$A$2:$B$243,2,FALSE)*1000</f>
        <v>14413.679950178974</v>
      </c>
      <c r="J303" s="18">
        <f>'price-old'!J59/VLOOKUP($C303,'nymex-old'!$A$2:$B$243,2,FALSE)*1000</f>
        <v>10217.503217503217</v>
      </c>
      <c r="K303" s="18">
        <f>'price-old'!K59/VLOOKUP($C303,'nymex-old'!$A$2:$B$243,2,FALSE)*1000</f>
        <v>15019.30501930502</v>
      </c>
      <c r="L303" s="18">
        <f>'price-old'!L59/VLOOKUP($C303,'nymex-old'!$A$2:$B$243,2,FALSE)*1000</f>
        <v>25106.821106821109</v>
      </c>
      <c r="M303" s="18">
        <f>'price-old'!M59/VLOOKUP($C303,'nymex-old'!$A$2:$B$243,2,FALSE)*1000</f>
        <v>16216.216216216217</v>
      </c>
      <c r="N303" s="18"/>
      <c r="O303" s="18">
        <f>'price-old'!N59/VLOOKUP($C303,'nymex-old'!$A$2:$B$243,2,FALSE)*1000</f>
        <v>15816.511353010379</v>
      </c>
      <c r="P303" s="18">
        <f>'price-old'!O59/VLOOKUP($C303,'nymex-old'!$A$2:$B$243,2,FALSE)*1000</f>
        <v>13480.604802626289</v>
      </c>
      <c r="Q303" s="18">
        <f>'price-old'!P59/VLOOKUP($C303,'nymex-old'!$A$2:$B$243,2,FALSE)*1000</f>
        <v>15147.270291008084</v>
      </c>
      <c r="R303" s="18">
        <f>'price-old'!Q59/VLOOKUP($C303,'nymex-old'!$A$2:$B$243,2,FALSE)*1000</f>
        <v>16216.216216216217</v>
      </c>
    </row>
    <row r="304" spans="3:18" x14ac:dyDescent="0.2">
      <c r="C304" s="1">
        <f t="shared" si="24"/>
        <v>38596</v>
      </c>
      <c r="E304" s="18">
        <f>'price-old'!E60/VLOOKUP($C304,'nymex-old'!$A$2:$B$243,2,FALSE)*1000</f>
        <v>8736.4183055411122</v>
      </c>
      <c r="F304" s="18">
        <f>'price-old'!F60/VLOOKUP($C304,'nymex-old'!$A$2:$B$243,2,FALSE)*1000</f>
        <v>8736.4183055411122</v>
      </c>
      <c r="G304" s="18">
        <f>'price-old'!G60/VLOOKUP($C304,'nymex-old'!$A$2:$B$243,2,FALSE)*1000</f>
        <v>8543.1664477639424</v>
      </c>
      <c r="H304" s="18">
        <f>'price-old'!H60/VLOOKUP($C304,'nymex-old'!$A$2:$B$243,2,FALSE)*1000</f>
        <v>7220.4891726267415</v>
      </c>
      <c r="I304" s="18">
        <f>'price-old'!I60/VLOOKUP($C304,'nymex-old'!$A$2:$B$243,2,FALSE)*1000</f>
        <v>8607.9506320306464</v>
      </c>
      <c r="J304" s="18">
        <f>'price-old'!J60/VLOOKUP($C304,'nymex-old'!$A$2:$B$243,2,FALSE)*1000</f>
        <v>8728.652083738978</v>
      </c>
      <c r="K304" s="18">
        <f>'price-old'!K60/VLOOKUP($C304,'nymex-old'!$A$2:$B$243,2,FALSE)*1000</f>
        <v>9596.6084275436788</v>
      </c>
      <c r="L304" s="18">
        <f>'price-old'!L60/VLOOKUP($C304,'nymex-old'!$A$2:$B$243,2,FALSE)*1000</f>
        <v>14013.360739979444</v>
      </c>
      <c r="M304" s="18">
        <f>'price-old'!M60/VLOOKUP($C304,'nymex-old'!$A$2:$B$243,2,FALSE)*1000</f>
        <v>8607.3997944501534</v>
      </c>
      <c r="N304" s="18"/>
      <c r="O304" s="18">
        <f>'price-old'!N60/VLOOKUP($C304,'nymex-old'!$A$2:$B$243,2,FALSE)*1000</f>
        <v>9507.2302274321719</v>
      </c>
      <c r="P304" s="18">
        <f>'price-old'!O60/VLOOKUP($C304,'nymex-old'!$A$2:$B$243,2,FALSE)*1000</f>
        <v>8691.4554529297875</v>
      </c>
      <c r="Q304" s="18">
        <f>'price-old'!P60/VLOOKUP($C304,'nymex-old'!$A$2:$B$243,2,FALSE)*1000</f>
        <v>8312.4723365838581</v>
      </c>
      <c r="R304" s="18">
        <f>'price-old'!Q60/VLOOKUP($C304,'nymex-old'!$A$2:$B$243,2,FALSE)*1000</f>
        <v>8607.3997944501534</v>
      </c>
    </row>
    <row r="305" spans="3:18" x14ac:dyDescent="0.2">
      <c r="C305" s="1">
        <f t="shared" si="24"/>
        <v>38626</v>
      </c>
      <c r="E305" s="18">
        <f>'price-old'!E61/VLOOKUP($C305,'nymex-old'!$A$2:$B$243,2,FALSE)*1000</f>
        <v>8418.8934126678796</v>
      </c>
      <c r="F305" s="18">
        <f>'price-old'!F61/VLOOKUP($C305,'nymex-old'!$A$2:$B$243,2,FALSE)*1000</f>
        <v>8418.8934126678796</v>
      </c>
      <c r="G305" s="18">
        <f>'price-old'!G61/VLOOKUP($C305,'nymex-old'!$A$2:$B$243,2,FALSE)*1000</f>
        <v>7729.5926152443399</v>
      </c>
      <c r="H305" s="18">
        <f>'price-old'!H61/VLOOKUP($C305,'nymex-old'!$A$2:$B$243,2,FALSE)*1000</f>
        <v>8187.2268598906858</v>
      </c>
      <c r="I305" s="18">
        <f>'price-old'!I61/VLOOKUP($C305,'nymex-old'!$A$2:$B$243,2,FALSE)*1000</f>
        <v>8259.9318757349138</v>
      </c>
      <c r="J305" s="18">
        <f>'price-old'!J61/VLOOKUP($C305,'nymex-old'!$A$2:$B$243,2,FALSE)*1000</f>
        <v>10052.295606963487</v>
      </c>
      <c r="K305" s="18">
        <f>'price-old'!K61/VLOOKUP($C305,'nymex-old'!$A$2:$B$243,2,FALSE)*1000</f>
        <v>9846.9387755102052</v>
      </c>
      <c r="L305" s="18">
        <f>'price-old'!L61/VLOOKUP($C305,'nymex-old'!$A$2:$B$243,2,FALSE)*1000</f>
        <v>13658.163265306122</v>
      </c>
      <c r="M305" s="18">
        <f>'price-old'!M61/VLOOKUP($C305,'nymex-old'!$A$2:$B$243,2,FALSE)*1000</f>
        <v>8354.5918367346931</v>
      </c>
      <c r="N305" s="18"/>
      <c r="O305" s="18">
        <f>'price-old'!N61/VLOOKUP($C305,'nymex-old'!$A$2:$B$243,2,FALSE)*1000</f>
        <v>8890.0346172099216</v>
      </c>
      <c r="P305" s="18">
        <f>'price-old'!O61/VLOOKUP($C305,'nymex-old'!$A$2:$B$243,2,FALSE)*1000</f>
        <v>8355.5955302958591</v>
      </c>
      <c r="Q305" s="18">
        <f>'price-old'!P61/VLOOKUP($C305,'nymex-old'!$A$2:$B$243,2,FALSE)*1000</f>
        <v>7679.5753167600051</v>
      </c>
      <c r="R305" s="18">
        <f>'price-old'!Q61/VLOOKUP($C305,'nymex-old'!$A$2:$B$243,2,FALSE)*1000</f>
        <v>8354.5918367346931</v>
      </c>
    </row>
    <row r="306" spans="3:18" x14ac:dyDescent="0.2">
      <c r="C306" s="1">
        <f t="shared" si="24"/>
        <v>38657</v>
      </c>
      <c r="E306" s="18">
        <f>'price-old'!E62/VLOOKUP($C306,'nymex-old'!$A$2:$B$243,2,FALSE)*1000</f>
        <v>8163.2701977260622</v>
      </c>
      <c r="F306" s="18">
        <f>'price-old'!F62/VLOOKUP($C306,'nymex-old'!$A$2:$B$243,2,FALSE)*1000</f>
        <v>8163.2701977260622</v>
      </c>
      <c r="G306" s="18">
        <f>'price-old'!G62/VLOOKUP($C306,'nymex-old'!$A$2:$B$243,2,FALSE)*1000</f>
        <v>7398.2727953890835</v>
      </c>
      <c r="H306" s="18">
        <f>'price-old'!H62/VLOOKUP($C306,'nymex-old'!$A$2:$B$243,2,FALSE)*1000</f>
        <v>8777.787741250675</v>
      </c>
      <c r="I306" s="18">
        <f>'price-old'!I62/VLOOKUP($C306,'nymex-old'!$A$2:$B$243,2,FALSE)*1000</f>
        <v>7978.7747045627511</v>
      </c>
      <c r="J306" s="18">
        <f>'price-old'!J62/VLOOKUP($C306,'nymex-old'!$A$2:$B$243,2,FALSE)*1000</f>
        <v>9914.1592456145008</v>
      </c>
      <c r="K306" s="18">
        <f>'price-old'!K62/VLOOKUP($C306,'nymex-old'!$A$2:$B$243,2,FALSE)*1000</f>
        <v>9519.1122071516656</v>
      </c>
      <c r="L306" s="18">
        <f>'price-old'!L62/VLOOKUP($C306,'nymex-old'!$A$2:$B$243,2,FALSE)*1000</f>
        <v>13203.452527743528</v>
      </c>
      <c r="M306" s="18">
        <f>'price-old'!M62/VLOOKUP($C306,'nymex-old'!$A$2:$B$243,2,FALSE)*1000</f>
        <v>8076.4488286066598</v>
      </c>
      <c r="N306" s="18"/>
      <c r="O306" s="18">
        <f>'price-old'!N62/VLOOKUP($C306,'nymex-old'!$A$2:$B$243,2,FALSE)*1000</f>
        <v>8594.0655239119351</v>
      </c>
      <c r="P306" s="18">
        <f>'price-old'!O62/VLOOKUP($C306,'nymex-old'!$A$2:$B$243,2,FALSE)*1000</f>
        <v>8102.0796431272174</v>
      </c>
      <c r="Q306" s="18">
        <f>'price-old'!P62/VLOOKUP($C306,'nymex-old'!$A$2:$B$243,2,FALSE)*1000</f>
        <v>7448.5656512503856</v>
      </c>
      <c r="R306" s="18">
        <f>'price-old'!Q62/VLOOKUP($C306,'nymex-old'!$A$2:$B$243,2,FALSE)*1000</f>
        <v>8076.4488286066598</v>
      </c>
    </row>
    <row r="307" spans="3:18" x14ac:dyDescent="0.2">
      <c r="C307" s="1">
        <f t="shared" si="24"/>
        <v>38687</v>
      </c>
      <c r="E307" s="18">
        <f>'price-old'!E63/VLOOKUP($C307,'nymex-old'!$A$2:$B$243,2,FALSE)*1000</f>
        <v>7924.1191231265557</v>
      </c>
      <c r="F307" s="18">
        <f>'price-old'!F63/VLOOKUP($C307,'nymex-old'!$A$2:$B$243,2,FALSE)*1000</f>
        <v>7924.1191231265557</v>
      </c>
      <c r="G307" s="18">
        <f>'price-old'!G63/VLOOKUP($C307,'nymex-old'!$A$2:$B$243,2,FALSE)*1000</f>
        <v>7398.567108664136</v>
      </c>
      <c r="H307" s="18">
        <f>'price-old'!H63/VLOOKUP($C307,'nymex-old'!$A$2:$B$243,2,FALSE)*1000</f>
        <v>8614.302933358349</v>
      </c>
      <c r="I307" s="18">
        <f>'price-old'!I63/VLOOKUP($C307,'nymex-old'!$A$2:$B$243,2,FALSE)*1000</f>
        <v>7715.7350599339006</v>
      </c>
      <c r="J307" s="18">
        <f>'price-old'!J63/VLOOKUP($C307,'nymex-old'!$A$2:$B$243,2,FALSE)*1000</f>
        <v>9775.012432817628</v>
      </c>
      <c r="K307" s="18">
        <f>'price-old'!K63/VLOOKUP($C307,'nymex-old'!$A$2:$B$243,2,FALSE)*1000</f>
        <v>9212.410501193317</v>
      </c>
      <c r="L307" s="18">
        <f>'price-old'!L63/VLOOKUP($C307,'nymex-old'!$A$2:$B$243,2,FALSE)*1000</f>
        <v>12778.042959427205</v>
      </c>
      <c r="M307" s="18">
        <f>'price-old'!M63/VLOOKUP($C307,'nymex-old'!$A$2:$B$243,2,FALSE)*1000</f>
        <v>7816.2291169451064</v>
      </c>
      <c r="N307" s="18"/>
      <c r="O307" s="18">
        <f>'price-old'!N63/VLOOKUP($C307,'nymex-old'!$A$2:$B$243,2,FALSE)*1000</f>
        <v>8317.1684246928126</v>
      </c>
      <c r="P307" s="18">
        <f>'price-old'!O63/VLOOKUP($C307,'nymex-old'!$A$2:$B$243,2,FALSE)*1000</f>
        <v>7864.9001019097732</v>
      </c>
      <c r="Q307" s="18">
        <f>'price-old'!P63/VLOOKUP($C307,'nymex-old'!$A$2:$B$243,2,FALSE)*1000</f>
        <v>7232.4420501053473</v>
      </c>
      <c r="R307" s="18">
        <f>'price-old'!Q63/VLOOKUP($C307,'nymex-old'!$A$2:$B$243,2,FALSE)*1000</f>
        <v>7816.2291169451064</v>
      </c>
    </row>
    <row r="308" spans="3:18" x14ac:dyDescent="0.2">
      <c r="C308" s="1">
        <f t="shared" si="24"/>
        <v>38718</v>
      </c>
      <c r="E308" s="18">
        <f>'price-old'!E64/VLOOKUP($C308,'nymex-old'!$A$2:$B$243,2,FALSE)*1000</f>
        <v>9321.2533094307364</v>
      </c>
      <c r="F308" s="18">
        <f>'price-old'!F64/VLOOKUP($C308,'nymex-old'!$A$2:$B$243,2,FALSE)*1000</f>
        <v>9321.2533094307364</v>
      </c>
      <c r="G308" s="18">
        <f>'price-old'!G64/VLOOKUP($C308,'nymex-old'!$A$2:$B$243,2,FALSE)*1000</f>
        <v>8953.0770324980458</v>
      </c>
      <c r="H308" s="18">
        <f>'price-old'!H64/VLOOKUP($C308,'nymex-old'!$A$2:$B$243,2,FALSE)*1000</f>
        <v>9486.1743641866597</v>
      </c>
      <c r="I308" s="18">
        <f>'price-old'!I64/VLOOKUP($C308,'nymex-old'!$A$2:$B$243,2,FALSE)*1000</f>
        <v>9085.7966557282125</v>
      </c>
      <c r="J308" s="18">
        <f>'price-old'!J64/VLOOKUP($C308,'nymex-old'!$A$2:$B$243,2,FALSE)*1000</f>
        <v>11624.343213650505</v>
      </c>
      <c r="K308" s="18">
        <f>'price-old'!K64/VLOOKUP($C308,'nymex-old'!$A$2:$B$243,2,FALSE)*1000</f>
        <v>11813.251591605753</v>
      </c>
      <c r="L308" s="18">
        <f>'price-old'!L64/VLOOKUP($C308,'nymex-old'!$A$2:$B$243,2,FALSE)*1000</f>
        <v>15456.260315963213</v>
      </c>
      <c r="M308" s="18">
        <f>'price-old'!M64/VLOOKUP($C308,'nymex-old'!$A$2:$B$243,2,FALSE)*1000</f>
        <v>8960.150907804762</v>
      </c>
      <c r="N308" s="18"/>
      <c r="O308" s="18">
        <f>'price-old'!N64/VLOOKUP($C308,'nymex-old'!$A$2:$B$243,2,FALSE)*1000</f>
        <v>9844.5454286927452</v>
      </c>
      <c r="P308" s="18">
        <f>'price-old'!O64/VLOOKUP($C308,'nymex-old'!$A$2:$B$243,2,FALSE)*1000</f>
        <v>9203.6933781993284</v>
      </c>
      <c r="Q308" s="18">
        <f>'price-old'!P64/VLOOKUP($C308,'nymex-old'!$A$2:$B$243,2,FALSE)*1000</f>
        <v>9286.2207241368669</v>
      </c>
      <c r="R308" s="18">
        <f>'price-old'!Q64/VLOOKUP($C308,'nymex-old'!$A$2:$B$243,2,FALSE)*1000</f>
        <v>8960.150907804762</v>
      </c>
    </row>
    <row r="309" spans="3:18" x14ac:dyDescent="0.2">
      <c r="C309" s="1">
        <f t="shared" si="24"/>
        <v>38749</v>
      </c>
      <c r="E309" s="18">
        <f>'price-old'!E65/VLOOKUP($C309,'nymex-old'!$A$2:$B$243,2,FALSE)*1000</f>
        <v>9503.1367927425163</v>
      </c>
      <c r="F309" s="18">
        <f>'price-old'!F65/VLOOKUP($C309,'nymex-old'!$A$2:$B$243,2,FALSE)*1000</f>
        <v>9503.1367927425163</v>
      </c>
      <c r="G309" s="18">
        <f>'price-old'!G65/VLOOKUP($C309,'nymex-old'!$A$2:$B$243,2,FALSE)*1000</f>
        <v>8930.3891230288718</v>
      </c>
      <c r="H309" s="18">
        <f>'price-old'!H65/VLOOKUP($C309,'nymex-old'!$A$2:$B$243,2,FALSE)*1000</f>
        <v>9915.8045333651353</v>
      </c>
      <c r="I309" s="18">
        <f>'price-old'!I65/VLOOKUP($C309,'nymex-old'!$A$2:$B$243,2,FALSE)*1000</f>
        <v>9200.3059248423469</v>
      </c>
      <c r="J309" s="18">
        <f>'price-old'!J65/VLOOKUP($C309,'nymex-old'!$A$2:$B$243,2,FALSE)*1000</f>
        <v>11471.947506449622</v>
      </c>
      <c r="K309" s="18">
        <f>'price-old'!K65/VLOOKUP($C309,'nymex-old'!$A$2:$B$243,2,FALSE)*1000</f>
        <v>12151.346107203493</v>
      </c>
      <c r="L309" s="18">
        <f>'price-old'!L65/VLOOKUP($C309,'nymex-old'!$A$2:$B$243,2,FALSE)*1000</f>
        <v>15898.617511520737</v>
      </c>
      <c r="M309" s="18">
        <f>'price-old'!M65/VLOOKUP($C309,'nymex-old'!$A$2:$B$243,2,FALSE)*1000</f>
        <v>9216.5898617511521</v>
      </c>
      <c r="N309" s="18"/>
      <c r="O309" s="18">
        <f>'price-old'!N65/VLOOKUP($C309,'nymex-old'!$A$2:$B$243,2,FALSE)*1000</f>
        <v>10185.720039865446</v>
      </c>
      <c r="P309" s="18">
        <f>'price-old'!O65/VLOOKUP($C309,'nymex-old'!$A$2:$B$243,2,FALSE)*1000</f>
        <v>9382.2123036926987</v>
      </c>
      <c r="Q309" s="18">
        <f>'price-old'!P65/VLOOKUP($C309,'nymex-old'!$A$2:$B$243,2,FALSE)*1000</f>
        <v>9467.1015770667218</v>
      </c>
      <c r="R309" s="18">
        <f>'price-old'!Q65/VLOOKUP($C309,'nymex-old'!$A$2:$B$243,2,FALSE)*1000</f>
        <v>9216.5898617511521</v>
      </c>
    </row>
    <row r="310" spans="3:18" x14ac:dyDescent="0.2">
      <c r="C310" s="1">
        <f t="shared" si="24"/>
        <v>38777</v>
      </c>
      <c r="E310" s="18">
        <f>'price-old'!E66/VLOOKUP($C310,'nymex-old'!$A$2:$B$243,2,FALSE)*1000</f>
        <v>8557.6885374802605</v>
      </c>
      <c r="F310" s="18">
        <f>'price-old'!F66/VLOOKUP($C310,'nymex-old'!$A$2:$B$243,2,FALSE)*1000</f>
        <v>8557.6885374802605</v>
      </c>
      <c r="G310" s="18">
        <f>'price-old'!G66/VLOOKUP($C310,'nymex-old'!$A$2:$B$243,2,FALSE)*1000</f>
        <v>8358.3942690588774</v>
      </c>
      <c r="H310" s="18">
        <f>'price-old'!H66/VLOOKUP($C310,'nymex-old'!$A$2:$B$243,2,FALSE)*1000</f>
        <v>8483.344630191199</v>
      </c>
      <c r="I310" s="18">
        <f>'price-old'!I66/VLOOKUP($C310,'nymex-old'!$A$2:$B$243,2,FALSE)*1000</f>
        <v>8495.8757672991051</v>
      </c>
      <c r="J310" s="18">
        <f>'price-old'!J66/VLOOKUP($C310,'nymex-old'!$A$2:$B$243,2,FALSE)*1000</f>
        <v>10162.134576859629</v>
      </c>
      <c r="K310" s="18">
        <f>'price-old'!K66/VLOOKUP($C310,'nymex-old'!$A$2:$B$243,2,FALSE)*1000</f>
        <v>9824.5614035087729</v>
      </c>
      <c r="L310" s="18">
        <f>'price-old'!L66/VLOOKUP($C310,'nymex-old'!$A$2:$B$243,2,FALSE)*1000</f>
        <v>13170.426065162905</v>
      </c>
      <c r="M310" s="18">
        <f>'price-old'!M66/VLOOKUP($C310,'nymex-old'!$A$2:$B$243,2,FALSE)*1000</f>
        <v>8270.6766917293226</v>
      </c>
      <c r="N310" s="18"/>
      <c r="O310" s="18">
        <f>'price-old'!N66/VLOOKUP($C310,'nymex-old'!$A$2:$B$243,2,FALSE)*1000</f>
        <v>9460.5276160371632</v>
      </c>
      <c r="P310" s="18">
        <f>'price-old'!O66/VLOOKUP($C310,'nymex-old'!$A$2:$B$243,2,FALSE)*1000</f>
        <v>8370.5624840910859</v>
      </c>
      <c r="Q310" s="18">
        <f>'price-old'!P66/VLOOKUP($C310,'nymex-old'!$A$2:$B$243,2,FALSE)*1000</f>
        <v>8458.2813999109094</v>
      </c>
      <c r="R310" s="18">
        <f>'price-old'!Q66/VLOOKUP($C310,'nymex-old'!$A$2:$B$243,2,FALSE)*1000</f>
        <v>8270.6766917293226</v>
      </c>
    </row>
    <row r="311" spans="3:18" x14ac:dyDescent="0.2">
      <c r="C311" s="1">
        <f t="shared" si="24"/>
        <v>38808</v>
      </c>
      <c r="E311" s="18">
        <f>'price-old'!E67/VLOOKUP($C311,'nymex-old'!$A$2:$B$243,2,FALSE)*1000</f>
        <v>9092.0310190501168</v>
      </c>
      <c r="F311" s="18">
        <f>'price-old'!F67/VLOOKUP($C311,'nymex-old'!$A$2:$B$243,2,FALSE)*1000</f>
        <v>9092.0310190501168</v>
      </c>
      <c r="G311" s="18">
        <f>'price-old'!G67/VLOOKUP($C311,'nymex-old'!$A$2:$B$243,2,FALSE)*1000</f>
        <v>8396.8440493208982</v>
      </c>
      <c r="H311" s="18">
        <f>'price-old'!H67/VLOOKUP($C311,'nymex-old'!$A$2:$B$243,2,FALSE)*1000</f>
        <v>8895.8068526840707</v>
      </c>
      <c r="I311" s="18">
        <f>'price-old'!I67/VLOOKUP($C311,'nymex-old'!$A$2:$B$243,2,FALSE)*1000</f>
        <v>8830.1038303450441</v>
      </c>
      <c r="J311" s="18">
        <f>'price-old'!J67/VLOOKUP($C311,'nymex-old'!$A$2:$B$243,2,FALSE)*1000</f>
        <v>10104.313974468216</v>
      </c>
      <c r="K311" s="18">
        <f>'price-old'!K67/VLOOKUP($C311,'nymex-old'!$A$2:$B$243,2,FALSE)*1000</f>
        <v>10302.233902759526</v>
      </c>
      <c r="L311" s="18">
        <f>'price-old'!L67/VLOOKUP($C311,'nymex-old'!$A$2:$B$243,2,FALSE)*1000</f>
        <v>13810.7752956636</v>
      </c>
      <c r="M311" s="18">
        <f>'price-old'!M67/VLOOKUP($C311,'nymex-old'!$A$2:$B$243,2,FALSE)*1000</f>
        <v>8541.3929040735875</v>
      </c>
      <c r="N311" s="18"/>
      <c r="O311" s="18">
        <f>'price-old'!N67/VLOOKUP($C311,'nymex-old'!$A$2:$B$243,2,FALSE)*1000</f>
        <v>9986.2027262262854</v>
      </c>
      <c r="P311" s="18">
        <f>'price-old'!O67/VLOOKUP($C311,'nymex-old'!$A$2:$B$243,2,FALSE)*1000</f>
        <v>8895.8068526840707</v>
      </c>
      <c r="Q311" s="18">
        <f>'price-old'!P67/VLOOKUP($C311,'nymex-old'!$A$2:$B$243,2,FALSE)*1000</f>
        <v>8987.7906829392869</v>
      </c>
      <c r="R311" s="18">
        <f>'price-old'!Q67/VLOOKUP($C311,'nymex-old'!$A$2:$B$243,2,FALSE)*1000</f>
        <v>8541.3929040735875</v>
      </c>
    </row>
    <row r="312" spans="3:18" x14ac:dyDescent="0.2">
      <c r="C312" s="1">
        <f t="shared" ref="C312:C343" si="25">C67</f>
        <v>38838</v>
      </c>
      <c r="E312" s="18">
        <f>'price-old'!E68/VLOOKUP($C312,'nymex-old'!$A$2:$B$243,2,FALSE)*1000</f>
        <v>10738.753769865778</v>
      </c>
      <c r="F312" s="18">
        <f>'price-old'!F68/VLOOKUP($C312,'nymex-old'!$A$2:$B$243,2,FALSE)*1000</f>
        <v>10738.753769865778</v>
      </c>
      <c r="G312" s="18">
        <f>'price-old'!G68/VLOOKUP($C312,'nymex-old'!$A$2:$B$243,2,FALSE)*1000</f>
        <v>9328.065653563488</v>
      </c>
      <c r="H312" s="18">
        <f>'price-old'!H68/VLOOKUP($C312,'nymex-old'!$A$2:$B$243,2,FALSE)*1000</f>
        <v>9105.023973387064</v>
      </c>
      <c r="I312" s="18">
        <f>'price-old'!I68/VLOOKUP($C312,'nymex-old'!$A$2:$B$243,2,FALSE)*1000</f>
        <v>9223.6012495239411</v>
      </c>
      <c r="J312" s="18">
        <f>'price-old'!J68/VLOOKUP($C312,'nymex-old'!$A$2:$B$243,2,FALSE)*1000</f>
        <v>10920.79494310462</v>
      </c>
      <c r="K312" s="18">
        <f>'price-old'!K68/VLOOKUP($C312,'nymex-old'!$A$2:$B$243,2,FALSE)*1000</f>
        <v>10329.380764163374</v>
      </c>
      <c r="L312" s="18">
        <f>'price-old'!L68/VLOOKUP($C312,'nymex-old'!$A$2:$B$243,2,FALSE)*1000</f>
        <v>14110.671936758892</v>
      </c>
      <c r="M312" s="18">
        <f>'price-old'!M68/VLOOKUP($C312,'nymex-old'!$A$2:$B$243,2,FALSE)*1000</f>
        <v>9683.794466403162</v>
      </c>
      <c r="N312" s="18"/>
      <c r="O312" s="18">
        <f>'price-old'!N68/VLOOKUP($C312,'nymex-old'!$A$2:$B$243,2,FALSE)*1000</f>
        <v>11331.63914535985</v>
      </c>
      <c r="P312" s="18">
        <f>'price-old'!O68/VLOOKUP($C312,'nymex-old'!$A$2:$B$243,2,FALSE)*1000</f>
        <v>11173.535775447239</v>
      </c>
      <c r="Q312" s="18">
        <f>'price-old'!P68/VLOOKUP($C312,'nymex-old'!$A$2:$B$243,2,FALSE)*1000</f>
        <v>9249.9513085808831</v>
      </c>
      <c r="R312" s="18">
        <f>'price-old'!Q68/VLOOKUP($C312,'nymex-old'!$A$2:$B$243,2,FALSE)*1000</f>
        <v>9683.794466403162</v>
      </c>
    </row>
    <row r="313" spans="3:18" x14ac:dyDescent="0.2">
      <c r="C313" s="1">
        <f t="shared" si="25"/>
        <v>38869</v>
      </c>
      <c r="E313" s="18">
        <f>'price-old'!E69/VLOOKUP($C313,'nymex-old'!$A$2:$B$243,2,FALSE)*1000</f>
        <v>9985.0841055212604</v>
      </c>
      <c r="F313" s="18">
        <f>'price-old'!F69/VLOOKUP($C313,'nymex-old'!$A$2:$B$243,2,FALSE)*1000</f>
        <v>9985.0841055212604</v>
      </c>
      <c r="G313" s="18">
        <f>'price-old'!G69/VLOOKUP($C313,'nymex-old'!$A$2:$B$243,2,FALSE)*1000</f>
        <v>9266.5090538508812</v>
      </c>
      <c r="H313" s="18">
        <f>'price-old'!H69/VLOOKUP($C313,'nymex-old'!$A$2:$B$243,2,FALSE)*1000</f>
        <v>8484.170505938906</v>
      </c>
      <c r="I313" s="18">
        <f>'price-old'!I69/VLOOKUP($C313,'nymex-old'!$A$2:$B$243,2,FALSE)*1000</f>
        <v>9985.0841055212604</v>
      </c>
      <c r="J313" s="18">
        <f>'price-old'!J69/VLOOKUP($C313,'nymex-old'!$A$2:$B$243,2,FALSE)*1000</f>
        <v>8217.7765840526918</v>
      </c>
      <c r="K313" s="18">
        <f>'price-old'!K69/VLOOKUP($C313,'nymex-old'!$A$2:$B$243,2,FALSE)*1000</f>
        <v>12033.411641868963</v>
      </c>
      <c r="L313" s="18">
        <f>'price-old'!L69/VLOOKUP($C313,'nymex-old'!$A$2:$B$243,2,FALSE)*1000</f>
        <v>18676.585747846511</v>
      </c>
      <c r="M313" s="18">
        <f>'price-old'!M69/VLOOKUP($C313,'nymex-old'!$A$2:$B$243,2,FALSE)*1000</f>
        <v>12529.365700861392</v>
      </c>
      <c r="N313" s="18"/>
      <c r="O313" s="18">
        <f>'price-old'!N69/VLOOKUP($C313,'nymex-old'!$A$2:$B$243,2,FALSE)*1000</f>
        <v>11551.254818128935</v>
      </c>
      <c r="P313" s="18">
        <f>'price-old'!O69/VLOOKUP($C313,'nymex-old'!$A$2:$B$243,2,FALSE)*1000</f>
        <v>11512.100152015933</v>
      </c>
      <c r="Q313" s="18">
        <f>'price-old'!P69/VLOOKUP($C313,'nymex-old'!$A$2:$B$243,2,FALSE)*1000</f>
        <v>10272.215004534859</v>
      </c>
      <c r="R313" s="18">
        <f>'price-old'!Q69/VLOOKUP($C313,'nymex-old'!$A$2:$B$243,2,FALSE)*1000</f>
        <v>12529.365700861392</v>
      </c>
    </row>
    <row r="314" spans="3:18" x14ac:dyDescent="0.2">
      <c r="C314" s="1">
        <f t="shared" si="25"/>
        <v>38899</v>
      </c>
      <c r="E314" s="18">
        <f>'price-old'!E70/VLOOKUP($C314,'nymex-old'!$A$2:$B$243,2,FALSE)*1000</f>
        <v>13104.934692382813</v>
      </c>
      <c r="F314" s="18">
        <f>'price-old'!F70/VLOOKUP($C314,'nymex-old'!$A$2:$B$243,2,FALSE)*1000</f>
        <v>13104.934692382813</v>
      </c>
      <c r="G314" s="18">
        <f>'price-old'!G70/VLOOKUP($C314,'nymex-old'!$A$2:$B$243,2,FALSE)*1000</f>
        <v>11662.369167681822</v>
      </c>
      <c r="H314" s="18">
        <f>'price-old'!H70/VLOOKUP($C314,'nymex-old'!$A$2:$B$243,2,FALSE)*1000</f>
        <v>10695.140877949823</v>
      </c>
      <c r="I314" s="18">
        <f>'price-old'!I70/VLOOKUP($C314,'nymex-old'!$A$2:$B$243,2,FALSE)*1000</f>
        <v>14309.831992867068</v>
      </c>
      <c r="J314" s="18">
        <f>'price-old'!J70/VLOOKUP($C314,'nymex-old'!$A$2:$B$243,2,FALSE)*1000</f>
        <v>10122.42268041237</v>
      </c>
      <c r="K314" s="18">
        <f>'price-old'!K70/VLOOKUP($C314,'nymex-old'!$A$2:$B$243,2,FALSE)*1000</f>
        <v>14909.793814432991</v>
      </c>
      <c r="L314" s="18">
        <f>'price-old'!L70/VLOOKUP($C314,'nymex-old'!$A$2:$B$243,2,FALSE)*1000</f>
        <v>25141.752577319585</v>
      </c>
      <c r="M314" s="18">
        <f>'price-old'!M70/VLOOKUP($C314,'nymex-old'!$A$2:$B$243,2,FALSE)*1000</f>
        <v>15721.649484536083</v>
      </c>
      <c r="N314" s="18"/>
      <c r="O314" s="18">
        <f>'price-old'!N70/VLOOKUP($C314,'nymex-old'!$A$2:$B$243,2,FALSE)*1000</f>
        <v>15682.254280011681</v>
      </c>
      <c r="P314" s="18">
        <f>'price-old'!O70/VLOOKUP($C314,'nymex-old'!$A$2:$B$243,2,FALSE)*1000</f>
        <v>13955.450942835858</v>
      </c>
      <c r="Q314" s="18">
        <f>'price-old'!P70/VLOOKUP($C314,'nymex-old'!$A$2:$B$243,2,FALSE)*1000</f>
        <v>15205.45015630034</v>
      </c>
      <c r="R314" s="18">
        <f>'price-old'!Q70/VLOOKUP($C314,'nymex-old'!$A$2:$B$243,2,FALSE)*1000</f>
        <v>15721.649484536083</v>
      </c>
    </row>
    <row r="315" spans="3:18" x14ac:dyDescent="0.2">
      <c r="C315" s="1">
        <f t="shared" si="25"/>
        <v>38930</v>
      </c>
      <c r="E315" s="18">
        <f>'price-old'!E71/VLOOKUP($C315,'nymex-old'!$A$2:$B$243,2,FALSE)*1000</f>
        <v>12954.687033489252</v>
      </c>
      <c r="F315" s="18">
        <f>'price-old'!F71/VLOOKUP($C315,'nymex-old'!$A$2:$B$243,2,FALSE)*1000</f>
        <v>12954.687033489252</v>
      </c>
      <c r="G315" s="18">
        <f>'price-old'!G71/VLOOKUP($C315,'nymex-old'!$A$2:$B$243,2,FALSE)*1000</f>
        <v>11528.662420382165</v>
      </c>
      <c r="H315" s="18">
        <f>'price-old'!H71/VLOOKUP($C315,'nymex-old'!$A$2:$B$243,2,FALSE)*1000</f>
        <v>10572.521428393709</v>
      </c>
      <c r="I315" s="18">
        <f>'price-old'!I71/VLOOKUP($C315,'nymex-old'!$A$2:$B$243,2,FALSE)*1000</f>
        <v>14113.923091038017</v>
      </c>
      <c r="J315" s="18">
        <f>'price-old'!J71/VLOOKUP($C315,'nymex-old'!$A$2:$B$243,2,FALSE)*1000</f>
        <v>10006.369426751591</v>
      </c>
      <c r="K315" s="18">
        <f>'price-old'!K71/VLOOKUP($C315,'nymex-old'!$A$2:$B$243,2,FALSE)*1000</f>
        <v>14738.853503184713</v>
      </c>
      <c r="L315" s="18">
        <f>'price-old'!L71/VLOOKUP($C315,'nymex-old'!$A$2:$B$243,2,FALSE)*1000</f>
        <v>24978.343949044589</v>
      </c>
      <c r="M315" s="18">
        <f>'price-old'!M71/VLOOKUP($C315,'nymex-old'!$A$2:$B$243,2,FALSE)*1000</f>
        <v>15541.401273885351</v>
      </c>
      <c r="N315" s="18"/>
      <c r="O315" s="18">
        <f>'price-old'!N71/VLOOKUP($C315,'nymex-old'!$A$2:$B$243,2,FALSE)*1000</f>
        <v>15502.457734126196</v>
      </c>
      <c r="P315" s="18">
        <f>'price-old'!O71/VLOOKUP($C315,'nymex-old'!$A$2:$B$243,2,FALSE)*1000</f>
        <v>13795.452142217357</v>
      </c>
      <c r="Q315" s="18">
        <f>'price-old'!P71/VLOOKUP($C315,'nymex-old'!$A$2:$B$243,2,FALSE)*1000</f>
        <v>15031.12015450836</v>
      </c>
      <c r="R315" s="18">
        <f>'price-old'!Q71/VLOOKUP($C315,'nymex-old'!$A$2:$B$243,2,FALSE)*1000</f>
        <v>15541.401273885351</v>
      </c>
    </row>
    <row r="316" spans="3:18" x14ac:dyDescent="0.2">
      <c r="C316" s="1">
        <f t="shared" si="25"/>
        <v>38961</v>
      </c>
      <c r="E316" s="18">
        <f>'price-old'!E72/VLOOKUP($C316,'nymex-old'!$A$2:$B$243,2,FALSE)*1000</f>
        <v>8940.0152708967471</v>
      </c>
      <c r="F316" s="18">
        <f>'price-old'!F72/VLOOKUP($C316,'nymex-old'!$A$2:$B$243,2,FALSE)*1000</f>
        <v>8940.0152708967471</v>
      </c>
      <c r="G316" s="18">
        <f>'price-old'!G72/VLOOKUP($C316,'nymex-old'!$A$2:$B$243,2,FALSE)*1000</f>
        <v>8456.2573282546437</v>
      </c>
      <c r="H316" s="18">
        <f>'price-old'!H72/VLOOKUP($C316,'nymex-old'!$A$2:$B$243,2,FALSE)*1000</f>
        <v>7401.359069141221</v>
      </c>
      <c r="I316" s="18">
        <f>'price-old'!I72/VLOOKUP($C316,'nymex-old'!$A$2:$B$243,2,FALSE)*1000</f>
        <v>8812.8548793850932</v>
      </c>
      <c r="J316" s="18">
        <f>'price-old'!J72/VLOOKUP($C316,'nymex-old'!$A$2:$B$243,2,FALSE)*1000</f>
        <v>8888.4572507406174</v>
      </c>
      <c r="K316" s="18">
        <f>'price-old'!K72/VLOOKUP($C316,'nymex-old'!$A$2:$B$243,2,FALSE)*1000</f>
        <v>9371.820956256357</v>
      </c>
      <c r="L316" s="18">
        <f>'price-old'!L72/VLOOKUP($C316,'nymex-old'!$A$2:$B$243,2,FALSE)*1000</f>
        <v>13997.965412004067</v>
      </c>
      <c r="M316" s="18">
        <f>'price-old'!M72/VLOOKUP($C316,'nymex-old'!$A$2:$B$243,2,FALSE)*1000</f>
        <v>8456.2563580874867</v>
      </c>
      <c r="N316" s="18"/>
      <c r="O316" s="18">
        <f>'price-old'!N72/VLOOKUP($C316,'nymex-old'!$A$2:$B$243,2,FALSE)*1000</f>
        <v>9702.9857693708072</v>
      </c>
      <c r="P316" s="18">
        <f>'price-old'!O72/VLOOKUP($C316,'nymex-old'!$A$2:$B$243,2,FALSE)*1000</f>
        <v>9512.2441149194492</v>
      </c>
      <c r="Q316" s="18">
        <f>'price-old'!P72/VLOOKUP($C316,'nymex-old'!$A$2:$B$243,2,FALSE)*1000</f>
        <v>8711.1250915216897</v>
      </c>
      <c r="R316" s="18">
        <f>'price-old'!Q72/VLOOKUP($C316,'nymex-old'!$A$2:$B$243,2,FALSE)*1000</f>
        <v>8456.2563580874867</v>
      </c>
    </row>
    <row r="317" spans="3:18" x14ac:dyDescent="0.2">
      <c r="C317" s="1">
        <f t="shared" si="25"/>
        <v>38991</v>
      </c>
      <c r="E317" s="18">
        <f>'price-old'!E73/VLOOKUP($C317,'nymex-old'!$A$2:$B$243,2,FALSE)*1000</f>
        <v>8624.2581256712328</v>
      </c>
      <c r="F317" s="18">
        <f>'price-old'!F73/VLOOKUP($C317,'nymex-old'!$A$2:$B$243,2,FALSE)*1000</f>
        <v>8624.2581256712328</v>
      </c>
      <c r="G317" s="18">
        <f>'price-old'!G73/VLOOKUP($C317,'nymex-old'!$A$2:$B$243,2,FALSE)*1000</f>
        <v>7651.5159221610638</v>
      </c>
      <c r="H317" s="18">
        <f>'price-old'!H73/VLOOKUP($C317,'nymex-old'!$A$2:$B$243,2,FALSE)*1000</f>
        <v>8357.0528512049204</v>
      </c>
      <c r="I317" s="18">
        <f>'price-old'!I73/VLOOKUP($C317,'nymex-old'!$A$2:$B$243,2,FALSE)*1000</f>
        <v>8466.902646151455</v>
      </c>
      <c r="J317" s="18">
        <f>'price-old'!J73/VLOOKUP($C317,'nymex-old'!$A$2:$B$243,2,FALSE)*1000</f>
        <v>10013.888580630524</v>
      </c>
      <c r="K317" s="18">
        <f>'price-old'!K73/VLOOKUP($C317,'nymex-old'!$A$2:$B$243,2,FALSE)*1000</f>
        <v>9621.2121212121219</v>
      </c>
      <c r="L317" s="18">
        <f>'price-old'!L73/VLOOKUP($C317,'nymex-old'!$A$2:$B$243,2,FALSE)*1000</f>
        <v>13646.464646464647</v>
      </c>
      <c r="M317" s="18">
        <f>'price-old'!M73/VLOOKUP($C317,'nymex-old'!$A$2:$B$243,2,FALSE)*1000</f>
        <v>8207.0707070707085</v>
      </c>
      <c r="N317" s="18"/>
      <c r="O317" s="18">
        <f>'price-old'!N73/VLOOKUP($C317,'nymex-old'!$A$2:$B$243,2,FALSE)*1000</f>
        <v>9090.6403281471958</v>
      </c>
      <c r="P317" s="18">
        <f>'price-old'!O73/VLOOKUP($C317,'nymex-old'!$A$2:$B$243,2,FALSE)*1000</f>
        <v>8561.5996158484249</v>
      </c>
      <c r="Q317" s="18">
        <f>'price-old'!P73/VLOOKUP($C317,'nymex-old'!$A$2:$B$243,2,FALSE)*1000</f>
        <v>8081.8012507274889</v>
      </c>
      <c r="R317" s="18">
        <f>'price-old'!Q73/VLOOKUP($C317,'nymex-old'!$A$2:$B$243,2,FALSE)*1000</f>
        <v>8207.0707070707085</v>
      </c>
    </row>
    <row r="318" spans="3:18" x14ac:dyDescent="0.2">
      <c r="C318" s="1">
        <f t="shared" si="25"/>
        <v>39022</v>
      </c>
      <c r="E318" s="18">
        <f>'price-old'!E74/VLOOKUP($C318,'nymex-old'!$A$2:$B$243,2,FALSE)*1000</f>
        <v>8364.3615755260507</v>
      </c>
      <c r="F318" s="18">
        <f>'price-old'!F74/VLOOKUP($C318,'nymex-old'!$A$2:$B$243,2,FALSE)*1000</f>
        <v>8364.3615755260507</v>
      </c>
      <c r="G318" s="18">
        <f>'price-old'!G74/VLOOKUP($C318,'nymex-old'!$A$2:$B$243,2,FALSE)*1000</f>
        <v>7326.0063944573221</v>
      </c>
      <c r="H318" s="18">
        <f>'price-old'!H74/VLOOKUP($C318,'nymex-old'!$A$2:$B$243,2,FALSE)*1000</f>
        <v>8936.2464690528668</v>
      </c>
      <c r="I318" s="18">
        <f>'price-old'!I74/VLOOKUP($C318,'nymex-old'!$A$2:$B$243,2,FALSE)*1000</f>
        <v>8181.6686087621147</v>
      </c>
      <c r="J318" s="18">
        <f>'price-old'!J74/VLOOKUP($C318,'nymex-old'!$A$2:$B$243,2,FALSE)*1000</f>
        <v>9878.3677023117962</v>
      </c>
      <c r="K318" s="18">
        <f>'price-old'!K74/VLOOKUP($C318,'nymex-old'!$A$2:$B$243,2,FALSE)*1000</f>
        <v>9304.0293040293054</v>
      </c>
      <c r="L318" s="18">
        <f>'price-old'!L74/VLOOKUP($C318,'nymex-old'!$A$2:$B$243,2,FALSE)*1000</f>
        <v>13196.581196581197</v>
      </c>
      <c r="M318" s="18">
        <f>'price-old'!M74/VLOOKUP($C318,'nymex-old'!$A$2:$B$243,2,FALSE)*1000</f>
        <v>7936.5079365079364</v>
      </c>
      <c r="N318" s="18"/>
      <c r="O318" s="18">
        <f>'price-old'!N74/VLOOKUP($C318,'nymex-old'!$A$2:$B$243,2,FALSE)*1000</f>
        <v>8790.9488887577263</v>
      </c>
      <c r="P318" s="18">
        <f>'price-old'!O74/VLOOKUP($C318,'nymex-old'!$A$2:$B$243,2,FALSE)*1000</f>
        <v>8303.768730862239</v>
      </c>
      <c r="Q318" s="18">
        <f>'price-old'!P74/VLOOKUP($C318,'nymex-old'!$A$2:$B$243,2,FALSE)*1000</f>
        <v>7839.7878942617717</v>
      </c>
      <c r="R318" s="18">
        <f>'price-old'!Q74/VLOOKUP($C318,'nymex-old'!$A$2:$B$243,2,FALSE)*1000</f>
        <v>7936.5079365079364</v>
      </c>
    </row>
    <row r="319" spans="3:18" x14ac:dyDescent="0.2">
      <c r="C319" s="1">
        <f t="shared" si="25"/>
        <v>39052</v>
      </c>
      <c r="E319" s="18">
        <f>'price-old'!E75/VLOOKUP($C319,'nymex-old'!$A$2:$B$243,2,FALSE)*1000</f>
        <v>8121.0541668794958</v>
      </c>
      <c r="F319" s="18">
        <f>'price-old'!F75/VLOOKUP($C319,'nymex-old'!$A$2:$B$243,2,FALSE)*1000</f>
        <v>8121.0541668794958</v>
      </c>
      <c r="G319" s="18">
        <f>'price-old'!G75/VLOOKUP($C319,'nymex-old'!$A$2:$B$243,2,FALSE)*1000</f>
        <v>7328.604299125941</v>
      </c>
      <c r="H319" s="18">
        <f>'price-old'!H75/VLOOKUP($C319,'nymex-old'!$A$2:$B$243,2,FALSE)*1000</f>
        <v>8769.2504233502332</v>
      </c>
      <c r="I319" s="18">
        <f>'price-old'!I75/VLOOKUP($C319,'nymex-old'!$A$2:$B$243,2,FALSE)*1000</f>
        <v>7914.6409992912413</v>
      </c>
      <c r="J319" s="18">
        <f>'price-old'!J75/VLOOKUP($C319,'nymex-old'!$A$2:$B$243,2,FALSE)*1000</f>
        <v>9741.6789819162786</v>
      </c>
      <c r="K319" s="18">
        <f>'price-old'!K75/VLOOKUP($C319,'nymex-old'!$A$2:$B$243,2,FALSE)*1000</f>
        <v>9007.0921985815603</v>
      </c>
      <c r="L319" s="18">
        <f>'price-old'!L75/VLOOKUP($C319,'nymex-old'!$A$2:$B$243,2,FALSE)*1000</f>
        <v>12775.413711583922</v>
      </c>
      <c r="M319" s="18">
        <f>'price-old'!M75/VLOOKUP($C319,'nymex-old'!$A$2:$B$243,2,FALSE)*1000</f>
        <v>7683.2151300236392</v>
      </c>
      <c r="N319" s="18"/>
      <c r="O319" s="18">
        <f>'price-old'!N75/VLOOKUP($C319,'nymex-old'!$A$2:$B$243,2,FALSE)*1000</f>
        <v>8510.3866901803503</v>
      </c>
      <c r="P319" s="18">
        <f>'price-old'!O75/VLOOKUP($C319,'nymex-old'!$A$2:$B$243,2,FALSE)*1000</f>
        <v>8062.3951364070799</v>
      </c>
      <c r="Q319" s="18">
        <f>'price-old'!P75/VLOOKUP($C319,'nymex-old'!$A$2:$B$243,2,FALSE)*1000</f>
        <v>7613.2221988470556</v>
      </c>
      <c r="R319" s="18">
        <f>'price-old'!Q75/VLOOKUP($C319,'nymex-old'!$A$2:$B$243,2,FALSE)*1000</f>
        <v>7683.2151300236392</v>
      </c>
    </row>
    <row r="320" spans="3:18" x14ac:dyDescent="0.2">
      <c r="C320" s="1">
        <f t="shared" si="25"/>
        <v>39083</v>
      </c>
      <c r="E320" s="18">
        <f>'price-old'!E76/VLOOKUP($C320,'nymex-old'!$A$2:$B$243,2,FALSE)*1000</f>
        <v>9270.9007889293298</v>
      </c>
      <c r="F320" s="18">
        <f>'price-old'!F76/VLOOKUP($C320,'nymex-old'!$A$2:$B$243,2,FALSE)*1000</f>
        <v>9270.9007889293298</v>
      </c>
      <c r="G320" s="18">
        <f>'price-old'!G76/VLOOKUP($C320,'nymex-old'!$A$2:$B$243,2,FALSE)*1000</f>
        <v>9081.7990433055729</v>
      </c>
      <c r="H320" s="18">
        <f>'price-old'!H76/VLOOKUP($C320,'nymex-old'!$A$2:$B$243,2,FALSE)*1000</f>
        <v>9666.9460448649788</v>
      </c>
      <c r="I320" s="18">
        <f>'price-old'!I76/VLOOKUP($C320,'nymex-old'!$A$2:$B$243,2,FALSE)*1000</f>
        <v>9067.3184844892476</v>
      </c>
      <c r="J320" s="18">
        <f>'price-old'!J76/VLOOKUP($C320,'nymex-old'!$A$2:$B$243,2,FALSE)*1000</f>
        <v>11605.415886528033</v>
      </c>
      <c r="K320" s="18">
        <f>'price-old'!K76/VLOOKUP($C320,'nymex-old'!$A$2:$B$243,2,FALSE)*1000</f>
        <v>11675.600093218363</v>
      </c>
      <c r="L320" s="18">
        <f>'price-old'!L76/VLOOKUP($C320,'nymex-old'!$A$2:$B$243,2,FALSE)*1000</f>
        <v>15509.205313446748</v>
      </c>
      <c r="M320" s="18">
        <f>'price-old'!M76/VLOOKUP($C320,'nymex-old'!$A$2:$B$243,2,FALSE)*1000</f>
        <v>8739.2216266604519</v>
      </c>
      <c r="N320" s="18"/>
      <c r="O320" s="18">
        <f>'price-old'!N76/VLOOKUP($C320,'nymex-old'!$A$2:$B$243,2,FALSE)*1000</f>
        <v>9788.0953537837177</v>
      </c>
      <c r="P320" s="18">
        <f>'price-old'!O76/VLOOKUP($C320,'nymex-old'!$A$2:$B$243,2,FALSE)*1000</f>
        <v>9154.7107007558516</v>
      </c>
      <c r="Q320" s="18">
        <f>'price-old'!P76/VLOOKUP($C320,'nymex-old'!$A$2:$B$243,2,FALSE)*1000</f>
        <v>9178.0149361604417</v>
      </c>
      <c r="R320" s="18">
        <f>'price-old'!Q76/VLOOKUP($C320,'nymex-old'!$A$2:$B$243,2,FALSE)*1000</f>
        <v>8739.2216266604519</v>
      </c>
    </row>
    <row r="321" spans="3:18" x14ac:dyDescent="0.2">
      <c r="C321" s="1">
        <f t="shared" si="25"/>
        <v>39114</v>
      </c>
      <c r="E321" s="18">
        <f>'price-old'!E77/VLOOKUP($C321,'nymex-old'!$A$2:$B$243,2,FALSE)*1000</f>
        <v>9449.1811637856208</v>
      </c>
      <c r="F321" s="18">
        <f>'price-old'!F77/VLOOKUP($C321,'nymex-old'!$A$2:$B$243,2,FALSE)*1000</f>
        <v>9449.1811637856208</v>
      </c>
      <c r="G321" s="18">
        <f>'price-old'!G77/VLOOKUP($C321,'nymex-old'!$A$2:$B$243,2,FALSE)*1000</f>
        <v>9063.0228502870941</v>
      </c>
      <c r="H321" s="18">
        <f>'price-old'!H77/VLOOKUP($C321,'nymex-old'!$A$2:$B$243,2,FALSE)*1000</f>
        <v>10096.540160811037</v>
      </c>
      <c r="I321" s="18">
        <f>'price-old'!I77/VLOOKUP($C321,'nymex-old'!$A$2:$B$243,2,FALSE)*1000</f>
        <v>9209.8876894620189</v>
      </c>
      <c r="J321" s="18">
        <f>'price-old'!J77/VLOOKUP($C321,'nymex-old'!$A$2:$B$243,2,FALSE)*1000</f>
        <v>11454.310943947232</v>
      </c>
      <c r="K321" s="18">
        <f>'price-old'!K77/VLOOKUP($C321,'nymex-old'!$A$2:$B$243,2,FALSE)*1000</f>
        <v>12005.751258087708</v>
      </c>
      <c r="L321" s="18">
        <f>'price-old'!L77/VLOOKUP($C321,'nymex-old'!$A$2:$B$243,2,FALSE)*1000</f>
        <v>15947.759405703329</v>
      </c>
      <c r="M321" s="18">
        <f>'price-old'!M77/VLOOKUP($C321,'nymex-old'!$A$2:$B$243,2,FALSE)*1000</f>
        <v>8986.3407620416965</v>
      </c>
      <c r="N321" s="18"/>
      <c r="O321" s="18">
        <f>'price-old'!N77/VLOOKUP($C321,'nymex-old'!$A$2:$B$243,2,FALSE)*1000</f>
        <v>10123.585843365739</v>
      </c>
      <c r="P321" s="18">
        <f>'price-old'!O77/VLOOKUP($C321,'nymex-old'!$A$2:$B$243,2,FALSE)*1000</f>
        <v>9329.7055662892399</v>
      </c>
      <c r="Q321" s="18">
        <f>'price-old'!P77/VLOOKUP($C321,'nymex-old'!$A$2:$B$243,2,FALSE)*1000</f>
        <v>9353.668775999542</v>
      </c>
      <c r="R321" s="18">
        <f>'price-old'!Q77/VLOOKUP($C321,'nymex-old'!$A$2:$B$243,2,FALSE)*1000</f>
        <v>8986.3407620416965</v>
      </c>
    </row>
    <row r="322" spans="3:18" x14ac:dyDescent="0.2">
      <c r="C322" s="1">
        <f t="shared" si="25"/>
        <v>39142</v>
      </c>
      <c r="E322" s="18">
        <f>'price-old'!E78/VLOOKUP($C322,'nymex-old'!$A$2:$B$243,2,FALSE)*1000</f>
        <v>8513.6577387490688</v>
      </c>
      <c r="F322" s="18">
        <f>'price-old'!F78/VLOOKUP($C322,'nymex-old'!$A$2:$B$243,2,FALSE)*1000</f>
        <v>8513.6577387490688</v>
      </c>
      <c r="G322" s="18">
        <f>'price-old'!G78/VLOOKUP($C322,'nymex-old'!$A$2:$B$243,2,FALSE)*1000</f>
        <v>8502.4735479071587</v>
      </c>
      <c r="H322" s="18">
        <f>'price-old'!H78/VLOOKUP($C322,'nymex-old'!$A$2:$B$243,2,FALSE)*1000</f>
        <v>8687.7586817977462</v>
      </c>
      <c r="I322" s="18">
        <f>'price-old'!I78/VLOOKUP($C322,'nymex-old'!$A$2:$B$243,2,FALSE)*1000</f>
        <v>8545.4317602780793</v>
      </c>
      <c r="J322" s="18">
        <f>'price-old'!J78/VLOOKUP($C322,'nymex-old'!$A$2:$B$243,2,FALSE)*1000</f>
        <v>10098.246772690574</v>
      </c>
      <c r="K322" s="18">
        <f>'price-old'!K78/VLOOKUP($C322,'nymex-old'!$A$2:$B$243,2,FALSE)*1000</f>
        <v>9702.9702970297021</v>
      </c>
      <c r="L322" s="18">
        <f>'price-old'!L78/VLOOKUP($C322,'nymex-old'!$A$2:$B$243,2,FALSE)*1000</f>
        <v>13254.950495049505</v>
      </c>
      <c r="M322" s="18">
        <f>'price-old'!M78/VLOOKUP($C322,'nymex-old'!$A$2:$B$243,2,FALSE)*1000</f>
        <v>8230.198019801981</v>
      </c>
      <c r="N322" s="18"/>
      <c r="O322" s="18">
        <f>'price-old'!N78/VLOOKUP($C322,'nymex-old'!$A$2:$B$243,2,FALSE)*1000</f>
        <v>9405.3230663337326</v>
      </c>
      <c r="P322" s="18">
        <f>'price-old'!O78/VLOOKUP($C322,'nymex-old'!$A$2:$B$243,2,FALSE)*1000</f>
        <v>8328.8476018622368</v>
      </c>
      <c r="Q322" s="18">
        <f>'price-old'!P78/VLOOKUP($C322,'nymex-old'!$A$2:$B$243,2,FALSE)*1000</f>
        <v>8353.5996994169618</v>
      </c>
      <c r="R322" s="18">
        <f>'price-old'!Q78/VLOOKUP($C322,'nymex-old'!$A$2:$B$243,2,FALSE)*1000</f>
        <v>8230.198019801981</v>
      </c>
    </row>
    <row r="323" spans="3:18" x14ac:dyDescent="0.2">
      <c r="C323" s="1">
        <f t="shared" si="25"/>
        <v>39173</v>
      </c>
      <c r="E323" s="18">
        <f>'price-old'!E79/VLOOKUP($C323,'nymex-old'!$A$2:$B$243,2,FALSE)*1000</f>
        <v>9038.9566867667163</v>
      </c>
      <c r="F323" s="18">
        <f>'price-old'!F79/VLOOKUP($C323,'nymex-old'!$A$2:$B$243,2,FALSE)*1000</f>
        <v>9038.9566867667163</v>
      </c>
      <c r="G323" s="18">
        <f>'price-old'!G79/VLOOKUP($C323,'nymex-old'!$A$2:$B$243,2,FALSE)*1000</f>
        <v>8547.3389384347647</v>
      </c>
      <c r="H323" s="18">
        <f>'price-old'!H79/VLOOKUP($C323,'nymex-old'!$A$2:$B$243,2,FALSE)*1000</f>
        <v>9104.6809531680647</v>
      </c>
      <c r="I323" s="18">
        <f>'price-old'!I79/VLOOKUP($C323,'nymex-old'!$A$2:$B$243,2,FALSE)*1000</f>
        <v>8974.9792670461466</v>
      </c>
      <c r="J323" s="18">
        <f>'price-old'!J79/VLOOKUP($C323,'nymex-old'!$A$2:$B$243,2,FALSE)*1000</f>
        <v>10038.110161569795</v>
      </c>
      <c r="K323" s="18">
        <f>'price-old'!K79/VLOOKUP($C323,'nymex-old'!$A$2:$B$243,2,FALSE)*1000</f>
        <v>10168.612191958497</v>
      </c>
      <c r="L323" s="18">
        <f>'price-old'!L79/VLOOKUP($C323,'nymex-old'!$A$2:$B$243,2,FALSE)*1000</f>
        <v>13891.050583657587</v>
      </c>
      <c r="M323" s="18">
        <f>'price-old'!M79/VLOOKUP($C323,'nymex-old'!$A$2:$B$243,2,FALSE)*1000</f>
        <v>8625.1621271076529</v>
      </c>
      <c r="N323" s="18"/>
      <c r="O323" s="18">
        <f>'price-old'!N79/VLOOKUP($C323,'nymex-old'!$A$2:$B$243,2,FALSE)*1000</f>
        <v>9921.5308361325588</v>
      </c>
      <c r="P323" s="18">
        <f>'price-old'!O79/VLOOKUP($C323,'nymex-old'!$A$2:$B$243,2,FALSE)*1000</f>
        <v>8845.2775809242248</v>
      </c>
      <c r="Q323" s="18">
        <f>'price-old'!P79/VLOOKUP($C323,'nymex-old'!$A$2:$B$243,2,FALSE)*1000</f>
        <v>8871.2175223304748</v>
      </c>
      <c r="R323" s="18">
        <f>'price-old'!Q79/VLOOKUP($C323,'nymex-old'!$A$2:$B$243,2,FALSE)*1000</f>
        <v>8625.1621271076529</v>
      </c>
    </row>
    <row r="324" spans="3:18" x14ac:dyDescent="0.2">
      <c r="C324" s="1">
        <f t="shared" si="25"/>
        <v>39203</v>
      </c>
      <c r="E324" s="18">
        <f>'price-old'!E80/VLOOKUP($C324,'nymex-old'!$A$2:$B$243,2,FALSE)*1000</f>
        <v>10664.127583001462</v>
      </c>
      <c r="F324" s="18">
        <f>'price-old'!F80/VLOOKUP($C324,'nymex-old'!$A$2:$B$243,2,FALSE)*1000</f>
        <v>10664.127583001462</v>
      </c>
      <c r="G324" s="18">
        <f>'price-old'!G80/VLOOKUP($C324,'nymex-old'!$A$2:$B$243,2,FALSE)*1000</f>
        <v>9466.8424331010228</v>
      </c>
      <c r="H324" s="18">
        <f>'price-old'!H80/VLOOKUP($C324,'nymex-old'!$A$2:$B$243,2,FALSE)*1000</f>
        <v>9311.7206707422374</v>
      </c>
      <c r="I324" s="18">
        <f>'price-old'!I80/VLOOKUP($C324,'nymex-old'!$A$2:$B$243,2,FALSE)*1000</f>
        <v>9363.7364738474262</v>
      </c>
      <c r="J324" s="18">
        <f>'price-old'!J80/VLOOKUP($C324,'nymex-old'!$A$2:$B$243,2,FALSE)*1000</f>
        <v>10834.048584936807</v>
      </c>
      <c r="K324" s="18">
        <f>'price-old'!K80/VLOOKUP($C324,'nymex-old'!$A$2:$B$243,2,FALSE)*1000</f>
        <v>10195.058517555268</v>
      </c>
      <c r="L324" s="18">
        <f>'price-old'!L80/VLOOKUP($C324,'nymex-old'!$A$2:$B$243,2,FALSE)*1000</f>
        <v>14187.256176853054</v>
      </c>
      <c r="M324" s="18">
        <f>'price-old'!M80/VLOOKUP($C324,'nymex-old'!$A$2:$B$243,2,FALSE)*1000</f>
        <v>9557.8673602080617</v>
      </c>
      <c r="N324" s="18"/>
      <c r="O324" s="18">
        <f>'price-old'!N80/VLOOKUP($C324,'nymex-old'!$A$2:$B$243,2,FALSE)*1000</f>
        <v>11249.303135667262</v>
      </c>
      <c r="P324" s="18">
        <f>'price-old'!O80/VLOOKUP($C324,'nymex-old'!$A$2:$B$243,2,FALSE)*1000</f>
        <v>11073.749676172383</v>
      </c>
      <c r="Q324" s="18">
        <f>'price-old'!P80/VLOOKUP($C324,'nymex-old'!$A$2:$B$243,2,FALSE)*1000</f>
        <v>9129.6658559335374</v>
      </c>
      <c r="R324" s="18">
        <f>'price-old'!Q80/VLOOKUP($C324,'nymex-old'!$A$2:$B$243,2,FALSE)*1000</f>
        <v>9557.8673602080617</v>
      </c>
    </row>
    <row r="325" spans="3:18" x14ac:dyDescent="0.2">
      <c r="C325" s="1">
        <f t="shared" si="25"/>
        <v>39234</v>
      </c>
      <c r="E325" s="18">
        <f>'price-old'!E81/VLOOKUP($C325,'nymex-old'!$A$2:$B$243,2,FALSE)*1000</f>
        <v>9920.8598836000911</v>
      </c>
      <c r="F325" s="18">
        <f>'price-old'!F81/VLOOKUP($C325,'nymex-old'!$A$2:$B$243,2,FALSE)*1000</f>
        <v>9920.8598836000911</v>
      </c>
      <c r="G325" s="18">
        <f>'price-old'!G81/VLOOKUP($C325,'nymex-old'!$A$2:$B$243,2,FALSE)*1000</f>
        <v>9404.7915963160867</v>
      </c>
      <c r="H325" s="18">
        <f>'price-old'!H81/VLOOKUP($C325,'nymex-old'!$A$2:$B$243,2,FALSE)*1000</f>
        <v>8568.1157454913555</v>
      </c>
      <c r="I325" s="18">
        <f>'price-old'!I81/VLOOKUP($C325,'nymex-old'!$A$2:$B$243,2,FALSE)*1000</f>
        <v>9985.2762711290779</v>
      </c>
      <c r="J325" s="18">
        <f>'price-old'!J81/VLOOKUP($C325,'nymex-old'!$A$2:$B$243,2,FALSE)*1000</f>
        <v>8153.7753397335382</v>
      </c>
      <c r="K325" s="18">
        <f>'price-old'!K81/VLOOKUP($C325,'nymex-old'!$A$2:$B$243,2,FALSE)*1000</f>
        <v>11878.381860345271</v>
      </c>
      <c r="L325" s="18">
        <f>'price-old'!L81/VLOOKUP($C325,'nymex-old'!$A$2:$B$243,2,FALSE)*1000</f>
        <v>18693.635660912132</v>
      </c>
      <c r="M325" s="18">
        <f>'price-old'!M81/VLOOKUP($C325,'nymex-old'!$A$2:$B$243,2,FALSE)*1000</f>
        <v>12239.1136305076</v>
      </c>
      <c r="N325" s="18"/>
      <c r="O325" s="18">
        <f>'price-old'!N81/VLOOKUP($C325,'nymex-old'!$A$2:$B$243,2,FALSE)*1000</f>
        <v>11466.853184295787</v>
      </c>
      <c r="P325" s="18">
        <f>'price-old'!O81/VLOOKUP($C325,'nymex-old'!$A$2:$B$243,2,FALSE)*1000</f>
        <v>11383.11168392489</v>
      </c>
      <c r="Q325" s="18">
        <f>'price-old'!P81/VLOOKUP($C325,'nymex-old'!$A$2:$B$243,2,FALSE)*1000</f>
        <v>10204.291595561206</v>
      </c>
      <c r="R325" s="18">
        <f>'price-old'!Q81/VLOOKUP($C325,'nymex-old'!$A$2:$B$243,2,FALSE)*1000</f>
        <v>12239.1136305076</v>
      </c>
    </row>
    <row r="326" spans="3:18" x14ac:dyDescent="0.2">
      <c r="C326" s="1">
        <f t="shared" si="25"/>
        <v>39264</v>
      </c>
      <c r="E326" s="18">
        <f>'price-old'!E82/VLOOKUP($C326,'nymex-old'!$A$2:$B$243,2,FALSE)*1000</f>
        <v>13001.818474922471</v>
      </c>
      <c r="F326" s="18">
        <f>'price-old'!F82/VLOOKUP($C326,'nymex-old'!$A$2:$B$243,2,FALSE)*1000</f>
        <v>13001.818474922471</v>
      </c>
      <c r="G326" s="18">
        <f>'price-old'!G82/VLOOKUP($C326,'nymex-old'!$A$2:$B$243,2,FALSE)*1000</f>
        <v>11513.992969619712</v>
      </c>
      <c r="H326" s="18">
        <f>'price-old'!H82/VLOOKUP($C326,'nymex-old'!$A$2:$B$243,2,FALSE)*1000</f>
        <v>10241.004225558603</v>
      </c>
      <c r="I326" s="18">
        <f>'price-old'!I82/VLOOKUP($C326,'nymex-old'!$A$2:$B$243,2,FALSE)*1000</f>
        <v>14207.28960110031</v>
      </c>
      <c r="J326" s="18">
        <f>'price-old'!J82/VLOOKUP($C326,'nymex-old'!$A$2:$B$243,2,FALSE)*1000</f>
        <v>10038.167938931299</v>
      </c>
      <c r="K326" s="18">
        <f>'price-old'!K82/VLOOKUP($C326,'nymex-old'!$A$2:$B$243,2,FALSE)*1000</f>
        <v>14720.101781170482</v>
      </c>
      <c r="L326" s="18">
        <f>'price-old'!L82/VLOOKUP($C326,'nymex-old'!$A$2:$B$243,2,FALSE)*1000</f>
        <v>25076.335877862595</v>
      </c>
      <c r="M326" s="18">
        <f>'price-old'!M82/VLOOKUP($C326,'nymex-old'!$A$2:$B$243,2,FALSE)*1000</f>
        <v>15521.628498727734</v>
      </c>
      <c r="N326" s="18"/>
      <c r="O326" s="18">
        <f>'price-old'!N82/VLOOKUP($C326,'nymex-old'!$A$2:$B$243,2,FALSE)*1000</f>
        <v>15546.347737008984</v>
      </c>
      <c r="P326" s="18">
        <f>'price-old'!O82/VLOOKUP($C326,'nymex-old'!$A$2:$B$243,2,FALSE)*1000</f>
        <v>13803.345580744075</v>
      </c>
      <c r="Q326" s="18">
        <f>'price-old'!P82/VLOOKUP($C326,'nymex-old'!$A$2:$B$243,2,FALSE)*1000</f>
        <v>14852.96351309041</v>
      </c>
      <c r="R326" s="18">
        <f>'price-old'!Q82/VLOOKUP($C326,'nymex-old'!$A$2:$B$243,2,FALSE)*1000</f>
        <v>15521.628498727734</v>
      </c>
    </row>
    <row r="327" spans="3:18" x14ac:dyDescent="0.2">
      <c r="C327" s="1">
        <f t="shared" si="25"/>
        <v>39295</v>
      </c>
      <c r="E327" s="18">
        <f>'price-old'!E83/VLOOKUP($C327,'nymex-old'!$A$2:$B$243,2,FALSE)*1000</f>
        <v>12854.628077093161</v>
      </c>
      <c r="F327" s="18">
        <f>'price-old'!F83/VLOOKUP($C327,'nymex-old'!$A$2:$B$243,2,FALSE)*1000</f>
        <v>12854.628077093161</v>
      </c>
      <c r="G327" s="18">
        <f>'price-old'!G83/VLOOKUP($C327,'nymex-old'!$A$2:$B$243,2,FALSE)*1000</f>
        <v>11383.647798742139</v>
      </c>
      <c r="H327" s="18">
        <f>'price-old'!H83/VLOOKUP($C327,'nymex-old'!$A$2:$B$243,2,FALSE)*1000</f>
        <v>10125.068328665486</v>
      </c>
      <c r="I327" s="18">
        <f>'price-old'!I83/VLOOKUP($C327,'nymex-old'!$A$2:$B$243,2,FALSE)*1000</f>
        <v>14030.729089892886</v>
      </c>
      <c r="J327" s="18">
        <f>'price-old'!J83/VLOOKUP($C327,'nymex-old'!$A$2:$B$243,2,FALSE)*1000</f>
        <v>9924.528301886794</v>
      </c>
      <c r="K327" s="18">
        <f>'price-old'!K83/VLOOKUP($C327,'nymex-old'!$A$2:$B$243,2,FALSE)*1000</f>
        <v>14553.459119496854</v>
      </c>
      <c r="L327" s="18">
        <f>'price-old'!L83/VLOOKUP($C327,'nymex-old'!$A$2:$B$243,2,FALSE)*1000</f>
        <v>24915.723270440252</v>
      </c>
      <c r="M327" s="18">
        <f>'price-old'!M83/VLOOKUP($C327,'nymex-old'!$A$2:$B$243,2,FALSE)*1000</f>
        <v>15345.911949685535</v>
      </c>
      <c r="N327" s="18"/>
      <c r="O327" s="18">
        <f>'price-old'!N83/VLOOKUP($C327,'nymex-old'!$A$2:$B$243,2,FALSE)*1000</f>
        <v>15370.351347533411</v>
      </c>
      <c r="P327" s="18">
        <f>'price-old'!O83/VLOOKUP($C327,'nymex-old'!$A$2:$B$243,2,FALSE)*1000</f>
        <v>13647.081291150746</v>
      </c>
      <c r="Q327" s="18">
        <f>'price-old'!P83/VLOOKUP($C327,'nymex-old'!$A$2:$B$243,2,FALSE)*1000</f>
        <v>14684.816756338441</v>
      </c>
      <c r="R327" s="18">
        <f>'price-old'!Q83/VLOOKUP($C327,'nymex-old'!$A$2:$B$243,2,FALSE)*1000</f>
        <v>15345.911949685535</v>
      </c>
    </row>
    <row r="328" spans="3:18" x14ac:dyDescent="0.2">
      <c r="C328" s="1">
        <f t="shared" si="25"/>
        <v>39326</v>
      </c>
      <c r="E328" s="18">
        <f>'price-old'!E84/VLOOKUP($C328,'nymex-old'!$A$2:$B$243,2,FALSE)*1000</f>
        <v>8890.5424523269739</v>
      </c>
      <c r="F328" s="18">
        <f>'price-old'!F84/VLOOKUP($C328,'nymex-old'!$A$2:$B$243,2,FALSE)*1000</f>
        <v>8890.5424523269739</v>
      </c>
      <c r="G328" s="18">
        <f>'price-old'!G84/VLOOKUP($C328,'nymex-old'!$A$2:$B$243,2,FALSE)*1000</f>
        <v>8601.2063823950939</v>
      </c>
      <c r="H328" s="18">
        <f>'price-old'!H84/VLOOKUP($C328,'nymex-old'!$A$2:$B$243,2,FALSE)*1000</f>
        <v>7622.3364791218692</v>
      </c>
      <c r="I328" s="18">
        <f>'price-old'!I84/VLOOKUP($C328,'nymex-old'!$A$2:$B$243,2,FALSE)*1000</f>
        <v>8796.370011487239</v>
      </c>
      <c r="J328" s="18">
        <f>'price-old'!J84/VLOOKUP($C328,'nymex-old'!$A$2:$B$243,2,FALSE)*1000</f>
        <v>8830.2144424691378</v>
      </c>
      <c r="K328" s="18">
        <f>'price-old'!K84/VLOOKUP($C328,'nymex-old'!$A$2:$B$243,2,FALSE)*1000</f>
        <v>9254.1436464088401</v>
      </c>
      <c r="L328" s="18">
        <f>'price-old'!L84/VLOOKUP($C328,'nymex-old'!$A$2:$B$243,2,FALSE)*1000</f>
        <v>14073.329984932194</v>
      </c>
      <c r="M328" s="18">
        <f>'price-old'!M84/VLOOKUP($C328,'nymex-old'!$A$2:$B$243,2,FALSE)*1000</f>
        <v>8350.0753390256159</v>
      </c>
      <c r="N328" s="18"/>
      <c r="O328" s="18">
        <f>'price-old'!N84/VLOOKUP($C328,'nymex-old'!$A$2:$B$243,2,FALSE)*1000</f>
        <v>9643.9327084796623</v>
      </c>
      <c r="P328" s="18">
        <f>'price-old'!O84/VLOOKUP($C328,'nymex-old'!$A$2:$B$243,2,FALSE)*1000</f>
        <v>9436.7511544258723</v>
      </c>
      <c r="Q328" s="18">
        <f>'price-old'!P84/VLOOKUP($C328,'nymex-old'!$A$2:$B$243,2,FALSE)*1000</f>
        <v>8601.7438121203613</v>
      </c>
      <c r="R328" s="18">
        <f>'price-old'!Q84/VLOOKUP($C328,'nymex-old'!$A$2:$B$243,2,FALSE)*1000</f>
        <v>8350.0753390256159</v>
      </c>
    </row>
    <row r="329" spans="3:18" x14ac:dyDescent="0.2">
      <c r="C329" s="1">
        <f t="shared" si="25"/>
        <v>39356</v>
      </c>
      <c r="E329" s="18">
        <f>'price-old'!E85/VLOOKUP($C329,'nymex-old'!$A$2:$B$243,2,FALSE)*1000</f>
        <v>8579.0678747277016</v>
      </c>
      <c r="F329" s="18">
        <f>'price-old'!F85/VLOOKUP($C329,'nymex-old'!$A$2:$B$243,2,FALSE)*1000</f>
        <v>8579.0678747277016</v>
      </c>
      <c r="G329" s="18">
        <f>'price-old'!G85/VLOOKUP($C329,'nymex-old'!$A$2:$B$243,2,FALSE)*1000</f>
        <v>7805.4870453261374</v>
      </c>
      <c r="H329" s="18">
        <f>'price-old'!H85/VLOOKUP($C329,'nymex-old'!$A$2:$B$243,2,FALSE)*1000</f>
        <v>8564.570895454237</v>
      </c>
      <c r="I329" s="18">
        <f>'price-old'!I85/VLOOKUP($C329,'nymex-old'!$A$2:$B$243,2,FALSE)*1000</f>
        <v>8439.2604685186452</v>
      </c>
      <c r="J329" s="18">
        <f>'price-old'!J85/VLOOKUP($C329,'nymex-old'!$A$2:$B$243,2,FALSE)*1000</f>
        <v>9951.3712666575757</v>
      </c>
      <c r="K329" s="18">
        <f>'price-old'!K85/VLOOKUP($C329,'nymex-old'!$A$2:$B$243,2,FALSE)*1000</f>
        <v>9501.246882793017</v>
      </c>
      <c r="L329" s="18">
        <f>'price-old'!L85/VLOOKUP($C329,'nymex-old'!$A$2:$B$243,2,FALSE)*1000</f>
        <v>13725.685785536161</v>
      </c>
      <c r="M329" s="18">
        <f>'price-old'!M85/VLOOKUP($C329,'nymex-old'!$A$2:$B$243,2,FALSE)*1000</f>
        <v>8104.7381546134666</v>
      </c>
      <c r="N329" s="18"/>
      <c r="O329" s="18">
        <f>'price-old'!N85/VLOOKUP($C329,'nymex-old'!$A$2:$B$243,2,FALSE)*1000</f>
        <v>9039.6348377712948</v>
      </c>
      <c r="P329" s="18">
        <f>'price-old'!O85/VLOOKUP($C329,'nymex-old'!$A$2:$B$243,2,FALSE)*1000</f>
        <v>8517.1906430822364</v>
      </c>
      <c r="Q329" s="18">
        <f>'price-old'!P85/VLOOKUP($C329,'nymex-old'!$A$2:$B$243,2,FALSE)*1000</f>
        <v>7981.0306615662994</v>
      </c>
      <c r="R329" s="18">
        <f>'price-old'!Q85/VLOOKUP($C329,'nymex-old'!$A$2:$B$243,2,FALSE)*1000</f>
        <v>8104.7381546134666</v>
      </c>
    </row>
    <row r="330" spans="3:18" x14ac:dyDescent="0.2">
      <c r="C330" s="1">
        <f t="shared" si="25"/>
        <v>39387</v>
      </c>
      <c r="E330" s="18">
        <f>'price-old'!E86/VLOOKUP($C330,'nymex-old'!$A$2:$B$243,2,FALSE)*1000</f>
        <v>8323.7782030830331</v>
      </c>
      <c r="F330" s="18">
        <f>'price-old'!F86/VLOOKUP($C330,'nymex-old'!$A$2:$B$243,2,FALSE)*1000</f>
        <v>8323.7782030830331</v>
      </c>
      <c r="G330" s="18">
        <f>'price-old'!G86/VLOOKUP($C330,'nymex-old'!$A$2:$B$243,2,FALSE)*1000</f>
        <v>7478.8893088788273</v>
      </c>
      <c r="H330" s="18">
        <f>'price-old'!H86/VLOOKUP($C330,'nymex-old'!$A$2:$B$243,2,FALSE)*1000</f>
        <v>9130.0191292572963</v>
      </c>
      <c r="I330" s="18">
        <f>'price-old'!I86/VLOOKUP($C330,'nymex-old'!$A$2:$B$243,2,FALSE)*1000</f>
        <v>8173.445826991765</v>
      </c>
      <c r="J330" s="18">
        <f>'price-old'!J86/VLOOKUP($C330,'nymex-old'!$A$2:$B$243,2,FALSE)*1000</f>
        <v>9819.5212885324017</v>
      </c>
      <c r="K330" s="18">
        <f>'price-old'!K86/VLOOKUP($C330,'nymex-old'!$A$2:$B$243,2,FALSE)*1000</f>
        <v>9191.7973462002428</v>
      </c>
      <c r="L330" s="18">
        <f>'price-old'!L86/VLOOKUP($C330,'nymex-old'!$A$2:$B$243,2,FALSE)*1000</f>
        <v>13278.648974668275</v>
      </c>
      <c r="M330" s="18">
        <f>'price-old'!M86/VLOOKUP($C330,'nymex-old'!$A$2:$B$243,2,FALSE)*1000</f>
        <v>7840.772014475272</v>
      </c>
      <c r="N330" s="18"/>
      <c r="O330" s="18">
        <f>'price-old'!N86/VLOOKUP($C330,'nymex-old'!$A$2:$B$243,2,FALSE)*1000</f>
        <v>8745.2197103649924</v>
      </c>
      <c r="P330" s="18">
        <f>'price-old'!O86/VLOOKUP($C330,'nymex-old'!$A$2:$B$243,2,FALSE)*1000</f>
        <v>8263.9162733126323</v>
      </c>
      <c r="Q330" s="18">
        <f>'price-old'!P86/VLOOKUP($C330,'nymex-old'!$A$2:$B$243,2,FALSE)*1000</f>
        <v>7745.2186796144642</v>
      </c>
      <c r="R330" s="18">
        <f>'price-old'!Q86/VLOOKUP($C330,'nymex-old'!$A$2:$B$243,2,FALSE)*1000</f>
        <v>7840.772014475272</v>
      </c>
    </row>
    <row r="331" spans="3:18" x14ac:dyDescent="0.2">
      <c r="C331" s="1">
        <f t="shared" si="25"/>
        <v>39417</v>
      </c>
      <c r="E331" s="18">
        <f>'price-old'!E87/VLOOKUP($C331,'nymex-old'!$A$2:$B$243,2,FALSE)*1000</f>
        <v>8084.5932537150147</v>
      </c>
      <c r="F331" s="18">
        <f>'price-old'!F87/VLOOKUP($C331,'nymex-old'!$A$2:$B$243,2,FALSE)*1000</f>
        <v>8084.5932537150147</v>
      </c>
      <c r="G331" s="18">
        <f>'price-old'!G87/VLOOKUP($C331,'nymex-old'!$A$2:$B$243,2,FALSE)*1000</f>
        <v>7476.6346227342838</v>
      </c>
      <c r="H331" s="18">
        <f>'price-old'!H87/VLOOKUP($C331,'nymex-old'!$A$2:$B$243,2,FALSE)*1000</f>
        <v>8958.8619838251125</v>
      </c>
      <c r="I331" s="18">
        <f>'price-old'!I87/VLOOKUP($C331,'nymex-old'!$A$2:$B$243,2,FALSE)*1000</f>
        <v>7924.3998661219512</v>
      </c>
      <c r="J331" s="18">
        <f>'price-old'!J87/VLOOKUP($C331,'nymex-old'!$A$2:$B$243,2,FALSE)*1000</f>
        <v>9686.2855358658544</v>
      </c>
      <c r="K331" s="18">
        <f>'price-old'!K87/VLOOKUP($C331,'nymex-old'!$A$2:$B$243,2,FALSE)*1000</f>
        <v>8901.8691588785041</v>
      </c>
      <c r="L331" s="18">
        <f>'price-old'!L87/VLOOKUP($C331,'nymex-old'!$A$2:$B$243,2,FALSE)*1000</f>
        <v>12859.813084112149</v>
      </c>
      <c r="M331" s="18">
        <f>'price-old'!M87/VLOOKUP($C331,'nymex-old'!$A$2:$B$243,2,FALSE)*1000</f>
        <v>7593.4579439252329</v>
      </c>
      <c r="N331" s="18"/>
      <c r="O331" s="18">
        <f>'price-old'!N87/VLOOKUP($C331,'nymex-old'!$A$2:$B$243,2,FALSE)*1000</f>
        <v>8469.3774998745066</v>
      </c>
      <c r="P331" s="18">
        <f>'price-old'!O87/VLOOKUP($C331,'nymex-old'!$A$2:$B$243,2,FALSE)*1000</f>
        <v>8026.619492290175</v>
      </c>
      <c r="Q331" s="18">
        <f>'price-old'!P87/VLOOKUP($C331,'nymex-old'!$A$2:$B$243,2,FALSE)*1000</f>
        <v>7524.2826871782818</v>
      </c>
      <c r="R331" s="18">
        <f>'price-old'!Q87/VLOOKUP($C331,'nymex-old'!$A$2:$B$243,2,FALSE)*1000</f>
        <v>7593.4579439252329</v>
      </c>
    </row>
    <row r="332" spans="3:18" x14ac:dyDescent="0.2">
      <c r="C332" s="1">
        <f t="shared" si="25"/>
        <v>39448</v>
      </c>
      <c r="E332" s="18">
        <f>'price-old'!E88/VLOOKUP($C332,'nymex-old'!$A$2:$B$243,2,FALSE)*1000</f>
        <v>9200.5137405873957</v>
      </c>
      <c r="F332" s="18">
        <f>'price-old'!F88/VLOOKUP($C332,'nymex-old'!$A$2:$B$243,2,FALSE)*1000</f>
        <v>9200.5137405873957</v>
      </c>
      <c r="G332" s="18">
        <f>'price-old'!G88/VLOOKUP($C332,'nymex-old'!$A$2:$B$243,2,FALSE)*1000</f>
        <v>9186.3938622900987</v>
      </c>
      <c r="H332" s="18">
        <f>'price-old'!H88/VLOOKUP($C332,'nymex-old'!$A$2:$B$243,2,FALSE)*1000</f>
        <v>9706.0136700794355</v>
      </c>
      <c r="I332" s="18">
        <f>'price-old'!I88/VLOOKUP($C332,'nymex-old'!$A$2:$B$243,2,FALSE)*1000</f>
        <v>8999.7388225565064</v>
      </c>
      <c r="J332" s="18">
        <f>'price-old'!J88/VLOOKUP($C332,'nymex-old'!$A$2:$B$243,2,FALSE)*1000</f>
        <v>11560.294086208181</v>
      </c>
      <c r="K332" s="18">
        <f>'price-old'!K88/VLOOKUP($C332,'nymex-old'!$A$2:$B$243,2,FALSE)*1000</f>
        <v>11629.510457366123</v>
      </c>
      <c r="L332" s="18">
        <f>'price-old'!L88/VLOOKUP($C332,'nymex-old'!$A$2:$B$243,2,FALSE)*1000</f>
        <v>15525.166628361296</v>
      </c>
      <c r="M332" s="18">
        <f>'price-old'!M88/VLOOKUP($C332,'nymex-old'!$A$2:$B$243,2,FALSE)*1000</f>
        <v>8733.6244541484721</v>
      </c>
      <c r="N332" s="18"/>
      <c r="O332" s="18">
        <f>'price-old'!N88/VLOOKUP($C332,'nymex-old'!$A$2:$B$243,2,FALSE)*1000</f>
        <v>9710.5762268641556</v>
      </c>
      <c r="P332" s="18">
        <f>'price-old'!O88/VLOOKUP($C332,'nymex-old'!$A$2:$B$243,2,FALSE)*1000</f>
        <v>9085.9259059856031</v>
      </c>
      <c r="Q332" s="18">
        <f>'price-old'!P88/VLOOKUP($C332,'nymex-old'!$A$2:$B$243,2,FALSE)*1000</f>
        <v>9108.9087775372209</v>
      </c>
      <c r="R332" s="18">
        <f>'price-old'!Q88/VLOOKUP($C332,'nymex-old'!$A$2:$B$243,2,FALSE)*1000</f>
        <v>8733.6244541484721</v>
      </c>
    </row>
    <row r="333" spans="3:18" x14ac:dyDescent="0.2">
      <c r="C333" s="1">
        <f t="shared" si="25"/>
        <v>39479</v>
      </c>
      <c r="E333" s="18">
        <f>'price-old'!E89/VLOOKUP($C333,'nymex-old'!$A$2:$B$243,2,FALSE)*1000</f>
        <v>9374.3049838122824</v>
      </c>
      <c r="F333" s="18">
        <f>'price-old'!F89/VLOOKUP($C333,'nymex-old'!$A$2:$B$243,2,FALSE)*1000</f>
        <v>9374.3049838122824</v>
      </c>
      <c r="G333" s="18">
        <f>'price-old'!G89/VLOOKUP($C333,'nymex-old'!$A$2:$B$243,2,FALSE)*1000</f>
        <v>9170.7995167134504</v>
      </c>
      <c r="H333" s="18">
        <f>'price-old'!H89/VLOOKUP($C333,'nymex-old'!$A$2:$B$243,2,FALSE)*1000</f>
        <v>10130.607628411162</v>
      </c>
      <c r="I333" s="18">
        <f>'price-old'!I89/VLOOKUP($C333,'nymex-old'!$A$2:$B$243,2,FALSE)*1000</f>
        <v>9138.4033376151638</v>
      </c>
      <c r="J333" s="18">
        <f>'price-old'!J89/VLOOKUP($C333,'nymex-old'!$A$2:$B$243,2,FALSE)*1000</f>
        <v>11410.073132315565</v>
      </c>
      <c r="K333" s="18">
        <f>'price-old'!K89/VLOOKUP($C333,'nymex-old'!$A$2:$B$243,2,FALSE)*1000</f>
        <v>11953.697141507204</v>
      </c>
      <c r="L333" s="18">
        <f>'price-old'!L89/VLOOKUP($C333,'nymex-old'!$A$2:$B$243,2,FALSE)*1000</f>
        <v>15957.949444838172</v>
      </c>
      <c r="M333" s="18">
        <f>'price-old'!M89/VLOOKUP($C333,'nymex-old'!$A$2:$B$243,2,FALSE)*1000</f>
        <v>8977.0848098275455</v>
      </c>
      <c r="N333" s="18"/>
      <c r="O333" s="18">
        <f>'price-old'!N89/VLOOKUP($C333,'nymex-old'!$A$2:$B$243,2,FALSE)*1000</f>
        <v>10039.150419174397</v>
      </c>
      <c r="P333" s="18">
        <f>'price-old'!O89/VLOOKUP($C333,'nymex-old'!$A$2:$B$243,2,FALSE)*1000</f>
        <v>9256.5228745865807</v>
      </c>
      <c r="Q333" s="18">
        <f>'price-old'!P89/VLOOKUP($C333,'nymex-old'!$A$2:$B$243,2,FALSE)*1000</f>
        <v>9280.1464215086435</v>
      </c>
      <c r="R333" s="18">
        <f>'price-old'!Q89/VLOOKUP($C333,'nymex-old'!$A$2:$B$243,2,FALSE)*1000</f>
        <v>8977.0848098275455</v>
      </c>
    </row>
    <row r="334" spans="3:18" x14ac:dyDescent="0.2">
      <c r="C334" s="1">
        <f t="shared" si="25"/>
        <v>39508</v>
      </c>
      <c r="E334" s="18">
        <f>'price-old'!E90/VLOOKUP($C334,'nymex-old'!$A$2:$B$243,2,FALSE)*1000</f>
        <v>8450.0432352551816</v>
      </c>
      <c r="F334" s="18">
        <f>'price-old'!F90/VLOOKUP($C334,'nymex-old'!$A$2:$B$243,2,FALSE)*1000</f>
        <v>8450.0432352551816</v>
      </c>
      <c r="G334" s="18">
        <f>'price-old'!G90/VLOOKUP($C334,'nymex-old'!$A$2:$B$243,2,FALSE)*1000</f>
        <v>8621.9495447670561</v>
      </c>
      <c r="H334" s="18">
        <f>'price-old'!H90/VLOOKUP($C334,'nymex-old'!$A$2:$B$243,2,FALSE)*1000</f>
        <v>8743.5475791372901</v>
      </c>
      <c r="I334" s="18">
        <f>'price-old'!I90/VLOOKUP($C334,'nymex-old'!$A$2:$B$243,2,FALSE)*1000</f>
        <v>8481.3522711032783</v>
      </c>
      <c r="J334" s="18">
        <f>'price-old'!J90/VLOOKUP($C334,'nymex-old'!$A$2:$B$243,2,FALSE)*1000</f>
        <v>10011.443161382909</v>
      </c>
      <c r="K334" s="18">
        <f>'price-old'!K90/VLOOKUP($C334,'nymex-old'!$A$2:$B$243,2,FALSE)*1000</f>
        <v>9682.9268292682955</v>
      </c>
      <c r="L334" s="18">
        <f>'price-old'!L90/VLOOKUP($C334,'nymex-old'!$A$2:$B$243,2,FALSE)*1000</f>
        <v>13304.878048780487</v>
      </c>
      <c r="M334" s="18">
        <f>'price-old'!M90/VLOOKUP($C334,'nymex-old'!$A$2:$B$243,2,FALSE)*1000</f>
        <v>8414.6341463414647</v>
      </c>
      <c r="N334" s="18"/>
      <c r="O334" s="18">
        <f>'price-old'!N90/VLOOKUP($C334,'nymex-old'!$A$2:$B$243,2,FALSE)*1000</f>
        <v>9328.6598019483627</v>
      </c>
      <c r="P334" s="18">
        <f>'price-old'!O90/VLOOKUP($C334,'nymex-old'!$A$2:$B$243,2,FALSE)*1000</f>
        <v>8267.9376369569363</v>
      </c>
      <c r="Q334" s="18">
        <f>'price-old'!P90/VLOOKUP($C334,'nymex-old'!$A$2:$B$243,2,FALSE)*1000</f>
        <v>8292.3275086937902</v>
      </c>
      <c r="R334" s="18">
        <f>'price-old'!Q90/VLOOKUP($C334,'nymex-old'!$A$2:$B$243,2,FALSE)*1000</f>
        <v>8414.6341463414647</v>
      </c>
    </row>
    <row r="335" spans="3:18" x14ac:dyDescent="0.2">
      <c r="C335" s="1">
        <f t="shared" si="25"/>
        <v>39539</v>
      </c>
      <c r="E335" s="18">
        <f>'price-old'!E91/VLOOKUP($C335,'nymex-old'!$A$2:$B$243,2,FALSE)*1000</f>
        <v>8964.2855753475578</v>
      </c>
      <c r="F335" s="18">
        <f>'price-old'!F91/VLOOKUP($C335,'nymex-old'!$A$2:$B$243,2,FALSE)*1000</f>
        <v>8964.2855753475578</v>
      </c>
      <c r="G335" s="18">
        <f>'price-old'!G91/VLOOKUP($C335,'nymex-old'!$A$2:$B$243,2,FALSE)*1000</f>
        <v>8671.7730798636057</v>
      </c>
      <c r="H335" s="18">
        <f>'price-old'!H91/VLOOKUP($C335,'nymex-old'!$A$2:$B$243,2,FALSE)*1000</f>
        <v>9156.7164941156807</v>
      </c>
      <c r="I335" s="18">
        <f>'price-old'!I91/VLOOKUP($C335,'nymex-old'!$A$2:$B$243,2,FALSE)*1000</f>
        <v>8901.2886524809437</v>
      </c>
      <c r="J335" s="18">
        <f>'price-old'!J91/VLOOKUP($C335,'nymex-old'!$A$2:$B$243,2,FALSE)*1000</f>
        <v>9948.1263532187895</v>
      </c>
      <c r="K335" s="18">
        <f>'price-old'!K91/VLOOKUP($C335,'nymex-old'!$A$2:$B$243,2,FALSE)*1000</f>
        <v>10140.485312899107</v>
      </c>
      <c r="L335" s="18">
        <f>'price-old'!L91/VLOOKUP($C335,'nymex-old'!$A$2:$B$243,2,FALSE)*1000</f>
        <v>13933.588761174968</v>
      </c>
      <c r="M335" s="18">
        <f>'price-old'!M91/VLOOKUP($C335,'nymex-old'!$A$2:$B$243,2,FALSE)*1000</f>
        <v>8684.5466155810973</v>
      </c>
      <c r="N335" s="18"/>
      <c r="O335" s="18">
        <f>'price-old'!N91/VLOOKUP($C335,'nymex-old'!$A$2:$B$243,2,FALSE)*1000</f>
        <v>9833.3336841100918</v>
      </c>
      <c r="P335" s="18">
        <f>'price-old'!O91/VLOOKUP($C335,'nymex-old'!$A$2:$B$243,2,FALSE)*1000</f>
        <v>8773.5747316635734</v>
      </c>
      <c r="Q335" s="18">
        <f>'price-old'!P91/VLOOKUP($C335,'nymex-old'!$A$2:$B$243,2,FALSE)*1000</f>
        <v>8799.1171260750925</v>
      </c>
      <c r="R335" s="18">
        <f>'price-old'!Q91/VLOOKUP($C335,'nymex-old'!$A$2:$B$243,2,FALSE)*1000</f>
        <v>8684.5466155810973</v>
      </c>
    </row>
    <row r="336" spans="3:18" x14ac:dyDescent="0.2">
      <c r="C336" s="1">
        <f t="shared" si="25"/>
        <v>39569</v>
      </c>
      <c r="E336" s="18">
        <f>'price-old'!E92/VLOOKUP($C336,'nymex-old'!$A$2:$B$243,2,FALSE)*1000</f>
        <v>10564.29463678377</v>
      </c>
      <c r="F336" s="18">
        <f>'price-old'!F92/VLOOKUP($C336,'nymex-old'!$A$2:$B$243,2,FALSE)*1000</f>
        <v>10564.29463678377</v>
      </c>
      <c r="G336" s="18">
        <f>'price-old'!G92/VLOOKUP($C336,'nymex-old'!$A$2:$B$243,2,FALSE)*1000</f>
        <v>9577.4671332326343</v>
      </c>
      <c r="H336" s="18">
        <f>'price-old'!H92/VLOOKUP($C336,'nymex-old'!$A$2:$B$243,2,FALSE)*1000</f>
        <v>9360.7083172865314</v>
      </c>
      <c r="I336" s="18">
        <f>'price-old'!I92/VLOOKUP($C336,'nymex-old'!$A$2:$B$243,2,FALSE)*1000</f>
        <v>9283.8839287947158</v>
      </c>
      <c r="J336" s="18">
        <f>'price-old'!J92/VLOOKUP($C336,'nymex-old'!$A$2:$B$243,2,FALSE)*1000</f>
        <v>10722.001743682977</v>
      </c>
      <c r="K336" s="18">
        <f>'price-old'!K92/VLOOKUP($C336,'nymex-old'!$A$2:$B$243,2,FALSE)*1000</f>
        <v>10166.453265044815</v>
      </c>
      <c r="L336" s="18">
        <f>'price-old'!L92/VLOOKUP($C336,'nymex-old'!$A$2:$B$243,2,FALSE)*1000</f>
        <v>14225.352112676055</v>
      </c>
      <c r="M336" s="18">
        <f>'price-old'!M92/VLOOKUP($C336,'nymex-old'!$A$2:$B$243,2,FALSE)*1000</f>
        <v>9475.0320102432779</v>
      </c>
      <c r="N336" s="18"/>
      <c r="O336" s="18">
        <f>'price-old'!N92/VLOOKUP($C336,'nymex-old'!$A$2:$B$243,2,FALSE)*1000</f>
        <v>11140.479015785053</v>
      </c>
      <c r="P336" s="18">
        <f>'price-old'!O92/VLOOKUP($C336,'nymex-old'!$A$2:$B$243,2,FALSE)*1000</f>
        <v>10948.416579242858</v>
      </c>
      <c r="Q336" s="18">
        <f>'price-old'!P92/VLOOKUP($C336,'nymex-old'!$A$2:$B$243,2,FALSE)*1000</f>
        <v>9053.4097864441628</v>
      </c>
      <c r="R336" s="18">
        <f>'price-old'!Q92/VLOOKUP($C336,'nymex-old'!$A$2:$B$243,2,FALSE)*1000</f>
        <v>9475.0320102432779</v>
      </c>
    </row>
    <row r="337" spans="3:18" x14ac:dyDescent="0.2">
      <c r="C337" s="1">
        <f t="shared" si="25"/>
        <v>39600</v>
      </c>
      <c r="E337" s="18">
        <f>'price-old'!E93/VLOOKUP($C337,'nymex-old'!$A$2:$B$243,2,FALSE)*1000</f>
        <v>9896.6904867424382</v>
      </c>
      <c r="F337" s="18">
        <f>'price-old'!F93/VLOOKUP($C337,'nymex-old'!$A$2:$B$243,2,FALSE)*1000</f>
        <v>9896.6904867424382</v>
      </c>
      <c r="G337" s="18">
        <f>'price-old'!G93/VLOOKUP($C337,'nymex-old'!$A$2:$B$243,2,FALSE)*1000</f>
        <v>9515.3504656946789</v>
      </c>
      <c r="H337" s="18">
        <f>'price-old'!H93/VLOOKUP($C337,'nymex-old'!$A$2:$B$243,2,FALSE)*1000</f>
        <v>8501.1056098076497</v>
      </c>
      <c r="I337" s="18">
        <f>'price-old'!I93/VLOOKUP($C337,'nymex-old'!$A$2:$B$243,2,FALSE)*1000</f>
        <v>9960.1261629667461</v>
      </c>
      <c r="J337" s="18">
        <f>'price-old'!J93/VLOOKUP($C337,'nymex-old'!$A$2:$B$243,2,FALSE)*1000</f>
        <v>8112.1040582354381</v>
      </c>
      <c r="K337" s="18">
        <f>'price-old'!K93/VLOOKUP($C337,'nymex-old'!$A$2:$B$243,2,FALSE)*1000</f>
        <v>11824.410048211113</v>
      </c>
      <c r="L337" s="18">
        <f>'price-old'!L93/VLOOKUP($C337,'nymex-old'!$A$2:$B$243,2,FALSE)*1000</f>
        <v>18662.775945191574</v>
      </c>
      <c r="M337" s="18">
        <f>'price-old'!M93/VLOOKUP($C337,'nymex-old'!$A$2:$B$243,2,FALSE)*1000</f>
        <v>12052.778482618623</v>
      </c>
      <c r="N337" s="18"/>
      <c r="O337" s="18">
        <f>'price-old'!N93/VLOOKUP($C337,'nymex-old'!$A$2:$B$243,2,FALSE)*1000</f>
        <v>11419.146716125844</v>
      </c>
      <c r="P337" s="18">
        <f>'price-old'!O93/VLOOKUP($C337,'nymex-old'!$A$2:$B$243,2,FALSE)*1000</f>
        <v>11270.072489818078</v>
      </c>
      <c r="Q337" s="18">
        <f>'price-old'!P93/VLOOKUP($C337,'nymex-old'!$A$2:$B$243,2,FALSE)*1000</f>
        <v>10175.807074948756</v>
      </c>
      <c r="R337" s="18">
        <f>'price-old'!Q93/VLOOKUP($C337,'nymex-old'!$A$2:$B$243,2,FALSE)*1000</f>
        <v>12052.778482618623</v>
      </c>
    </row>
    <row r="338" spans="3:18" x14ac:dyDescent="0.2">
      <c r="C338" s="1">
        <f t="shared" si="25"/>
        <v>39630</v>
      </c>
      <c r="E338" s="18">
        <f>'price-old'!E94/VLOOKUP($C338,'nymex-old'!$A$2:$B$243,2,FALSE)*1000</f>
        <v>12931.615690838424</v>
      </c>
      <c r="F338" s="18">
        <f>'price-old'!F94/VLOOKUP($C338,'nymex-old'!$A$2:$B$243,2,FALSE)*1000</f>
        <v>12931.615690838424</v>
      </c>
      <c r="G338" s="18">
        <f>'price-old'!G94/VLOOKUP($C338,'nymex-old'!$A$2:$B$243,2,FALSE)*1000</f>
        <v>11340.85021819686</v>
      </c>
      <c r="H338" s="18">
        <f>'price-old'!H94/VLOOKUP($C338,'nymex-old'!$A$2:$B$243,2,FALSE)*1000</f>
        <v>9648.4076707882978</v>
      </c>
      <c r="I338" s="18">
        <f>'price-old'!I94/VLOOKUP($C338,'nymex-old'!$A$2:$B$243,2,FALSE)*1000</f>
        <v>14118.959431660205</v>
      </c>
      <c r="J338" s="18">
        <f>'price-old'!J94/VLOOKUP($C338,'nymex-old'!$A$2:$B$243,2,FALSE)*1000</f>
        <v>9974.9373433583951</v>
      </c>
      <c r="K338" s="18">
        <f>'price-old'!K94/VLOOKUP($C338,'nymex-old'!$A$2:$B$243,2,FALSE)*1000</f>
        <v>14624.060150375939</v>
      </c>
      <c r="L338" s="18">
        <f>'price-old'!L94/VLOOKUP($C338,'nymex-old'!$A$2:$B$243,2,FALSE)*1000</f>
        <v>24949.87468671679</v>
      </c>
      <c r="M338" s="18">
        <f>'price-old'!M94/VLOOKUP($C338,'nymex-old'!$A$2:$B$243,2,FALSE)*1000</f>
        <v>15288.220551378447</v>
      </c>
      <c r="N338" s="18"/>
      <c r="O338" s="18">
        <f>'price-old'!N94/VLOOKUP($C338,'nymex-old'!$A$2:$B$243,2,FALSE)*1000</f>
        <v>15437.881354998824</v>
      </c>
      <c r="P338" s="18">
        <f>'price-old'!O94/VLOOKUP($C338,'nymex-old'!$A$2:$B$243,2,FALSE)*1000</f>
        <v>13664.699162456924</v>
      </c>
      <c r="Q338" s="18">
        <f>'price-old'!P94/VLOOKUP($C338,'nymex-old'!$A$2:$B$243,2,FALSE)*1000</f>
        <v>14754.923961515115</v>
      </c>
      <c r="R338" s="18">
        <f>'price-old'!Q94/VLOOKUP($C338,'nymex-old'!$A$2:$B$243,2,FALSE)*1000</f>
        <v>15288.220551378447</v>
      </c>
    </row>
    <row r="339" spans="3:18" x14ac:dyDescent="0.2">
      <c r="C339" s="1">
        <f t="shared" si="25"/>
        <v>39661</v>
      </c>
      <c r="E339" s="18">
        <f>'price-old'!E95/VLOOKUP($C339,'nymex-old'!$A$2:$B$243,2,FALSE)*1000</f>
        <v>12787.396928487065</v>
      </c>
      <c r="F339" s="18">
        <f>'price-old'!F95/VLOOKUP($C339,'nymex-old'!$A$2:$B$243,2,FALSE)*1000</f>
        <v>12787.396928487065</v>
      </c>
      <c r="G339" s="18">
        <f>'price-old'!G95/VLOOKUP($C339,'nymex-old'!$A$2:$B$243,2,FALSE)*1000</f>
        <v>11214.374225526642</v>
      </c>
      <c r="H339" s="18">
        <f>'price-old'!H95/VLOOKUP($C339,'nymex-old'!$A$2:$B$243,2,FALSE)*1000</f>
        <v>9540.8046112627781</v>
      </c>
      <c r="I339" s="18">
        <f>'price-old'!I95/VLOOKUP($C339,'nymex-old'!$A$2:$B$243,2,FALSE)*1000</f>
        <v>13946.009450390142</v>
      </c>
      <c r="J339" s="18">
        <f>'price-old'!J95/VLOOKUP($C339,'nymex-old'!$A$2:$B$243,2,FALSE)*1000</f>
        <v>9863.6926889714996</v>
      </c>
      <c r="K339" s="18">
        <f>'price-old'!K95/VLOOKUP($C339,'nymex-old'!$A$2:$B$243,2,FALSE)*1000</f>
        <v>14460.96654275093</v>
      </c>
      <c r="L339" s="18">
        <f>'price-old'!L95/VLOOKUP($C339,'nymex-old'!$A$2:$B$243,2,FALSE)*1000</f>
        <v>24793.060718711276</v>
      </c>
      <c r="M339" s="18">
        <f>'price-old'!M95/VLOOKUP($C339,'nymex-old'!$A$2:$B$243,2,FALSE)*1000</f>
        <v>15117.719950433704</v>
      </c>
      <c r="N339" s="18"/>
      <c r="O339" s="18">
        <f>'price-old'!N95/VLOOKUP($C339,'nymex-old'!$A$2:$B$243,2,FALSE)*1000</f>
        <v>15265.711674459804</v>
      </c>
      <c r="P339" s="18">
        <f>'price-old'!O95/VLOOKUP($C339,'nymex-old'!$A$2:$B$243,2,FALSE)*1000</f>
        <v>13512.30474800573</v>
      </c>
      <c r="Q339" s="18">
        <f>'price-old'!P95/VLOOKUP($C339,'nymex-old'!$A$2:$B$243,2,FALSE)*1000</f>
        <v>14590.370906182234</v>
      </c>
      <c r="R339" s="18">
        <f>'price-old'!Q95/VLOOKUP($C339,'nymex-old'!$A$2:$B$243,2,FALSE)*1000</f>
        <v>15117.719950433704</v>
      </c>
    </row>
    <row r="340" spans="3:18" x14ac:dyDescent="0.2">
      <c r="C340" s="1">
        <f t="shared" si="25"/>
        <v>39692</v>
      </c>
      <c r="E340" s="18">
        <f>'price-old'!E96/VLOOKUP($C340,'nymex-old'!$A$2:$B$243,2,FALSE)*1000</f>
        <v>8820.420595043548</v>
      </c>
      <c r="F340" s="18">
        <f>'price-old'!F96/VLOOKUP($C340,'nymex-old'!$A$2:$B$243,2,FALSE)*1000</f>
        <v>8820.420595043548</v>
      </c>
      <c r="G340" s="18">
        <f>'price-old'!G96/VLOOKUP($C340,'nymex-old'!$A$2:$B$243,2,FALSE)*1000</f>
        <v>8720.9311763229271</v>
      </c>
      <c r="H340" s="18">
        <f>'price-old'!H96/VLOOKUP($C340,'nymex-old'!$A$2:$B$243,2,FALSE)*1000</f>
        <v>7694.7411825490562</v>
      </c>
      <c r="I340" s="18">
        <f>'price-old'!I96/VLOOKUP($C340,'nymex-old'!$A$2:$B$243,2,FALSE)*1000</f>
        <v>8727.6460627763954</v>
      </c>
      <c r="J340" s="18">
        <f>'price-old'!J96/VLOOKUP($C340,'nymex-old'!$A$2:$B$243,2,FALSE)*1000</f>
        <v>8751.7105170490122</v>
      </c>
      <c r="K340" s="18">
        <f>'price-old'!K96/VLOOKUP($C340,'nymex-old'!$A$2:$B$243,2,FALSE)*1000</f>
        <v>9240.4750123701142</v>
      </c>
      <c r="L340" s="18">
        <f>'price-old'!L96/VLOOKUP($C340,'nymex-old'!$A$2:$B$243,2,FALSE)*1000</f>
        <v>14111.825828797626</v>
      </c>
      <c r="M340" s="18">
        <f>'price-old'!M96/VLOOKUP($C340,'nymex-old'!$A$2:$B$243,2,FALSE)*1000</f>
        <v>8226.1256803562592</v>
      </c>
      <c r="N340" s="18"/>
      <c r="O340" s="18">
        <f>'price-old'!N96/VLOOKUP($C340,'nymex-old'!$A$2:$B$243,2,FALSE)*1000</f>
        <v>9562.6274233463664</v>
      </c>
      <c r="P340" s="18">
        <f>'price-old'!O96/VLOOKUP($C340,'nymex-old'!$A$2:$B$243,2,FALSE)*1000</f>
        <v>9339.965941114393</v>
      </c>
      <c r="Q340" s="18">
        <f>'price-old'!P96/VLOOKUP($C340,'nymex-old'!$A$2:$B$243,2,FALSE)*1000</f>
        <v>8535.9089212922518</v>
      </c>
      <c r="R340" s="18">
        <f>'price-old'!Q96/VLOOKUP($C340,'nymex-old'!$A$2:$B$243,2,FALSE)*1000</f>
        <v>8226.1256803562592</v>
      </c>
    </row>
    <row r="341" spans="3:18" x14ac:dyDescent="0.2">
      <c r="C341" s="1">
        <f t="shared" si="25"/>
        <v>39722</v>
      </c>
      <c r="E341" s="18">
        <f>'price-old'!E97/VLOOKUP($C341,'nymex-old'!$A$2:$B$243,2,FALSE)*1000</f>
        <v>8514.0201910707801</v>
      </c>
      <c r="F341" s="18">
        <f>'price-old'!F97/VLOOKUP($C341,'nymex-old'!$A$2:$B$243,2,FALSE)*1000</f>
        <v>8514.0201910707801</v>
      </c>
      <c r="G341" s="18">
        <f>'price-old'!G97/VLOOKUP($C341,'nymex-old'!$A$2:$B$243,2,FALSE)*1000</f>
        <v>7936.1186859355803</v>
      </c>
      <c r="H341" s="18">
        <f>'price-old'!H97/VLOOKUP($C341,'nymex-old'!$A$2:$B$243,2,FALSE)*1000</f>
        <v>8622.5870493296025</v>
      </c>
      <c r="I341" s="18">
        <f>'price-old'!I97/VLOOKUP($C341,'nymex-old'!$A$2:$B$243,2,FALSE)*1000</f>
        <v>8376.2738277051012</v>
      </c>
      <c r="J341" s="18">
        <f>'price-old'!J97/VLOOKUP($C341,'nymex-old'!$A$2:$B$243,2,FALSE)*1000</f>
        <v>9866.0930661663078</v>
      </c>
      <c r="K341" s="18">
        <f>'price-old'!K97/VLOOKUP($C341,'nymex-old'!$A$2:$B$243,2,FALSE)*1000</f>
        <v>9484.0294840294846</v>
      </c>
      <c r="L341" s="18">
        <f>'price-old'!L97/VLOOKUP($C341,'nymex-old'!$A$2:$B$243,2,FALSE)*1000</f>
        <v>13769.041769041769</v>
      </c>
      <c r="M341" s="18">
        <f>'price-old'!M97/VLOOKUP($C341,'nymex-old'!$A$2:$B$243,2,FALSE)*1000</f>
        <v>7985.2579852579847</v>
      </c>
      <c r="N341" s="18"/>
      <c r="O341" s="18">
        <f>'price-old'!N97/VLOOKUP($C341,'nymex-old'!$A$2:$B$243,2,FALSE)*1000</f>
        <v>8967.7974691555009</v>
      </c>
      <c r="P341" s="18">
        <f>'price-old'!O97/VLOOKUP($C341,'nymex-old'!$A$2:$B$243,2,FALSE)*1000</f>
        <v>8453.0551544864284</v>
      </c>
      <c r="Q341" s="18">
        <f>'price-old'!P97/VLOOKUP($C341,'nymex-old'!$A$2:$B$243,2,FALSE)*1000</f>
        <v>7924.7992513220779</v>
      </c>
      <c r="R341" s="18">
        <f>'price-old'!Q97/VLOOKUP($C341,'nymex-old'!$A$2:$B$243,2,FALSE)*1000</f>
        <v>7985.2579852579847</v>
      </c>
    </row>
    <row r="342" spans="3:18" x14ac:dyDescent="0.2">
      <c r="C342" s="1">
        <f t="shared" si="25"/>
        <v>39753</v>
      </c>
      <c r="E342" s="18">
        <f>'price-old'!E98/VLOOKUP($C342,'nymex-old'!$A$2:$B$243,2,FALSE)*1000</f>
        <v>8264.4615105301236</v>
      </c>
      <c r="F342" s="18">
        <f>'price-old'!F98/VLOOKUP($C342,'nymex-old'!$A$2:$B$243,2,FALSE)*1000</f>
        <v>8264.4615105301236</v>
      </c>
      <c r="G342" s="18">
        <f>'price-old'!G98/VLOOKUP($C342,'nymex-old'!$A$2:$B$243,2,FALSE)*1000</f>
        <v>7609.9872022123036</v>
      </c>
      <c r="H342" s="18">
        <f>'price-old'!H98/VLOOKUP($C342,'nymex-old'!$A$2:$B$243,2,FALSE)*1000</f>
        <v>9178.1044686733603</v>
      </c>
      <c r="I342" s="18">
        <f>'price-old'!I98/VLOOKUP($C342,'nymex-old'!$A$2:$B$243,2,FALSE)*1000</f>
        <v>8116.2741861785626</v>
      </c>
      <c r="J342" s="18">
        <f>'price-old'!J98/VLOOKUP($C342,'nymex-old'!$A$2:$B$243,2,FALSE)*1000</f>
        <v>9738.8622451764077</v>
      </c>
      <c r="K342" s="18">
        <f>'price-old'!K98/VLOOKUP($C342,'nymex-old'!$A$2:$B$243,2,FALSE)*1000</f>
        <v>9179.5481569560034</v>
      </c>
      <c r="L342" s="18">
        <f>'price-old'!L98/VLOOKUP($C342,'nymex-old'!$A$2:$B$243,2,FALSE)*1000</f>
        <v>13326.991676575504</v>
      </c>
      <c r="M342" s="18">
        <f>'price-old'!M98/VLOOKUP($C342,'nymex-old'!$A$2:$B$243,2,FALSE)*1000</f>
        <v>7728.8941736028537</v>
      </c>
      <c r="N342" s="18"/>
      <c r="O342" s="18">
        <f>'price-old'!N98/VLOOKUP($C342,'nymex-old'!$A$2:$B$243,2,FALSE)*1000</f>
        <v>8679.8895837010441</v>
      </c>
      <c r="P342" s="18">
        <f>'price-old'!O98/VLOOKUP($C342,'nymex-old'!$A$2:$B$243,2,FALSE)*1000</f>
        <v>8205.4537343355187</v>
      </c>
      <c r="Q342" s="18">
        <f>'price-old'!P98/VLOOKUP($C342,'nymex-old'!$A$2:$B$243,2,FALSE)*1000</f>
        <v>7694.1572953631276</v>
      </c>
      <c r="R342" s="18">
        <f>'price-old'!Q98/VLOOKUP($C342,'nymex-old'!$A$2:$B$243,2,FALSE)*1000</f>
        <v>7728.8941736028537</v>
      </c>
    </row>
    <row r="343" spans="3:18" x14ac:dyDescent="0.2">
      <c r="C343" s="1">
        <f t="shared" si="25"/>
        <v>39783</v>
      </c>
      <c r="E343" s="18">
        <f>'price-old'!E99/VLOOKUP($C343,'nymex-old'!$A$2:$B$243,2,FALSE)*1000</f>
        <v>8030.4283700231044</v>
      </c>
      <c r="F343" s="18">
        <f>'price-old'!F99/VLOOKUP($C343,'nymex-old'!$A$2:$B$243,2,FALSE)*1000</f>
        <v>8030.4283700231044</v>
      </c>
      <c r="G343" s="18">
        <f>'price-old'!G99/VLOOKUP($C343,'nymex-old'!$A$2:$B$243,2,FALSE)*1000</f>
        <v>7603.6857569821977</v>
      </c>
      <c r="H343" s="18">
        <f>'price-old'!H99/VLOOKUP($C343,'nymex-old'!$A$2:$B$243,2,FALSE)*1000</f>
        <v>9007.8178089335215</v>
      </c>
      <c r="I343" s="18">
        <f>'price-old'!I99/VLOOKUP($C343,'nymex-old'!$A$2:$B$243,2,FALSE)*1000</f>
        <v>7872.4496375580538</v>
      </c>
      <c r="J343" s="18">
        <f>'price-old'!J99/VLOOKUP($C343,'nymex-old'!$A$2:$B$243,2,FALSE)*1000</f>
        <v>9609.9774408999674</v>
      </c>
      <c r="K343" s="18">
        <f>'price-old'!K99/VLOOKUP($C343,'nymex-old'!$A$2:$B$243,2,FALSE)*1000</f>
        <v>8894.0092165898623</v>
      </c>
      <c r="L343" s="18">
        <f>'price-old'!L99/VLOOKUP($C343,'nymex-old'!$A$2:$B$243,2,FALSE)*1000</f>
        <v>12912.442396313365</v>
      </c>
      <c r="M343" s="18">
        <f>'price-old'!M99/VLOOKUP($C343,'nymex-old'!$A$2:$B$243,2,FALSE)*1000</f>
        <v>7488.4792626728113</v>
      </c>
      <c r="N343" s="18"/>
      <c r="O343" s="18">
        <f>'price-old'!N99/VLOOKUP($C343,'nymex-old'!$A$2:$B$243,2,FALSE)*1000</f>
        <v>8409.8930183094217</v>
      </c>
      <c r="P343" s="18">
        <f>'price-old'!O99/VLOOKUP($C343,'nymex-old'!$A$2:$B$243,2,FALSE)*1000</f>
        <v>7973.2560891709572</v>
      </c>
      <c r="Q343" s="18">
        <f>'price-old'!P99/VLOOKUP($C343,'nymex-old'!$A$2:$B$243,2,FALSE)*1000</f>
        <v>7477.8640325168317</v>
      </c>
      <c r="R343" s="18">
        <f>'price-old'!Q99/VLOOKUP($C343,'nymex-old'!$A$2:$B$243,2,FALSE)*1000</f>
        <v>7488.4792626728113</v>
      </c>
    </row>
    <row r="344" spans="3:18" x14ac:dyDescent="0.2">
      <c r="C344" s="1">
        <f t="shared" ref="C344:C367" si="26">C99</f>
        <v>39814</v>
      </c>
      <c r="E344" s="18">
        <f>'price-old'!E100/VLOOKUP($C344,'nymex-old'!$A$2:$B$243,2,FALSE)*1000</f>
        <v>9065.0895120687837</v>
      </c>
      <c r="F344" s="18">
        <f>'price-old'!F100/VLOOKUP($C344,'nymex-old'!$A$2:$B$243,2,FALSE)*1000</f>
        <v>9065.0895120687837</v>
      </c>
      <c r="G344" s="18">
        <f>'price-old'!G100/VLOOKUP($C344,'nymex-old'!$A$2:$B$243,2,FALSE)*1000</f>
        <v>9164.4021048062077</v>
      </c>
      <c r="H344" s="18">
        <f>'price-old'!H100/VLOOKUP($C344,'nymex-old'!$A$2:$B$243,2,FALSE)*1000</f>
        <v>9676.3735232145882</v>
      </c>
      <c r="I344" s="18">
        <f>'price-old'!I100/VLOOKUP($C344,'nymex-old'!$A$2:$B$243,2,FALSE)*1000</f>
        <v>8867.2698407933312</v>
      </c>
      <c r="J344" s="18">
        <f>'price-old'!J100/VLOOKUP($C344,'nymex-old'!$A$2:$B$243,2,FALSE)*1000</f>
        <v>11503.360409667526</v>
      </c>
      <c r="K344" s="18">
        <f>'price-old'!K100/VLOOKUP($C344,'nymex-old'!$A$2:$B$243,2,FALSE)*1000</f>
        <v>11571.557971014492</v>
      </c>
      <c r="L344" s="18">
        <f>'price-old'!L100/VLOOKUP($C344,'nymex-old'!$A$2:$B$243,2,FALSE)*1000</f>
        <v>15432.51811594203</v>
      </c>
      <c r="M344" s="18">
        <f>'price-old'!M100/VLOOKUP($C344,'nymex-old'!$A$2:$B$243,2,FALSE)*1000</f>
        <v>8605.072463768116</v>
      </c>
      <c r="N344" s="18"/>
      <c r="O344" s="18">
        <f>'price-old'!N100/VLOOKUP($C344,'nymex-old'!$A$2:$B$243,2,FALSE)*1000</f>
        <v>9567.6442851190968</v>
      </c>
      <c r="P344" s="18">
        <f>'price-old'!O100/VLOOKUP($C344,'nymex-old'!$A$2:$B$243,2,FALSE)*1000</f>
        <v>8952.1883190542012</v>
      </c>
      <c r="Q344" s="18">
        <f>'price-old'!P100/VLOOKUP($C344,'nymex-old'!$A$2:$B$243,2,FALSE)*1000</f>
        <v>9088.0575387374192</v>
      </c>
      <c r="R344" s="18">
        <f>'price-old'!Q100/VLOOKUP($C344,'nymex-old'!$A$2:$B$243,2,FALSE)*1000</f>
        <v>8605.072463768116</v>
      </c>
    </row>
    <row r="345" spans="3:18" x14ac:dyDescent="0.2">
      <c r="C345" s="1">
        <f t="shared" si="26"/>
        <v>39845</v>
      </c>
      <c r="E345" s="18">
        <f>'price-old'!E101/VLOOKUP($C345,'nymex-old'!$A$2:$B$243,2,FALSE)*1000</f>
        <v>9232.5344338011637</v>
      </c>
      <c r="F345" s="18">
        <f>'price-old'!F101/VLOOKUP($C345,'nymex-old'!$A$2:$B$243,2,FALSE)*1000</f>
        <v>9232.5344338011637</v>
      </c>
      <c r="G345" s="18">
        <f>'price-old'!G101/VLOOKUP($C345,'nymex-old'!$A$2:$B$243,2,FALSE)*1000</f>
        <v>9148.4398218352817</v>
      </c>
      <c r="H345" s="18">
        <f>'price-old'!H101/VLOOKUP($C345,'nymex-old'!$A$2:$B$243,2,FALSE)*1000</f>
        <v>10093.732454877721</v>
      </c>
      <c r="I345" s="18">
        <f>'price-old'!I101/VLOOKUP($C345,'nymex-old'!$A$2:$B$243,2,FALSE)*1000</f>
        <v>9000.2004020765471</v>
      </c>
      <c r="J345" s="18">
        <f>'price-old'!J101/VLOOKUP($C345,'nymex-old'!$A$2:$B$243,2,FALSE)*1000</f>
        <v>11353.848201277757</v>
      </c>
      <c r="K345" s="18">
        <f>'price-old'!K101/VLOOKUP($C345,'nymex-old'!$A$2:$B$243,2,FALSE)*1000</f>
        <v>11889.250814332248</v>
      </c>
      <c r="L345" s="18">
        <f>'price-old'!L101/VLOOKUP($C345,'nymex-old'!$A$2:$B$243,2,FALSE)*1000</f>
        <v>15856.212191717079</v>
      </c>
      <c r="M345" s="18">
        <f>'price-old'!M101/VLOOKUP($C345,'nymex-old'!$A$2:$B$243,2,FALSE)*1000</f>
        <v>8841.3215449046074</v>
      </c>
      <c r="N345" s="18"/>
      <c r="O345" s="18">
        <f>'price-old'!N101/VLOOKUP($C345,'nymex-old'!$A$2:$B$243,2,FALSE)*1000</f>
        <v>9887.3252034353736</v>
      </c>
      <c r="P345" s="18">
        <f>'price-old'!O101/VLOOKUP($C345,'nymex-old'!$A$2:$B$243,2,FALSE)*1000</f>
        <v>9116.5335802989757</v>
      </c>
      <c r="Q345" s="18">
        <f>'price-old'!P101/VLOOKUP($C345,'nymex-old'!$A$2:$B$243,2,FALSE)*1000</f>
        <v>9256.1330391452066</v>
      </c>
      <c r="R345" s="18">
        <f>'price-old'!Q101/VLOOKUP($C345,'nymex-old'!$A$2:$B$243,2,FALSE)*1000</f>
        <v>8841.3215449046074</v>
      </c>
    </row>
    <row r="346" spans="3:18" x14ac:dyDescent="0.2">
      <c r="C346" s="1">
        <f t="shared" si="26"/>
        <v>39873</v>
      </c>
      <c r="E346" s="18">
        <f>'price-old'!E102/VLOOKUP($C346,'nymex-old'!$A$2:$B$243,2,FALSE)*1000</f>
        <v>8318.1698114156643</v>
      </c>
      <c r="F346" s="18">
        <f>'price-old'!F102/VLOOKUP($C346,'nymex-old'!$A$2:$B$243,2,FALSE)*1000</f>
        <v>8318.1698114156643</v>
      </c>
      <c r="G346" s="18">
        <f>'price-old'!G102/VLOOKUP($C346,'nymex-old'!$A$2:$B$243,2,FALSE)*1000</f>
        <v>8607.4413285822138</v>
      </c>
      <c r="H346" s="18">
        <f>'price-old'!H102/VLOOKUP($C346,'nymex-old'!$A$2:$B$243,2,FALSE)*1000</f>
        <v>8727.1416745409097</v>
      </c>
      <c r="I346" s="18">
        <f>'price-old'!I102/VLOOKUP($C346,'nymex-old'!$A$2:$B$243,2,FALSE)*1000</f>
        <v>8348.9902308579676</v>
      </c>
      <c r="J346" s="18">
        <f>'price-old'!J102/VLOOKUP($C346,'nymex-old'!$A$2:$B$243,2,FALSE)*1000</f>
        <v>9915.2261612652874</v>
      </c>
      <c r="K346" s="18">
        <f>'price-old'!K102/VLOOKUP($C346,'nymex-old'!$A$2:$B$243,2,FALSE)*1000</f>
        <v>9651.8607442977191</v>
      </c>
      <c r="L346" s="18">
        <f>'price-old'!L102/VLOOKUP($C346,'nymex-old'!$A$2:$B$243,2,FALSE)*1000</f>
        <v>13241.296518607443</v>
      </c>
      <c r="M346" s="18">
        <f>'price-old'!M102/VLOOKUP($C346,'nymex-old'!$A$2:$B$243,2,FALSE)*1000</f>
        <v>8043.2172869147662</v>
      </c>
      <c r="N346" s="18"/>
      <c r="O346" s="18">
        <f>'price-old'!N102/VLOOKUP($C346,'nymex-old'!$A$2:$B$243,2,FALSE)*1000</f>
        <v>9183.0744749071491</v>
      </c>
      <c r="P346" s="18">
        <f>'price-old'!O102/VLOOKUP($C346,'nymex-old'!$A$2:$B$243,2,FALSE)*1000</f>
        <v>8138.9061972445234</v>
      </c>
      <c r="Q346" s="18">
        <f>'price-old'!P102/VLOOKUP($C346,'nymex-old'!$A$2:$B$243,2,FALSE)*1000</f>
        <v>8282.9634539362614</v>
      </c>
      <c r="R346" s="18">
        <f>'price-old'!Q102/VLOOKUP($C346,'nymex-old'!$A$2:$B$243,2,FALSE)*1000</f>
        <v>8043.2172869147662</v>
      </c>
    </row>
    <row r="347" spans="3:18" x14ac:dyDescent="0.2">
      <c r="C347" s="1">
        <f t="shared" si="26"/>
        <v>39904</v>
      </c>
      <c r="E347" s="18">
        <f>'price-old'!E103/VLOOKUP($C347,'nymex-old'!$A$2:$B$243,2,FALSE)*1000</f>
        <v>8817.8839265039442</v>
      </c>
      <c r="F347" s="18">
        <f>'price-old'!F103/VLOOKUP($C347,'nymex-old'!$A$2:$B$243,2,FALSE)*1000</f>
        <v>8817.8839265039442</v>
      </c>
      <c r="G347" s="18">
        <f>'price-old'!G103/VLOOKUP($C347,'nymex-old'!$A$2:$B$243,2,FALSE)*1000</f>
        <v>8655.7767858457337</v>
      </c>
      <c r="H347" s="18">
        <f>'price-old'!H103/VLOOKUP($C347,'nymex-old'!$A$2:$B$243,2,FALSE)*1000</f>
        <v>9132.8002699655499</v>
      </c>
      <c r="I347" s="18">
        <f>'price-old'!I103/VLOOKUP($C347,'nymex-old'!$A$2:$B$243,2,FALSE)*1000</f>
        <v>8755.915847854998</v>
      </c>
      <c r="J347" s="18">
        <f>'price-old'!J103/VLOOKUP($C347,'nymex-old'!$A$2:$B$243,2,FALSE)*1000</f>
        <v>9848.4710233295391</v>
      </c>
      <c r="K347" s="18">
        <f>'price-old'!K103/VLOOKUP($C347,'nymex-old'!$A$2:$B$243,2,FALSE)*1000</f>
        <v>10100.502512562814</v>
      </c>
      <c r="L347" s="18">
        <f>'price-old'!L103/VLOOKUP($C347,'nymex-old'!$A$2:$B$243,2,FALSE)*1000</f>
        <v>13856.783919597989</v>
      </c>
      <c r="M347" s="18">
        <f>'price-old'!M103/VLOOKUP($C347,'nymex-old'!$A$2:$B$243,2,FALSE)*1000</f>
        <v>8291.4572864321617</v>
      </c>
      <c r="N347" s="18"/>
      <c r="O347" s="18">
        <f>'price-old'!N103/VLOOKUP($C347,'nymex-old'!$A$2:$B$243,2,FALSE)*1000</f>
        <v>9672.7390385153321</v>
      </c>
      <c r="P347" s="18">
        <f>'price-old'!O103/VLOOKUP($C347,'nymex-old'!$A$2:$B$243,2,FALSE)*1000</f>
        <v>8630.2877071514795</v>
      </c>
      <c r="Q347" s="18">
        <f>'price-old'!P103/VLOOKUP($C347,'nymex-old'!$A$2:$B$243,2,FALSE)*1000</f>
        <v>8781.0410926090408</v>
      </c>
      <c r="R347" s="18">
        <f>'price-old'!Q103/VLOOKUP($C347,'nymex-old'!$A$2:$B$243,2,FALSE)*1000</f>
        <v>8291.4572864321617</v>
      </c>
    </row>
    <row r="348" spans="3:18" x14ac:dyDescent="0.2">
      <c r="C348" s="1">
        <f t="shared" si="26"/>
        <v>39934</v>
      </c>
      <c r="E348" s="18">
        <f>'price-old'!E104/VLOOKUP($C348,'nymex-old'!$A$2:$B$243,2,FALSE)*1000</f>
        <v>10391.327596131139</v>
      </c>
      <c r="F348" s="18">
        <f>'price-old'!F104/VLOOKUP($C348,'nymex-old'!$A$2:$B$243,2,FALSE)*1000</f>
        <v>10391.327596131139</v>
      </c>
      <c r="G348" s="18">
        <f>'price-old'!G104/VLOOKUP($C348,'nymex-old'!$A$2:$B$243,2,FALSE)*1000</f>
        <v>9546.6018023358793</v>
      </c>
      <c r="H348" s="18">
        <f>'price-old'!H104/VLOOKUP($C348,'nymex-old'!$A$2:$B$243,2,FALSE)*1000</f>
        <v>9333.3919342579102</v>
      </c>
      <c r="I348" s="18">
        <f>'price-old'!I104/VLOOKUP($C348,'nymex-old'!$A$2:$B$243,2,FALSE)*1000</f>
        <v>9131.8807914215013</v>
      </c>
      <c r="J348" s="18">
        <f>'price-old'!J104/VLOOKUP($C348,'nymex-old'!$A$2:$B$243,2,FALSE)*1000</f>
        <v>10546.452596746101</v>
      </c>
      <c r="K348" s="18">
        <f>'price-old'!K104/VLOOKUP($C348,'nymex-old'!$A$2:$B$243,2,FALSE)*1000</f>
        <v>10125.944584382871</v>
      </c>
      <c r="L348" s="18">
        <f>'price-old'!L104/VLOOKUP($C348,'nymex-old'!$A$2:$B$243,2,FALSE)*1000</f>
        <v>14143.576826196473</v>
      </c>
      <c r="M348" s="18">
        <f>'price-old'!M104/VLOOKUP($C348,'nymex-old'!$A$2:$B$243,2,FALSE)*1000</f>
        <v>9319.8992443324933</v>
      </c>
      <c r="N348" s="18"/>
      <c r="O348" s="18">
        <f>'price-old'!N104/VLOOKUP($C348,'nymex-old'!$A$2:$B$243,2,FALSE)*1000</f>
        <v>10958.078225854062</v>
      </c>
      <c r="P348" s="18">
        <f>'price-old'!O104/VLOOKUP($C348,'nymex-old'!$A$2:$B$243,2,FALSE)*1000</f>
        <v>10750.268508565216</v>
      </c>
      <c r="Q348" s="18">
        <f>'price-old'!P104/VLOOKUP($C348,'nymex-old'!$A$2:$B$243,2,FALSE)*1000</f>
        <v>9031.1247395628343</v>
      </c>
      <c r="R348" s="18">
        <f>'price-old'!Q104/VLOOKUP($C348,'nymex-old'!$A$2:$B$243,2,FALSE)*1000</f>
        <v>9319.8992443324933</v>
      </c>
    </row>
    <row r="349" spans="3:18" x14ac:dyDescent="0.2">
      <c r="C349" s="1">
        <f t="shared" si="26"/>
        <v>39965</v>
      </c>
      <c r="E349" s="18">
        <f>'price-old'!E105/VLOOKUP($C349,'nymex-old'!$A$2:$B$243,2,FALSE)*1000</f>
        <v>9860.9229176864592</v>
      </c>
      <c r="F349" s="18">
        <f>'price-old'!F105/VLOOKUP($C349,'nymex-old'!$A$2:$B$243,2,FALSE)*1000</f>
        <v>9860.9229176864592</v>
      </c>
      <c r="G349" s="18">
        <f>'price-old'!G105/VLOOKUP($C349,'nymex-old'!$A$2:$B$243,2,FALSE)*1000</f>
        <v>9485.7703907395753</v>
      </c>
      <c r="H349" s="18">
        <f>'price-old'!H105/VLOOKUP($C349,'nymex-old'!$A$2:$B$243,2,FALSE)*1000</f>
        <v>8612.7951093988904</v>
      </c>
      <c r="I349" s="18">
        <f>'price-old'!I105/VLOOKUP($C349,'nymex-old'!$A$2:$B$243,2,FALSE)*1000</f>
        <v>9923.329308100836</v>
      </c>
      <c r="J349" s="18">
        <f>'price-old'!J105/VLOOKUP($C349,'nymex-old'!$A$2:$B$243,2,FALSE)*1000</f>
        <v>8061.6081112096508</v>
      </c>
      <c r="K349" s="18">
        <f>'price-old'!K105/VLOOKUP($C349,'nymex-old'!$A$2:$B$243,2,FALSE)*1000</f>
        <v>11757.363954068896</v>
      </c>
      <c r="L349" s="18">
        <f>'price-old'!L105/VLOOKUP($C349,'nymex-old'!$A$2:$B$243,2,FALSE)*1000</f>
        <v>18509.735396904642</v>
      </c>
      <c r="M349" s="18">
        <f>'price-old'!M105/VLOOKUP($C349,'nymex-old'!$A$2:$B$243,2,FALSE)*1000</f>
        <v>12231.652521218171</v>
      </c>
      <c r="N349" s="18"/>
      <c r="O349" s="18">
        <f>'price-old'!N105/VLOOKUP($C349,'nymex-old'!$A$2:$B$243,2,FALSE)*1000</f>
        <v>11358.676287631541</v>
      </c>
      <c r="P349" s="18">
        <f>'price-old'!O105/VLOOKUP($C349,'nymex-old'!$A$2:$B$243,2,FALSE)*1000</f>
        <v>11124.65232357762</v>
      </c>
      <c r="Q349" s="18">
        <f>'price-old'!P105/VLOOKUP($C349,'nymex-old'!$A$2:$B$243,2,FALSE)*1000</f>
        <v>10260.323435440101</v>
      </c>
      <c r="R349" s="18">
        <f>'price-old'!Q105/VLOOKUP($C349,'nymex-old'!$A$2:$B$243,2,FALSE)*1000</f>
        <v>12231.652521218171</v>
      </c>
    </row>
    <row r="350" spans="3:18" x14ac:dyDescent="0.2">
      <c r="C350" s="1">
        <f t="shared" si="26"/>
        <v>39995</v>
      </c>
      <c r="E350" s="18">
        <f>'price-old'!E106/VLOOKUP($C350,'nymex-old'!$A$2:$B$243,2,FALSE)*1000</f>
        <v>13094.240840060496</v>
      </c>
      <c r="F350" s="18">
        <f>'price-old'!F106/VLOOKUP($C350,'nymex-old'!$A$2:$B$243,2,FALSE)*1000</f>
        <v>13094.240840060496</v>
      </c>
      <c r="G350" s="18">
        <f>'price-old'!G106/VLOOKUP($C350,'nymex-old'!$A$2:$B$243,2,FALSE)*1000</f>
        <v>11282.365566117256</v>
      </c>
      <c r="H350" s="18">
        <f>'price-old'!H106/VLOOKUP($C350,'nymex-old'!$A$2:$B$243,2,FALSE)*1000</f>
        <v>9986.9658708866373</v>
      </c>
      <c r="I350" s="18">
        <f>'price-old'!I106/VLOOKUP($C350,'nymex-old'!$A$2:$B$243,2,FALSE)*1000</f>
        <v>14262.551943853075</v>
      </c>
      <c r="J350" s="18">
        <f>'price-old'!J106/VLOOKUP($C350,'nymex-old'!$A$2:$B$243,2,FALSE)*1000</f>
        <v>10073.982737361284</v>
      </c>
      <c r="K350" s="18">
        <f>'price-old'!K106/VLOOKUP($C350,'nymex-old'!$A$2:$B$243,2,FALSE)*1000</f>
        <v>14512.946979038226</v>
      </c>
      <c r="L350" s="18">
        <f>'price-old'!L106/VLOOKUP($C350,'nymex-old'!$A$2:$B$243,2,FALSE)*1000</f>
        <v>24697.903822441433</v>
      </c>
      <c r="M350" s="18">
        <f>'price-old'!M106/VLOOKUP($C350,'nymex-old'!$A$2:$B$243,2,FALSE)*1000</f>
        <v>15536.374845869299</v>
      </c>
      <c r="N350" s="18"/>
      <c r="O350" s="18">
        <f>'price-old'!N106/VLOOKUP($C350,'nymex-old'!$A$2:$B$243,2,FALSE)*1000</f>
        <v>15560.332085436576</v>
      </c>
      <c r="P350" s="18">
        <f>'price-old'!O106/VLOOKUP($C350,'nymex-old'!$A$2:$B$243,2,FALSE)*1000</f>
        <v>13667.606302019112</v>
      </c>
      <c r="Q350" s="18">
        <f>'price-old'!P106/VLOOKUP($C350,'nymex-old'!$A$2:$B$243,2,FALSE)*1000</f>
        <v>15011.626783340398</v>
      </c>
      <c r="R350" s="18">
        <f>'price-old'!Q106/VLOOKUP($C350,'nymex-old'!$A$2:$B$243,2,FALSE)*1000</f>
        <v>15536.374845869299</v>
      </c>
    </row>
    <row r="351" spans="3:18" x14ac:dyDescent="0.2">
      <c r="C351" s="1">
        <f t="shared" si="26"/>
        <v>40026</v>
      </c>
      <c r="E351" s="18">
        <f>'price-old'!E107/VLOOKUP($C351,'nymex-old'!$A$2:$B$243,2,FALSE)*1000</f>
        <v>12950.52356254764</v>
      </c>
      <c r="F351" s="18">
        <f>'price-old'!F107/VLOOKUP($C351,'nymex-old'!$A$2:$B$243,2,FALSE)*1000</f>
        <v>12950.52356254764</v>
      </c>
      <c r="G351" s="18">
        <f>'price-old'!G107/VLOOKUP($C351,'nymex-old'!$A$2:$B$243,2,FALSE)*1000</f>
        <v>11158.536585365855</v>
      </c>
      <c r="H351" s="18">
        <f>'price-old'!H107/VLOOKUP($C351,'nymex-old'!$A$2:$B$243,2,FALSE)*1000</f>
        <v>9877.352830840322</v>
      </c>
      <c r="I351" s="18">
        <f>'price-old'!I107/VLOOKUP($C351,'nymex-old'!$A$2:$B$243,2,FALSE)*1000</f>
        <v>14090.767837152249</v>
      </c>
      <c r="J351" s="18">
        <f>'price-old'!J107/VLOOKUP($C351,'nymex-old'!$A$2:$B$243,2,FALSE)*1000</f>
        <v>9963.414634146342</v>
      </c>
      <c r="K351" s="18">
        <f>'price-old'!K107/VLOOKUP($C351,'nymex-old'!$A$2:$B$243,2,FALSE)*1000</f>
        <v>14353.658536585368</v>
      </c>
      <c r="L351" s="18">
        <f>'price-old'!L107/VLOOKUP($C351,'nymex-old'!$A$2:$B$243,2,FALSE)*1000</f>
        <v>24546.341463414639</v>
      </c>
      <c r="M351" s="18">
        <f>'price-old'!M107/VLOOKUP($C351,'nymex-old'!$A$2:$B$243,2,FALSE)*1000</f>
        <v>15365.853658536587</v>
      </c>
      <c r="N351" s="18"/>
      <c r="O351" s="18">
        <f>'price-old'!N107/VLOOKUP($C351,'nymex-old'!$A$2:$B$243,2,FALSE)*1000</f>
        <v>15389.547952791541</v>
      </c>
      <c r="P351" s="18">
        <f>'price-old'!O107/VLOOKUP($C351,'nymex-old'!$A$2:$B$243,2,FALSE)*1000</f>
        <v>13517.595988948171</v>
      </c>
      <c r="Q351" s="18">
        <f>'price-old'!P107/VLOOKUP($C351,'nymex-old'!$A$2:$B$243,2,FALSE)*1000</f>
        <v>14846.865025962274</v>
      </c>
      <c r="R351" s="18">
        <f>'price-old'!Q107/VLOOKUP($C351,'nymex-old'!$A$2:$B$243,2,FALSE)*1000</f>
        <v>15365.853658536587</v>
      </c>
    </row>
    <row r="352" spans="3:18" x14ac:dyDescent="0.2">
      <c r="C352" s="1">
        <f t="shared" si="26"/>
        <v>40057</v>
      </c>
      <c r="E352" s="18">
        <f>'price-old'!E108/VLOOKUP($C352,'nymex-old'!$A$2:$B$243,2,FALSE)*1000</f>
        <v>8680.8229961446341</v>
      </c>
      <c r="F352" s="18">
        <f>'price-old'!F108/VLOOKUP($C352,'nymex-old'!$A$2:$B$243,2,FALSE)*1000</f>
        <v>8680.8229961446341</v>
      </c>
      <c r="G352" s="18">
        <f>'price-old'!G108/VLOOKUP($C352,'nymex-old'!$A$2:$B$243,2,FALSE)*1000</f>
        <v>8704.6515253706493</v>
      </c>
      <c r="H352" s="18">
        <f>'price-old'!H108/VLOOKUP($C352,'nymex-old'!$A$2:$B$243,2,FALSE)*1000</f>
        <v>7694.7026685812716</v>
      </c>
      <c r="I352" s="18">
        <f>'price-old'!I108/VLOOKUP($C352,'nymex-old'!$A$2:$B$243,2,FALSE)*1000</f>
        <v>8589.5167727641074</v>
      </c>
      <c r="J352" s="18">
        <f>'price-old'!J108/VLOOKUP($C352,'nymex-old'!$A$2:$B$243,2,FALSE)*1000</f>
        <v>8613.2003676435615</v>
      </c>
      <c r="K352" s="18">
        <f>'price-old'!K108/VLOOKUP($C352,'nymex-old'!$A$2:$B$243,2,FALSE)*1000</f>
        <v>9215.9727294862423</v>
      </c>
      <c r="L352" s="18">
        <f>'price-old'!L108/VLOOKUP($C352,'nymex-old'!$A$2:$B$243,2,FALSE)*1000</f>
        <v>14034.575115656196</v>
      </c>
      <c r="M352" s="18">
        <f>'price-old'!M108/VLOOKUP($C352,'nymex-old'!$A$2:$B$243,2,FALSE)*1000</f>
        <v>8156.8054541027504</v>
      </c>
      <c r="N352" s="18"/>
      <c r="O352" s="18">
        <f>'price-old'!N108/VLOOKUP($C352,'nymex-old'!$A$2:$B$243,2,FALSE)*1000</f>
        <v>9411.2831860642837</v>
      </c>
      <c r="P352" s="18">
        <f>'price-old'!O108/VLOOKUP($C352,'nymex-old'!$A$2:$B$243,2,FALSE)*1000</f>
        <v>9173.8849246998252</v>
      </c>
      <c r="Q352" s="18">
        <f>'price-old'!P108/VLOOKUP($C352,'nymex-old'!$A$2:$B$243,2,FALSE)*1000</f>
        <v>8522.5575504902063</v>
      </c>
      <c r="R352" s="18">
        <f>'price-old'!Q108/VLOOKUP($C352,'nymex-old'!$A$2:$B$243,2,FALSE)*1000</f>
        <v>8156.8054541027504</v>
      </c>
    </row>
    <row r="353" spans="3:18" x14ac:dyDescent="0.2">
      <c r="C353" s="1">
        <f t="shared" si="26"/>
        <v>40087</v>
      </c>
      <c r="E353" s="18">
        <f>'price-old'!E109/VLOOKUP($C353,'nymex-old'!$A$2:$B$243,2,FALSE)*1000</f>
        <v>8380.1843234965127</v>
      </c>
      <c r="F353" s="18">
        <f>'price-old'!F109/VLOOKUP($C353,'nymex-old'!$A$2:$B$243,2,FALSE)*1000</f>
        <v>8380.1843234965127</v>
      </c>
      <c r="G353" s="18">
        <f>'price-old'!G109/VLOOKUP($C353,'nymex-old'!$A$2:$B$243,2,FALSE)*1000</f>
        <v>7932.2861068338125</v>
      </c>
      <c r="H353" s="18">
        <f>'price-old'!H109/VLOOKUP($C353,'nymex-old'!$A$2:$B$243,2,FALSE)*1000</f>
        <v>8607.963552786332</v>
      </c>
      <c r="I353" s="18">
        <f>'price-old'!I109/VLOOKUP($C353,'nymex-old'!$A$2:$B$243,2,FALSE)*1000</f>
        <v>8244.6032596758796</v>
      </c>
      <c r="J353" s="18">
        <f>'price-old'!J109/VLOOKUP($C353,'nymex-old'!$A$2:$B$243,2,FALSE)*1000</f>
        <v>9771.4628244974319</v>
      </c>
      <c r="K353" s="18">
        <f>'price-old'!K109/VLOOKUP($C353,'nymex-old'!$A$2:$B$243,2,FALSE)*1000</f>
        <v>9455.8645707376072</v>
      </c>
      <c r="L353" s="18">
        <f>'price-old'!L109/VLOOKUP($C353,'nymex-old'!$A$2:$B$243,2,FALSE)*1000</f>
        <v>13697.702539298671</v>
      </c>
      <c r="M353" s="18">
        <f>'price-old'!M109/VLOOKUP($C353,'nymex-old'!$A$2:$B$243,2,FALSE)*1000</f>
        <v>7738.8149939540508</v>
      </c>
      <c r="N353" s="18"/>
      <c r="O353" s="18">
        <f>'price-old'!N109/VLOOKUP($C353,'nymex-old'!$A$2:$B$243,2,FALSE)*1000</f>
        <v>8826.8284641990067</v>
      </c>
      <c r="P353" s="18">
        <f>'price-old'!O109/VLOOKUP($C353,'nymex-old'!$A$2:$B$243,2,FALSE)*1000</f>
        <v>8320.1776248512142</v>
      </c>
      <c r="Q353" s="18">
        <f>'price-old'!P109/VLOOKUP($C353,'nymex-old'!$A$2:$B$243,2,FALSE)*1000</f>
        <v>7921.1446077100027</v>
      </c>
      <c r="R353" s="18">
        <f>'price-old'!Q109/VLOOKUP($C353,'nymex-old'!$A$2:$B$243,2,FALSE)*1000</f>
        <v>7738.8149939540508</v>
      </c>
    </row>
    <row r="354" spans="3:18" x14ac:dyDescent="0.2">
      <c r="C354" s="1">
        <f t="shared" si="26"/>
        <v>40118</v>
      </c>
      <c r="E354" s="18">
        <f>'price-old'!E110/VLOOKUP($C354,'nymex-old'!$A$2:$B$243,2,FALSE)*1000</f>
        <v>8138.655890346412</v>
      </c>
      <c r="F354" s="18">
        <f>'price-old'!F110/VLOOKUP($C354,'nymex-old'!$A$2:$B$243,2,FALSE)*1000</f>
        <v>8138.655890346412</v>
      </c>
      <c r="G354" s="18">
        <f>'price-old'!G110/VLOOKUP($C354,'nymex-old'!$A$2:$B$243,2,FALSE)*1000</f>
        <v>7611.2403244268708</v>
      </c>
      <c r="H354" s="18">
        <f>'price-old'!H110/VLOOKUP($C354,'nymex-old'!$A$2:$B$243,2,FALSE)*1000</f>
        <v>9155.4869533422698</v>
      </c>
      <c r="I354" s="18">
        <f>'price-old'!I110/VLOOKUP($C354,'nymex-old'!$A$2:$B$243,2,FALSE)*1000</f>
        <v>7992.7243449369707</v>
      </c>
      <c r="J354" s="18">
        <f>'price-old'!J110/VLOOKUP($C354,'nymex-old'!$A$2:$B$243,2,FALSE)*1000</f>
        <v>9649.1605950741923</v>
      </c>
      <c r="K354" s="18">
        <f>'price-old'!K110/VLOOKUP($C354,'nymex-old'!$A$2:$B$243,2,FALSE)*1000</f>
        <v>9156.9086651053876</v>
      </c>
      <c r="L354" s="18">
        <f>'price-old'!L110/VLOOKUP($C354,'nymex-old'!$A$2:$B$243,2,FALSE)*1000</f>
        <v>13264.637002341922</v>
      </c>
      <c r="M354" s="18">
        <f>'price-old'!M110/VLOOKUP($C354,'nymex-old'!$A$2:$B$243,2,FALSE)*1000</f>
        <v>7494.1451990632322</v>
      </c>
      <c r="N354" s="18"/>
      <c r="O354" s="18">
        <f>'price-old'!N110/VLOOKUP($C354,'nymex-old'!$A$2:$B$243,2,FALSE)*1000</f>
        <v>8547.760116970232</v>
      </c>
      <c r="P354" s="18">
        <f>'price-old'!O110/VLOOKUP($C354,'nymex-old'!$A$2:$B$243,2,FALSE)*1000</f>
        <v>8080.5463589884921</v>
      </c>
      <c r="Q354" s="18">
        <f>'price-old'!P110/VLOOKUP($C354,'nymex-old'!$A$2:$B$243,2,FALSE)*1000</f>
        <v>7694.1291398131043</v>
      </c>
      <c r="R354" s="18">
        <f>'price-old'!Q110/VLOOKUP($C354,'nymex-old'!$A$2:$B$243,2,FALSE)*1000</f>
        <v>7494.1451990632322</v>
      </c>
    </row>
    <row r="355" spans="3:18" x14ac:dyDescent="0.2">
      <c r="C355" s="1">
        <f t="shared" si="26"/>
        <v>40148</v>
      </c>
      <c r="E355" s="18">
        <f>'price-old'!E111/VLOOKUP($C355,'nymex-old'!$A$2:$B$243,2,FALSE)*1000</f>
        <v>7911.9316971396747</v>
      </c>
      <c r="F355" s="18">
        <f>'price-old'!F111/VLOOKUP($C355,'nymex-old'!$A$2:$B$243,2,FALSE)*1000</f>
        <v>7911.9316971396747</v>
      </c>
      <c r="G355" s="18">
        <f>'price-old'!G111/VLOOKUP($C355,'nymex-old'!$A$2:$B$243,2,FALSE)*1000</f>
        <v>7604.9934586385316</v>
      </c>
      <c r="H355" s="18">
        <f>'price-old'!H111/VLOOKUP($C355,'nymex-old'!$A$2:$B$243,2,FALSE)*1000</f>
        <v>8988.4061954078279</v>
      </c>
      <c r="I355" s="18">
        <f>'price-old'!I111/VLOOKUP($C355,'nymex-old'!$A$2:$B$243,2,FALSE)*1000</f>
        <v>7756.2840923954482</v>
      </c>
      <c r="J355" s="18">
        <f>'price-old'!J111/VLOOKUP($C355,'nymex-old'!$A$2:$B$243,2,FALSE)*1000</f>
        <v>9524.9266954610357</v>
      </c>
      <c r="K355" s="18">
        <f>'price-old'!K111/VLOOKUP($C355,'nymex-old'!$A$2:$B$243,2,FALSE)*1000</f>
        <v>8876.2769580022705</v>
      </c>
      <c r="L355" s="18">
        <f>'price-old'!L111/VLOOKUP($C355,'nymex-old'!$A$2:$B$243,2,FALSE)*1000</f>
        <v>12858.11577752554</v>
      </c>
      <c r="M355" s="18">
        <f>'price-old'!M111/VLOOKUP($C355,'nymex-old'!$A$2:$B$243,2,FALSE)*1000</f>
        <v>7264.4721906923951</v>
      </c>
      <c r="N355" s="18"/>
      <c r="O355" s="18">
        <f>'price-old'!N111/VLOOKUP($C355,'nymex-old'!$A$2:$B$243,2,FALSE)*1000</f>
        <v>8285.7969805818138</v>
      </c>
      <c r="P355" s="18">
        <f>'price-old'!O111/VLOOKUP($C355,'nymex-old'!$A$2:$B$243,2,FALSE)*1000</f>
        <v>7855.603048127572</v>
      </c>
      <c r="Q355" s="18">
        <f>'price-old'!P111/VLOOKUP($C355,'nymex-old'!$A$2:$B$243,2,FALSE)*1000</f>
        <v>7481.0283543979676</v>
      </c>
      <c r="R355" s="18">
        <f>'price-old'!Q111/VLOOKUP($C355,'nymex-old'!$A$2:$B$243,2,FALSE)*1000</f>
        <v>7264.4721906923951</v>
      </c>
    </row>
    <row r="356" spans="3:18" x14ac:dyDescent="0.2">
      <c r="C356" s="1">
        <f t="shared" si="26"/>
        <v>40179</v>
      </c>
      <c r="E356" s="18">
        <f>'price-old'!E112/VLOOKUP($C356,'nymex-old'!$A$2:$B$243,2,FALSE)*1000</f>
        <v>8979.3658683227277</v>
      </c>
      <c r="F356" s="18">
        <f>'price-old'!F112/VLOOKUP($C356,'nymex-old'!$A$2:$B$243,2,FALSE)*1000</f>
        <v>8979.3658683227277</v>
      </c>
      <c r="G356" s="18">
        <f>'price-old'!G112/VLOOKUP($C356,'nymex-old'!$A$2:$B$243,2,FALSE)*1000</f>
        <v>9132.857711730765</v>
      </c>
      <c r="H356" s="18">
        <f>'price-old'!H112/VLOOKUP($C356,'nymex-old'!$A$2:$B$243,2,FALSE)*1000</f>
        <v>9636.8402760846238</v>
      </c>
      <c r="I356" s="18">
        <f>'price-old'!I112/VLOOKUP($C356,'nymex-old'!$A$2:$B$243,2,FALSE)*1000</f>
        <v>8784.6329953061413</v>
      </c>
      <c r="J356" s="18">
        <f>'price-old'!J112/VLOOKUP($C356,'nymex-old'!$A$2:$B$243,2,FALSE)*1000</f>
        <v>11435.318673448906</v>
      </c>
      <c r="K356" s="18">
        <f>'price-old'!K112/VLOOKUP($C356,'nymex-old'!$A$2:$B$243,2,FALSE)*1000</f>
        <v>11502.452073116361</v>
      </c>
      <c r="L356" s="18">
        <f>'price-old'!L112/VLOOKUP($C356,'nymex-old'!$A$2:$B$243,2,FALSE)*1000</f>
        <v>15347.748551047702</v>
      </c>
      <c r="M356" s="18">
        <f>'price-old'!M112/VLOOKUP($C356,'nymex-old'!$A$2:$B$243,2,FALSE)*1000</f>
        <v>8526.5269728042786</v>
      </c>
      <c r="N356" s="18"/>
      <c r="O356" s="18">
        <f>'price-old'!N112/VLOOKUP($C356,'nymex-old'!$A$2:$B$243,2,FALSE)*1000</f>
        <v>9474.0787256098811</v>
      </c>
      <c r="P356" s="18">
        <f>'price-old'!O112/VLOOKUP($C356,'nymex-old'!$A$2:$B$243,2,FALSE)*1000</f>
        <v>8868.2263970003005</v>
      </c>
      <c r="Q356" s="18">
        <f>'price-old'!P112/VLOOKUP($C356,'nymex-old'!$A$2:$B$243,2,FALSE)*1000</f>
        <v>8890.5176306429894</v>
      </c>
      <c r="R356" s="18">
        <f>'price-old'!Q112/VLOOKUP($C356,'nymex-old'!$A$2:$B$243,2,FALSE)*1000</f>
        <v>8526.5269728042786</v>
      </c>
    </row>
    <row r="357" spans="3:18" x14ac:dyDescent="0.2">
      <c r="C357" s="1">
        <f t="shared" si="26"/>
        <v>40210</v>
      </c>
      <c r="E357" s="18">
        <f>'price-old'!E113/VLOOKUP($C357,'nymex-old'!$A$2:$B$243,2,FALSE)*1000</f>
        <v>9141.8115834426262</v>
      </c>
      <c r="F357" s="18">
        <f>'price-old'!F113/VLOOKUP($C357,'nymex-old'!$A$2:$B$243,2,FALSE)*1000</f>
        <v>9141.8115834426262</v>
      </c>
      <c r="G357" s="18">
        <f>'price-old'!G113/VLOOKUP($C357,'nymex-old'!$A$2:$B$243,2,FALSE)*1000</f>
        <v>9116.299073774735</v>
      </c>
      <c r="H357" s="18">
        <f>'price-old'!H113/VLOOKUP($C357,'nymex-old'!$A$2:$B$243,2,FALSE)*1000</f>
        <v>10046.442786415853</v>
      </c>
      <c r="I357" s="18">
        <f>'price-old'!I113/VLOOKUP($C357,'nymex-old'!$A$2:$B$243,2,FALSE)*1000</f>
        <v>8913.2008535084715</v>
      </c>
      <c r="J357" s="18">
        <f>'price-old'!J113/VLOOKUP($C357,'nymex-old'!$A$2:$B$243,2,FALSE)*1000</f>
        <v>11286.364370213321</v>
      </c>
      <c r="K357" s="18">
        <f>'price-old'!K113/VLOOKUP($C357,'nymex-old'!$A$2:$B$243,2,FALSE)*1000</f>
        <v>11813.186813186812</v>
      </c>
      <c r="L357" s="18">
        <f>'price-old'!L113/VLOOKUP($C357,'nymex-old'!$A$2:$B$243,2,FALSE)*1000</f>
        <v>15762.362637362636</v>
      </c>
      <c r="M357" s="18">
        <f>'price-old'!M113/VLOOKUP($C357,'nymex-old'!$A$2:$B$243,2,FALSE)*1000</f>
        <v>8756.868131868132</v>
      </c>
      <c r="N357" s="18"/>
      <c r="O357" s="18">
        <f>'price-old'!N113/VLOOKUP($C357,'nymex-old'!$A$2:$B$243,2,FALSE)*1000</f>
        <v>9786.1089112557765</v>
      </c>
      <c r="P357" s="18">
        <f>'price-old'!O113/VLOOKUP($C357,'nymex-old'!$A$2:$B$243,2,FALSE)*1000</f>
        <v>9027.6697179773346</v>
      </c>
      <c r="Q357" s="18">
        <f>'price-old'!P113/VLOOKUP($C357,'nymex-old'!$A$2:$B$243,2,FALSE)*1000</f>
        <v>9050.5631415398566</v>
      </c>
      <c r="R357" s="18">
        <f>'price-old'!Q113/VLOOKUP($C357,'nymex-old'!$A$2:$B$243,2,FALSE)*1000</f>
        <v>8756.868131868132</v>
      </c>
    </row>
    <row r="358" spans="3:18" x14ac:dyDescent="0.2">
      <c r="C358" s="1">
        <f t="shared" si="26"/>
        <v>40238</v>
      </c>
      <c r="E358" s="18">
        <f>'price-old'!E114/VLOOKUP($C358,'nymex-old'!$A$2:$B$243,2,FALSE)*1000</f>
        <v>8239.7112785233148</v>
      </c>
      <c r="F358" s="18">
        <f>'price-old'!F114/VLOOKUP($C358,'nymex-old'!$A$2:$B$243,2,FALSE)*1000</f>
        <v>8239.7112785233148</v>
      </c>
      <c r="G358" s="18">
        <f>'price-old'!G114/VLOOKUP($C358,'nymex-old'!$A$2:$B$243,2,FALSE)*1000</f>
        <v>8583.2333255123776</v>
      </c>
      <c r="H358" s="18">
        <f>'price-old'!H114/VLOOKUP($C358,'nymex-old'!$A$2:$B$243,2,FALSE)*1000</f>
        <v>8700.9551533560534</v>
      </c>
      <c r="I358" s="18">
        <f>'price-old'!I114/VLOOKUP($C358,'nymex-old'!$A$2:$B$243,2,FALSE)*1000</f>
        <v>8270.0222695450866</v>
      </c>
      <c r="J358" s="18">
        <f>'price-old'!J114/VLOOKUP($C358,'nymex-old'!$A$2:$B$243,2,FALSE)*1000</f>
        <v>9810.3700027555878</v>
      </c>
      <c r="K358" s="18">
        <f>'price-old'!K114/VLOOKUP($C358,'nymex-old'!$A$2:$B$243,2,FALSE)*1000</f>
        <v>9610.3896103896113</v>
      </c>
      <c r="L358" s="18">
        <f>'price-old'!L114/VLOOKUP($C358,'nymex-old'!$A$2:$B$243,2,FALSE)*1000</f>
        <v>13187.721369539551</v>
      </c>
      <c r="M358" s="18">
        <f>'price-old'!M114/VLOOKUP($C358,'nymex-old'!$A$2:$B$243,2,FALSE)*1000</f>
        <v>8028.3353010625724</v>
      </c>
      <c r="N358" s="18"/>
      <c r="O358" s="18">
        <f>'price-old'!N114/VLOOKUP($C358,'nymex-old'!$A$2:$B$243,2,FALSE)*1000</f>
        <v>9090.3199971637023</v>
      </c>
      <c r="P358" s="18">
        <f>'price-old'!O114/VLOOKUP($C358,'nymex-old'!$A$2:$B$243,2,FALSE)*1000</f>
        <v>8063.410699297151</v>
      </c>
      <c r="Q358" s="18">
        <f>'price-old'!P114/VLOOKUP($C358,'nymex-old'!$A$2:$B$243,2,FALSE)*1000</f>
        <v>8087.023089880644</v>
      </c>
      <c r="R358" s="18">
        <f>'price-old'!Q114/VLOOKUP($C358,'nymex-old'!$A$2:$B$243,2,FALSE)*1000</f>
        <v>8028.3353010625724</v>
      </c>
    </row>
    <row r="359" spans="3:18" x14ac:dyDescent="0.2">
      <c r="C359" s="1">
        <f t="shared" si="26"/>
        <v>40269</v>
      </c>
      <c r="E359" s="18">
        <f>'price-old'!E115/VLOOKUP($C359,'nymex-old'!$A$2:$B$243,2,FALSE)*1000</f>
        <v>8727.2044512310349</v>
      </c>
      <c r="F359" s="18">
        <f>'price-old'!F115/VLOOKUP($C359,'nymex-old'!$A$2:$B$243,2,FALSE)*1000</f>
        <v>8727.2044512310349</v>
      </c>
      <c r="G359" s="18">
        <f>'price-old'!G115/VLOOKUP($C359,'nymex-old'!$A$2:$B$243,2,FALSE)*1000</f>
        <v>8629.6275574483989</v>
      </c>
      <c r="H359" s="18">
        <f>'price-old'!H115/VLOOKUP($C359,'nymex-old'!$A$2:$B$243,2,FALSE)*1000</f>
        <v>9098.4061912254056</v>
      </c>
      <c r="I359" s="18">
        <f>'price-old'!I115/VLOOKUP($C359,'nymex-old'!$A$2:$B$243,2,FALSE)*1000</f>
        <v>8666.3074257933058</v>
      </c>
      <c r="J359" s="18">
        <f>'price-old'!J115/VLOOKUP($C359,'nymex-old'!$A$2:$B$243,2,FALSE)*1000</f>
        <v>9739.9789315682883</v>
      </c>
      <c r="K359" s="18">
        <f>'price-old'!K115/VLOOKUP($C359,'nymex-old'!$A$2:$B$243,2,FALSE)*1000</f>
        <v>10049.382716049384</v>
      </c>
      <c r="L359" s="18">
        <f>'price-old'!L115/VLOOKUP($C359,'nymex-old'!$A$2:$B$243,2,FALSE)*1000</f>
        <v>13790.123456790125</v>
      </c>
      <c r="M359" s="18">
        <f>'price-old'!M115/VLOOKUP($C359,'nymex-old'!$A$2:$B$243,2,FALSE)*1000</f>
        <v>8148.1481481481487</v>
      </c>
      <c r="N359" s="18"/>
      <c r="O359" s="18">
        <f>'price-old'!N115/VLOOKUP($C359,'nymex-old'!$A$2:$B$243,2,FALSE)*1000</f>
        <v>9567.2842897014852</v>
      </c>
      <c r="P359" s="18">
        <f>'price-old'!O115/VLOOKUP($C359,'nymex-old'!$A$2:$B$243,2,FALSE)*1000</f>
        <v>8542.8506356698508</v>
      </c>
      <c r="Q359" s="18">
        <f>'price-old'!P115/VLOOKUP($C359,'nymex-old'!$A$2:$B$243,2,FALSE)*1000</f>
        <v>8567.5416169343171</v>
      </c>
      <c r="R359" s="18">
        <f>'price-old'!Q115/VLOOKUP($C359,'nymex-old'!$A$2:$B$243,2,FALSE)*1000</f>
        <v>8148.1481481481487</v>
      </c>
    </row>
    <row r="360" spans="3:18" x14ac:dyDescent="0.2">
      <c r="C360" s="1">
        <f t="shared" si="26"/>
        <v>40299</v>
      </c>
      <c r="E360" s="18">
        <f>'price-old'!E116/VLOOKUP($C360,'nymex-old'!$A$2:$B$243,2,FALSE)*1000</f>
        <v>10273.161028871442</v>
      </c>
      <c r="F360" s="18">
        <f>'price-old'!F116/VLOOKUP($C360,'nymex-old'!$A$2:$B$243,2,FALSE)*1000</f>
        <v>10273.161028871442</v>
      </c>
      <c r="G360" s="18">
        <f>'price-old'!G116/VLOOKUP($C360,'nymex-old'!$A$2:$B$243,2,FALSE)*1000</f>
        <v>9504.9527612062957</v>
      </c>
      <c r="H360" s="18">
        <f>'price-old'!H116/VLOOKUP($C360,'nymex-old'!$A$2:$B$243,2,FALSE)*1000</f>
        <v>9295.4371235158178</v>
      </c>
      <c r="I360" s="18">
        <f>'price-old'!I116/VLOOKUP($C360,'nymex-old'!$A$2:$B$243,2,FALSE)*1000</f>
        <v>9035.5363222632077</v>
      </c>
      <c r="J360" s="18">
        <f>'price-old'!J116/VLOOKUP($C360,'nymex-old'!$A$2:$B$243,2,FALSE)*1000</f>
        <v>10416.316041851987</v>
      </c>
      <c r="K360" s="18">
        <f>'price-old'!K116/VLOOKUP($C360,'nymex-old'!$A$2:$B$243,2,FALSE)*1000</f>
        <v>10074.257425742575</v>
      </c>
      <c r="L360" s="18">
        <f>'price-old'!L116/VLOOKUP($C360,'nymex-old'!$A$2:$B$243,2,FALSE)*1000</f>
        <v>14071.782178217822</v>
      </c>
      <c r="M360" s="18">
        <f>'price-old'!M116/VLOOKUP($C360,'nymex-old'!$A$2:$B$243,2,FALSE)*1000</f>
        <v>9158.4158415841594</v>
      </c>
      <c r="N360" s="18"/>
      <c r="O360" s="18">
        <f>'price-old'!N116/VLOOKUP($C360,'nymex-old'!$A$2:$B$243,2,FALSE)*1000</f>
        <v>10830.091721940749</v>
      </c>
      <c r="P360" s="18">
        <f>'price-old'!O116/VLOOKUP($C360,'nymex-old'!$A$2:$B$243,2,FALSE)*1000</f>
        <v>10607.318122788231</v>
      </c>
      <c r="Q360" s="18">
        <f>'price-old'!P116/VLOOKUP($C360,'nymex-old'!$A$2:$B$243,2,FALSE)*1000</f>
        <v>8812.7636673426859</v>
      </c>
      <c r="R360" s="18">
        <f>'price-old'!Q116/VLOOKUP($C360,'nymex-old'!$A$2:$B$243,2,FALSE)*1000</f>
        <v>9158.4158415841594</v>
      </c>
    </row>
    <row r="361" spans="3:18" x14ac:dyDescent="0.2">
      <c r="C361" s="1">
        <f t="shared" si="26"/>
        <v>40330</v>
      </c>
      <c r="E361" s="18">
        <f>'price-old'!E117/VLOOKUP($C361,'nymex-old'!$A$2:$B$243,2,FALSE)*1000</f>
        <v>9875.5783140951789</v>
      </c>
      <c r="F361" s="18">
        <f>'price-old'!F117/VLOOKUP($C361,'nymex-old'!$A$2:$B$243,2,FALSE)*1000</f>
        <v>9875.5783140951789</v>
      </c>
      <c r="G361" s="18">
        <f>'price-old'!G117/VLOOKUP($C361,'nymex-old'!$A$2:$B$243,2,FALSE)*1000</f>
        <v>9629.537827601258</v>
      </c>
      <c r="H361" s="18">
        <f>'price-old'!H117/VLOOKUP($C361,'nymex-old'!$A$2:$B$243,2,FALSE)*1000</f>
        <v>8710.2201197870327</v>
      </c>
      <c r="I361" s="18">
        <f>'price-old'!I117/VLOOKUP($C361,'nymex-old'!$A$2:$B$243,2,FALSE)*1000</f>
        <v>9936.9129559008707</v>
      </c>
      <c r="J361" s="18">
        <f>'price-old'!J117/VLOOKUP($C361,'nymex-old'!$A$2:$B$243,2,FALSE)*1000</f>
        <v>8042.7630258846548</v>
      </c>
      <c r="K361" s="18">
        <f>'price-old'!K117/VLOOKUP($C361,'nymex-old'!$A$2:$B$243,2,FALSE)*1000</f>
        <v>11678.115799803727</v>
      </c>
      <c r="L361" s="18">
        <f>'price-old'!L117/VLOOKUP($C361,'nymex-old'!$A$2:$B$243,2,FALSE)*1000</f>
        <v>18363.591756624141</v>
      </c>
      <c r="M361" s="18">
        <f>'price-old'!M117/VLOOKUP($C361,'nymex-old'!$A$2:$B$243,2,FALSE)*1000</f>
        <v>12021.589793915602</v>
      </c>
      <c r="N361" s="18"/>
      <c r="O361" s="18">
        <f>'price-old'!N117/VLOOKUP($C361,'nymex-old'!$A$2:$B$243,2,FALSE)*1000</f>
        <v>11347.609717431784</v>
      </c>
      <c r="P361" s="18">
        <f>'price-old'!O117/VLOOKUP($C361,'nymex-old'!$A$2:$B$243,2,FALSE)*1000</f>
        <v>11031.736686489416</v>
      </c>
      <c r="Q361" s="18">
        <f>'price-old'!P117/VLOOKUP($C361,'nymex-old'!$A$2:$B$243,2,FALSE)*1000</f>
        <v>10145.450363683278</v>
      </c>
      <c r="R361" s="18">
        <f>'price-old'!Q117/VLOOKUP($C361,'nymex-old'!$A$2:$B$243,2,FALSE)*1000</f>
        <v>12021.589793915602</v>
      </c>
    </row>
    <row r="362" spans="3:18" x14ac:dyDescent="0.2">
      <c r="C362" s="1">
        <f t="shared" si="26"/>
        <v>40360</v>
      </c>
      <c r="E362" s="18">
        <f>'price-old'!E118/VLOOKUP($C362,'nymex-old'!$A$2:$B$243,2,FALSE)*1000</f>
        <v>13296.277965198864</v>
      </c>
      <c r="F362" s="18">
        <f>'price-old'!F118/VLOOKUP($C362,'nymex-old'!$A$2:$B$243,2,FALSE)*1000</f>
        <v>13296.277965198864</v>
      </c>
      <c r="G362" s="18">
        <f>'price-old'!G118/VLOOKUP($C362,'nymex-old'!$A$2:$B$243,2,FALSE)*1000</f>
        <v>11575.755726207386</v>
      </c>
      <c r="H362" s="18">
        <f>'price-old'!H118/VLOOKUP($C362,'nymex-old'!$A$2:$B$243,2,FALSE)*1000</f>
        <v>10302.338571259468</v>
      </c>
      <c r="I362" s="18">
        <f>'price-old'!I118/VLOOKUP($C362,'nymex-old'!$A$2:$B$243,2,FALSE)*1000</f>
        <v>14444.76318359375</v>
      </c>
      <c r="J362" s="18">
        <f>'price-old'!J118/VLOOKUP($C362,'nymex-old'!$A$2:$B$243,2,FALSE)*1000</f>
        <v>10200.000000000002</v>
      </c>
      <c r="K362" s="18">
        <f>'price-old'!K118/VLOOKUP($C362,'nymex-old'!$A$2:$B$243,2,FALSE)*1000</f>
        <v>14387.878787878788</v>
      </c>
      <c r="L362" s="18">
        <f>'price-old'!L118/VLOOKUP($C362,'nymex-old'!$A$2:$B$243,2,FALSE)*1000</f>
        <v>24448.484848484844</v>
      </c>
      <c r="M362" s="18">
        <f>'price-old'!M118/VLOOKUP($C362,'nymex-old'!$A$2:$B$243,2,FALSE)*1000</f>
        <v>15272.727272727274</v>
      </c>
      <c r="N362" s="18"/>
      <c r="O362" s="18">
        <f>'price-old'!N118/VLOOKUP($C362,'nymex-old'!$A$2:$B$243,2,FALSE)*1000</f>
        <v>15720.520389441286</v>
      </c>
      <c r="P362" s="18">
        <f>'price-old'!O118/VLOOKUP($C362,'nymex-old'!$A$2:$B$243,2,FALSE)*1000</f>
        <v>13714.459413470644</v>
      </c>
      <c r="Q362" s="18">
        <f>'price-old'!P118/VLOOKUP($C362,'nymex-old'!$A$2:$B$243,2,FALSE)*1000</f>
        <v>15059.914328835226</v>
      </c>
      <c r="R362" s="18">
        <f>'price-old'!Q118/VLOOKUP($C362,'nymex-old'!$A$2:$B$243,2,FALSE)*1000</f>
        <v>15272.727272727274</v>
      </c>
    </row>
    <row r="363" spans="3:18" x14ac:dyDescent="0.2">
      <c r="C363" s="1">
        <f t="shared" si="26"/>
        <v>40391</v>
      </c>
      <c r="E363" s="18">
        <f>'price-old'!E119/VLOOKUP($C363,'nymex-old'!$A$2:$B$243,2,FALSE)*1000</f>
        <v>13152.792951185926</v>
      </c>
      <c r="F363" s="18">
        <f>'price-old'!F119/VLOOKUP($C363,'nymex-old'!$A$2:$B$243,2,FALSE)*1000</f>
        <v>13152.792951185926</v>
      </c>
      <c r="G363" s="18">
        <f>'price-old'!G119/VLOOKUP($C363,'nymex-old'!$A$2:$B$243,2,FALSE)*1000</f>
        <v>11450.839328537171</v>
      </c>
      <c r="H363" s="18">
        <f>'price-old'!H119/VLOOKUP($C363,'nymex-old'!$A$2:$B$243,2,FALSE)*1000</f>
        <v>10191.162255742282</v>
      </c>
      <c r="I363" s="18">
        <f>'price-old'!I119/VLOOKUP($C363,'nymex-old'!$A$2:$B$243,2,FALSE)*1000</f>
        <v>14273.896434610124</v>
      </c>
      <c r="J363" s="18">
        <f>'price-old'!J119/VLOOKUP($C363,'nymex-old'!$A$2:$B$243,2,FALSE)*1000</f>
        <v>10089.928057553958</v>
      </c>
      <c r="K363" s="18">
        <f>'price-old'!K119/VLOOKUP($C363,'nymex-old'!$A$2:$B$243,2,FALSE)*1000</f>
        <v>14232.613908872903</v>
      </c>
      <c r="L363" s="18">
        <f>'price-old'!L119/VLOOKUP($C363,'nymex-old'!$A$2:$B$243,2,FALSE)*1000</f>
        <v>24302.158273381294</v>
      </c>
      <c r="M363" s="18">
        <f>'price-old'!M119/VLOOKUP($C363,'nymex-old'!$A$2:$B$243,2,FALSE)*1000</f>
        <v>15107.913669064748</v>
      </c>
      <c r="N363" s="18"/>
      <c r="O363" s="18">
        <f>'price-old'!N119/VLOOKUP($C363,'nymex-old'!$A$2:$B$243,2,FALSE)*1000</f>
        <v>15550.874485958107</v>
      </c>
      <c r="P363" s="18">
        <f>'price-old'!O119/VLOOKUP($C363,'nymex-old'!$A$2:$B$243,2,FALSE)*1000</f>
        <v>13566.461650015926</v>
      </c>
      <c r="Q363" s="18">
        <f>'price-old'!P119/VLOOKUP($C363,'nymex-old'!$A$2:$B$243,2,FALSE)*1000</f>
        <v>14897.397267732689</v>
      </c>
      <c r="R363" s="18">
        <f>'price-old'!Q119/VLOOKUP($C363,'nymex-old'!$A$2:$B$243,2,FALSE)*1000</f>
        <v>15107.913669064748</v>
      </c>
    </row>
    <row r="364" spans="3:18" x14ac:dyDescent="0.2">
      <c r="C364" s="1">
        <f t="shared" si="26"/>
        <v>40422</v>
      </c>
      <c r="E364" s="18">
        <f>'price-old'!E120/VLOOKUP($C364,'nymex-old'!$A$2:$B$243,2,FALSE)*1000</f>
        <v>8595.1975209877928</v>
      </c>
      <c r="F364" s="18">
        <f>'price-old'!F120/VLOOKUP($C364,'nymex-old'!$A$2:$B$243,2,FALSE)*1000</f>
        <v>8595.1975209877928</v>
      </c>
      <c r="G364" s="18">
        <f>'price-old'!G120/VLOOKUP($C364,'nymex-old'!$A$2:$B$243,2,FALSE)*1000</f>
        <v>8678.4782893697047</v>
      </c>
      <c r="H364" s="18">
        <f>'price-old'!H120/VLOOKUP($C364,'nymex-old'!$A$2:$B$243,2,FALSE)*1000</f>
        <v>7685.4545989617618</v>
      </c>
      <c r="I364" s="18">
        <f>'price-old'!I120/VLOOKUP($C364,'nymex-old'!$A$2:$B$243,2,FALSE)*1000</f>
        <v>8505.4214473886004</v>
      </c>
      <c r="J364" s="18">
        <f>'price-old'!J120/VLOOKUP($C364,'nymex-old'!$A$2:$B$243,2,FALSE)*1000</f>
        <v>8519.7304069696202</v>
      </c>
      <c r="K364" s="18">
        <f>'price-old'!K120/VLOOKUP($C364,'nymex-old'!$A$2:$B$243,2,FALSE)*1000</f>
        <v>9181.2305482403626</v>
      </c>
      <c r="L364" s="18">
        <f>'price-old'!L120/VLOOKUP($C364,'nymex-old'!$A$2:$B$243,2,FALSE)*1000</f>
        <v>13966.961934402681</v>
      </c>
      <c r="M364" s="18">
        <f>'price-old'!M120/VLOOKUP($C364,'nymex-old'!$A$2:$B$243,2,FALSE)*1000</f>
        <v>8020.1101268853245</v>
      </c>
      <c r="N364" s="18"/>
      <c r="O364" s="18">
        <f>'price-old'!N120/VLOOKUP($C364,'nymex-old'!$A$2:$B$243,2,FALSE)*1000</f>
        <v>9313.416338320807</v>
      </c>
      <c r="P364" s="18">
        <f>'price-old'!O120/VLOOKUP($C364,'nymex-old'!$A$2:$B$243,2,FALSE)*1000</f>
        <v>9062.0408481691957</v>
      </c>
      <c r="Q364" s="18">
        <f>'price-old'!P120/VLOOKUP($C364,'nymex-old'!$A$2:$B$243,2,FALSE)*1000</f>
        <v>8319.8812209392563</v>
      </c>
      <c r="R364" s="18">
        <f>'price-old'!Q120/VLOOKUP($C364,'nymex-old'!$A$2:$B$243,2,FALSE)*1000</f>
        <v>8020.1101268853245</v>
      </c>
    </row>
    <row r="365" spans="3:18" x14ac:dyDescent="0.2">
      <c r="C365" s="1">
        <f t="shared" si="26"/>
        <v>40452</v>
      </c>
      <c r="E365" s="18">
        <f>'price-old'!E121/VLOOKUP($C365,'nymex-old'!$A$2:$B$243,2,FALSE)*1000</f>
        <v>8300.1336926654167</v>
      </c>
      <c r="F365" s="18">
        <f>'price-old'!F121/VLOOKUP($C365,'nymex-old'!$A$2:$B$243,2,FALSE)*1000</f>
        <v>8300.1336926654167</v>
      </c>
      <c r="G365" s="18">
        <f>'price-old'!G121/VLOOKUP($C365,'nymex-old'!$A$2:$B$243,2,FALSE)*1000</f>
        <v>7883.472782819932</v>
      </c>
      <c r="H365" s="18">
        <f>'price-old'!H121/VLOOKUP($C365,'nymex-old'!$A$2:$B$243,2,FALSE)*1000</f>
        <v>8583.5741476269886</v>
      </c>
      <c r="I365" s="18">
        <f>'price-old'!I121/VLOOKUP($C365,'nymex-old'!$A$2:$B$243,2,FALSE)*1000</f>
        <v>8166.8096263400148</v>
      </c>
      <c r="J365" s="18">
        <f>'price-old'!J121/VLOOKUP($C365,'nymex-old'!$A$2:$B$243,2,FALSE)*1000</f>
        <v>9668.2517905581153</v>
      </c>
      <c r="K365" s="18">
        <f>'price-old'!K121/VLOOKUP($C365,'nymex-old'!$A$2:$B$243,2,FALSE)*1000</f>
        <v>9417.3602853745542</v>
      </c>
      <c r="L365" s="18">
        <f>'price-old'!L121/VLOOKUP($C365,'nymex-old'!$A$2:$B$243,2,FALSE)*1000</f>
        <v>13636.14744351962</v>
      </c>
      <c r="M365" s="18">
        <f>'price-old'!M121/VLOOKUP($C365,'nymex-old'!$A$2:$B$243,2,FALSE)*1000</f>
        <v>7609.9881093935792</v>
      </c>
      <c r="N365" s="18"/>
      <c r="O365" s="18">
        <f>'price-old'!N121/VLOOKUP($C365,'nymex-old'!$A$2:$B$243,2,FALSE)*1000</f>
        <v>8739.3426158056809</v>
      </c>
      <c r="P365" s="18">
        <f>'price-old'!O121/VLOOKUP($C365,'nymex-old'!$A$2:$B$243,2,FALSE)*1000</f>
        <v>8241.1259164708117</v>
      </c>
      <c r="Q365" s="18">
        <f>'price-old'!P121/VLOOKUP($C365,'nymex-old'!$A$2:$B$243,2,FALSE)*1000</f>
        <v>7729.8294774984206</v>
      </c>
      <c r="R365" s="18">
        <f>'price-old'!Q121/VLOOKUP($C365,'nymex-old'!$A$2:$B$243,2,FALSE)*1000</f>
        <v>7609.9881093935792</v>
      </c>
    </row>
    <row r="366" spans="3:18" x14ac:dyDescent="0.2">
      <c r="C366" s="1">
        <f t="shared" si="26"/>
        <v>40483</v>
      </c>
      <c r="E366" s="18">
        <f>'price-old'!E122/VLOOKUP($C366,'nymex-old'!$A$2:$B$243,2,FALSE)*1000</f>
        <v>8064.9909335896709</v>
      </c>
      <c r="F366" s="18">
        <f>'price-old'!F122/VLOOKUP($C366,'nymex-old'!$A$2:$B$243,2,FALSE)*1000</f>
        <v>8064.9909335896709</v>
      </c>
      <c r="G366" s="18">
        <f>'price-old'!G122/VLOOKUP($C366,'nymex-old'!$A$2:$B$243,2,FALSE)*1000</f>
        <v>7569.1235450006307</v>
      </c>
      <c r="H366" s="18">
        <f>'price-old'!H122/VLOOKUP($C366,'nymex-old'!$A$2:$B$243,2,FALSE)*1000</f>
        <v>9123.0251822054124</v>
      </c>
      <c r="I366" s="18">
        <f>'price-old'!I122/VLOOKUP($C366,'nymex-old'!$A$2:$B$243,2,FALSE)*1000</f>
        <v>7921.4131227836087</v>
      </c>
      <c r="J366" s="18">
        <f>'price-old'!J122/VLOOKUP($C366,'nymex-old'!$A$2:$B$243,2,FALSE)*1000</f>
        <v>9551.132659208939</v>
      </c>
      <c r="K366" s="18">
        <f>'price-old'!K122/VLOOKUP($C366,'nymex-old'!$A$2:$B$243,2,FALSE)*1000</f>
        <v>9124.4239631336404</v>
      </c>
      <c r="L366" s="18">
        <f>'price-old'!L122/VLOOKUP($C366,'nymex-old'!$A$2:$B$243,2,FALSE)*1000</f>
        <v>13211.981566820277</v>
      </c>
      <c r="M366" s="18">
        <f>'price-old'!M122/VLOOKUP($C366,'nymex-old'!$A$2:$B$243,2,FALSE)*1000</f>
        <v>7373.2718894009213</v>
      </c>
      <c r="N366" s="18"/>
      <c r="O366" s="18">
        <f>'price-old'!N122/VLOOKUP($C366,'nymex-old'!$A$2:$B$243,2,FALSE)*1000</f>
        <v>8467.4967049453662</v>
      </c>
      <c r="P366" s="18">
        <f>'price-old'!O122/VLOOKUP($C366,'nymex-old'!$A$2:$B$243,2,FALSE)*1000</f>
        <v>8007.8186527375246</v>
      </c>
      <c r="Q366" s="18">
        <f>'price-old'!P122/VLOOKUP($C366,'nymex-old'!$A$2:$B$243,2,FALSE)*1000</f>
        <v>7512.4265960834</v>
      </c>
      <c r="R366" s="18">
        <f>'price-old'!Q122/VLOOKUP($C366,'nymex-old'!$A$2:$B$243,2,FALSE)*1000</f>
        <v>7373.2718894009213</v>
      </c>
    </row>
    <row r="367" spans="3:18" x14ac:dyDescent="0.2">
      <c r="C367" s="1">
        <f t="shared" si="26"/>
        <v>40513</v>
      </c>
      <c r="E367" s="18">
        <f>'price-old'!E123/VLOOKUP($C367,'nymex-old'!$A$2:$B$243,2,FALSE)*1000</f>
        <v>7844.0355588603961</v>
      </c>
      <c r="F367" s="18">
        <f>'price-old'!F123/VLOOKUP($C367,'nymex-old'!$A$2:$B$243,2,FALSE)*1000</f>
        <v>7844.0355588603961</v>
      </c>
      <c r="G367" s="18">
        <f>'price-old'!G123/VLOOKUP($C367,'nymex-old'!$A$2:$B$243,2,FALSE)*1000</f>
        <v>7564.2449576095505</v>
      </c>
      <c r="H367" s="18">
        <f>'price-old'!H123/VLOOKUP($C367,'nymex-old'!$A$2:$B$243,2,FALSE)*1000</f>
        <v>8959.5372716807797</v>
      </c>
      <c r="I367" s="18">
        <f>'price-old'!I123/VLOOKUP($C367,'nymex-old'!$A$2:$B$243,2,FALSE)*1000</f>
        <v>7690.8226652518342</v>
      </c>
      <c r="J367" s="18">
        <f>'price-old'!J123/VLOOKUP($C367,'nymex-old'!$A$2:$B$243,2,FALSE)*1000</f>
        <v>9431.7993505041031</v>
      </c>
      <c r="K367" s="18">
        <f>'price-old'!K123/VLOOKUP($C367,'nymex-old'!$A$2:$B$243,2,FALSE)*1000</f>
        <v>8849.1620111731845</v>
      </c>
      <c r="L367" s="18">
        <f>'price-old'!L123/VLOOKUP($C367,'nymex-old'!$A$2:$B$243,2,FALSE)*1000</f>
        <v>12813.407821229053</v>
      </c>
      <c r="M367" s="18">
        <f>'price-old'!M123/VLOOKUP($C367,'nymex-old'!$A$2:$B$243,2,FALSE)*1000</f>
        <v>7150.8379888268164</v>
      </c>
      <c r="N367" s="18"/>
      <c r="O367" s="18">
        <f>'price-old'!N123/VLOOKUP($C367,'nymex-old'!$A$2:$B$243,2,FALSE)*1000</f>
        <v>8212.0526702710376</v>
      </c>
      <c r="P367" s="18">
        <f>'price-old'!O123/VLOOKUP($C367,'nymex-old'!$A$2:$B$243,2,FALSE)*1000</f>
        <v>7788.5880283803253</v>
      </c>
      <c r="Q367" s="18">
        <f>'price-old'!P123/VLOOKUP($C367,'nymex-old'!$A$2:$B$243,2,FALSE)*1000</f>
        <v>7308.140760027497</v>
      </c>
      <c r="R367" s="18">
        <f>'price-old'!Q123/VLOOKUP($C367,'nymex-old'!$A$2:$B$243,2,FALSE)*1000</f>
        <v>7150.8379888268164</v>
      </c>
    </row>
    <row r="368" spans="3:18" x14ac:dyDescent="0.2">
      <c r="C368" s="1"/>
    </row>
    <row r="369" spans="1:20" s="5" customFormat="1" x14ac:dyDescent="0.2">
      <c r="A369" s="5" t="s">
        <v>44</v>
      </c>
      <c r="E369" s="13" t="str">
        <f t="shared" ref="E369:R369" si="27">E$1</f>
        <v>CINERGY</v>
      </c>
      <c r="F369" s="13" t="str">
        <f t="shared" si="27"/>
        <v>Manitoba</v>
      </c>
      <c r="G369" s="13" t="str">
        <f t="shared" si="27"/>
        <v>ERCOT</v>
      </c>
      <c r="H369" s="13" t="str">
        <f t="shared" si="27"/>
        <v>INTO COMED</v>
      </c>
      <c r="I369" s="13" t="str">
        <f t="shared" si="27"/>
        <v>INTO TVA</v>
      </c>
      <c r="J369" s="13" t="str">
        <f t="shared" si="27"/>
        <v>MAPP</v>
      </c>
      <c r="K369" s="13" t="str">
        <f t="shared" si="27"/>
        <v>NEPOOL</v>
      </c>
      <c r="L369" s="13" t="str">
        <f t="shared" si="27"/>
        <v>INTO AEP</v>
      </c>
      <c r="M369" s="13" t="str">
        <f t="shared" si="27"/>
        <v>NY Zone A</v>
      </c>
      <c r="N369" s="13"/>
      <c r="O369" s="13" t="str">
        <f t="shared" si="27"/>
        <v>SOCO</v>
      </c>
      <c r="P369" s="13" t="str">
        <f t="shared" si="27"/>
        <v>NSP</v>
      </c>
      <c r="Q369" s="13" t="str">
        <f t="shared" si="27"/>
        <v>SPP</v>
      </c>
      <c r="R369" s="13" t="str">
        <f t="shared" si="27"/>
        <v>WESTERN HUB</v>
      </c>
      <c r="S369" s="5" t="s">
        <v>37</v>
      </c>
      <c r="T369" s="5" t="s">
        <v>38</v>
      </c>
    </row>
    <row r="370" spans="1:20" x14ac:dyDescent="0.2">
      <c r="C370" s="1">
        <f t="shared" ref="C370:C401" si="28">C3</f>
        <v>36892</v>
      </c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</row>
    <row r="371" spans="1:20" x14ac:dyDescent="0.2">
      <c r="C371" s="1">
        <f t="shared" si="28"/>
        <v>36923</v>
      </c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 spans="1:20" x14ac:dyDescent="0.2">
      <c r="C372" s="1">
        <f t="shared" si="28"/>
        <v>36951</v>
      </c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 spans="1:20" x14ac:dyDescent="0.2">
      <c r="C373" s="1">
        <f t="shared" si="28"/>
        <v>36982</v>
      </c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 spans="1:20" x14ac:dyDescent="0.2">
      <c r="C374" s="1">
        <f t="shared" si="28"/>
        <v>37012</v>
      </c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</row>
    <row r="375" spans="1:20" x14ac:dyDescent="0.2">
      <c r="C375" s="1">
        <f t="shared" si="28"/>
        <v>37043</v>
      </c>
      <c r="E375" s="17">
        <f t="shared" ref="E375:R375" si="29">E8*E253/1000/10000</f>
        <v>-180.54836305040399</v>
      </c>
      <c r="F375" s="17">
        <f t="shared" si="29"/>
        <v>0</v>
      </c>
      <c r="G375" s="17">
        <f t="shared" si="29"/>
        <v>0</v>
      </c>
      <c r="H375" s="17">
        <f t="shared" si="29"/>
        <v>-71.732448853825886</v>
      </c>
      <c r="I375" s="17">
        <f t="shared" si="29"/>
        <v>58.495819701926564</v>
      </c>
      <c r="J375" s="17">
        <f t="shared" si="29"/>
        <v>34.093100030682486</v>
      </c>
      <c r="K375" s="17">
        <f t="shared" si="29"/>
        <v>0</v>
      </c>
      <c r="L375" s="17">
        <f t="shared" si="29"/>
        <v>0</v>
      </c>
      <c r="M375" s="17">
        <f t="shared" si="29"/>
        <v>0</v>
      </c>
      <c r="N375" s="17"/>
      <c r="O375" s="17">
        <f t="shared" si="29"/>
        <v>0</v>
      </c>
      <c r="P375" s="17">
        <f t="shared" si="29"/>
        <v>0</v>
      </c>
      <c r="Q375" s="17">
        <f t="shared" si="29"/>
        <v>46.199310468920388</v>
      </c>
      <c r="R375" s="17">
        <f t="shared" si="29"/>
        <v>127.26969586816914</v>
      </c>
    </row>
    <row r="376" spans="1:20" x14ac:dyDescent="0.2">
      <c r="C376" s="1">
        <f t="shared" si="28"/>
        <v>37073</v>
      </c>
      <c r="E376" s="17">
        <f t="shared" ref="E376:R376" si="30">E9*E254/1000/10000</f>
        <v>-126.93825616649534</v>
      </c>
      <c r="F376" s="17">
        <f t="shared" si="30"/>
        <v>0</v>
      </c>
      <c r="G376" s="17">
        <f t="shared" si="30"/>
        <v>0</v>
      </c>
      <c r="H376" s="17">
        <f t="shared" si="30"/>
        <v>-461.41315519013369</v>
      </c>
      <c r="I376" s="17">
        <f t="shared" si="30"/>
        <v>0</v>
      </c>
      <c r="J376" s="17">
        <f t="shared" si="30"/>
        <v>46.817269085122518</v>
      </c>
      <c r="K376" s="17">
        <f t="shared" si="30"/>
        <v>0</v>
      </c>
      <c r="L376" s="17">
        <f t="shared" si="30"/>
        <v>0</v>
      </c>
      <c r="M376" s="17">
        <f t="shared" si="30"/>
        <v>0</v>
      </c>
      <c r="N376" s="17"/>
      <c r="O376" s="17">
        <f t="shared" si="30"/>
        <v>0</v>
      </c>
      <c r="P376" s="17">
        <f t="shared" si="30"/>
        <v>0</v>
      </c>
      <c r="Q376" s="17">
        <f t="shared" si="30"/>
        <v>-6.3017317574511811</v>
      </c>
      <c r="R376" s="17">
        <f t="shared" si="30"/>
        <v>71.654676258992794</v>
      </c>
    </row>
    <row r="377" spans="1:20" x14ac:dyDescent="0.2">
      <c r="C377" s="1">
        <f t="shared" si="28"/>
        <v>37104</v>
      </c>
      <c r="E377" s="17">
        <f t="shared" ref="E377:R377" si="31">E10*E255/1000/10000</f>
        <v>-817.97653037735859</v>
      </c>
      <c r="F377" s="17">
        <f t="shared" si="31"/>
        <v>0</v>
      </c>
      <c r="G377" s="17">
        <f t="shared" si="31"/>
        <v>0</v>
      </c>
      <c r="H377" s="17">
        <f t="shared" si="31"/>
        <v>-294.74713802697516</v>
      </c>
      <c r="I377" s="17">
        <f t="shared" si="31"/>
        <v>0</v>
      </c>
      <c r="J377" s="17">
        <f t="shared" si="31"/>
        <v>66.193703628636001</v>
      </c>
      <c r="K377" s="17">
        <f t="shared" si="31"/>
        <v>0</v>
      </c>
      <c r="L377" s="17">
        <f t="shared" si="31"/>
        <v>0</v>
      </c>
      <c r="M377" s="17">
        <f t="shared" si="31"/>
        <v>0</v>
      </c>
      <c r="N377" s="17"/>
      <c r="O377" s="17">
        <f t="shared" si="31"/>
        <v>0</v>
      </c>
      <c r="P377" s="17">
        <f t="shared" si="31"/>
        <v>0</v>
      </c>
      <c r="Q377" s="17">
        <f t="shared" si="31"/>
        <v>-94.537794528301902</v>
      </c>
      <c r="R377" s="17">
        <f t="shared" si="31"/>
        <v>68.045283018867934</v>
      </c>
    </row>
    <row r="378" spans="1:20" x14ac:dyDescent="0.2">
      <c r="C378" s="1">
        <f t="shared" si="28"/>
        <v>37135</v>
      </c>
      <c r="E378" s="17">
        <f t="shared" ref="E378:R378" si="32">E11*E256/1000/10000</f>
        <v>397.84871786248124</v>
      </c>
      <c r="F378" s="17">
        <f t="shared" si="32"/>
        <v>0</v>
      </c>
      <c r="G378" s="17">
        <f t="shared" si="32"/>
        <v>0</v>
      </c>
      <c r="H378" s="17">
        <f t="shared" si="32"/>
        <v>-97.376172668730717</v>
      </c>
      <c r="I378" s="17">
        <f t="shared" si="32"/>
        <v>-85.201793721973075</v>
      </c>
      <c r="J378" s="17">
        <f t="shared" si="32"/>
        <v>26.014943638427606</v>
      </c>
      <c r="K378" s="17">
        <f t="shared" si="32"/>
        <v>0</v>
      </c>
      <c r="L378" s="17">
        <f t="shared" si="32"/>
        <v>0</v>
      </c>
      <c r="M378" s="17">
        <f t="shared" si="32"/>
        <v>0</v>
      </c>
      <c r="N378" s="17"/>
      <c r="O378" s="17">
        <f t="shared" si="32"/>
        <v>0</v>
      </c>
      <c r="P378" s="17">
        <f t="shared" si="32"/>
        <v>0</v>
      </c>
      <c r="Q378" s="17">
        <f t="shared" si="32"/>
        <v>-269.55209195717208</v>
      </c>
      <c r="R378" s="17">
        <f t="shared" si="32"/>
        <v>-252.67065271549578</v>
      </c>
    </row>
    <row r="379" spans="1:20" x14ac:dyDescent="0.2">
      <c r="C379" s="1">
        <f t="shared" si="28"/>
        <v>37165</v>
      </c>
      <c r="E379" s="17">
        <f t="shared" ref="E379:R379" si="33">E12*E257/1000/10000</f>
        <v>342.59852205883828</v>
      </c>
      <c r="F379" s="17">
        <f t="shared" si="33"/>
        <v>0</v>
      </c>
      <c r="G379" s="17">
        <f t="shared" si="33"/>
        <v>0</v>
      </c>
      <c r="H379" s="17">
        <f t="shared" si="33"/>
        <v>-66.321680024744083</v>
      </c>
      <c r="I379" s="17">
        <f t="shared" si="33"/>
        <v>15.772076961026146</v>
      </c>
      <c r="J379" s="17">
        <f t="shared" si="33"/>
        <v>28.112870354221911</v>
      </c>
      <c r="K379" s="17">
        <f t="shared" si="33"/>
        <v>0</v>
      </c>
      <c r="L379" s="17">
        <f t="shared" si="33"/>
        <v>0</v>
      </c>
      <c r="M379" s="17">
        <f t="shared" si="33"/>
        <v>0</v>
      </c>
      <c r="N379" s="17"/>
      <c r="O379" s="17">
        <f t="shared" si="33"/>
        <v>0</v>
      </c>
      <c r="P379" s="17">
        <f t="shared" si="33"/>
        <v>0</v>
      </c>
      <c r="Q379" s="17">
        <f t="shared" si="33"/>
        <v>0</v>
      </c>
      <c r="R379" s="17">
        <f t="shared" si="33"/>
        <v>-16.225949679329059</v>
      </c>
    </row>
    <row r="380" spans="1:20" x14ac:dyDescent="0.2">
      <c r="C380" s="1">
        <f t="shared" si="28"/>
        <v>37196</v>
      </c>
      <c r="E380" s="17">
        <f t="shared" ref="E380:R380" si="34">E13*E258/1000/10000</f>
        <v>279.04242037553797</v>
      </c>
      <c r="F380" s="17">
        <f t="shared" si="34"/>
        <v>0</v>
      </c>
      <c r="G380" s="17">
        <f t="shared" si="34"/>
        <v>0</v>
      </c>
      <c r="H380" s="17">
        <f t="shared" si="34"/>
        <v>-55.544786853465787</v>
      </c>
      <c r="I380" s="17">
        <f t="shared" si="34"/>
        <v>13.794896030245745</v>
      </c>
      <c r="J380" s="17">
        <f t="shared" si="34"/>
        <v>0</v>
      </c>
      <c r="K380" s="17">
        <f t="shared" si="34"/>
        <v>0</v>
      </c>
      <c r="L380" s="17">
        <f t="shared" si="34"/>
        <v>0</v>
      </c>
      <c r="M380" s="17">
        <f t="shared" si="34"/>
        <v>0</v>
      </c>
      <c r="N380" s="17"/>
      <c r="O380" s="17">
        <f t="shared" si="34"/>
        <v>0</v>
      </c>
      <c r="P380" s="17">
        <f t="shared" si="34"/>
        <v>0</v>
      </c>
      <c r="Q380" s="17">
        <f t="shared" si="34"/>
        <v>0</v>
      </c>
      <c r="R380" s="17">
        <f t="shared" si="34"/>
        <v>-14.191871455576559</v>
      </c>
    </row>
    <row r="381" spans="1:20" x14ac:dyDescent="0.2">
      <c r="C381" s="1">
        <f t="shared" si="28"/>
        <v>37226</v>
      </c>
      <c r="E381" s="17">
        <f t="shared" ref="E381:R381" si="35">E14*E259/1000/10000</f>
        <v>309.41130219616002</v>
      </c>
      <c r="F381" s="17">
        <f t="shared" si="35"/>
        <v>0</v>
      </c>
      <c r="G381" s="17">
        <f t="shared" si="35"/>
        <v>0</v>
      </c>
      <c r="H381" s="17">
        <f t="shared" si="35"/>
        <v>-57.603434632844433</v>
      </c>
      <c r="I381" s="17">
        <f t="shared" si="35"/>
        <v>12.624886466848318</v>
      </c>
      <c r="J381" s="17">
        <f t="shared" si="35"/>
        <v>0</v>
      </c>
      <c r="K381" s="17">
        <f t="shared" si="35"/>
        <v>0</v>
      </c>
      <c r="L381" s="17">
        <f t="shared" si="35"/>
        <v>0</v>
      </c>
      <c r="M381" s="17">
        <f t="shared" si="35"/>
        <v>0</v>
      </c>
      <c r="N381" s="17"/>
      <c r="O381" s="17">
        <f t="shared" si="35"/>
        <v>0</v>
      </c>
      <c r="P381" s="17">
        <f t="shared" si="35"/>
        <v>0</v>
      </c>
      <c r="Q381" s="17">
        <f t="shared" si="35"/>
        <v>0</v>
      </c>
      <c r="R381" s="17">
        <f t="shared" si="35"/>
        <v>-12.988192552225248</v>
      </c>
    </row>
    <row r="382" spans="1:20" x14ac:dyDescent="0.2">
      <c r="C382" s="1">
        <f t="shared" si="28"/>
        <v>37257</v>
      </c>
      <c r="E382" s="17">
        <f t="shared" ref="E382:R382" si="36">E15*E260/1000/10000</f>
        <v>486.59457094732784</v>
      </c>
      <c r="F382" s="17">
        <f t="shared" si="36"/>
        <v>0</v>
      </c>
      <c r="G382" s="17">
        <f t="shared" si="36"/>
        <v>0</v>
      </c>
      <c r="H382" s="17">
        <f t="shared" si="36"/>
        <v>-388.41279014754514</v>
      </c>
      <c r="I382" s="17">
        <f t="shared" si="36"/>
        <v>-14.950557703624412</v>
      </c>
      <c r="J382" s="17">
        <f t="shared" si="36"/>
        <v>0</v>
      </c>
      <c r="K382" s="17">
        <f t="shared" si="36"/>
        <v>0</v>
      </c>
      <c r="L382" s="17">
        <f t="shared" si="36"/>
        <v>0</v>
      </c>
      <c r="M382" s="17">
        <f t="shared" si="36"/>
        <v>0</v>
      </c>
      <c r="N382" s="17"/>
      <c r="O382" s="17">
        <f t="shared" si="36"/>
        <v>0</v>
      </c>
      <c r="P382" s="17">
        <f t="shared" si="36"/>
        <v>0</v>
      </c>
      <c r="Q382" s="17">
        <f t="shared" si="36"/>
        <v>59.03329910594546</v>
      </c>
      <c r="R382" s="17">
        <f t="shared" si="36"/>
        <v>-164.2378185069289</v>
      </c>
    </row>
    <row r="383" spans="1:20" x14ac:dyDescent="0.2">
      <c r="C383" s="1">
        <f t="shared" si="28"/>
        <v>37288</v>
      </c>
      <c r="E383" s="17">
        <f t="shared" ref="E383:R383" si="37">E16*E261/1000/10000</f>
        <v>444.88845056161676</v>
      </c>
      <c r="F383" s="17">
        <f t="shared" si="37"/>
        <v>0</v>
      </c>
      <c r="G383" s="17">
        <f t="shared" si="37"/>
        <v>0</v>
      </c>
      <c r="H383" s="17">
        <f t="shared" si="37"/>
        <v>-355.99548116066825</v>
      </c>
      <c r="I383" s="17">
        <f t="shared" si="37"/>
        <v>-13.932173717579202</v>
      </c>
      <c r="J383" s="17">
        <f t="shared" si="37"/>
        <v>0</v>
      </c>
      <c r="K383" s="17">
        <f t="shared" si="37"/>
        <v>0</v>
      </c>
      <c r="L383" s="17">
        <f t="shared" si="37"/>
        <v>0</v>
      </c>
      <c r="M383" s="17">
        <f t="shared" si="37"/>
        <v>0</v>
      </c>
      <c r="N383" s="17"/>
      <c r="O383" s="17">
        <f t="shared" si="37"/>
        <v>0</v>
      </c>
      <c r="P383" s="17">
        <f t="shared" si="37"/>
        <v>0</v>
      </c>
      <c r="Q383" s="17">
        <f t="shared" si="37"/>
        <v>54.838606049495866</v>
      </c>
      <c r="R383" s="17">
        <f t="shared" si="37"/>
        <v>-153.07057745187902</v>
      </c>
    </row>
    <row r="384" spans="1:20" x14ac:dyDescent="0.2">
      <c r="C384" s="1">
        <f t="shared" si="28"/>
        <v>37316</v>
      </c>
      <c r="E384" s="17">
        <f t="shared" ref="E384:R384" si="38">E17*E262/1000/10000</f>
        <v>-127.6613074760369</v>
      </c>
      <c r="F384" s="17">
        <f t="shared" si="38"/>
        <v>0</v>
      </c>
      <c r="G384" s="17">
        <f t="shared" si="38"/>
        <v>0</v>
      </c>
      <c r="H384" s="17">
        <f t="shared" si="38"/>
        <v>-128.43850204347856</v>
      </c>
      <c r="I384" s="17">
        <f t="shared" si="38"/>
        <v>0</v>
      </c>
      <c r="J384" s="17">
        <f t="shared" si="38"/>
        <v>0</v>
      </c>
      <c r="K384" s="17">
        <f t="shared" si="38"/>
        <v>0</v>
      </c>
      <c r="L384" s="17">
        <f t="shared" si="38"/>
        <v>0</v>
      </c>
      <c r="M384" s="17">
        <f t="shared" si="38"/>
        <v>0</v>
      </c>
      <c r="N384" s="17"/>
      <c r="O384" s="17">
        <f t="shared" si="38"/>
        <v>0</v>
      </c>
      <c r="P384" s="17">
        <f t="shared" si="38"/>
        <v>0</v>
      </c>
      <c r="Q384" s="17">
        <f t="shared" si="38"/>
        <v>-27.416551083591326</v>
      </c>
      <c r="R384" s="17">
        <f t="shared" si="38"/>
        <v>0</v>
      </c>
    </row>
    <row r="385" spans="3:18" x14ac:dyDescent="0.2">
      <c r="C385" s="1">
        <f t="shared" si="28"/>
        <v>37347</v>
      </c>
      <c r="E385" s="17">
        <f t="shared" ref="E385:R385" si="39">E18*E263/1000/10000</f>
        <v>-146.58597573845813</v>
      </c>
      <c r="F385" s="17">
        <f t="shared" si="39"/>
        <v>0</v>
      </c>
      <c r="G385" s="17">
        <f t="shared" si="39"/>
        <v>0</v>
      </c>
      <c r="H385" s="17">
        <f t="shared" si="39"/>
        <v>-148.03429721078081</v>
      </c>
      <c r="I385" s="17">
        <f t="shared" si="39"/>
        <v>0</v>
      </c>
      <c r="J385" s="17">
        <f t="shared" si="39"/>
        <v>0</v>
      </c>
      <c r="K385" s="17">
        <f t="shared" si="39"/>
        <v>0</v>
      </c>
      <c r="L385" s="17">
        <f t="shared" si="39"/>
        <v>0</v>
      </c>
      <c r="M385" s="17">
        <f t="shared" si="39"/>
        <v>0</v>
      </c>
      <c r="N385" s="17"/>
      <c r="O385" s="17">
        <f t="shared" si="39"/>
        <v>0</v>
      </c>
      <c r="P385" s="17">
        <f t="shared" si="39"/>
        <v>0</v>
      </c>
      <c r="Q385" s="17">
        <f t="shared" si="39"/>
        <v>15.650423287314403</v>
      </c>
      <c r="R385" s="17">
        <f t="shared" si="39"/>
        <v>0</v>
      </c>
    </row>
    <row r="386" spans="3:18" x14ac:dyDescent="0.2">
      <c r="C386" s="1">
        <f t="shared" si="28"/>
        <v>37377</v>
      </c>
      <c r="E386" s="17">
        <f t="shared" ref="E386:R386" si="40">E19*E264/1000/10000</f>
        <v>-327.61168997081455</v>
      </c>
      <c r="F386" s="17">
        <f t="shared" si="40"/>
        <v>0</v>
      </c>
      <c r="G386" s="17">
        <f t="shared" si="40"/>
        <v>0</v>
      </c>
      <c r="H386" s="17">
        <f t="shared" si="40"/>
        <v>-96.452090074352441</v>
      </c>
      <c r="I386" s="17">
        <f t="shared" si="40"/>
        <v>0</v>
      </c>
      <c r="J386" s="17">
        <f t="shared" si="40"/>
        <v>0</v>
      </c>
      <c r="K386" s="17">
        <f t="shared" si="40"/>
        <v>0</v>
      </c>
      <c r="L386" s="17">
        <f t="shared" si="40"/>
        <v>0</v>
      </c>
      <c r="M386" s="17">
        <f t="shared" si="40"/>
        <v>0</v>
      </c>
      <c r="N386" s="17"/>
      <c r="O386" s="17">
        <f t="shared" si="40"/>
        <v>0</v>
      </c>
      <c r="P386" s="17">
        <f t="shared" si="40"/>
        <v>0</v>
      </c>
      <c r="Q386" s="17">
        <f t="shared" si="40"/>
        <v>36.456243101618469</v>
      </c>
      <c r="R386" s="17">
        <f t="shared" si="40"/>
        <v>0</v>
      </c>
    </row>
    <row r="387" spans="3:18" x14ac:dyDescent="0.2">
      <c r="C387" s="1">
        <f t="shared" si="28"/>
        <v>37408</v>
      </c>
      <c r="E387" s="17">
        <f t="shared" ref="E387:R387" si="41">E20*E265/1000/10000</f>
        <v>-806.34732259753855</v>
      </c>
      <c r="F387" s="17">
        <f t="shared" si="41"/>
        <v>0</v>
      </c>
      <c r="G387" s="17">
        <f t="shared" si="41"/>
        <v>88.504836209065687</v>
      </c>
      <c r="H387" s="17">
        <f t="shared" si="41"/>
        <v>-79.601990049751237</v>
      </c>
      <c r="I387" s="17">
        <f t="shared" si="41"/>
        <v>0</v>
      </c>
      <c r="J387" s="17">
        <f t="shared" si="41"/>
        <v>0</v>
      </c>
      <c r="K387" s="17">
        <f t="shared" si="41"/>
        <v>0</v>
      </c>
      <c r="L387" s="17">
        <f t="shared" si="41"/>
        <v>0</v>
      </c>
      <c r="M387" s="17">
        <f t="shared" si="41"/>
        <v>0</v>
      </c>
      <c r="N387" s="17"/>
      <c r="O387" s="17">
        <f t="shared" si="41"/>
        <v>0</v>
      </c>
      <c r="P387" s="17">
        <f t="shared" si="41"/>
        <v>0</v>
      </c>
      <c r="Q387" s="17">
        <f t="shared" si="41"/>
        <v>166.31138622676093</v>
      </c>
      <c r="R387" s="17">
        <f t="shared" si="41"/>
        <v>0</v>
      </c>
    </row>
    <row r="388" spans="3:18" x14ac:dyDescent="0.2">
      <c r="C388" s="1">
        <f t="shared" si="28"/>
        <v>37438</v>
      </c>
      <c r="E388" s="17">
        <f t="shared" ref="E388:R388" si="42">E21*E266/1000/10000</f>
        <v>-413.71069771961646</v>
      </c>
      <c r="F388" s="17">
        <f t="shared" si="42"/>
        <v>0</v>
      </c>
      <c r="G388" s="17">
        <f t="shared" si="42"/>
        <v>47.431970236986594</v>
      </c>
      <c r="H388" s="17">
        <f t="shared" si="42"/>
        <v>-400.20730759264063</v>
      </c>
      <c r="I388" s="17">
        <f t="shared" si="42"/>
        <v>161.33713397253175</v>
      </c>
      <c r="J388" s="17">
        <f t="shared" si="42"/>
        <v>0</v>
      </c>
      <c r="K388" s="17">
        <f t="shared" si="42"/>
        <v>-31.583311738792428</v>
      </c>
      <c r="L388" s="17">
        <f t="shared" si="42"/>
        <v>0</v>
      </c>
      <c r="M388" s="17">
        <f t="shared" si="42"/>
        <v>0</v>
      </c>
      <c r="N388" s="17"/>
      <c r="O388" s="17">
        <f t="shared" si="42"/>
        <v>0</v>
      </c>
      <c r="P388" s="17">
        <f t="shared" si="42"/>
        <v>0</v>
      </c>
      <c r="Q388" s="17">
        <f t="shared" si="42"/>
        <v>61.548665457372365</v>
      </c>
      <c r="R388" s="17">
        <f t="shared" si="42"/>
        <v>0</v>
      </c>
    </row>
    <row r="389" spans="3:18" x14ac:dyDescent="0.2">
      <c r="C389" s="1">
        <f t="shared" si="28"/>
        <v>37469</v>
      </c>
      <c r="E389" s="17">
        <f t="shared" ref="E389:R389" si="43">E22*E267/1000/10000</f>
        <v>-427.96820932028834</v>
      </c>
      <c r="F389" s="17">
        <f t="shared" si="43"/>
        <v>0</v>
      </c>
      <c r="G389" s="17">
        <f t="shared" si="43"/>
        <v>47.126673532440783</v>
      </c>
      <c r="H389" s="17">
        <f t="shared" si="43"/>
        <v>-397.63130792996901</v>
      </c>
      <c r="I389" s="17">
        <f t="shared" si="43"/>
        <v>160.29866117404734</v>
      </c>
      <c r="J389" s="17">
        <f t="shared" si="43"/>
        <v>0</v>
      </c>
      <c r="K389" s="17">
        <f t="shared" si="43"/>
        <v>-31.380020597322343</v>
      </c>
      <c r="L389" s="17">
        <f t="shared" si="43"/>
        <v>0</v>
      </c>
      <c r="M389" s="17">
        <f t="shared" si="43"/>
        <v>0</v>
      </c>
      <c r="N389" s="17"/>
      <c r="O389" s="17">
        <f t="shared" si="43"/>
        <v>0</v>
      </c>
      <c r="P389" s="17">
        <f t="shared" si="43"/>
        <v>0</v>
      </c>
      <c r="Q389" s="17">
        <f t="shared" si="43"/>
        <v>60.899409114315141</v>
      </c>
      <c r="R389" s="17">
        <f t="shared" si="43"/>
        <v>0</v>
      </c>
    </row>
    <row r="390" spans="3:18" x14ac:dyDescent="0.2">
      <c r="C390" s="1">
        <f t="shared" si="28"/>
        <v>37500</v>
      </c>
      <c r="E390" s="17">
        <f t="shared" ref="E390:R390" si="44">E23*E268/1000/10000</f>
        <v>44.775128139415678</v>
      </c>
      <c r="F390" s="17">
        <f t="shared" si="44"/>
        <v>0</v>
      </c>
      <c r="G390" s="17">
        <f t="shared" si="44"/>
        <v>0</v>
      </c>
      <c r="H390" s="17">
        <f t="shared" si="44"/>
        <v>-83.034341363403371</v>
      </c>
      <c r="I390" s="17">
        <f t="shared" si="44"/>
        <v>0</v>
      </c>
      <c r="J390" s="17">
        <f t="shared" si="44"/>
        <v>0</v>
      </c>
      <c r="K390" s="17">
        <f t="shared" si="44"/>
        <v>0</v>
      </c>
      <c r="L390" s="17">
        <f t="shared" si="44"/>
        <v>0</v>
      </c>
      <c r="M390" s="17">
        <f t="shared" si="44"/>
        <v>0</v>
      </c>
      <c r="N390" s="17"/>
      <c r="O390" s="17">
        <f t="shared" si="44"/>
        <v>0</v>
      </c>
      <c r="P390" s="17">
        <f t="shared" si="44"/>
        <v>0</v>
      </c>
      <c r="Q390" s="17">
        <f t="shared" si="44"/>
        <v>40.291859110712458</v>
      </c>
      <c r="R390" s="17">
        <f t="shared" si="44"/>
        <v>0</v>
      </c>
    </row>
    <row r="391" spans="3:18" x14ac:dyDescent="0.2">
      <c r="C391" s="1">
        <f t="shared" si="28"/>
        <v>37530</v>
      </c>
      <c r="E391" s="17">
        <f t="shared" ref="E391:R391" si="45">E24*E269/1000/10000</f>
        <v>-107.65267564760447</v>
      </c>
      <c r="F391" s="17">
        <f t="shared" si="45"/>
        <v>0</v>
      </c>
      <c r="G391" s="17">
        <f t="shared" si="45"/>
        <v>0</v>
      </c>
      <c r="H391" s="17">
        <f t="shared" si="45"/>
        <v>-86.278147794762432</v>
      </c>
      <c r="I391" s="17">
        <f t="shared" si="45"/>
        <v>0</v>
      </c>
      <c r="J391" s="17">
        <f t="shared" si="45"/>
        <v>0</v>
      </c>
      <c r="K391" s="17">
        <f t="shared" si="45"/>
        <v>0</v>
      </c>
      <c r="L391" s="17">
        <f t="shared" si="45"/>
        <v>0</v>
      </c>
      <c r="M391" s="17">
        <f t="shared" si="45"/>
        <v>0</v>
      </c>
      <c r="N391" s="17"/>
      <c r="O391" s="17">
        <f t="shared" si="45"/>
        <v>0</v>
      </c>
      <c r="P391" s="17">
        <f t="shared" si="45"/>
        <v>0</v>
      </c>
      <c r="Q391" s="17">
        <f t="shared" si="45"/>
        <v>116.29615867346938</v>
      </c>
      <c r="R391" s="17">
        <f t="shared" si="45"/>
        <v>0</v>
      </c>
    </row>
    <row r="392" spans="3:18" x14ac:dyDescent="0.2">
      <c r="C392" s="1">
        <f t="shared" si="28"/>
        <v>37561</v>
      </c>
      <c r="E392" s="17">
        <f t="shared" ref="E392:R392" si="46">E25*E270/1000/10000</f>
        <v>-90.994459142977504</v>
      </c>
      <c r="F392" s="17">
        <f t="shared" si="46"/>
        <v>0</v>
      </c>
      <c r="G392" s="17">
        <f t="shared" si="46"/>
        <v>0</v>
      </c>
      <c r="H392" s="17">
        <f t="shared" si="46"/>
        <v>-78.423026727943466</v>
      </c>
      <c r="I392" s="17">
        <f t="shared" si="46"/>
        <v>0</v>
      </c>
      <c r="J392" s="17">
        <f t="shared" si="46"/>
        <v>0</v>
      </c>
      <c r="K392" s="17">
        <f t="shared" si="46"/>
        <v>0</v>
      </c>
      <c r="L392" s="17">
        <f t="shared" si="46"/>
        <v>0</v>
      </c>
      <c r="M392" s="17">
        <f t="shared" si="46"/>
        <v>0</v>
      </c>
      <c r="N392" s="17"/>
      <c r="O392" s="17">
        <f t="shared" si="46"/>
        <v>0</v>
      </c>
      <c r="P392" s="17">
        <f t="shared" si="46"/>
        <v>0</v>
      </c>
      <c r="Q392" s="17">
        <f t="shared" si="46"/>
        <v>97.995580933465732</v>
      </c>
      <c r="R392" s="17">
        <f t="shared" si="46"/>
        <v>0</v>
      </c>
    </row>
    <row r="393" spans="3:18" x14ac:dyDescent="0.2">
      <c r="C393" s="1">
        <f t="shared" si="28"/>
        <v>37591</v>
      </c>
      <c r="E393" s="17">
        <f t="shared" ref="E393:R393" si="47">E26*E271/1000/10000</f>
        <v>-92.374805794010697</v>
      </c>
      <c r="F393" s="17">
        <f t="shared" si="47"/>
        <v>0</v>
      </c>
      <c r="G393" s="17">
        <f t="shared" si="47"/>
        <v>0</v>
      </c>
      <c r="H393" s="17">
        <f t="shared" si="47"/>
        <v>-80.942872414222123</v>
      </c>
      <c r="I393" s="17">
        <f t="shared" si="47"/>
        <v>0</v>
      </c>
      <c r="J393" s="17">
        <f t="shared" si="47"/>
        <v>0</v>
      </c>
      <c r="K393" s="17">
        <f t="shared" si="47"/>
        <v>0</v>
      </c>
      <c r="L393" s="17">
        <f t="shared" si="47"/>
        <v>0</v>
      </c>
      <c r="M393" s="17">
        <f t="shared" si="47"/>
        <v>0</v>
      </c>
      <c r="N393" s="17"/>
      <c r="O393" s="17">
        <f t="shared" si="47"/>
        <v>0</v>
      </c>
      <c r="P393" s="17">
        <f t="shared" si="47"/>
        <v>0</v>
      </c>
      <c r="Q393" s="17">
        <f t="shared" si="47"/>
        <v>99.180206971153837</v>
      </c>
      <c r="R393" s="17">
        <f t="shared" si="47"/>
        <v>0</v>
      </c>
    </row>
    <row r="394" spans="3:18" x14ac:dyDescent="0.2">
      <c r="C394" s="1">
        <f t="shared" si="28"/>
        <v>37622</v>
      </c>
      <c r="E394" s="17">
        <f t="shared" ref="E394:R394" si="48">E27*E272/1000/10000</f>
        <v>-173.07621679442948</v>
      </c>
      <c r="F394" s="17">
        <f t="shared" si="48"/>
        <v>0</v>
      </c>
      <c r="G394" s="17">
        <f t="shared" si="48"/>
        <v>0</v>
      </c>
      <c r="H394" s="17">
        <f t="shared" si="48"/>
        <v>-142.46988258136096</v>
      </c>
      <c r="I394" s="17">
        <f t="shared" si="48"/>
        <v>0</v>
      </c>
      <c r="J394" s="17">
        <f t="shared" si="48"/>
        <v>0</v>
      </c>
      <c r="K394" s="17">
        <f t="shared" si="48"/>
        <v>0</v>
      </c>
      <c r="L394" s="17">
        <f t="shared" si="48"/>
        <v>0</v>
      </c>
      <c r="M394" s="17">
        <f t="shared" si="48"/>
        <v>0</v>
      </c>
      <c r="N394" s="17"/>
      <c r="O394" s="17">
        <f t="shared" si="48"/>
        <v>0</v>
      </c>
      <c r="P394" s="17">
        <f t="shared" si="48"/>
        <v>0</v>
      </c>
      <c r="Q394" s="17">
        <f t="shared" si="48"/>
        <v>121.50458343195268</v>
      </c>
      <c r="R394" s="17">
        <f t="shared" si="48"/>
        <v>-16.246153846153849</v>
      </c>
    </row>
    <row r="395" spans="3:18" x14ac:dyDescent="0.2">
      <c r="C395" s="1">
        <f t="shared" si="28"/>
        <v>37653</v>
      </c>
      <c r="E395" s="17">
        <f t="shared" ref="E395:R395" si="49">E28*E273/1000/10000</f>
        <v>-158.3619361082221</v>
      </c>
      <c r="F395" s="17">
        <f t="shared" si="49"/>
        <v>0</v>
      </c>
      <c r="G395" s="17">
        <f t="shared" si="49"/>
        <v>0</v>
      </c>
      <c r="H395" s="17">
        <f t="shared" si="49"/>
        <v>-137.62671848863286</v>
      </c>
      <c r="I395" s="17">
        <f t="shared" si="49"/>
        <v>0</v>
      </c>
      <c r="J395" s="17">
        <f t="shared" si="49"/>
        <v>0</v>
      </c>
      <c r="K395" s="17">
        <f t="shared" si="49"/>
        <v>0</v>
      </c>
      <c r="L395" s="17">
        <f t="shared" si="49"/>
        <v>0</v>
      </c>
      <c r="M395" s="17">
        <f t="shared" si="49"/>
        <v>0</v>
      </c>
      <c r="N395" s="17"/>
      <c r="O395" s="17">
        <f t="shared" si="49"/>
        <v>0</v>
      </c>
      <c r="P395" s="17">
        <f t="shared" si="49"/>
        <v>0</v>
      </c>
      <c r="Q395" s="17">
        <f t="shared" si="49"/>
        <v>113.07075304136254</v>
      </c>
      <c r="R395" s="17">
        <f t="shared" si="49"/>
        <v>-15.182481751824817</v>
      </c>
    </row>
    <row r="396" spans="3:18" x14ac:dyDescent="0.2">
      <c r="C396" s="1">
        <f t="shared" si="28"/>
        <v>37681</v>
      </c>
      <c r="E396" s="17">
        <f t="shared" ref="E396:R396" si="50">E29*E274/1000/10000</f>
        <v>-198.92925051377142</v>
      </c>
      <c r="F396" s="17">
        <f t="shared" si="50"/>
        <v>0</v>
      </c>
      <c r="G396" s="17">
        <f t="shared" si="50"/>
        <v>0</v>
      </c>
      <c r="H396" s="17">
        <f t="shared" si="50"/>
        <v>-137.25178317551899</v>
      </c>
      <c r="I396" s="17">
        <f t="shared" si="50"/>
        <v>0</v>
      </c>
      <c r="J396" s="17">
        <f t="shared" si="50"/>
        <v>0</v>
      </c>
      <c r="K396" s="17">
        <f t="shared" si="50"/>
        <v>0</v>
      </c>
      <c r="L396" s="17">
        <f t="shared" si="50"/>
        <v>0</v>
      </c>
      <c r="M396" s="17">
        <f t="shared" si="50"/>
        <v>0</v>
      </c>
      <c r="N396" s="17"/>
      <c r="O396" s="17">
        <f t="shared" si="50"/>
        <v>0</v>
      </c>
      <c r="P396" s="17">
        <f t="shared" si="50"/>
        <v>0</v>
      </c>
      <c r="Q396" s="17">
        <f t="shared" si="50"/>
        <v>144.29628430876329</v>
      </c>
      <c r="R396" s="17">
        <f t="shared" si="50"/>
        <v>-14.840989399293287</v>
      </c>
    </row>
    <row r="397" spans="3:18" x14ac:dyDescent="0.2">
      <c r="C397" s="1">
        <f t="shared" si="28"/>
        <v>37712</v>
      </c>
      <c r="E397" s="17">
        <f t="shared" ref="E397:R397" si="51">E30*E275/1000/10000</f>
        <v>-223.4866566625515</v>
      </c>
      <c r="F397" s="17">
        <f t="shared" si="51"/>
        <v>0</v>
      </c>
      <c r="G397" s="17">
        <f t="shared" si="51"/>
        <v>0</v>
      </c>
      <c r="H397" s="17">
        <f t="shared" si="51"/>
        <v>-155.15848685599664</v>
      </c>
      <c r="I397" s="17">
        <f t="shared" si="51"/>
        <v>0</v>
      </c>
      <c r="J397" s="17">
        <f t="shared" si="51"/>
        <v>0</v>
      </c>
      <c r="K397" s="17">
        <f t="shared" si="51"/>
        <v>0</v>
      </c>
      <c r="L397" s="17">
        <f t="shared" si="51"/>
        <v>0</v>
      </c>
      <c r="M397" s="17">
        <f t="shared" si="51"/>
        <v>0</v>
      </c>
      <c r="N397" s="17"/>
      <c r="O397" s="17">
        <f t="shared" si="51"/>
        <v>0</v>
      </c>
      <c r="P397" s="17">
        <f t="shared" si="51"/>
        <v>0</v>
      </c>
      <c r="Q397" s="17">
        <f t="shared" si="51"/>
        <v>161.12970317299298</v>
      </c>
      <c r="R397" s="17">
        <f t="shared" si="51"/>
        <v>-16.172972972972975</v>
      </c>
    </row>
    <row r="398" spans="3:18" x14ac:dyDescent="0.2">
      <c r="C398" s="1">
        <f t="shared" si="28"/>
        <v>37742</v>
      </c>
      <c r="E398" s="17">
        <f t="shared" ref="E398:R398" si="52">E31*E276/1000/10000</f>
        <v>-249.27767957433684</v>
      </c>
      <c r="F398" s="17">
        <f t="shared" si="52"/>
        <v>0</v>
      </c>
      <c r="G398" s="17">
        <f t="shared" si="52"/>
        <v>0</v>
      </c>
      <c r="H398" s="17">
        <f t="shared" si="52"/>
        <v>-166.19510061372588</v>
      </c>
      <c r="I398" s="17">
        <f t="shared" si="52"/>
        <v>0</v>
      </c>
      <c r="J398" s="17">
        <f t="shared" si="52"/>
        <v>0</v>
      </c>
      <c r="K398" s="17">
        <f t="shared" si="52"/>
        <v>0</v>
      </c>
      <c r="L398" s="17">
        <f t="shared" si="52"/>
        <v>0</v>
      </c>
      <c r="M398" s="17">
        <f t="shared" si="52"/>
        <v>0</v>
      </c>
      <c r="N398" s="17"/>
      <c r="O398" s="17">
        <f t="shared" si="52"/>
        <v>0</v>
      </c>
      <c r="P398" s="17">
        <f t="shared" si="52"/>
        <v>0</v>
      </c>
      <c r="Q398" s="17">
        <f t="shared" si="52"/>
        <v>75.023746612466141</v>
      </c>
      <c r="R398" s="17">
        <f t="shared" si="52"/>
        <v>-17.528455284552848</v>
      </c>
    </row>
    <row r="399" spans="3:18" x14ac:dyDescent="0.2">
      <c r="C399" s="1">
        <f t="shared" si="28"/>
        <v>37773</v>
      </c>
      <c r="E399" s="17">
        <f t="shared" ref="E399:R399" si="53">E32*E277/1000/10000</f>
        <v>-211.6645443711524</v>
      </c>
      <c r="F399" s="17">
        <f t="shared" si="53"/>
        <v>0</v>
      </c>
      <c r="G399" s="17">
        <f t="shared" si="53"/>
        <v>0</v>
      </c>
      <c r="H399" s="17">
        <f t="shared" si="53"/>
        <v>-171.27699758412052</v>
      </c>
      <c r="I399" s="17">
        <f t="shared" si="53"/>
        <v>0</v>
      </c>
      <c r="J399" s="17">
        <f t="shared" si="53"/>
        <v>0</v>
      </c>
      <c r="K399" s="17">
        <f t="shared" si="53"/>
        <v>0</v>
      </c>
      <c r="L399" s="17">
        <f t="shared" si="53"/>
        <v>0</v>
      </c>
      <c r="M399" s="17">
        <f t="shared" si="53"/>
        <v>0</v>
      </c>
      <c r="N399" s="17"/>
      <c r="O399" s="17">
        <f t="shared" si="53"/>
        <v>0</v>
      </c>
      <c r="P399" s="17">
        <f t="shared" si="53"/>
        <v>0</v>
      </c>
      <c r="Q399" s="17">
        <f t="shared" si="53"/>
        <v>96.28841883378017</v>
      </c>
      <c r="R399" s="17">
        <f t="shared" si="53"/>
        <v>-21.844504021447726</v>
      </c>
    </row>
    <row r="400" spans="3:18" x14ac:dyDescent="0.2">
      <c r="C400" s="1">
        <f t="shared" si="28"/>
        <v>37803</v>
      </c>
      <c r="E400" s="17">
        <f t="shared" ref="E400:R400" si="54">E33*E278/1000/10000</f>
        <v>254.09616958448044</v>
      </c>
      <c r="F400" s="17">
        <f t="shared" si="54"/>
        <v>0</v>
      </c>
      <c r="G400" s="17">
        <f t="shared" si="54"/>
        <v>0</v>
      </c>
      <c r="H400" s="17">
        <f t="shared" si="54"/>
        <v>-347.56531422865754</v>
      </c>
      <c r="I400" s="17">
        <f t="shared" si="54"/>
        <v>0</v>
      </c>
      <c r="J400" s="17">
        <f t="shared" si="54"/>
        <v>0</v>
      </c>
      <c r="K400" s="17">
        <f t="shared" si="54"/>
        <v>0</v>
      </c>
      <c r="L400" s="17">
        <f t="shared" si="54"/>
        <v>0</v>
      </c>
      <c r="M400" s="17">
        <f t="shared" si="54"/>
        <v>0</v>
      </c>
      <c r="N400" s="17"/>
      <c r="O400" s="17">
        <f t="shared" si="54"/>
        <v>0</v>
      </c>
      <c r="P400" s="17">
        <f t="shared" si="54"/>
        <v>0</v>
      </c>
      <c r="Q400" s="17">
        <f t="shared" si="54"/>
        <v>27.111928401585203</v>
      </c>
      <c r="R400" s="17">
        <f t="shared" si="54"/>
        <v>-29.527080581241748</v>
      </c>
    </row>
    <row r="401" spans="3:18" x14ac:dyDescent="0.2">
      <c r="C401" s="1">
        <f t="shared" si="28"/>
        <v>37834</v>
      </c>
      <c r="E401" s="17">
        <f t="shared" ref="E401:R401" si="55">E34*E279/1000/10000</f>
        <v>226.98365249231821</v>
      </c>
      <c r="F401" s="17">
        <f t="shared" si="55"/>
        <v>0</v>
      </c>
      <c r="G401" s="17">
        <f t="shared" si="55"/>
        <v>0</v>
      </c>
      <c r="H401" s="17">
        <f t="shared" si="55"/>
        <v>-329.15797690295301</v>
      </c>
      <c r="I401" s="17">
        <f t="shared" si="55"/>
        <v>0</v>
      </c>
      <c r="J401" s="17">
        <f t="shared" si="55"/>
        <v>0</v>
      </c>
      <c r="K401" s="17">
        <f t="shared" si="55"/>
        <v>0</v>
      </c>
      <c r="L401" s="17">
        <f t="shared" si="55"/>
        <v>0</v>
      </c>
      <c r="M401" s="17">
        <f t="shared" si="55"/>
        <v>0</v>
      </c>
      <c r="N401" s="17"/>
      <c r="O401" s="17">
        <f t="shared" si="55"/>
        <v>0</v>
      </c>
      <c r="P401" s="17">
        <f t="shared" si="55"/>
        <v>0</v>
      </c>
      <c r="Q401" s="17">
        <f t="shared" si="55"/>
        <v>25.54946743119266</v>
      </c>
      <c r="R401" s="17">
        <f t="shared" si="55"/>
        <v>-27.963302752293576</v>
      </c>
    </row>
    <row r="402" spans="3:18" x14ac:dyDescent="0.2">
      <c r="C402" s="1">
        <f t="shared" ref="C402:C433" si="56">C35</f>
        <v>37865</v>
      </c>
      <c r="E402" s="17">
        <f t="shared" ref="E402:R402" si="57">E35*E280/1000/10000</f>
        <v>-199.24395966994393</v>
      </c>
      <c r="F402" s="17">
        <f t="shared" si="57"/>
        <v>0</v>
      </c>
      <c r="G402" s="17">
        <f t="shared" si="57"/>
        <v>0</v>
      </c>
      <c r="H402" s="17">
        <f t="shared" si="57"/>
        <v>-107.9981221522243</v>
      </c>
      <c r="I402" s="17">
        <f t="shared" si="57"/>
        <v>0</v>
      </c>
      <c r="J402" s="17">
        <f t="shared" si="57"/>
        <v>0</v>
      </c>
      <c r="K402" s="17">
        <f t="shared" si="57"/>
        <v>0</v>
      </c>
      <c r="L402" s="17">
        <f t="shared" si="57"/>
        <v>0</v>
      </c>
      <c r="M402" s="17">
        <f t="shared" si="57"/>
        <v>0</v>
      </c>
      <c r="N402" s="17"/>
      <c r="O402" s="17">
        <f t="shared" si="57"/>
        <v>0</v>
      </c>
      <c r="P402" s="17">
        <f t="shared" si="57"/>
        <v>0</v>
      </c>
      <c r="Q402" s="17">
        <f t="shared" si="57"/>
        <v>59.20928854193884</v>
      </c>
      <c r="R402" s="17">
        <f t="shared" si="57"/>
        <v>-15.145022210608831</v>
      </c>
    </row>
    <row r="403" spans="3:18" x14ac:dyDescent="0.2">
      <c r="C403" s="1">
        <f t="shared" si="56"/>
        <v>37895</v>
      </c>
      <c r="E403" s="17">
        <f t="shared" ref="E403:R403" si="58">E36*E281/1000/10000</f>
        <v>-208.58457402842225</v>
      </c>
      <c r="F403" s="17">
        <f t="shared" si="58"/>
        <v>0</v>
      </c>
      <c r="G403" s="17">
        <f t="shared" si="58"/>
        <v>0</v>
      </c>
      <c r="H403" s="17">
        <f t="shared" si="58"/>
        <v>-110.28120497666394</v>
      </c>
      <c r="I403" s="17">
        <f t="shared" si="58"/>
        <v>0</v>
      </c>
      <c r="J403" s="17">
        <f t="shared" si="58"/>
        <v>0</v>
      </c>
      <c r="K403" s="17">
        <f t="shared" si="58"/>
        <v>0</v>
      </c>
      <c r="L403" s="17">
        <f t="shared" si="58"/>
        <v>0</v>
      </c>
      <c r="M403" s="17">
        <f t="shared" si="58"/>
        <v>0</v>
      </c>
      <c r="N403" s="17"/>
      <c r="O403" s="17">
        <f t="shared" si="58"/>
        <v>0</v>
      </c>
      <c r="P403" s="17">
        <f t="shared" si="58"/>
        <v>0</v>
      </c>
      <c r="Q403" s="17">
        <f t="shared" si="58"/>
        <v>113.54255181818185</v>
      </c>
      <c r="R403" s="17">
        <f t="shared" si="58"/>
        <v>-15.77142857142857</v>
      </c>
    </row>
    <row r="404" spans="3:18" x14ac:dyDescent="0.2">
      <c r="C404" s="1">
        <f t="shared" si="56"/>
        <v>37926</v>
      </c>
      <c r="E404" s="17">
        <f t="shared" ref="E404:R404" si="59">E37*E282/1000/10000</f>
        <v>-166.18424578717782</v>
      </c>
      <c r="F404" s="17">
        <f t="shared" si="59"/>
        <v>0</v>
      </c>
      <c r="G404" s="17">
        <f t="shared" si="59"/>
        <v>0</v>
      </c>
      <c r="H404" s="17">
        <f t="shared" si="59"/>
        <v>-98.695653745490901</v>
      </c>
      <c r="I404" s="17">
        <f t="shared" si="59"/>
        <v>0</v>
      </c>
      <c r="J404" s="17">
        <f t="shared" si="59"/>
        <v>0</v>
      </c>
      <c r="K404" s="17">
        <f t="shared" si="59"/>
        <v>0</v>
      </c>
      <c r="L404" s="17">
        <f t="shared" si="59"/>
        <v>0</v>
      </c>
      <c r="M404" s="17">
        <f t="shared" si="59"/>
        <v>0</v>
      </c>
      <c r="N404" s="17"/>
      <c r="O404" s="17">
        <f t="shared" si="59"/>
        <v>0</v>
      </c>
      <c r="P404" s="17">
        <f t="shared" si="59"/>
        <v>0</v>
      </c>
      <c r="Q404" s="17">
        <f t="shared" si="59"/>
        <v>90.177132434127998</v>
      </c>
      <c r="R404" s="17">
        <f t="shared" si="59"/>
        <v>-12.58720200752823</v>
      </c>
    </row>
    <row r="405" spans="3:18" x14ac:dyDescent="0.2">
      <c r="C405" s="1">
        <f t="shared" si="56"/>
        <v>37956</v>
      </c>
      <c r="E405" s="17">
        <f t="shared" ref="E405:R405" si="60">E38*E283/1000/10000</f>
        <v>-185.53400518886357</v>
      </c>
      <c r="F405" s="17">
        <f t="shared" si="60"/>
        <v>0</v>
      </c>
      <c r="G405" s="17">
        <f t="shared" si="60"/>
        <v>0</v>
      </c>
      <c r="H405" s="17">
        <f t="shared" si="60"/>
        <v>-112.10727864583333</v>
      </c>
      <c r="I405" s="17">
        <f t="shared" si="60"/>
        <v>0</v>
      </c>
      <c r="J405" s="17">
        <f t="shared" si="60"/>
        <v>0</v>
      </c>
      <c r="K405" s="17">
        <f t="shared" si="60"/>
        <v>0</v>
      </c>
      <c r="L405" s="17">
        <f t="shared" si="60"/>
        <v>0</v>
      </c>
      <c r="M405" s="17">
        <f t="shared" si="60"/>
        <v>0</v>
      </c>
      <c r="N405" s="17"/>
      <c r="O405" s="17">
        <f t="shared" si="60"/>
        <v>0</v>
      </c>
      <c r="P405" s="17">
        <f t="shared" si="60"/>
        <v>0</v>
      </c>
      <c r="Q405" s="17">
        <f t="shared" si="60"/>
        <v>100.36087854545454</v>
      </c>
      <c r="R405" s="17">
        <f t="shared" si="60"/>
        <v>-14.08</v>
      </c>
    </row>
    <row r="406" spans="3:18" x14ac:dyDescent="0.2">
      <c r="C406" s="1">
        <f t="shared" si="56"/>
        <v>37987</v>
      </c>
      <c r="E406" s="17">
        <f t="shared" ref="E406:R406" si="61">E39*E284/1000/10000</f>
        <v>6.1991970583877842</v>
      </c>
      <c r="F406" s="17">
        <f t="shared" si="61"/>
        <v>0</v>
      </c>
      <c r="G406" s="17">
        <f t="shared" si="61"/>
        <v>0</v>
      </c>
      <c r="H406" s="17">
        <f t="shared" si="61"/>
        <v>0</v>
      </c>
      <c r="I406" s="17">
        <f t="shared" si="61"/>
        <v>14.200046843860507</v>
      </c>
      <c r="J406" s="17">
        <f t="shared" si="61"/>
        <v>0</v>
      </c>
      <c r="K406" s="17">
        <f t="shared" si="61"/>
        <v>0</v>
      </c>
      <c r="L406" s="17">
        <f t="shared" si="61"/>
        <v>0</v>
      </c>
      <c r="M406" s="17">
        <f t="shared" si="61"/>
        <v>0</v>
      </c>
      <c r="N406" s="17"/>
      <c r="O406" s="17">
        <f t="shared" si="61"/>
        <v>0</v>
      </c>
      <c r="P406" s="17">
        <f t="shared" si="61"/>
        <v>0</v>
      </c>
      <c r="Q406" s="17">
        <f t="shared" si="61"/>
        <v>51.230839247182928</v>
      </c>
      <c r="R406" s="17">
        <f t="shared" si="61"/>
        <v>0</v>
      </c>
    </row>
    <row r="407" spans="3:18" x14ac:dyDescent="0.2">
      <c r="C407" s="1">
        <f t="shared" si="56"/>
        <v>38018</v>
      </c>
      <c r="E407" s="17">
        <f t="shared" ref="E407:R407" si="62">E40*E285/1000/10000</f>
        <v>5.912559438525741</v>
      </c>
      <c r="F407" s="17">
        <f t="shared" si="62"/>
        <v>0</v>
      </c>
      <c r="G407" s="17">
        <f t="shared" si="62"/>
        <v>0</v>
      </c>
      <c r="H407" s="17">
        <f t="shared" si="62"/>
        <v>0</v>
      </c>
      <c r="I407" s="17">
        <f t="shared" si="62"/>
        <v>13.816927239949576</v>
      </c>
      <c r="J407" s="17">
        <f t="shared" si="62"/>
        <v>0</v>
      </c>
      <c r="K407" s="17">
        <f t="shared" si="62"/>
        <v>0</v>
      </c>
      <c r="L407" s="17">
        <f t="shared" si="62"/>
        <v>0</v>
      </c>
      <c r="M407" s="17">
        <f t="shared" si="62"/>
        <v>0</v>
      </c>
      <c r="N407" s="17"/>
      <c r="O407" s="17">
        <f t="shared" si="62"/>
        <v>0</v>
      </c>
      <c r="P407" s="17">
        <f t="shared" si="62"/>
        <v>0</v>
      </c>
      <c r="Q407" s="17">
        <f t="shared" si="62"/>
        <v>48.611452812731315</v>
      </c>
      <c r="R407" s="17">
        <f t="shared" si="62"/>
        <v>0</v>
      </c>
    </row>
    <row r="408" spans="3:18" x14ac:dyDescent="0.2">
      <c r="C408" s="1">
        <f t="shared" si="56"/>
        <v>38047</v>
      </c>
      <c r="E408" s="17">
        <f t="shared" ref="E408:R408" si="63">E41*E286/1000/10000</f>
        <v>6.0532289456246193</v>
      </c>
      <c r="F408" s="17">
        <f t="shared" si="63"/>
        <v>0</v>
      </c>
      <c r="G408" s="17">
        <f t="shared" si="63"/>
        <v>0</v>
      </c>
      <c r="H408" s="17">
        <f t="shared" si="63"/>
        <v>0</v>
      </c>
      <c r="I408" s="17">
        <f t="shared" si="63"/>
        <v>14.316326530612246</v>
      </c>
      <c r="J408" s="17">
        <f t="shared" si="63"/>
        <v>0</v>
      </c>
      <c r="K408" s="17">
        <f t="shared" si="63"/>
        <v>0</v>
      </c>
      <c r="L408" s="17">
        <f t="shared" si="63"/>
        <v>0</v>
      </c>
      <c r="M408" s="17">
        <f t="shared" si="63"/>
        <v>0</v>
      </c>
      <c r="N408" s="17"/>
      <c r="O408" s="17">
        <f t="shared" si="63"/>
        <v>0</v>
      </c>
      <c r="P408" s="17">
        <f t="shared" si="63"/>
        <v>0</v>
      </c>
      <c r="Q408" s="17">
        <f t="shared" si="63"/>
        <v>47.693502390676606</v>
      </c>
      <c r="R408" s="17">
        <f t="shared" si="63"/>
        <v>0</v>
      </c>
    </row>
    <row r="409" spans="3:18" x14ac:dyDescent="0.2">
      <c r="C409" s="1">
        <f t="shared" si="56"/>
        <v>38078</v>
      </c>
      <c r="E409" s="17">
        <f t="shared" ref="E409:R409" si="64">E42*E287/1000/10000</f>
        <v>6.1307745245451164</v>
      </c>
      <c r="F409" s="17">
        <f t="shared" si="64"/>
        <v>0</v>
      </c>
      <c r="G409" s="17">
        <f t="shared" si="64"/>
        <v>0</v>
      </c>
      <c r="H409" s="17">
        <f t="shared" si="64"/>
        <v>0</v>
      </c>
      <c r="I409" s="17">
        <f t="shared" si="64"/>
        <v>14.018741633199463</v>
      </c>
      <c r="J409" s="17">
        <f t="shared" si="64"/>
        <v>0</v>
      </c>
      <c r="K409" s="17">
        <f t="shared" si="64"/>
        <v>0</v>
      </c>
      <c r="L409" s="17">
        <f t="shared" si="64"/>
        <v>0</v>
      </c>
      <c r="M409" s="17">
        <f t="shared" si="64"/>
        <v>0</v>
      </c>
      <c r="N409" s="17"/>
      <c r="O409" s="17">
        <f t="shared" si="64"/>
        <v>0</v>
      </c>
      <c r="P409" s="17">
        <f t="shared" si="64"/>
        <v>0</v>
      </c>
      <c r="Q409" s="17">
        <f t="shared" si="64"/>
        <v>48.120950218711357</v>
      </c>
      <c r="R409" s="17">
        <f t="shared" si="64"/>
        <v>0</v>
      </c>
    </row>
    <row r="410" spans="3:18" x14ac:dyDescent="0.2">
      <c r="C410" s="1">
        <f t="shared" si="56"/>
        <v>38108</v>
      </c>
      <c r="E410" s="17">
        <f t="shared" ref="E410:R410" si="65">E43*E288/1000/10000</f>
        <v>6.6021265350546603</v>
      </c>
      <c r="F410" s="17">
        <f t="shared" si="65"/>
        <v>0</v>
      </c>
      <c r="G410" s="17">
        <f t="shared" si="65"/>
        <v>0</v>
      </c>
      <c r="H410" s="17">
        <f t="shared" si="65"/>
        <v>0</v>
      </c>
      <c r="I410" s="17">
        <f t="shared" si="65"/>
        <v>13.959731543624162</v>
      </c>
      <c r="J410" s="17">
        <f t="shared" si="65"/>
        <v>0</v>
      </c>
      <c r="K410" s="17">
        <f t="shared" si="65"/>
        <v>0</v>
      </c>
      <c r="L410" s="17">
        <f t="shared" si="65"/>
        <v>0</v>
      </c>
      <c r="M410" s="17">
        <f t="shared" si="65"/>
        <v>0</v>
      </c>
      <c r="N410" s="17"/>
      <c r="O410" s="17">
        <f t="shared" si="65"/>
        <v>0</v>
      </c>
      <c r="P410" s="17">
        <f t="shared" si="65"/>
        <v>0</v>
      </c>
      <c r="Q410" s="17">
        <f t="shared" si="65"/>
        <v>52.192258791946308</v>
      </c>
      <c r="R410" s="17">
        <f t="shared" si="65"/>
        <v>0</v>
      </c>
    </row>
    <row r="411" spans="3:18" x14ac:dyDescent="0.2">
      <c r="C411" s="1">
        <f t="shared" si="56"/>
        <v>38139</v>
      </c>
      <c r="E411" s="17">
        <f t="shared" ref="E411:R411" si="66">E44*E289/1000/10000</f>
        <v>-177.65126746035014</v>
      </c>
      <c r="F411" s="17">
        <f t="shared" si="66"/>
        <v>0</v>
      </c>
      <c r="G411" s="17">
        <f t="shared" si="66"/>
        <v>0</v>
      </c>
      <c r="H411" s="17">
        <f t="shared" si="66"/>
        <v>0</v>
      </c>
      <c r="I411" s="17">
        <f t="shared" si="66"/>
        <v>20.473278383408665</v>
      </c>
      <c r="J411" s="17">
        <f t="shared" si="66"/>
        <v>0</v>
      </c>
      <c r="K411" s="17">
        <f t="shared" si="66"/>
        <v>0</v>
      </c>
      <c r="L411" s="17">
        <f t="shared" si="66"/>
        <v>0</v>
      </c>
      <c r="M411" s="17">
        <f t="shared" si="66"/>
        <v>0</v>
      </c>
      <c r="N411" s="17"/>
      <c r="O411" s="17">
        <f t="shared" si="66"/>
        <v>0</v>
      </c>
      <c r="P411" s="17">
        <f t="shared" si="66"/>
        <v>0</v>
      </c>
      <c r="Q411" s="17">
        <f t="shared" si="66"/>
        <v>-18.851143312948683</v>
      </c>
      <c r="R411" s="17">
        <f t="shared" si="66"/>
        <v>0</v>
      </c>
    </row>
    <row r="412" spans="3:18" x14ac:dyDescent="0.2">
      <c r="C412" s="1">
        <f t="shared" si="56"/>
        <v>38169</v>
      </c>
      <c r="E412" s="17">
        <f t="shared" ref="E412:R412" si="67">E45*E290/1000/10000</f>
        <v>-171.95577476831872</v>
      </c>
      <c r="F412" s="17">
        <f t="shared" si="67"/>
        <v>0</v>
      </c>
      <c r="G412" s="17">
        <f t="shared" si="67"/>
        <v>0</v>
      </c>
      <c r="H412" s="17">
        <f t="shared" si="67"/>
        <v>0</v>
      </c>
      <c r="I412" s="17">
        <f t="shared" si="67"/>
        <v>25.960629921259841</v>
      </c>
      <c r="J412" s="17">
        <f t="shared" si="67"/>
        <v>0</v>
      </c>
      <c r="K412" s="17">
        <f t="shared" si="67"/>
        <v>0</v>
      </c>
      <c r="L412" s="17">
        <f t="shared" si="67"/>
        <v>0</v>
      </c>
      <c r="M412" s="17">
        <f t="shared" si="67"/>
        <v>0</v>
      </c>
      <c r="N412" s="17"/>
      <c r="O412" s="17">
        <f t="shared" si="67"/>
        <v>0</v>
      </c>
      <c r="P412" s="17">
        <f t="shared" si="67"/>
        <v>0</v>
      </c>
      <c r="Q412" s="17">
        <f t="shared" si="67"/>
        <v>20.439568700787401</v>
      </c>
      <c r="R412" s="17">
        <f t="shared" si="67"/>
        <v>0</v>
      </c>
    </row>
    <row r="413" spans="3:18" x14ac:dyDescent="0.2">
      <c r="C413" s="1">
        <f t="shared" si="56"/>
        <v>38200</v>
      </c>
      <c r="E413" s="17">
        <f t="shared" ref="E413:R413" si="68">E46*E291/1000/10000</f>
        <v>-177.11738696945963</v>
      </c>
      <c r="F413" s="17">
        <f t="shared" si="68"/>
        <v>0</v>
      </c>
      <c r="G413" s="17">
        <f t="shared" si="68"/>
        <v>0</v>
      </c>
      <c r="H413" s="17">
        <f t="shared" si="68"/>
        <v>0</v>
      </c>
      <c r="I413" s="17">
        <f t="shared" si="68"/>
        <v>26.822308690012974</v>
      </c>
      <c r="J413" s="17">
        <f t="shared" si="68"/>
        <v>0</v>
      </c>
      <c r="K413" s="17">
        <f t="shared" si="68"/>
        <v>0</v>
      </c>
      <c r="L413" s="17">
        <f t="shared" si="68"/>
        <v>0</v>
      </c>
      <c r="M413" s="17">
        <f t="shared" si="68"/>
        <v>0</v>
      </c>
      <c r="N413" s="17"/>
      <c r="O413" s="17">
        <f t="shared" si="68"/>
        <v>0</v>
      </c>
      <c r="P413" s="17">
        <f t="shared" si="68"/>
        <v>0</v>
      </c>
      <c r="Q413" s="17">
        <f t="shared" si="68"/>
        <v>21.522787354085605</v>
      </c>
      <c r="R413" s="17">
        <f t="shared" si="68"/>
        <v>0</v>
      </c>
    </row>
    <row r="414" spans="3:18" x14ac:dyDescent="0.2">
      <c r="C414" s="1">
        <f t="shared" si="56"/>
        <v>38231</v>
      </c>
      <c r="E414" s="17">
        <f t="shared" ref="E414:R414" si="69">E47*E292/1000/10000</f>
        <v>5.6103919230031938</v>
      </c>
      <c r="F414" s="17">
        <f t="shared" si="69"/>
        <v>0</v>
      </c>
      <c r="G414" s="17">
        <f t="shared" si="69"/>
        <v>0</v>
      </c>
      <c r="H414" s="17">
        <f t="shared" si="69"/>
        <v>0</v>
      </c>
      <c r="I414" s="17">
        <f t="shared" si="69"/>
        <v>14.790264111859139</v>
      </c>
      <c r="J414" s="17">
        <f t="shared" si="69"/>
        <v>0</v>
      </c>
      <c r="K414" s="17">
        <f t="shared" si="69"/>
        <v>0</v>
      </c>
      <c r="L414" s="17">
        <f t="shared" si="69"/>
        <v>0</v>
      </c>
      <c r="M414" s="17">
        <f t="shared" si="69"/>
        <v>0</v>
      </c>
      <c r="N414" s="17"/>
      <c r="O414" s="17">
        <f t="shared" si="69"/>
        <v>0</v>
      </c>
      <c r="P414" s="17">
        <f t="shared" si="69"/>
        <v>0</v>
      </c>
      <c r="Q414" s="17">
        <f t="shared" si="69"/>
        <v>43.733700382609989</v>
      </c>
      <c r="R414" s="17">
        <f t="shared" si="69"/>
        <v>0</v>
      </c>
    </row>
    <row r="415" spans="3:18" x14ac:dyDescent="0.2">
      <c r="C415" s="1">
        <f t="shared" si="56"/>
        <v>38261</v>
      </c>
      <c r="E415" s="17">
        <f t="shared" ref="E415:R415" si="70">E48*E293/1000/10000</f>
        <v>5.375027329272414</v>
      </c>
      <c r="F415" s="17">
        <f t="shared" si="70"/>
        <v>0</v>
      </c>
      <c r="G415" s="17">
        <f t="shared" si="70"/>
        <v>0</v>
      </c>
      <c r="H415" s="17">
        <f t="shared" si="70"/>
        <v>0</v>
      </c>
      <c r="I415" s="17">
        <f t="shared" si="70"/>
        <v>13.982005141388173</v>
      </c>
      <c r="J415" s="17">
        <f t="shared" si="70"/>
        <v>0</v>
      </c>
      <c r="K415" s="17">
        <f t="shared" si="70"/>
        <v>0</v>
      </c>
      <c r="L415" s="17">
        <f t="shared" si="70"/>
        <v>0</v>
      </c>
      <c r="M415" s="17">
        <f t="shared" si="70"/>
        <v>0</v>
      </c>
      <c r="N415" s="17"/>
      <c r="O415" s="17">
        <f t="shared" si="70"/>
        <v>0</v>
      </c>
      <c r="P415" s="17">
        <f t="shared" si="70"/>
        <v>0</v>
      </c>
      <c r="Q415" s="17">
        <f t="shared" si="70"/>
        <v>41.913296658097686</v>
      </c>
      <c r="R415" s="17">
        <f t="shared" si="70"/>
        <v>0</v>
      </c>
    </row>
    <row r="416" spans="3:18" x14ac:dyDescent="0.2">
      <c r="C416" s="1">
        <f t="shared" si="56"/>
        <v>38292</v>
      </c>
      <c r="E416" s="17">
        <f t="shared" ref="E416:R416" si="71">E49*E294/1000/10000</f>
        <v>5.1843007377272068</v>
      </c>
      <c r="F416" s="17">
        <f t="shared" si="71"/>
        <v>0</v>
      </c>
      <c r="G416" s="17">
        <f t="shared" si="71"/>
        <v>0</v>
      </c>
      <c r="H416" s="17">
        <f t="shared" si="71"/>
        <v>0</v>
      </c>
      <c r="I416" s="17">
        <f t="shared" si="71"/>
        <v>13.460869565217392</v>
      </c>
      <c r="J416" s="17">
        <f t="shared" si="71"/>
        <v>0</v>
      </c>
      <c r="K416" s="17">
        <f t="shared" si="71"/>
        <v>0</v>
      </c>
      <c r="L416" s="17">
        <f t="shared" si="71"/>
        <v>0</v>
      </c>
      <c r="M416" s="17">
        <f t="shared" si="71"/>
        <v>0</v>
      </c>
      <c r="N416" s="17"/>
      <c r="O416" s="17">
        <f t="shared" si="71"/>
        <v>0</v>
      </c>
      <c r="P416" s="17">
        <f t="shared" si="71"/>
        <v>0</v>
      </c>
      <c r="Q416" s="17">
        <f t="shared" si="71"/>
        <v>40.301873913043472</v>
      </c>
      <c r="R416" s="17">
        <f t="shared" si="71"/>
        <v>0</v>
      </c>
    </row>
    <row r="417" spans="3:18" x14ac:dyDescent="0.2">
      <c r="C417" s="1">
        <f t="shared" si="56"/>
        <v>38322</v>
      </c>
      <c r="E417" s="17">
        <f t="shared" ref="E417:R417" si="72">E50*E295/1000/10000</f>
        <v>5.4816130422141685</v>
      </c>
      <c r="F417" s="17">
        <f t="shared" si="72"/>
        <v>0</v>
      </c>
      <c r="G417" s="17">
        <f t="shared" si="72"/>
        <v>0</v>
      </c>
      <c r="H417" s="17">
        <f t="shared" si="72"/>
        <v>0</v>
      </c>
      <c r="I417" s="17">
        <f t="shared" si="72"/>
        <v>14.209134615384615</v>
      </c>
      <c r="J417" s="17">
        <f t="shared" si="72"/>
        <v>0</v>
      </c>
      <c r="K417" s="17">
        <f t="shared" si="72"/>
        <v>0</v>
      </c>
      <c r="L417" s="17">
        <f t="shared" si="72"/>
        <v>0</v>
      </c>
      <c r="M417" s="17">
        <f t="shared" si="72"/>
        <v>0</v>
      </c>
      <c r="N417" s="17"/>
      <c r="O417" s="17">
        <f t="shared" si="72"/>
        <v>0</v>
      </c>
      <c r="P417" s="17">
        <f t="shared" si="72"/>
        <v>0</v>
      </c>
      <c r="Q417" s="17">
        <f t="shared" si="72"/>
        <v>42.482389783653844</v>
      </c>
      <c r="R417" s="17">
        <f t="shared" si="72"/>
        <v>0</v>
      </c>
    </row>
    <row r="418" spans="3:18" x14ac:dyDescent="0.2">
      <c r="C418" s="1">
        <f t="shared" si="56"/>
        <v>38353</v>
      </c>
      <c r="E418" s="17">
        <f t="shared" ref="E418:R418" si="73">E51*E296/1000/10000</f>
        <v>68.887312510198001</v>
      </c>
      <c r="F418" s="17">
        <f t="shared" si="73"/>
        <v>0</v>
      </c>
      <c r="G418" s="17">
        <f t="shared" si="73"/>
        <v>0</v>
      </c>
      <c r="H418" s="17">
        <f t="shared" si="73"/>
        <v>15.688610807880561</v>
      </c>
      <c r="I418" s="17">
        <f t="shared" si="73"/>
        <v>-23.247463241755121</v>
      </c>
      <c r="J418" s="17">
        <f t="shared" si="73"/>
        <v>0</v>
      </c>
      <c r="K418" s="17">
        <f t="shared" si="73"/>
        <v>0</v>
      </c>
      <c r="L418" s="17">
        <f t="shared" si="73"/>
        <v>0</v>
      </c>
      <c r="M418" s="17">
        <f t="shared" si="73"/>
        <v>0</v>
      </c>
      <c r="N418" s="17"/>
      <c r="O418" s="17">
        <f t="shared" si="73"/>
        <v>0</v>
      </c>
      <c r="P418" s="17">
        <f t="shared" si="73"/>
        <v>0</v>
      </c>
      <c r="Q418" s="17">
        <f t="shared" si="73"/>
        <v>63.08647137703425</v>
      </c>
      <c r="R418" s="17">
        <f t="shared" si="73"/>
        <v>0</v>
      </c>
    </row>
    <row r="419" spans="3:18" x14ac:dyDescent="0.2">
      <c r="C419" s="1">
        <f t="shared" si="56"/>
        <v>38384</v>
      </c>
      <c r="E419" s="17">
        <f t="shared" ref="E419:R419" si="74">E52*E297/1000/10000</f>
        <v>66.567079440422134</v>
      </c>
      <c r="F419" s="17">
        <f t="shared" si="74"/>
        <v>0</v>
      </c>
      <c r="G419" s="17">
        <f t="shared" si="74"/>
        <v>0</v>
      </c>
      <c r="H419" s="17">
        <f t="shared" si="74"/>
        <v>15.628846276194739</v>
      </c>
      <c r="I419" s="17">
        <f t="shared" si="74"/>
        <v>-22.740844905945767</v>
      </c>
      <c r="J419" s="17">
        <f t="shared" si="74"/>
        <v>0</v>
      </c>
      <c r="K419" s="17">
        <f t="shared" si="74"/>
        <v>0</v>
      </c>
      <c r="L419" s="17">
        <f t="shared" si="74"/>
        <v>0</v>
      </c>
      <c r="M419" s="17">
        <f t="shared" si="74"/>
        <v>0</v>
      </c>
      <c r="N419" s="17"/>
      <c r="O419" s="17">
        <f t="shared" si="74"/>
        <v>0</v>
      </c>
      <c r="P419" s="17">
        <f t="shared" si="74"/>
        <v>0</v>
      </c>
      <c r="Q419" s="17">
        <f t="shared" si="74"/>
        <v>69.027647202179935</v>
      </c>
      <c r="R419" s="17">
        <f t="shared" si="74"/>
        <v>0</v>
      </c>
    </row>
    <row r="420" spans="3:18" x14ac:dyDescent="0.2">
      <c r="C420" s="1">
        <f t="shared" si="56"/>
        <v>38412</v>
      </c>
      <c r="E420" s="17">
        <f t="shared" ref="E420:R420" si="75">E53*E298/1000/10000</f>
        <v>68.288806930550209</v>
      </c>
      <c r="F420" s="17">
        <f t="shared" si="75"/>
        <v>0</v>
      </c>
      <c r="G420" s="17">
        <f t="shared" si="75"/>
        <v>0</v>
      </c>
      <c r="H420" s="17">
        <f t="shared" si="75"/>
        <v>15.301600743547271</v>
      </c>
      <c r="I420" s="17">
        <f t="shared" si="75"/>
        <v>-22.603002041201044</v>
      </c>
      <c r="J420" s="17">
        <f t="shared" si="75"/>
        <v>0</v>
      </c>
      <c r="K420" s="17">
        <f t="shared" si="75"/>
        <v>0</v>
      </c>
      <c r="L420" s="17">
        <f t="shared" si="75"/>
        <v>0</v>
      </c>
      <c r="M420" s="17">
        <f t="shared" si="75"/>
        <v>0</v>
      </c>
      <c r="N420" s="17"/>
      <c r="O420" s="17">
        <f t="shared" si="75"/>
        <v>0</v>
      </c>
      <c r="P420" s="17">
        <f t="shared" si="75"/>
        <v>0</v>
      </c>
      <c r="Q420" s="17">
        <f t="shared" si="75"/>
        <v>63.844881980484587</v>
      </c>
      <c r="R420" s="17">
        <f t="shared" si="75"/>
        <v>0</v>
      </c>
    </row>
    <row r="421" spans="3:18" x14ac:dyDescent="0.2">
      <c r="C421" s="1">
        <f t="shared" si="56"/>
        <v>38443</v>
      </c>
      <c r="E421" s="17">
        <f t="shared" ref="E421:R421" si="76">E54*E299/1000/10000</f>
        <v>65.967260258231391</v>
      </c>
      <c r="F421" s="17">
        <f t="shared" si="76"/>
        <v>0</v>
      </c>
      <c r="G421" s="17">
        <f t="shared" si="76"/>
        <v>0</v>
      </c>
      <c r="H421" s="17">
        <f t="shared" si="76"/>
        <v>14.657518120875871</v>
      </c>
      <c r="I421" s="17">
        <f t="shared" si="76"/>
        <v>-21.718547076343068</v>
      </c>
      <c r="J421" s="17">
        <f t="shared" si="76"/>
        <v>0</v>
      </c>
      <c r="K421" s="17">
        <f t="shared" si="76"/>
        <v>0</v>
      </c>
      <c r="L421" s="17">
        <f t="shared" si="76"/>
        <v>0</v>
      </c>
      <c r="M421" s="17">
        <f t="shared" si="76"/>
        <v>0</v>
      </c>
      <c r="N421" s="17"/>
      <c r="O421" s="17">
        <f t="shared" si="76"/>
        <v>0</v>
      </c>
      <c r="P421" s="17">
        <f t="shared" si="76"/>
        <v>0</v>
      </c>
      <c r="Q421" s="17">
        <f t="shared" si="76"/>
        <v>62.979325220741785</v>
      </c>
      <c r="R421" s="17">
        <f t="shared" si="76"/>
        <v>0</v>
      </c>
    </row>
    <row r="422" spans="3:18" x14ac:dyDescent="0.2">
      <c r="C422" s="1">
        <f t="shared" si="56"/>
        <v>38473</v>
      </c>
      <c r="E422" s="17">
        <f t="shared" ref="E422:R422" si="77">E55*E300/1000/10000</f>
        <v>77.90735298230129</v>
      </c>
      <c r="F422" s="17">
        <f t="shared" si="77"/>
        <v>0</v>
      </c>
      <c r="G422" s="17">
        <f t="shared" si="77"/>
        <v>0</v>
      </c>
      <c r="H422" s="17">
        <f t="shared" si="77"/>
        <v>15.01198158314955</v>
      </c>
      <c r="I422" s="17">
        <f t="shared" si="77"/>
        <v>-22.719303420634464</v>
      </c>
      <c r="J422" s="17">
        <f t="shared" si="77"/>
        <v>0</v>
      </c>
      <c r="K422" s="17">
        <f t="shared" si="77"/>
        <v>0</v>
      </c>
      <c r="L422" s="17">
        <f t="shared" si="77"/>
        <v>0</v>
      </c>
      <c r="M422" s="17">
        <f t="shared" si="77"/>
        <v>0</v>
      </c>
      <c r="N422" s="17"/>
      <c r="O422" s="17">
        <f t="shared" si="77"/>
        <v>0</v>
      </c>
      <c r="P422" s="17">
        <f t="shared" si="77"/>
        <v>0</v>
      </c>
      <c r="Q422" s="17">
        <f t="shared" si="77"/>
        <v>65.566524496468077</v>
      </c>
      <c r="R422" s="17">
        <f t="shared" si="77"/>
        <v>0</v>
      </c>
    </row>
    <row r="423" spans="3:18" x14ac:dyDescent="0.2">
      <c r="C423" s="1">
        <f t="shared" si="56"/>
        <v>38504</v>
      </c>
      <c r="E423" s="17">
        <f t="shared" ref="E423:R423" si="78">E56*E301/1000/10000</f>
        <v>65.282154823409272</v>
      </c>
      <c r="F423" s="17">
        <f t="shared" si="78"/>
        <v>0</v>
      </c>
      <c r="G423" s="17">
        <f t="shared" si="78"/>
        <v>0</v>
      </c>
      <c r="H423" s="17">
        <f t="shared" si="78"/>
        <v>15.321822391591516</v>
      </c>
      <c r="I423" s="17">
        <f t="shared" si="78"/>
        <v>-27.404784753749631</v>
      </c>
      <c r="J423" s="17">
        <f t="shared" si="78"/>
        <v>0</v>
      </c>
      <c r="K423" s="17">
        <f t="shared" si="78"/>
        <v>0</v>
      </c>
      <c r="L423" s="17">
        <f t="shared" si="78"/>
        <v>0</v>
      </c>
      <c r="M423" s="17">
        <f t="shared" si="78"/>
        <v>0</v>
      </c>
      <c r="N423" s="17"/>
      <c r="O423" s="17">
        <f t="shared" si="78"/>
        <v>0</v>
      </c>
      <c r="P423" s="17">
        <f t="shared" si="78"/>
        <v>0</v>
      </c>
      <c r="Q423" s="17">
        <f t="shared" si="78"/>
        <v>79.533111087635049</v>
      </c>
      <c r="R423" s="17">
        <f t="shared" si="78"/>
        <v>0</v>
      </c>
    </row>
    <row r="424" spans="3:18" x14ac:dyDescent="0.2">
      <c r="C424" s="1">
        <f t="shared" si="56"/>
        <v>38534</v>
      </c>
      <c r="E424" s="17">
        <f t="shared" ref="E424:R424" si="79">E57*E302/1000/10000</f>
        <v>59.107425770728589</v>
      </c>
      <c r="F424" s="17">
        <f t="shared" si="79"/>
        <v>0</v>
      </c>
      <c r="G424" s="17">
        <f t="shared" si="79"/>
        <v>0</v>
      </c>
      <c r="H424" s="17">
        <f t="shared" si="79"/>
        <v>18.332144419352215</v>
      </c>
      <c r="I424" s="17">
        <f t="shared" si="79"/>
        <v>-35.07634162902832</v>
      </c>
      <c r="J424" s="17">
        <f t="shared" si="79"/>
        <v>0</v>
      </c>
      <c r="K424" s="17">
        <f t="shared" si="79"/>
        <v>0</v>
      </c>
      <c r="L424" s="17">
        <f t="shared" si="79"/>
        <v>0</v>
      </c>
      <c r="M424" s="17">
        <f t="shared" si="79"/>
        <v>0</v>
      </c>
      <c r="N424" s="17"/>
      <c r="O424" s="17">
        <f t="shared" si="79"/>
        <v>0</v>
      </c>
      <c r="P424" s="17">
        <f t="shared" si="79"/>
        <v>0</v>
      </c>
      <c r="Q424" s="17">
        <f t="shared" si="79"/>
        <v>105.06404022318125</v>
      </c>
      <c r="R424" s="17">
        <f t="shared" si="79"/>
        <v>0</v>
      </c>
    </row>
    <row r="425" spans="3:18" x14ac:dyDescent="0.2">
      <c r="C425" s="1">
        <f t="shared" si="56"/>
        <v>38565</v>
      </c>
      <c r="E425" s="17">
        <f t="shared" ref="E425:R425" si="80">E58*E303/1000/10000</f>
        <v>66.827989490543402</v>
      </c>
      <c r="F425" s="17">
        <f t="shared" si="80"/>
        <v>0</v>
      </c>
      <c r="G425" s="17">
        <f t="shared" si="80"/>
        <v>0</v>
      </c>
      <c r="H425" s="17">
        <f t="shared" si="80"/>
        <v>20.83777342493163</v>
      </c>
      <c r="I425" s="17">
        <f t="shared" si="80"/>
        <v>-39.781756662493969</v>
      </c>
      <c r="J425" s="17">
        <f t="shared" si="80"/>
        <v>0</v>
      </c>
      <c r="K425" s="17">
        <f t="shared" si="80"/>
        <v>0</v>
      </c>
      <c r="L425" s="17">
        <f t="shared" si="80"/>
        <v>0</v>
      </c>
      <c r="M425" s="17">
        <f t="shared" si="80"/>
        <v>0</v>
      </c>
      <c r="N425" s="17"/>
      <c r="O425" s="17">
        <f t="shared" si="80"/>
        <v>0</v>
      </c>
      <c r="P425" s="17">
        <f t="shared" si="80"/>
        <v>0</v>
      </c>
      <c r="Q425" s="17">
        <f t="shared" si="80"/>
        <v>119.73809619422825</v>
      </c>
      <c r="R425" s="17">
        <f t="shared" si="80"/>
        <v>0</v>
      </c>
    </row>
    <row r="426" spans="3:18" x14ac:dyDescent="0.2">
      <c r="C426" s="1">
        <f t="shared" si="56"/>
        <v>38596</v>
      </c>
      <c r="E426" s="17">
        <f t="shared" ref="E426:R426" si="81">E59*E304/1000/10000</f>
        <v>63.193134529470527</v>
      </c>
      <c r="F426" s="17">
        <f t="shared" si="81"/>
        <v>0</v>
      </c>
      <c r="G426" s="17">
        <f t="shared" si="81"/>
        <v>0</v>
      </c>
      <c r="H426" s="17">
        <f t="shared" si="81"/>
        <v>12.130421810012926</v>
      </c>
      <c r="I426" s="17">
        <f t="shared" si="81"/>
        <v>-21.692035592717229</v>
      </c>
      <c r="J426" s="17">
        <f t="shared" si="81"/>
        <v>0</v>
      </c>
      <c r="K426" s="17">
        <f t="shared" si="81"/>
        <v>0</v>
      </c>
      <c r="L426" s="17">
        <f t="shared" si="81"/>
        <v>0</v>
      </c>
      <c r="M426" s="17">
        <f t="shared" si="81"/>
        <v>0</v>
      </c>
      <c r="N426" s="17"/>
      <c r="O426" s="17">
        <f t="shared" si="81"/>
        <v>0</v>
      </c>
      <c r="P426" s="17">
        <f t="shared" si="81"/>
        <v>0</v>
      </c>
      <c r="Q426" s="17">
        <f t="shared" si="81"/>
        <v>59.904904202522992</v>
      </c>
      <c r="R426" s="17">
        <f t="shared" si="81"/>
        <v>0</v>
      </c>
    </row>
    <row r="427" spans="3:18" x14ac:dyDescent="0.2">
      <c r="C427" s="1">
        <f t="shared" si="56"/>
        <v>38626</v>
      </c>
      <c r="E427" s="17">
        <f t="shared" ref="E427:R427" si="82">E60*E305/1000/10000</f>
        <v>60.56812064879724</v>
      </c>
      <c r="F427" s="17">
        <f t="shared" si="82"/>
        <v>0</v>
      </c>
      <c r="G427" s="17">
        <f t="shared" si="82"/>
        <v>0</v>
      </c>
      <c r="H427" s="17">
        <f t="shared" si="82"/>
        <v>13.754541124616351</v>
      </c>
      <c r="I427" s="17">
        <f t="shared" si="82"/>
        <v>-20.815028326851984</v>
      </c>
      <c r="J427" s="17">
        <f t="shared" si="82"/>
        <v>0</v>
      </c>
      <c r="K427" s="17">
        <f t="shared" si="82"/>
        <v>0</v>
      </c>
      <c r="L427" s="17">
        <f t="shared" si="82"/>
        <v>0</v>
      </c>
      <c r="M427" s="17">
        <f t="shared" si="82"/>
        <v>0</v>
      </c>
      <c r="N427" s="17"/>
      <c r="O427" s="17">
        <f t="shared" si="82"/>
        <v>0</v>
      </c>
      <c r="P427" s="17">
        <f t="shared" si="82"/>
        <v>0</v>
      </c>
      <c r="Q427" s="17">
        <f t="shared" si="82"/>
        <v>55.045483325240085</v>
      </c>
      <c r="R427" s="17">
        <f t="shared" si="82"/>
        <v>0</v>
      </c>
    </row>
    <row r="428" spans="3:18" x14ac:dyDescent="0.2">
      <c r="C428" s="1">
        <f t="shared" si="56"/>
        <v>38657</v>
      </c>
      <c r="E428" s="17">
        <f t="shared" ref="E428:R428" si="83">E61*E306/1000/10000</f>
        <v>58.420990109129811</v>
      </c>
      <c r="F428" s="17">
        <f t="shared" si="83"/>
        <v>0</v>
      </c>
      <c r="G428" s="17">
        <f t="shared" si="83"/>
        <v>0</v>
      </c>
      <c r="H428" s="17">
        <f t="shared" si="83"/>
        <v>14.746683405301132</v>
      </c>
      <c r="I428" s="17">
        <f t="shared" si="83"/>
        <v>-20.106512255498131</v>
      </c>
      <c r="J428" s="17">
        <f t="shared" si="83"/>
        <v>0</v>
      </c>
      <c r="K428" s="17">
        <f t="shared" si="83"/>
        <v>0</v>
      </c>
      <c r="L428" s="17">
        <f t="shared" si="83"/>
        <v>0</v>
      </c>
      <c r="M428" s="17">
        <f t="shared" si="83"/>
        <v>0</v>
      </c>
      <c r="N428" s="17"/>
      <c r="O428" s="17">
        <f t="shared" si="83"/>
        <v>0</v>
      </c>
      <c r="P428" s="17">
        <f t="shared" si="83"/>
        <v>0</v>
      </c>
      <c r="Q428" s="17">
        <f t="shared" si="83"/>
        <v>53.109554246707269</v>
      </c>
      <c r="R428" s="17">
        <f t="shared" si="83"/>
        <v>0</v>
      </c>
    </row>
    <row r="429" spans="3:18" x14ac:dyDescent="0.2">
      <c r="C429" s="1">
        <f t="shared" si="56"/>
        <v>38687</v>
      </c>
      <c r="E429" s="17">
        <f t="shared" ref="E429:R429" si="84">E62*E307/1000/10000</f>
        <v>56.400409154238886</v>
      </c>
      <c r="F429" s="17">
        <f t="shared" si="84"/>
        <v>0</v>
      </c>
      <c r="G429" s="17">
        <f t="shared" si="84"/>
        <v>0</v>
      </c>
      <c r="H429" s="17">
        <f t="shared" si="84"/>
        <v>14.472028928042029</v>
      </c>
      <c r="I429" s="17">
        <f t="shared" si="84"/>
        <v>-19.443652351033428</v>
      </c>
      <c r="J429" s="17">
        <f t="shared" si="84"/>
        <v>0</v>
      </c>
      <c r="K429" s="17">
        <f t="shared" si="84"/>
        <v>0</v>
      </c>
      <c r="L429" s="17">
        <f t="shared" si="84"/>
        <v>0</v>
      </c>
      <c r="M429" s="17">
        <f t="shared" si="84"/>
        <v>0</v>
      </c>
      <c r="N429" s="17"/>
      <c r="O429" s="17">
        <f t="shared" si="84"/>
        <v>0</v>
      </c>
      <c r="P429" s="17">
        <f t="shared" si="84"/>
        <v>0</v>
      </c>
      <c r="Q429" s="17">
        <f t="shared" si="84"/>
        <v>51.28769114270996</v>
      </c>
      <c r="R429" s="17">
        <f t="shared" si="84"/>
        <v>0</v>
      </c>
    </row>
    <row r="430" spans="3:18" x14ac:dyDescent="0.2">
      <c r="C430" s="1">
        <f t="shared" si="56"/>
        <v>38718</v>
      </c>
      <c r="E430" s="17">
        <f t="shared" ref="E430:R430" si="85">E63*E308/1000/10000</f>
        <v>-6.5255950531063416</v>
      </c>
      <c r="F430" s="17">
        <f t="shared" si="85"/>
        <v>0</v>
      </c>
      <c r="G430" s="17">
        <f t="shared" si="85"/>
        <v>0</v>
      </c>
      <c r="H430" s="17">
        <f t="shared" si="85"/>
        <v>-26.136307608207087</v>
      </c>
      <c r="I430" s="17">
        <f t="shared" si="85"/>
        <v>-7.6320691908116975</v>
      </c>
      <c r="J430" s="17">
        <f t="shared" si="85"/>
        <v>0</v>
      </c>
      <c r="K430" s="17">
        <f t="shared" si="85"/>
        <v>0</v>
      </c>
      <c r="L430" s="17">
        <f t="shared" si="85"/>
        <v>0</v>
      </c>
      <c r="M430" s="17">
        <f t="shared" si="85"/>
        <v>0</v>
      </c>
      <c r="N430" s="17"/>
      <c r="O430" s="17">
        <f t="shared" si="85"/>
        <v>0</v>
      </c>
      <c r="P430" s="17">
        <f t="shared" si="85"/>
        <v>0</v>
      </c>
      <c r="Q430" s="17">
        <f t="shared" si="85"/>
        <v>29.614862949538644</v>
      </c>
      <c r="R430" s="17">
        <f t="shared" si="85"/>
        <v>0</v>
      </c>
    </row>
    <row r="431" spans="3:18" x14ac:dyDescent="0.2">
      <c r="C431" s="1">
        <f t="shared" si="56"/>
        <v>38749</v>
      </c>
      <c r="E431" s="17">
        <f t="shared" ref="E431:R431" si="86">E64*E309/1000/10000</f>
        <v>-6.3045805141780331</v>
      </c>
      <c r="F431" s="17">
        <f t="shared" si="86"/>
        <v>0</v>
      </c>
      <c r="G431" s="17">
        <f t="shared" si="86"/>
        <v>0</v>
      </c>
      <c r="H431" s="17">
        <f t="shared" si="86"/>
        <v>-26.019071095550114</v>
      </c>
      <c r="I431" s="17">
        <f t="shared" si="86"/>
        <v>-7.3602447398738775</v>
      </c>
      <c r="J431" s="17">
        <f t="shared" si="86"/>
        <v>0</v>
      </c>
      <c r="K431" s="17">
        <f t="shared" si="86"/>
        <v>0</v>
      </c>
      <c r="L431" s="17">
        <f t="shared" si="86"/>
        <v>0</v>
      </c>
      <c r="M431" s="17">
        <f t="shared" si="86"/>
        <v>0</v>
      </c>
      <c r="N431" s="17"/>
      <c r="O431" s="17">
        <f t="shared" si="86"/>
        <v>0</v>
      </c>
      <c r="P431" s="17">
        <f t="shared" si="86"/>
        <v>0</v>
      </c>
      <c r="Q431" s="17">
        <f t="shared" si="86"/>
        <v>28.610896893014839</v>
      </c>
      <c r="R431" s="17">
        <f t="shared" si="86"/>
        <v>0</v>
      </c>
    </row>
    <row r="432" spans="3:18" x14ac:dyDescent="0.2">
      <c r="C432" s="1">
        <f t="shared" si="56"/>
        <v>38777</v>
      </c>
      <c r="E432" s="17">
        <f t="shared" ref="E432:R432" si="87">E65*E310/1000/10000</f>
        <v>-6.492803870271648</v>
      </c>
      <c r="F432" s="17">
        <f t="shared" si="87"/>
        <v>0</v>
      </c>
      <c r="G432" s="17">
        <f t="shared" si="87"/>
        <v>0</v>
      </c>
      <c r="H432" s="17">
        <f t="shared" si="87"/>
        <v>-26.848089085629105</v>
      </c>
      <c r="I432" s="17">
        <f t="shared" si="87"/>
        <v>-7.8162057059151779</v>
      </c>
      <c r="J432" s="17">
        <f t="shared" si="87"/>
        <v>0</v>
      </c>
      <c r="K432" s="17">
        <f t="shared" si="87"/>
        <v>0</v>
      </c>
      <c r="L432" s="17">
        <f t="shared" si="87"/>
        <v>0</v>
      </c>
      <c r="M432" s="17">
        <f t="shared" si="87"/>
        <v>0</v>
      </c>
      <c r="N432" s="17"/>
      <c r="O432" s="17">
        <f t="shared" si="87"/>
        <v>0</v>
      </c>
      <c r="P432" s="17">
        <f t="shared" si="87"/>
        <v>0</v>
      </c>
      <c r="Q432" s="17">
        <f t="shared" si="87"/>
        <v>29.233622132030288</v>
      </c>
      <c r="R432" s="17">
        <f t="shared" si="87"/>
        <v>0</v>
      </c>
    </row>
    <row r="433" spans="3:18" x14ac:dyDescent="0.2">
      <c r="C433" s="1">
        <f t="shared" si="56"/>
        <v>38808</v>
      </c>
      <c r="E433" s="17">
        <f t="shared" ref="E433:R433" si="88">E66*E311/1000/10000</f>
        <v>-5.9661271104835532</v>
      </c>
      <c r="F433" s="17">
        <f t="shared" si="88"/>
        <v>0</v>
      </c>
      <c r="G433" s="17">
        <f t="shared" si="88"/>
        <v>0</v>
      </c>
      <c r="H433" s="17">
        <f t="shared" si="88"/>
        <v>-24.19659463930067</v>
      </c>
      <c r="I433" s="17">
        <f t="shared" si="88"/>
        <v>-7.0640830642760353</v>
      </c>
      <c r="J433" s="17">
        <f t="shared" si="88"/>
        <v>0</v>
      </c>
      <c r="K433" s="17">
        <f t="shared" si="88"/>
        <v>0</v>
      </c>
      <c r="L433" s="17">
        <f t="shared" si="88"/>
        <v>0</v>
      </c>
      <c r="M433" s="17">
        <f t="shared" si="88"/>
        <v>0</v>
      </c>
      <c r="N433" s="17"/>
      <c r="O433" s="17">
        <f t="shared" si="88"/>
        <v>0</v>
      </c>
      <c r="P433" s="17">
        <f t="shared" si="88"/>
        <v>0</v>
      </c>
      <c r="Q433" s="17">
        <f t="shared" si="88"/>
        <v>26.647199548173422</v>
      </c>
      <c r="R433" s="17">
        <f t="shared" si="88"/>
        <v>0</v>
      </c>
    </row>
    <row r="434" spans="3:18" x14ac:dyDescent="0.2">
      <c r="C434" s="1">
        <f t="shared" ref="C434:C465" si="89">C67</f>
        <v>38838</v>
      </c>
      <c r="E434" s="17">
        <f t="shared" ref="E434:R434" si="90">E67*E312/1000/10000</f>
        <v>-7.7092224663414033</v>
      </c>
      <c r="F434" s="17">
        <f t="shared" si="90"/>
        <v>0</v>
      </c>
      <c r="G434" s="17">
        <f t="shared" si="90"/>
        <v>0</v>
      </c>
      <c r="H434" s="17">
        <f t="shared" si="90"/>
        <v>-24.357760133605076</v>
      </c>
      <c r="I434" s="17">
        <f t="shared" si="90"/>
        <v>-8.1167690995810684</v>
      </c>
      <c r="J434" s="17">
        <f t="shared" si="90"/>
        <v>0</v>
      </c>
      <c r="K434" s="17">
        <f t="shared" si="90"/>
        <v>0</v>
      </c>
      <c r="L434" s="17">
        <f t="shared" si="90"/>
        <v>0</v>
      </c>
      <c r="M434" s="17">
        <f t="shared" si="90"/>
        <v>0</v>
      </c>
      <c r="N434" s="17"/>
      <c r="O434" s="17">
        <f t="shared" si="90"/>
        <v>0</v>
      </c>
      <c r="P434" s="17">
        <f t="shared" si="90"/>
        <v>0</v>
      </c>
      <c r="Q434" s="17">
        <f t="shared" si="90"/>
        <v>30.003225314074733</v>
      </c>
      <c r="R434" s="17">
        <f t="shared" si="90"/>
        <v>0</v>
      </c>
    </row>
    <row r="435" spans="3:18" x14ac:dyDescent="0.2">
      <c r="C435" s="1">
        <f t="shared" si="89"/>
        <v>38869</v>
      </c>
      <c r="E435" s="17">
        <f t="shared" ref="E435:R435" si="91">E68*E313/1000/10000</f>
        <v>-7.131287157658651</v>
      </c>
      <c r="F435" s="17">
        <f t="shared" si="91"/>
        <v>0</v>
      </c>
      <c r="G435" s="17">
        <f t="shared" si="91"/>
        <v>0</v>
      </c>
      <c r="H435" s="17">
        <f t="shared" si="91"/>
        <v>-21.203638928442516</v>
      </c>
      <c r="I435" s="17">
        <f t="shared" si="91"/>
        <v>-8.7868740128587106</v>
      </c>
      <c r="J435" s="17">
        <f t="shared" si="91"/>
        <v>0</v>
      </c>
      <c r="K435" s="17">
        <f t="shared" si="91"/>
        <v>0</v>
      </c>
      <c r="L435" s="17">
        <f t="shared" si="91"/>
        <v>0</v>
      </c>
      <c r="M435" s="17">
        <f t="shared" si="91"/>
        <v>0</v>
      </c>
      <c r="N435" s="17"/>
      <c r="O435" s="17">
        <f t="shared" si="91"/>
        <v>0</v>
      </c>
      <c r="P435" s="17">
        <f t="shared" si="91"/>
        <v>0</v>
      </c>
      <c r="Q435" s="17">
        <f t="shared" si="91"/>
        <v>32.875854322273653</v>
      </c>
      <c r="R435" s="17">
        <f t="shared" si="91"/>
        <v>0</v>
      </c>
    </row>
    <row r="436" spans="3:18" x14ac:dyDescent="0.2">
      <c r="C436" s="1">
        <f t="shared" si="89"/>
        <v>38899</v>
      </c>
      <c r="E436" s="17">
        <f t="shared" ref="E436:R436" si="92">E69*E314/1000/10000</f>
        <v>-8.4634027131652836</v>
      </c>
      <c r="F436" s="17">
        <f t="shared" si="92"/>
        <v>0</v>
      </c>
      <c r="G436" s="17">
        <f t="shared" si="92"/>
        <v>0</v>
      </c>
      <c r="H436" s="17">
        <f t="shared" si="92"/>
        <v>-21.561404009946845</v>
      </c>
      <c r="I436" s="17">
        <f t="shared" si="92"/>
        <v>-11.447865594293654</v>
      </c>
      <c r="J436" s="17">
        <f t="shared" si="92"/>
        <v>0</v>
      </c>
      <c r="K436" s="17">
        <f t="shared" si="92"/>
        <v>0</v>
      </c>
      <c r="L436" s="17">
        <f t="shared" si="92"/>
        <v>0</v>
      </c>
      <c r="M436" s="17">
        <f t="shared" si="92"/>
        <v>0</v>
      </c>
      <c r="N436" s="17"/>
      <c r="O436" s="17">
        <f t="shared" si="92"/>
        <v>0</v>
      </c>
      <c r="P436" s="17">
        <f t="shared" si="92"/>
        <v>0</v>
      </c>
      <c r="Q436" s="17">
        <f t="shared" si="92"/>
        <v>43.640174139337446</v>
      </c>
      <c r="R436" s="17">
        <f t="shared" si="92"/>
        <v>0</v>
      </c>
    </row>
    <row r="437" spans="3:18" x14ac:dyDescent="0.2">
      <c r="C437" s="1">
        <f t="shared" si="89"/>
        <v>38930</v>
      </c>
      <c r="E437" s="17">
        <f t="shared" ref="E437:R437" si="93">E70*E315/1000/10000</f>
        <v>-9.5700418616235829</v>
      </c>
      <c r="F437" s="17">
        <f t="shared" si="93"/>
        <v>0</v>
      </c>
      <c r="G437" s="17">
        <f t="shared" si="93"/>
        <v>0</v>
      </c>
      <c r="H437" s="17">
        <f t="shared" si="93"/>
        <v>-24.122264891023086</v>
      </c>
      <c r="I437" s="17">
        <f t="shared" si="93"/>
        <v>-12.984809243754976</v>
      </c>
      <c r="J437" s="17">
        <f t="shared" si="93"/>
        <v>0</v>
      </c>
      <c r="K437" s="17">
        <f t="shared" si="93"/>
        <v>0</v>
      </c>
      <c r="L437" s="17">
        <f t="shared" si="93"/>
        <v>0</v>
      </c>
      <c r="M437" s="17">
        <f t="shared" si="93"/>
        <v>0</v>
      </c>
      <c r="N437" s="17"/>
      <c r="O437" s="17">
        <f t="shared" si="93"/>
        <v>0</v>
      </c>
      <c r="P437" s="17">
        <f t="shared" si="93"/>
        <v>0</v>
      </c>
      <c r="Q437" s="17">
        <f t="shared" si="93"/>
        <v>49.758794692682159</v>
      </c>
      <c r="R437" s="17">
        <f t="shared" si="93"/>
        <v>0</v>
      </c>
    </row>
    <row r="438" spans="3:18" x14ac:dyDescent="0.2">
      <c r="C438" s="1">
        <f t="shared" si="89"/>
        <v>38961</v>
      </c>
      <c r="E438" s="17">
        <f t="shared" ref="E438:R438" si="94">E71*E316/1000/10000</f>
        <v>-5.7131078188512951</v>
      </c>
      <c r="F438" s="17">
        <f t="shared" si="94"/>
        <v>0</v>
      </c>
      <c r="G438" s="17">
        <f t="shared" si="94"/>
        <v>0</v>
      </c>
      <c r="H438" s="17">
        <f t="shared" si="94"/>
        <v>-18.47379223657649</v>
      </c>
      <c r="I438" s="17">
        <f t="shared" si="94"/>
        <v>-7.0502839035080749</v>
      </c>
      <c r="J438" s="17">
        <f t="shared" si="94"/>
        <v>0</v>
      </c>
      <c r="K438" s="17">
        <f t="shared" si="94"/>
        <v>0</v>
      </c>
      <c r="L438" s="17">
        <f t="shared" si="94"/>
        <v>0</v>
      </c>
      <c r="M438" s="17">
        <f t="shared" si="94"/>
        <v>0</v>
      </c>
      <c r="N438" s="17"/>
      <c r="O438" s="17">
        <f t="shared" si="94"/>
        <v>0</v>
      </c>
      <c r="P438" s="17">
        <f t="shared" si="94"/>
        <v>0</v>
      </c>
      <c r="Q438" s="17">
        <f t="shared" si="94"/>
        <v>25.152363211258262</v>
      </c>
      <c r="R438" s="17">
        <f t="shared" si="94"/>
        <v>0</v>
      </c>
    </row>
    <row r="439" spans="3:18" x14ac:dyDescent="0.2">
      <c r="C439" s="1">
        <f t="shared" si="89"/>
        <v>38991</v>
      </c>
      <c r="E439" s="17">
        <f t="shared" ref="E439:R439" si="95">E72*E317/1000/10000</f>
        <v>-6.0299087963068132</v>
      </c>
      <c r="F439" s="17">
        <f t="shared" si="95"/>
        <v>0</v>
      </c>
      <c r="G439" s="17">
        <f t="shared" si="95"/>
        <v>0</v>
      </c>
      <c r="H439" s="17">
        <f t="shared" si="95"/>
        <v>-23.239292568630642</v>
      </c>
      <c r="I439" s="17">
        <f t="shared" si="95"/>
        <v>-7.4508743286132795</v>
      </c>
      <c r="J439" s="17">
        <f t="shared" si="95"/>
        <v>0</v>
      </c>
      <c r="K439" s="17">
        <f t="shared" si="95"/>
        <v>0</v>
      </c>
      <c r="L439" s="17">
        <f t="shared" si="95"/>
        <v>0</v>
      </c>
      <c r="M439" s="17">
        <f t="shared" si="95"/>
        <v>0</v>
      </c>
      <c r="N439" s="17"/>
      <c r="O439" s="17">
        <f t="shared" si="95"/>
        <v>0</v>
      </c>
      <c r="P439" s="17">
        <f t="shared" si="95"/>
        <v>0</v>
      </c>
      <c r="Q439" s="17">
        <f t="shared" si="95"/>
        <v>25.5310890223532</v>
      </c>
      <c r="R439" s="17">
        <f t="shared" si="95"/>
        <v>0</v>
      </c>
    </row>
    <row r="440" spans="3:18" x14ac:dyDescent="0.2">
      <c r="C440" s="1">
        <f t="shared" si="89"/>
        <v>39022</v>
      </c>
      <c r="E440" s="17">
        <f t="shared" ref="E440:R440" si="96">E73*E318/1000/10000</f>
        <v>-5.5532669372232561</v>
      </c>
      <c r="F440" s="17">
        <f t="shared" si="96"/>
        <v>0</v>
      </c>
      <c r="G440" s="17">
        <f t="shared" si="96"/>
        <v>0</v>
      </c>
      <c r="H440" s="17">
        <f t="shared" si="96"/>
        <v>-24.020630508814104</v>
      </c>
      <c r="I440" s="17">
        <f t="shared" si="96"/>
        <v>-6.8726016313601761</v>
      </c>
      <c r="J440" s="17">
        <f t="shared" si="96"/>
        <v>0</v>
      </c>
      <c r="K440" s="17">
        <f t="shared" si="96"/>
        <v>0</v>
      </c>
      <c r="L440" s="17">
        <f t="shared" si="96"/>
        <v>0</v>
      </c>
      <c r="M440" s="17">
        <f t="shared" si="96"/>
        <v>0</v>
      </c>
      <c r="N440" s="17"/>
      <c r="O440" s="17">
        <f t="shared" si="96"/>
        <v>0</v>
      </c>
      <c r="P440" s="17">
        <f t="shared" si="96"/>
        <v>0</v>
      </c>
      <c r="Q440" s="17">
        <f t="shared" si="96"/>
        <v>23.517521332630164</v>
      </c>
      <c r="R440" s="17">
        <f t="shared" si="96"/>
        <v>0</v>
      </c>
    </row>
    <row r="441" spans="3:18" x14ac:dyDescent="0.2">
      <c r="C441" s="1">
        <f t="shared" si="89"/>
        <v>39052</v>
      </c>
      <c r="E441" s="17">
        <f t="shared" ref="E441:R441" si="97">E74*E319/1000/10000</f>
        <v>-5.1072172707921784</v>
      </c>
      <c r="F441" s="17">
        <f t="shared" si="97"/>
        <v>0</v>
      </c>
      <c r="G441" s="17">
        <f t="shared" si="97"/>
        <v>0</v>
      </c>
      <c r="H441" s="17">
        <f t="shared" si="97"/>
        <v>-22.168665070229391</v>
      </c>
      <c r="I441" s="17">
        <f t="shared" si="97"/>
        <v>-6.3317127994329931</v>
      </c>
      <c r="J441" s="17">
        <f t="shared" si="97"/>
        <v>0</v>
      </c>
      <c r="K441" s="17">
        <f t="shared" si="97"/>
        <v>0</v>
      </c>
      <c r="L441" s="17">
        <f t="shared" si="97"/>
        <v>0</v>
      </c>
      <c r="M441" s="17">
        <f t="shared" si="97"/>
        <v>0</v>
      </c>
      <c r="N441" s="17"/>
      <c r="O441" s="17">
        <f t="shared" si="97"/>
        <v>0</v>
      </c>
      <c r="P441" s="17">
        <f t="shared" si="97"/>
        <v>0</v>
      </c>
      <c r="Q441" s="17">
        <f t="shared" si="97"/>
        <v>21.632864292913126</v>
      </c>
      <c r="R441" s="17">
        <f t="shared" si="97"/>
        <v>0</v>
      </c>
    </row>
    <row r="442" spans="3:18" x14ac:dyDescent="0.2">
      <c r="C442" s="1">
        <f t="shared" si="89"/>
        <v>39083</v>
      </c>
      <c r="E442" s="17">
        <f t="shared" ref="E442:R442" si="98">E75*E320/1000/10000</f>
        <v>40.870144977642099</v>
      </c>
      <c r="F442" s="17">
        <f t="shared" si="98"/>
        <v>0</v>
      </c>
      <c r="G442" s="17">
        <f t="shared" si="98"/>
        <v>0</v>
      </c>
      <c r="H442" s="17">
        <f t="shared" si="98"/>
        <v>-44.916498102860636</v>
      </c>
      <c r="I442" s="17">
        <f t="shared" si="98"/>
        <v>-7.9792402663505371</v>
      </c>
      <c r="J442" s="17">
        <f t="shared" si="98"/>
        <v>0</v>
      </c>
      <c r="K442" s="17">
        <f t="shared" si="98"/>
        <v>0</v>
      </c>
      <c r="L442" s="17">
        <f t="shared" si="98"/>
        <v>0</v>
      </c>
      <c r="M442" s="17">
        <f t="shared" si="98"/>
        <v>0</v>
      </c>
      <c r="N442" s="17"/>
      <c r="O442" s="17">
        <f t="shared" si="98"/>
        <v>0</v>
      </c>
      <c r="P442" s="17">
        <f t="shared" si="98"/>
        <v>0</v>
      </c>
      <c r="Q442" s="17">
        <f t="shared" si="98"/>
        <v>5.3780964802315507</v>
      </c>
      <c r="R442" s="17">
        <f t="shared" si="98"/>
        <v>0</v>
      </c>
    </row>
    <row r="443" spans="3:18" x14ac:dyDescent="0.2">
      <c r="C443" s="1">
        <f t="shared" si="89"/>
        <v>39114</v>
      </c>
      <c r="E443" s="17">
        <f t="shared" ref="E443:R443" si="99">E76*E321/1000/10000</f>
        <v>37.682918717205844</v>
      </c>
      <c r="F443" s="17">
        <f t="shared" si="99"/>
        <v>0</v>
      </c>
      <c r="G443" s="17">
        <f t="shared" si="99"/>
        <v>0</v>
      </c>
      <c r="H443" s="17">
        <f t="shared" si="99"/>
        <v>-42.64778563926582</v>
      </c>
      <c r="I443" s="17">
        <f t="shared" si="99"/>
        <v>-7.3679101515696148</v>
      </c>
      <c r="J443" s="17">
        <f t="shared" si="99"/>
        <v>0</v>
      </c>
      <c r="K443" s="17">
        <f t="shared" si="99"/>
        <v>0</v>
      </c>
      <c r="L443" s="17">
        <f t="shared" si="99"/>
        <v>0</v>
      </c>
      <c r="M443" s="17">
        <f t="shared" si="99"/>
        <v>0</v>
      </c>
      <c r="N443" s="17"/>
      <c r="O443" s="17">
        <f t="shared" si="99"/>
        <v>0</v>
      </c>
      <c r="P443" s="17">
        <f t="shared" si="99"/>
        <v>0</v>
      </c>
      <c r="Q443" s="17">
        <f t="shared" si="99"/>
        <v>4.9582395131257178</v>
      </c>
      <c r="R443" s="17">
        <f t="shared" si="99"/>
        <v>0</v>
      </c>
    </row>
    <row r="444" spans="3:18" x14ac:dyDescent="0.2">
      <c r="C444" s="1">
        <f t="shared" si="89"/>
        <v>39142</v>
      </c>
      <c r="E444" s="17">
        <f t="shared" ref="E444:R444" si="100">E77*E322/1000/10000</f>
        <v>37.14331787335253</v>
      </c>
      <c r="F444" s="17">
        <f t="shared" si="100"/>
        <v>0</v>
      </c>
      <c r="G444" s="17">
        <f t="shared" si="100"/>
        <v>0</v>
      </c>
      <c r="H444" s="17">
        <f t="shared" si="100"/>
        <v>-41.590038361502174</v>
      </c>
      <c r="I444" s="17">
        <f t="shared" si="100"/>
        <v>-7.5199799490447097</v>
      </c>
      <c r="J444" s="17">
        <f t="shared" si="100"/>
        <v>0</v>
      </c>
      <c r="K444" s="17">
        <f t="shared" si="100"/>
        <v>0</v>
      </c>
      <c r="L444" s="17">
        <f t="shared" si="100"/>
        <v>0</v>
      </c>
      <c r="M444" s="17">
        <f t="shared" si="100"/>
        <v>0</v>
      </c>
      <c r="N444" s="17"/>
      <c r="O444" s="17">
        <f t="shared" si="100"/>
        <v>0</v>
      </c>
      <c r="P444" s="17">
        <f t="shared" si="100"/>
        <v>0</v>
      </c>
      <c r="Q444" s="17">
        <f t="shared" si="100"/>
        <v>4.8442524656918957</v>
      </c>
      <c r="R444" s="17">
        <f t="shared" si="100"/>
        <v>0</v>
      </c>
    </row>
    <row r="445" spans="3:18" x14ac:dyDescent="0.2">
      <c r="C445" s="1">
        <f t="shared" si="89"/>
        <v>39173</v>
      </c>
      <c r="E445" s="17">
        <f t="shared" ref="E445:R445" si="101">E78*E323/1000/10000</f>
        <v>37.442919945522327</v>
      </c>
      <c r="F445" s="17">
        <f t="shared" si="101"/>
        <v>0</v>
      </c>
      <c r="G445" s="17">
        <f t="shared" si="101"/>
        <v>0</v>
      </c>
      <c r="H445" s="17">
        <f t="shared" si="101"/>
        <v>-41.298832803570342</v>
      </c>
      <c r="I445" s="17">
        <f t="shared" si="101"/>
        <v>-7.538982584318763</v>
      </c>
      <c r="J445" s="17">
        <f t="shared" si="101"/>
        <v>0</v>
      </c>
      <c r="K445" s="17">
        <f t="shared" si="101"/>
        <v>0</v>
      </c>
      <c r="L445" s="17">
        <f t="shared" si="101"/>
        <v>0</v>
      </c>
      <c r="M445" s="17">
        <f t="shared" si="101"/>
        <v>0</v>
      </c>
      <c r="N445" s="17"/>
      <c r="O445" s="17">
        <f t="shared" si="101"/>
        <v>0</v>
      </c>
      <c r="P445" s="17">
        <f t="shared" si="101"/>
        <v>0</v>
      </c>
      <c r="Q445" s="17">
        <f t="shared" si="101"/>
        <v>4.6716984730870186</v>
      </c>
      <c r="R445" s="17">
        <f t="shared" si="101"/>
        <v>0</v>
      </c>
    </row>
    <row r="446" spans="3:18" x14ac:dyDescent="0.2">
      <c r="C446" s="1">
        <f t="shared" si="89"/>
        <v>39203</v>
      </c>
      <c r="E446" s="17">
        <f t="shared" ref="E446:R446" si="102">E79*E324/1000/10000</f>
        <v>46.024081860803967</v>
      </c>
      <c r="F446" s="17">
        <f t="shared" si="102"/>
        <v>0</v>
      </c>
      <c r="G446" s="17">
        <f t="shared" si="102"/>
        <v>0</v>
      </c>
      <c r="H446" s="17">
        <f t="shared" si="102"/>
        <v>-41.299343518875972</v>
      </c>
      <c r="I446" s="17">
        <f t="shared" si="102"/>
        <v>-8.2400880969857351</v>
      </c>
      <c r="J446" s="17">
        <f t="shared" si="102"/>
        <v>0</v>
      </c>
      <c r="K446" s="17">
        <f t="shared" si="102"/>
        <v>0</v>
      </c>
      <c r="L446" s="17">
        <f t="shared" si="102"/>
        <v>0</v>
      </c>
      <c r="M446" s="17">
        <f t="shared" si="102"/>
        <v>0</v>
      </c>
      <c r="N446" s="17"/>
      <c r="O446" s="17">
        <f t="shared" si="102"/>
        <v>0</v>
      </c>
      <c r="P446" s="17">
        <f t="shared" si="102"/>
        <v>0</v>
      </c>
      <c r="Q446" s="17">
        <f t="shared" si="102"/>
        <v>5.0090368201872142</v>
      </c>
      <c r="R446" s="17">
        <f t="shared" si="102"/>
        <v>0</v>
      </c>
    </row>
    <row r="447" spans="3:18" x14ac:dyDescent="0.2">
      <c r="C447" s="1">
        <f t="shared" si="89"/>
        <v>39234</v>
      </c>
      <c r="E447" s="17">
        <f t="shared" ref="E447:R447" si="103">E80*E325/1000/10000</f>
        <v>40.651824588498457</v>
      </c>
      <c r="F447" s="17">
        <f t="shared" si="103"/>
        <v>0</v>
      </c>
      <c r="G447" s="17">
        <f t="shared" si="103"/>
        <v>0</v>
      </c>
      <c r="H447" s="17">
        <f t="shared" si="103"/>
        <v>-34.834531374869655</v>
      </c>
      <c r="I447" s="17">
        <f t="shared" si="103"/>
        <v>-8.3876320677484255</v>
      </c>
      <c r="J447" s="17">
        <f t="shared" si="103"/>
        <v>0</v>
      </c>
      <c r="K447" s="17">
        <f t="shared" si="103"/>
        <v>0</v>
      </c>
      <c r="L447" s="17">
        <f t="shared" si="103"/>
        <v>0</v>
      </c>
      <c r="M447" s="17">
        <f t="shared" si="103"/>
        <v>0</v>
      </c>
      <c r="N447" s="17"/>
      <c r="O447" s="17">
        <f t="shared" si="103"/>
        <v>0</v>
      </c>
      <c r="P447" s="17">
        <f t="shared" si="103"/>
        <v>0</v>
      </c>
      <c r="Q447" s="17">
        <f t="shared" si="103"/>
        <v>5.0736860285205827</v>
      </c>
      <c r="R447" s="17">
        <f t="shared" si="103"/>
        <v>0</v>
      </c>
    </row>
    <row r="448" spans="3:18" x14ac:dyDescent="0.2">
      <c r="C448" s="1">
        <f t="shared" si="89"/>
        <v>39264</v>
      </c>
      <c r="E448" s="17">
        <f t="shared" ref="E448:R448" si="104">E81*E326/1000/10000</f>
        <v>52.981396143468025</v>
      </c>
      <c r="F448" s="17">
        <f t="shared" si="104"/>
        <v>0</v>
      </c>
      <c r="G448" s="17">
        <f t="shared" si="104"/>
        <v>0</v>
      </c>
      <c r="H448" s="17">
        <f t="shared" si="104"/>
        <v>-38.883044843600906</v>
      </c>
      <c r="I448" s="17">
        <f t="shared" si="104"/>
        <v>-11.93412326492426</v>
      </c>
      <c r="J448" s="17">
        <f t="shared" si="104"/>
        <v>0</v>
      </c>
      <c r="K448" s="17">
        <f t="shared" si="104"/>
        <v>0</v>
      </c>
      <c r="L448" s="17">
        <f t="shared" si="104"/>
        <v>0</v>
      </c>
      <c r="M448" s="17">
        <f t="shared" si="104"/>
        <v>0</v>
      </c>
      <c r="N448" s="17"/>
      <c r="O448" s="17">
        <f t="shared" si="104"/>
        <v>0</v>
      </c>
      <c r="P448" s="17">
        <f t="shared" si="104"/>
        <v>0</v>
      </c>
      <c r="Q448" s="17">
        <f t="shared" si="104"/>
        <v>6.9929831634521484</v>
      </c>
      <c r="R448" s="17">
        <f t="shared" si="104"/>
        <v>0</v>
      </c>
    </row>
    <row r="449" spans="3:18" x14ac:dyDescent="0.2">
      <c r="C449" s="1">
        <f t="shared" si="89"/>
        <v>39295</v>
      </c>
      <c r="E449" s="17">
        <f t="shared" ref="E449:R449" si="105">E82*E327/1000/10000</f>
        <v>57.051564587291786</v>
      </c>
      <c r="F449" s="17">
        <f t="shared" si="105"/>
        <v>0</v>
      </c>
      <c r="G449" s="17">
        <f t="shared" si="105"/>
        <v>0</v>
      </c>
      <c r="H449" s="17">
        <f t="shared" si="105"/>
        <v>-41.731481623427662</v>
      </c>
      <c r="I449" s="17">
        <f t="shared" si="105"/>
        <v>-12.908270762701456</v>
      </c>
      <c r="J449" s="17">
        <f t="shared" si="105"/>
        <v>0</v>
      </c>
      <c r="K449" s="17">
        <f t="shared" si="105"/>
        <v>0</v>
      </c>
      <c r="L449" s="17">
        <f t="shared" si="105"/>
        <v>0</v>
      </c>
      <c r="M449" s="17">
        <f t="shared" si="105"/>
        <v>0</v>
      </c>
      <c r="N449" s="17"/>
      <c r="O449" s="17">
        <f t="shared" si="105"/>
        <v>0</v>
      </c>
      <c r="P449" s="17">
        <f t="shared" si="105"/>
        <v>0</v>
      </c>
      <c r="Q449" s="17">
        <f t="shared" si="105"/>
        <v>7.9086255426601184</v>
      </c>
      <c r="R449" s="17">
        <f t="shared" si="105"/>
        <v>0</v>
      </c>
    </row>
    <row r="450" spans="3:18" x14ac:dyDescent="0.2">
      <c r="C450" s="1">
        <f t="shared" si="89"/>
        <v>39326</v>
      </c>
      <c r="E450" s="17">
        <f t="shared" ref="E450:R450" si="106">E83*E328/1000/10000</f>
        <v>32.419949828212168</v>
      </c>
      <c r="F450" s="17">
        <f t="shared" si="106"/>
        <v>0</v>
      </c>
      <c r="G450" s="17">
        <f t="shared" si="106"/>
        <v>0</v>
      </c>
      <c r="H450" s="17">
        <f t="shared" si="106"/>
        <v>-29.660035707559018</v>
      </c>
      <c r="I450" s="17">
        <f t="shared" si="106"/>
        <v>-6.6852412087303019</v>
      </c>
      <c r="J450" s="17">
        <f t="shared" si="106"/>
        <v>0</v>
      </c>
      <c r="K450" s="17">
        <f t="shared" si="106"/>
        <v>0</v>
      </c>
      <c r="L450" s="17">
        <f t="shared" si="106"/>
        <v>0</v>
      </c>
      <c r="M450" s="17">
        <f t="shared" si="106"/>
        <v>0</v>
      </c>
      <c r="N450" s="17"/>
      <c r="O450" s="17">
        <f t="shared" si="106"/>
        <v>0</v>
      </c>
      <c r="P450" s="17">
        <f t="shared" si="106"/>
        <v>0</v>
      </c>
      <c r="Q450" s="17">
        <f t="shared" si="106"/>
        <v>3.9873727510836421</v>
      </c>
      <c r="R450" s="17">
        <f t="shared" si="106"/>
        <v>0</v>
      </c>
    </row>
    <row r="451" spans="3:18" x14ac:dyDescent="0.2">
      <c r="C451" s="1">
        <f t="shared" si="89"/>
        <v>39356</v>
      </c>
      <c r="E451" s="17">
        <f t="shared" ref="E451:R451" si="107">E84*E329/1000/10000</f>
        <v>37.658427549936349</v>
      </c>
      <c r="F451" s="17">
        <f t="shared" si="107"/>
        <v>0</v>
      </c>
      <c r="G451" s="17">
        <f t="shared" si="107"/>
        <v>0</v>
      </c>
      <c r="H451" s="17">
        <f t="shared" si="107"/>
        <v>-40.657730954900352</v>
      </c>
      <c r="I451" s="17">
        <f t="shared" si="107"/>
        <v>-7.7641196310371541</v>
      </c>
      <c r="J451" s="17">
        <f t="shared" si="107"/>
        <v>0</v>
      </c>
      <c r="K451" s="17">
        <f t="shared" si="107"/>
        <v>0</v>
      </c>
      <c r="L451" s="17">
        <f t="shared" si="107"/>
        <v>0</v>
      </c>
      <c r="M451" s="17">
        <f t="shared" si="107"/>
        <v>0</v>
      </c>
      <c r="N451" s="17"/>
      <c r="O451" s="17">
        <f t="shared" si="107"/>
        <v>0</v>
      </c>
      <c r="P451" s="17">
        <f t="shared" si="107"/>
        <v>0</v>
      </c>
      <c r="Q451" s="17">
        <f t="shared" si="107"/>
        <v>4.4536705021351652</v>
      </c>
      <c r="R451" s="17">
        <f t="shared" si="107"/>
        <v>0</v>
      </c>
    </row>
    <row r="452" spans="3:18" x14ac:dyDescent="0.2">
      <c r="C452" s="1">
        <f t="shared" si="89"/>
        <v>39387</v>
      </c>
      <c r="E452" s="17">
        <f t="shared" ref="E452:R452" si="108">E85*E330/1000/10000</f>
        <v>33.179412295309277</v>
      </c>
      <c r="F452" s="17">
        <f t="shared" si="108"/>
        <v>0</v>
      </c>
      <c r="G452" s="17">
        <f t="shared" si="108"/>
        <v>0</v>
      </c>
      <c r="H452" s="17">
        <f t="shared" si="108"/>
        <v>-39.87992355659587</v>
      </c>
      <c r="I452" s="17">
        <f t="shared" si="108"/>
        <v>-6.8656944946730833</v>
      </c>
      <c r="J452" s="17">
        <f t="shared" si="108"/>
        <v>0</v>
      </c>
      <c r="K452" s="17">
        <f t="shared" si="108"/>
        <v>0</v>
      </c>
      <c r="L452" s="17">
        <f t="shared" si="108"/>
        <v>0</v>
      </c>
      <c r="M452" s="17">
        <f t="shared" si="108"/>
        <v>0</v>
      </c>
      <c r="N452" s="17"/>
      <c r="O452" s="17">
        <f t="shared" si="108"/>
        <v>0</v>
      </c>
      <c r="P452" s="17">
        <f t="shared" si="108"/>
        <v>0</v>
      </c>
      <c r="Q452" s="17">
        <f t="shared" si="108"/>
        <v>3.9248043684891543</v>
      </c>
      <c r="R452" s="17">
        <f t="shared" si="108"/>
        <v>0</v>
      </c>
    </row>
    <row r="453" spans="3:18" x14ac:dyDescent="0.2">
      <c r="C453" s="1">
        <f t="shared" si="89"/>
        <v>39417</v>
      </c>
      <c r="E453" s="17">
        <f t="shared" ref="E453:R453" si="109">E86*E331/1000/10000</f>
        <v>30.518571496415081</v>
      </c>
      <c r="F453" s="17">
        <f t="shared" si="109"/>
        <v>0</v>
      </c>
      <c r="G453" s="17">
        <f t="shared" si="109"/>
        <v>0</v>
      </c>
      <c r="H453" s="17">
        <f t="shared" si="109"/>
        <v>-36.982182269230059</v>
      </c>
      <c r="I453" s="17">
        <f t="shared" si="109"/>
        <v>-6.3395198928975613</v>
      </c>
      <c r="J453" s="17">
        <f t="shared" si="109"/>
        <v>0</v>
      </c>
      <c r="K453" s="17">
        <f t="shared" si="109"/>
        <v>0</v>
      </c>
      <c r="L453" s="17">
        <f t="shared" si="109"/>
        <v>0</v>
      </c>
      <c r="M453" s="17">
        <f t="shared" si="109"/>
        <v>0</v>
      </c>
      <c r="N453" s="17"/>
      <c r="O453" s="17">
        <f t="shared" si="109"/>
        <v>0</v>
      </c>
      <c r="P453" s="17">
        <f t="shared" si="109"/>
        <v>0</v>
      </c>
      <c r="Q453" s="17">
        <f t="shared" si="109"/>
        <v>3.6109032615768579</v>
      </c>
      <c r="R453" s="17">
        <f t="shared" si="109"/>
        <v>0</v>
      </c>
    </row>
    <row r="454" spans="3:18" x14ac:dyDescent="0.2">
      <c r="C454" s="1">
        <f t="shared" si="89"/>
        <v>39448</v>
      </c>
      <c r="E454" s="17">
        <f t="shared" ref="E454:R454" si="110">E87*E332/1000/10000</f>
        <v>5.0504656091618605</v>
      </c>
      <c r="F454" s="17">
        <f t="shared" si="110"/>
        <v>0</v>
      </c>
      <c r="G454" s="17">
        <f t="shared" si="110"/>
        <v>0</v>
      </c>
      <c r="H454" s="17">
        <f t="shared" si="110"/>
        <v>-10.932853797977476</v>
      </c>
      <c r="I454" s="17">
        <f t="shared" si="110"/>
        <v>-7.9197701638497264</v>
      </c>
      <c r="J454" s="17">
        <f t="shared" si="110"/>
        <v>0</v>
      </c>
      <c r="K454" s="17">
        <f t="shared" si="110"/>
        <v>0</v>
      </c>
      <c r="L454" s="17">
        <f t="shared" si="110"/>
        <v>0</v>
      </c>
      <c r="M454" s="17">
        <f t="shared" si="110"/>
        <v>0</v>
      </c>
      <c r="N454" s="17"/>
      <c r="O454" s="17">
        <f t="shared" si="110"/>
        <v>0</v>
      </c>
      <c r="P454" s="17">
        <f t="shared" si="110"/>
        <v>0</v>
      </c>
      <c r="Q454" s="17">
        <f t="shared" si="110"/>
        <v>4.9991422063791999</v>
      </c>
      <c r="R454" s="17">
        <f t="shared" si="110"/>
        <v>0</v>
      </c>
    </row>
    <row r="455" spans="3:18" x14ac:dyDescent="0.2">
      <c r="C455" s="1">
        <f t="shared" si="89"/>
        <v>39479</v>
      </c>
      <c r="E455" s="17">
        <f t="shared" ref="E455:R455" si="111">E88*E333/1000/10000</f>
        <v>4.885887757562962</v>
      </c>
      <c r="F455" s="17">
        <f t="shared" si="111"/>
        <v>0</v>
      </c>
      <c r="G455" s="17">
        <f t="shared" si="111"/>
        <v>0</v>
      </c>
      <c r="H455" s="17">
        <f t="shared" si="111"/>
        <v>-10.892429322067681</v>
      </c>
      <c r="I455" s="17">
        <f t="shared" si="111"/>
        <v>-7.6762588035967374</v>
      </c>
      <c r="J455" s="17">
        <f t="shared" si="111"/>
        <v>0</v>
      </c>
      <c r="K455" s="17">
        <f t="shared" si="111"/>
        <v>0</v>
      </c>
      <c r="L455" s="17">
        <f t="shared" si="111"/>
        <v>0</v>
      </c>
      <c r="M455" s="17">
        <f t="shared" si="111"/>
        <v>0</v>
      </c>
      <c r="N455" s="17"/>
      <c r="O455" s="17">
        <f t="shared" si="111"/>
        <v>0</v>
      </c>
      <c r="P455" s="17">
        <f t="shared" si="111"/>
        <v>0</v>
      </c>
      <c r="Q455" s="17">
        <f t="shared" si="111"/>
        <v>4.8358286193696243</v>
      </c>
      <c r="R455" s="17">
        <f t="shared" si="111"/>
        <v>0</v>
      </c>
    </row>
    <row r="456" spans="3:18" x14ac:dyDescent="0.2">
      <c r="C456" s="1">
        <f t="shared" si="89"/>
        <v>39508</v>
      </c>
      <c r="E456" s="17">
        <f t="shared" ref="E456:R456" si="112">E89*E334/1000/10000</f>
        <v>4.3791335061521748</v>
      </c>
      <c r="F456" s="17">
        <f t="shared" si="112"/>
        <v>0</v>
      </c>
      <c r="G456" s="17">
        <f t="shared" si="112"/>
        <v>0</v>
      </c>
      <c r="H456" s="17">
        <f t="shared" si="112"/>
        <v>-10.576195151724466</v>
      </c>
      <c r="I456" s="17">
        <f t="shared" si="112"/>
        <v>-7.1243359077267536</v>
      </c>
      <c r="J456" s="17">
        <f t="shared" si="112"/>
        <v>0</v>
      </c>
      <c r="K456" s="17">
        <f t="shared" si="112"/>
        <v>0</v>
      </c>
      <c r="L456" s="17">
        <f t="shared" si="112"/>
        <v>0</v>
      </c>
      <c r="M456" s="17">
        <f t="shared" si="112"/>
        <v>0</v>
      </c>
      <c r="N456" s="17"/>
      <c r="O456" s="17">
        <f t="shared" si="112"/>
        <v>0</v>
      </c>
      <c r="P456" s="17">
        <f t="shared" si="112"/>
        <v>0</v>
      </c>
      <c r="Q456" s="17">
        <f t="shared" si="112"/>
        <v>4.2965036520795143</v>
      </c>
      <c r="R456" s="17">
        <f t="shared" si="112"/>
        <v>0</v>
      </c>
    </row>
    <row r="457" spans="3:18" x14ac:dyDescent="0.2">
      <c r="C457" s="1">
        <f t="shared" si="89"/>
        <v>39539</v>
      </c>
      <c r="E457" s="17">
        <f t="shared" ref="E457:R457" si="113">E90*E335/1000/10000</f>
        <v>4.8399701749849271</v>
      </c>
      <c r="F457" s="17">
        <f t="shared" si="113"/>
        <v>0</v>
      </c>
      <c r="G457" s="17">
        <f t="shared" si="113"/>
        <v>0</v>
      </c>
      <c r="H457" s="17">
        <f t="shared" si="113"/>
        <v>-11.281074720750517</v>
      </c>
      <c r="I457" s="17">
        <f t="shared" si="113"/>
        <v>-7.8331340141832309</v>
      </c>
      <c r="J457" s="17">
        <f t="shared" si="113"/>
        <v>0</v>
      </c>
      <c r="K457" s="17">
        <f t="shared" si="113"/>
        <v>0</v>
      </c>
      <c r="L457" s="17">
        <f t="shared" si="113"/>
        <v>0</v>
      </c>
      <c r="M457" s="17">
        <f t="shared" si="113"/>
        <v>0</v>
      </c>
      <c r="N457" s="17"/>
      <c r="O457" s="17">
        <f t="shared" si="113"/>
        <v>0</v>
      </c>
      <c r="P457" s="17">
        <f t="shared" si="113"/>
        <v>0</v>
      </c>
      <c r="Q457" s="17">
        <f t="shared" si="113"/>
        <v>4.5427465960301658</v>
      </c>
      <c r="R457" s="17">
        <f t="shared" si="113"/>
        <v>0</v>
      </c>
    </row>
    <row r="458" spans="3:18" x14ac:dyDescent="0.2">
      <c r="C458" s="1">
        <f t="shared" si="89"/>
        <v>39569</v>
      </c>
      <c r="E458" s="17">
        <f t="shared" ref="E458:R458" si="114">E91*E336/1000/10000</f>
        <v>5.4142010013516817</v>
      </c>
      <c r="F458" s="17">
        <f t="shared" si="114"/>
        <v>0</v>
      </c>
      <c r="G458" s="17">
        <f t="shared" si="114"/>
        <v>0</v>
      </c>
      <c r="H458" s="17">
        <f t="shared" si="114"/>
        <v>-8.1775147859815132</v>
      </c>
      <c r="I458" s="17">
        <f t="shared" si="114"/>
        <v>-7.7984625001875614</v>
      </c>
      <c r="J458" s="17">
        <f t="shared" si="114"/>
        <v>0</v>
      </c>
      <c r="K458" s="17">
        <f t="shared" si="114"/>
        <v>0</v>
      </c>
      <c r="L458" s="17">
        <f t="shared" si="114"/>
        <v>0</v>
      </c>
      <c r="M458" s="17">
        <f t="shared" si="114"/>
        <v>0</v>
      </c>
      <c r="N458" s="17"/>
      <c r="O458" s="17">
        <f t="shared" si="114"/>
        <v>0</v>
      </c>
      <c r="P458" s="17">
        <f t="shared" si="114"/>
        <v>0</v>
      </c>
      <c r="Q458" s="17">
        <f t="shared" si="114"/>
        <v>4.4365872522078167</v>
      </c>
      <c r="R458" s="17">
        <f t="shared" si="114"/>
        <v>0</v>
      </c>
    </row>
    <row r="459" spans="3:18" x14ac:dyDescent="0.2">
      <c r="C459" s="1">
        <f t="shared" si="89"/>
        <v>39600</v>
      </c>
      <c r="E459" s="17">
        <f t="shared" ref="E459:R459" si="115">E92*E337/1000/10000</f>
        <v>5.0451843597839945</v>
      </c>
      <c r="F459" s="17">
        <f t="shared" si="115"/>
        <v>0</v>
      </c>
      <c r="G459" s="17">
        <f t="shared" si="115"/>
        <v>0</v>
      </c>
      <c r="H459" s="17">
        <f t="shared" si="115"/>
        <v>-5.9983801182802772</v>
      </c>
      <c r="I459" s="17">
        <f t="shared" si="115"/>
        <v>-8.366505976892066</v>
      </c>
      <c r="J459" s="17">
        <f t="shared" si="115"/>
        <v>0</v>
      </c>
      <c r="K459" s="17">
        <f t="shared" si="115"/>
        <v>0</v>
      </c>
      <c r="L459" s="17">
        <f t="shared" si="115"/>
        <v>0</v>
      </c>
      <c r="M459" s="17">
        <f t="shared" si="115"/>
        <v>0</v>
      </c>
      <c r="N459" s="17"/>
      <c r="O459" s="17">
        <f t="shared" si="115"/>
        <v>0</v>
      </c>
      <c r="P459" s="17">
        <f t="shared" si="115"/>
        <v>0</v>
      </c>
      <c r="Q459" s="17">
        <f t="shared" si="115"/>
        <v>4.7344875819543324</v>
      </c>
      <c r="R459" s="17">
        <f t="shared" si="115"/>
        <v>0</v>
      </c>
    </row>
    <row r="460" spans="3:18" x14ac:dyDescent="0.2">
      <c r="C460" s="1">
        <f t="shared" si="89"/>
        <v>39630</v>
      </c>
      <c r="E460" s="17">
        <f t="shared" ref="E460:R460" si="116">E93*E338/1000/10000</f>
        <v>6.8686535374202098</v>
      </c>
      <c r="F460" s="17">
        <f t="shared" si="116"/>
        <v>0</v>
      </c>
      <c r="G460" s="17">
        <f t="shared" si="116"/>
        <v>0</v>
      </c>
      <c r="H460" s="17">
        <f t="shared" si="116"/>
        <v>-4.415111350152725</v>
      </c>
      <c r="I460" s="17">
        <f t="shared" si="116"/>
        <v>-12.42468429986098</v>
      </c>
      <c r="J460" s="17">
        <f t="shared" si="116"/>
        <v>0</v>
      </c>
      <c r="K460" s="17">
        <f t="shared" si="116"/>
        <v>0</v>
      </c>
      <c r="L460" s="17">
        <f t="shared" si="116"/>
        <v>0</v>
      </c>
      <c r="M460" s="17">
        <f t="shared" si="116"/>
        <v>0</v>
      </c>
      <c r="N460" s="17"/>
      <c r="O460" s="17">
        <f t="shared" si="116"/>
        <v>0</v>
      </c>
      <c r="P460" s="17">
        <f t="shared" si="116"/>
        <v>0</v>
      </c>
      <c r="Q460" s="17">
        <f t="shared" si="116"/>
        <v>6.8109614301791455</v>
      </c>
      <c r="R460" s="17">
        <f t="shared" si="116"/>
        <v>0</v>
      </c>
    </row>
    <row r="461" spans="3:18" x14ac:dyDescent="0.2">
      <c r="C461" s="1">
        <f t="shared" si="89"/>
        <v>39661</v>
      </c>
      <c r="E461" s="17">
        <f t="shared" ref="E461:R461" si="117">E94*E339/1000/10000</f>
        <v>6.4479426020141748</v>
      </c>
      <c r="F461" s="17">
        <f t="shared" si="117"/>
        <v>0</v>
      </c>
      <c r="G461" s="17">
        <f t="shared" si="117"/>
        <v>0</v>
      </c>
      <c r="H461" s="17">
        <f t="shared" si="117"/>
        <v>-3.8468524192611517</v>
      </c>
      <c r="I461" s="17">
        <f t="shared" si="117"/>
        <v>-11.714647938327719</v>
      </c>
      <c r="J461" s="17">
        <f t="shared" si="117"/>
        <v>0</v>
      </c>
      <c r="K461" s="17">
        <f t="shared" si="117"/>
        <v>0</v>
      </c>
      <c r="L461" s="17">
        <f t="shared" si="117"/>
        <v>0</v>
      </c>
      <c r="M461" s="17">
        <f t="shared" si="117"/>
        <v>0</v>
      </c>
      <c r="N461" s="17"/>
      <c r="O461" s="17">
        <f t="shared" si="117"/>
        <v>0</v>
      </c>
      <c r="P461" s="17">
        <f t="shared" si="117"/>
        <v>0</v>
      </c>
      <c r="Q461" s="17">
        <f t="shared" si="117"/>
        <v>6.7146054139923148</v>
      </c>
      <c r="R461" s="17">
        <f t="shared" si="117"/>
        <v>0</v>
      </c>
    </row>
    <row r="462" spans="3:18" x14ac:dyDescent="0.2">
      <c r="C462" s="1">
        <f t="shared" si="89"/>
        <v>39692</v>
      </c>
      <c r="E462" s="17">
        <f t="shared" ref="E462:R462" si="118">E95*E340/1000/10000</f>
        <v>4.4240759986971829</v>
      </c>
      <c r="F462" s="17">
        <f t="shared" si="118"/>
        <v>0</v>
      </c>
      <c r="G462" s="17">
        <f t="shared" si="118"/>
        <v>0</v>
      </c>
      <c r="H462" s="17">
        <f t="shared" si="118"/>
        <v>0</v>
      </c>
      <c r="I462" s="17">
        <f t="shared" si="118"/>
        <v>-7.3312226927321724</v>
      </c>
      <c r="J462" s="17">
        <f t="shared" si="118"/>
        <v>0</v>
      </c>
      <c r="K462" s="17">
        <f t="shared" si="118"/>
        <v>0</v>
      </c>
      <c r="L462" s="17">
        <f t="shared" si="118"/>
        <v>0</v>
      </c>
      <c r="M462" s="17">
        <f t="shared" si="118"/>
        <v>0</v>
      </c>
      <c r="N462" s="17"/>
      <c r="O462" s="17">
        <f t="shared" si="118"/>
        <v>0</v>
      </c>
      <c r="P462" s="17">
        <f t="shared" si="118"/>
        <v>0</v>
      </c>
      <c r="Q462" s="17">
        <f t="shared" si="118"/>
        <v>4.0939414213766616</v>
      </c>
      <c r="R462" s="17">
        <f t="shared" si="118"/>
        <v>0</v>
      </c>
    </row>
    <row r="463" spans="3:18" x14ac:dyDescent="0.2">
      <c r="C463" s="1">
        <f t="shared" si="89"/>
        <v>39722</v>
      </c>
      <c r="E463" s="17">
        <f t="shared" ref="E463:R463" si="119">E96*E341/1000/10000</f>
        <v>4.6514646509877</v>
      </c>
      <c r="F463" s="17">
        <f t="shared" si="119"/>
        <v>0</v>
      </c>
      <c r="G463" s="17">
        <f t="shared" si="119"/>
        <v>0</v>
      </c>
      <c r="H463" s="17">
        <f t="shared" si="119"/>
        <v>0</v>
      </c>
      <c r="I463" s="17">
        <f t="shared" si="119"/>
        <v>-7.7061719214886937</v>
      </c>
      <c r="J463" s="17">
        <f t="shared" si="119"/>
        <v>0</v>
      </c>
      <c r="K463" s="17">
        <f t="shared" si="119"/>
        <v>0</v>
      </c>
      <c r="L463" s="17">
        <f t="shared" si="119"/>
        <v>0</v>
      </c>
      <c r="M463" s="17">
        <f t="shared" si="119"/>
        <v>0</v>
      </c>
      <c r="N463" s="17"/>
      <c r="O463" s="17">
        <f t="shared" si="119"/>
        <v>0</v>
      </c>
      <c r="P463" s="17">
        <f t="shared" si="119"/>
        <v>0</v>
      </c>
      <c r="Q463" s="17">
        <f t="shared" si="119"/>
        <v>4.1400102264816692</v>
      </c>
      <c r="R463" s="17">
        <f t="shared" si="119"/>
        <v>0</v>
      </c>
    </row>
    <row r="464" spans="3:18" x14ac:dyDescent="0.2">
      <c r="C464" s="1">
        <f t="shared" si="89"/>
        <v>39753</v>
      </c>
      <c r="E464" s="17">
        <f t="shared" ref="E464:R464" si="120">E97*E342/1000/10000</f>
        <v>3.710057267922652</v>
      </c>
      <c r="F464" s="17">
        <f t="shared" si="120"/>
        <v>0</v>
      </c>
      <c r="G464" s="17">
        <f t="shared" si="120"/>
        <v>0</v>
      </c>
      <c r="H464" s="17">
        <f t="shared" si="120"/>
        <v>0</v>
      </c>
      <c r="I464" s="17">
        <f t="shared" si="120"/>
        <v>-6.168368381495708</v>
      </c>
      <c r="J464" s="17">
        <f t="shared" si="120"/>
        <v>0</v>
      </c>
      <c r="K464" s="17">
        <f t="shared" si="120"/>
        <v>0</v>
      </c>
      <c r="L464" s="17">
        <f t="shared" si="120"/>
        <v>0</v>
      </c>
      <c r="M464" s="17">
        <f t="shared" si="120"/>
        <v>0</v>
      </c>
      <c r="N464" s="17"/>
      <c r="O464" s="17">
        <f t="shared" si="120"/>
        <v>0</v>
      </c>
      <c r="P464" s="17">
        <f t="shared" si="120"/>
        <v>0</v>
      </c>
      <c r="Q464" s="17">
        <f t="shared" si="120"/>
        <v>3.3026554657762599</v>
      </c>
      <c r="R464" s="17">
        <f t="shared" si="120"/>
        <v>0</v>
      </c>
    </row>
    <row r="465" spans="3:18" x14ac:dyDescent="0.2">
      <c r="C465" s="1">
        <f t="shared" si="89"/>
        <v>39783</v>
      </c>
      <c r="E465" s="17">
        <f t="shared" ref="E465:R465" si="121">E98*E343/1000/10000</f>
        <v>4.1512255503146331</v>
      </c>
      <c r="F465" s="17">
        <f t="shared" si="121"/>
        <v>0</v>
      </c>
      <c r="G465" s="17">
        <f t="shared" si="121"/>
        <v>0</v>
      </c>
      <c r="H465" s="17">
        <f t="shared" si="121"/>
        <v>0</v>
      </c>
      <c r="I465" s="17">
        <f t="shared" si="121"/>
        <v>-6.927755681051087</v>
      </c>
      <c r="J465" s="17">
        <f t="shared" si="121"/>
        <v>0</v>
      </c>
      <c r="K465" s="17">
        <f t="shared" si="121"/>
        <v>0</v>
      </c>
      <c r="L465" s="17">
        <f t="shared" si="121"/>
        <v>0</v>
      </c>
      <c r="M465" s="17">
        <f t="shared" si="121"/>
        <v>0</v>
      </c>
      <c r="N465" s="17"/>
      <c r="O465" s="17">
        <f t="shared" si="121"/>
        <v>0</v>
      </c>
      <c r="P465" s="17">
        <f t="shared" si="121"/>
        <v>0</v>
      </c>
      <c r="Q465" s="17">
        <f t="shared" si="121"/>
        <v>3.6964353149616227</v>
      </c>
      <c r="R465" s="17">
        <f t="shared" si="121"/>
        <v>0</v>
      </c>
    </row>
    <row r="466" spans="3:18" x14ac:dyDescent="0.2">
      <c r="C466" s="1">
        <f t="shared" ref="C466:C489" si="122">C99</f>
        <v>39814</v>
      </c>
      <c r="E466" s="17">
        <f t="shared" ref="E466:R466" si="123">E99*E344/1000/10000</f>
        <v>0</v>
      </c>
      <c r="F466" s="17">
        <f t="shared" si="123"/>
        <v>0</v>
      </c>
      <c r="G466" s="17">
        <f t="shared" si="123"/>
        <v>0</v>
      </c>
      <c r="H466" s="17">
        <f t="shared" si="123"/>
        <v>-16.256307519000508</v>
      </c>
      <c r="I466" s="17">
        <f t="shared" si="123"/>
        <v>0</v>
      </c>
      <c r="J466" s="17">
        <f t="shared" si="123"/>
        <v>0</v>
      </c>
      <c r="K466" s="17">
        <f t="shared" si="123"/>
        <v>0</v>
      </c>
      <c r="L466" s="17">
        <f t="shared" si="123"/>
        <v>0</v>
      </c>
      <c r="M466" s="17">
        <f t="shared" si="123"/>
        <v>0</v>
      </c>
      <c r="N466" s="17"/>
      <c r="O466" s="17">
        <f t="shared" si="123"/>
        <v>0</v>
      </c>
      <c r="P466" s="17">
        <f t="shared" si="123"/>
        <v>0</v>
      </c>
      <c r="Q466" s="17">
        <f t="shared" si="123"/>
        <v>-0.38876892539210928</v>
      </c>
      <c r="R466" s="17">
        <f t="shared" si="123"/>
        <v>0</v>
      </c>
    </row>
    <row r="467" spans="3:18" x14ac:dyDescent="0.2">
      <c r="C467" s="1">
        <f t="shared" si="122"/>
        <v>39845</v>
      </c>
      <c r="E467" s="17">
        <f t="shared" ref="E467:R467" si="124">E100*E345/1000/10000</f>
        <v>0</v>
      </c>
      <c r="F467" s="17">
        <f t="shared" si="124"/>
        <v>0</v>
      </c>
      <c r="G467" s="17">
        <f t="shared" si="124"/>
        <v>0</v>
      </c>
      <c r="H467" s="17">
        <f t="shared" si="124"/>
        <v>-16.149971927804355</v>
      </c>
      <c r="I467" s="17">
        <f t="shared" si="124"/>
        <v>0</v>
      </c>
      <c r="J467" s="17">
        <f t="shared" si="124"/>
        <v>0</v>
      </c>
      <c r="K467" s="17">
        <f t="shared" si="124"/>
        <v>0</v>
      </c>
      <c r="L467" s="17">
        <f t="shared" si="124"/>
        <v>0</v>
      </c>
      <c r="M467" s="17">
        <f t="shared" si="124"/>
        <v>0</v>
      </c>
      <c r="N467" s="17"/>
      <c r="O467" s="17">
        <f t="shared" si="124"/>
        <v>0</v>
      </c>
      <c r="P467" s="17">
        <f t="shared" si="124"/>
        <v>0</v>
      </c>
      <c r="Q467" s="17">
        <f t="shared" si="124"/>
        <v>-0.37522512114086837</v>
      </c>
      <c r="R467" s="17">
        <f t="shared" si="124"/>
        <v>0</v>
      </c>
    </row>
    <row r="468" spans="3:18" x14ac:dyDescent="0.2">
      <c r="C468" s="1">
        <f t="shared" si="122"/>
        <v>39873</v>
      </c>
      <c r="E468" s="17">
        <f t="shared" ref="E468:R468" si="125">E101*E346/1000/10000</f>
        <v>0</v>
      </c>
      <c r="F468" s="17">
        <f t="shared" si="125"/>
        <v>0</v>
      </c>
      <c r="G468" s="17">
        <f t="shared" si="125"/>
        <v>0</v>
      </c>
      <c r="H468" s="17">
        <f t="shared" si="125"/>
        <v>-15.359769347192001</v>
      </c>
      <c r="I468" s="17">
        <f t="shared" si="125"/>
        <v>0</v>
      </c>
      <c r="J468" s="17">
        <f t="shared" si="125"/>
        <v>0</v>
      </c>
      <c r="K468" s="17">
        <f t="shared" si="125"/>
        <v>0</v>
      </c>
      <c r="L468" s="17">
        <f t="shared" si="125"/>
        <v>0</v>
      </c>
      <c r="M468" s="17">
        <f t="shared" si="125"/>
        <v>0</v>
      </c>
      <c r="N468" s="17"/>
      <c r="O468" s="17">
        <f t="shared" si="125"/>
        <v>0</v>
      </c>
      <c r="P468" s="17">
        <f t="shared" si="125"/>
        <v>0</v>
      </c>
      <c r="Q468" s="17">
        <f t="shared" si="125"/>
        <v>-0.36724175065717202</v>
      </c>
      <c r="R468" s="17">
        <f t="shared" si="125"/>
        <v>0</v>
      </c>
    </row>
    <row r="469" spans="3:18" x14ac:dyDescent="0.2">
      <c r="C469" s="1">
        <f t="shared" si="122"/>
        <v>39904</v>
      </c>
      <c r="E469" s="17">
        <f t="shared" ref="E469:R469" si="126">E102*E347/1000/10000</f>
        <v>0</v>
      </c>
      <c r="F469" s="17">
        <f t="shared" si="126"/>
        <v>0</v>
      </c>
      <c r="G469" s="17">
        <f t="shared" si="126"/>
        <v>0</v>
      </c>
      <c r="H469" s="17">
        <f t="shared" si="126"/>
        <v>-16.073728475139369</v>
      </c>
      <c r="I469" s="17">
        <f t="shared" si="126"/>
        <v>0</v>
      </c>
      <c r="J469" s="17">
        <f t="shared" si="126"/>
        <v>0</v>
      </c>
      <c r="K469" s="17">
        <f t="shared" si="126"/>
        <v>0</v>
      </c>
      <c r="L469" s="17">
        <f t="shared" si="126"/>
        <v>0</v>
      </c>
      <c r="M469" s="17">
        <f t="shared" si="126"/>
        <v>0</v>
      </c>
      <c r="N469" s="17"/>
      <c r="O469" s="17">
        <f t="shared" si="126"/>
        <v>0</v>
      </c>
      <c r="P469" s="17">
        <f t="shared" si="126"/>
        <v>0</v>
      </c>
      <c r="Q469" s="17">
        <f t="shared" si="126"/>
        <v>-0.58084830619390282</v>
      </c>
      <c r="R469" s="17">
        <f t="shared" si="126"/>
        <v>0</v>
      </c>
    </row>
    <row r="470" spans="3:18" x14ac:dyDescent="0.2">
      <c r="C470" s="1">
        <f t="shared" si="122"/>
        <v>39934</v>
      </c>
      <c r="E470" s="17">
        <f t="shared" ref="E470:R470" si="127">E103*E348/1000/10000</f>
        <v>0</v>
      </c>
      <c r="F470" s="17">
        <f t="shared" si="127"/>
        <v>0</v>
      </c>
      <c r="G470" s="17">
        <f t="shared" si="127"/>
        <v>0</v>
      </c>
      <c r="H470" s="17">
        <f t="shared" si="127"/>
        <v>-14.933427094812656</v>
      </c>
      <c r="I470" s="17">
        <f t="shared" si="127"/>
        <v>0</v>
      </c>
      <c r="J470" s="17">
        <f t="shared" si="127"/>
        <v>0</v>
      </c>
      <c r="K470" s="17">
        <f t="shared" si="127"/>
        <v>0</v>
      </c>
      <c r="L470" s="17">
        <f t="shared" si="127"/>
        <v>0</v>
      </c>
      <c r="M470" s="17">
        <f t="shared" si="127"/>
        <v>0</v>
      </c>
      <c r="N470" s="17"/>
      <c r="O470" s="17">
        <f t="shared" si="127"/>
        <v>0</v>
      </c>
      <c r="P470" s="17">
        <f t="shared" si="127"/>
        <v>0</v>
      </c>
      <c r="Q470" s="17">
        <f t="shared" si="127"/>
        <v>-0.5402599441701279</v>
      </c>
      <c r="R470" s="17">
        <f t="shared" si="127"/>
        <v>0</v>
      </c>
    </row>
    <row r="471" spans="3:18" x14ac:dyDescent="0.2">
      <c r="C471" s="1">
        <f t="shared" si="122"/>
        <v>39965</v>
      </c>
      <c r="E471" s="17">
        <f t="shared" ref="E471:R471" si="128">E104*E349/1000/10000</f>
        <v>0</v>
      </c>
      <c r="F471" s="17">
        <f t="shared" si="128"/>
        <v>0</v>
      </c>
      <c r="G471" s="17">
        <f t="shared" si="128"/>
        <v>0</v>
      </c>
      <c r="H471" s="17">
        <f t="shared" si="128"/>
        <v>-15.158519392542047</v>
      </c>
      <c r="I471" s="17">
        <f t="shared" si="128"/>
        <v>0</v>
      </c>
      <c r="J471" s="17">
        <f t="shared" si="128"/>
        <v>0</v>
      </c>
      <c r="K471" s="17">
        <f t="shared" si="128"/>
        <v>0</v>
      </c>
      <c r="L471" s="17">
        <f t="shared" si="128"/>
        <v>0</v>
      </c>
      <c r="M471" s="17">
        <f t="shared" si="128"/>
        <v>0</v>
      </c>
      <c r="N471" s="17"/>
      <c r="O471" s="17">
        <f t="shared" si="128"/>
        <v>0</v>
      </c>
      <c r="P471" s="17">
        <f t="shared" si="128"/>
        <v>0</v>
      </c>
      <c r="Q471" s="17">
        <f t="shared" si="128"/>
        <v>-0.8950593148906173</v>
      </c>
      <c r="R471" s="17">
        <f t="shared" si="128"/>
        <v>0</v>
      </c>
    </row>
    <row r="472" spans="3:18" x14ac:dyDescent="0.2">
      <c r="C472" s="1">
        <f t="shared" si="122"/>
        <v>39995</v>
      </c>
      <c r="E472" s="17">
        <f t="shared" ref="E472:R472" si="129">E105*E350/1000/10000</f>
        <v>0</v>
      </c>
      <c r="F472" s="17">
        <f t="shared" si="129"/>
        <v>0</v>
      </c>
      <c r="G472" s="17">
        <f t="shared" si="129"/>
        <v>0</v>
      </c>
      <c r="H472" s="17">
        <f t="shared" si="129"/>
        <v>-18.376017202431413</v>
      </c>
      <c r="I472" s="17">
        <f t="shared" si="129"/>
        <v>0</v>
      </c>
      <c r="J472" s="17">
        <f t="shared" si="129"/>
        <v>0</v>
      </c>
      <c r="K472" s="17">
        <f t="shared" si="129"/>
        <v>0</v>
      </c>
      <c r="L472" s="17">
        <f t="shared" si="129"/>
        <v>0</v>
      </c>
      <c r="M472" s="17">
        <f t="shared" si="129"/>
        <v>0</v>
      </c>
      <c r="N472" s="17"/>
      <c r="O472" s="17">
        <f t="shared" si="129"/>
        <v>0</v>
      </c>
      <c r="P472" s="17">
        <f t="shared" si="129"/>
        <v>0</v>
      </c>
      <c r="Q472" s="17">
        <f t="shared" si="129"/>
        <v>0</v>
      </c>
      <c r="R472" s="17">
        <f t="shared" si="129"/>
        <v>0</v>
      </c>
    </row>
    <row r="473" spans="3:18" x14ac:dyDescent="0.2">
      <c r="C473" s="1">
        <f t="shared" si="122"/>
        <v>40026</v>
      </c>
      <c r="E473" s="17">
        <f t="shared" ref="E473:R473" si="130">E106*E351/1000/10000</f>
        <v>0</v>
      </c>
      <c r="F473" s="17">
        <f t="shared" si="130"/>
        <v>0</v>
      </c>
      <c r="G473" s="17">
        <f t="shared" si="130"/>
        <v>0</v>
      </c>
      <c r="H473" s="17">
        <f t="shared" si="130"/>
        <v>-16.593952755811742</v>
      </c>
      <c r="I473" s="17">
        <f t="shared" si="130"/>
        <v>0</v>
      </c>
      <c r="J473" s="17">
        <f t="shared" si="130"/>
        <v>0</v>
      </c>
      <c r="K473" s="17">
        <f t="shared" si="130"/>
        <v>0</v>
      </c>
      <c r="L473" s="17">
        <f t="shared" si="130"/>
        <v>0</v>
      </c>
      <c r="M473" s="17">
        <f t="shared" si="130"/>
        <v>0</v>
      </c>
      <c r="N473" s="17"/>
      <c r="O473" s="17">
        <f t="shared" si="130"/>
        <v>0</v>
      </c>
      <c r="P473" s="17">
        <f t="shared" si="130"/>
        <v>0</v>
      </c>
      <c r="Q473" s="17">
        <f t="shared" si="130"/>
        <v>0</v>
      </c>
      <c r="R473" s="17">
        <f t="shared" si="130"/>
        <v>0</v>
      </c>
    </row>
    <row r="474" spans="3:18" x14ac:dyDescent="0.2">
      <c r="C474" s="1">
        <f t="shared" si="122"/>
        <v>40057</v>
      </c>
      <c r="E474" s="17">
        <f t="shared" ref="E474:R474" si="131">E107*E352/1000/10000</f>
        <v>0</v>
      </c>
      <c r="F474" s="17">
        <f t="shared" si="131"/>
        <v>0</v>
      </c>
      <c r="G474" s="17">
        <f t="shared" si="131"/>
        <v>0</v>
      </c>
      <c r="H474" s="17">
        <f t="shared" si="131"/>
        <v>-12.927100483216536</v>
      </c>
      <c r="I474" s="17">
        <f t="shared" si="131"/>
        <v>0</v>
      </c>
      <c r="J474" s="17">
        <f t="shared" si="131"/>
        <v>0</v>
      </c>
      <c r="K474" s="17">
        <f t="shared" si="131"/>
        <v>0</v>
      </c>
      <c r="L474" s="17">
        <f t="shared" si="131"/>
        <v>0</v>
      </c>
      <c r="M474" s="17">
        <f t="shared" si="131"/>
        <v>0</v>
      </c>
      <c r="N474" s="17"/>
      <c r="O474" s="17">
        <f t="shared" si="131"/>
        <v>0</v>
      </c>
      <c r="P474" s="17">
        <f t="shared" si="131"/>
        <v>0</v>
      </c>
      <c r="Q474" s="17">
        <f t="shared" si="131"/>
        <v>0</v>
      </c>
      <c r="R474" s="17">
        <f t="shared" si="131"/>
        <v>0</v>
      </c>
    </row>
    <row r="475" spans="3:18" x14ac:dyDescent="0.2">
      <c r="C475" s="1">
        <f t="shared" si="122"/>
        <v>40087</v>
      </c>
      <c r="E475" s="17">
        <f t="shared" ref="E475:R475" si="132">E108*E353/1000/10000</f>
        <v>0</v>
      </c>
      <c r="F475" s="17">
        <f t="shared" si="132"/>
        <v>0</v>
      </c>
      <c r="G475" s="17">
        <f t="shared" si="132"/>
        <v>0</v>
      </c>
      <c r="H475" s="17">
        <f t="shared" si="132"/>
        <v>-15.150015852903945</v>
      </c>
      <c r="I475" s="17">
        <f t="shared" si="132"/>
        <v>0</v>
      </c>
      <c r="J475" s="17">
        <f t="shared" si="132"/>
        <v>0</v>
      </c>
      <c r="K475" s="17">
        <f t="shared" si="132"/>
        <v>0</v>
      </c>
      <c r="L475" s="17">
        <f t="shared" si="132"/>
        <v>0</v>
      </c>
      <c r="M475" s="17">
        <f t="shared" si="132"/>
        <v>0</v>
      </c>
      <c r="N475" s="17"/>
      <c r="O475" s="17">
        <f t="shared" si="132"/>
        <v>0</v>
      </c>
      <c r="P475" s="17">
        <f t="shared" si="132"/>
        <v>0</v>
      </c>
      <c r="Q475" s="17">
        <f t="shared" si="132"/>
        <v>0</v>
      </c>
      <c r="R475" s="17">
        <f t="shared" si="132"/>
        <v>0</v>
      </c>
    </row>
    <row r="476" spans="3:18" x14ac:dyDescent="0.2">
      <c r="C476" s="1">
        <f t="shared" si="122"/>
        <v>40118</v>
      </c>
      <c r="E476" s="17">
        <f t="shared" ref="E476:R476" si="133">E109*E354/1000/10000</f>
        <v>0</v>
      </c>
      <c r="F476" s="17">
        <f t="shared" si="133"/>
        <v>0</v>
      </c>
      <c r="G476" s="17">
        <f t="shared" si="133"/>
        <v>0</v>
      </c>
      <c r="H476" s="17">
        <f t="shared" si="133"/>
        <v>-14.648779125347632</v>
      </c>
      <c r="I476" s="17">
        <f t="shared" si="133"/>
        <v>0</v>
      </c>
      <c r="J476" s="17">
        <f t="shared" si="133"/>
        <v>0</v>
      </c>
      <c r="K476" s="17">
        <f t="shared" si="133"/>
        <v>0</v>
      </c>
      <c r="L476" s="17">
        <f t="shared" si="133"/>
        <v>0</v>
      </c>
      <c r="M476" s="17">
        <f t="shared" si="133"/>
        <v>0</v>
      </c>
      <c r="N476" s="17"/>
      <c r="O476" s="17">
        <f t="shared" si="133"/>
        <v>0</v>
      </c>
      <c r="P476" s="17">
        <f t="shared" si="133"/>
        <v>0</v>
      </c>
      <c r="Q476" s="17">
        <f t="shared" si="133"/>
        <v>0</v>
      </c>
      <c r="R476" s="17">
        <f t="shared" si="133"/>
        <v>0</v>
      </c>
    </row>
    <row r="477" spans="3:18" x14ac:dyDescent="0.2">
      <c r="C477" s="1">
        <f t="shared" si="122"/>
        <v>40148</v>
      </c>
      <c r="E477" s="17">
        <f t="shared" ref="E477:R477" si="134">E110*E355/1000/10000</f>
        <v>0</v>
      </c>
      <c r="F477" s="17">
        <f t="shared" si="134"/>
        <v>0</v>
      </c>
      <c r="G477" s="17">
        <f t="shared" si="134"/>
        <v>0</v>
      </c>
      <c r="H477" s="17">
        <f t="shared" si="134"/>
        <v>-15.819594903917777</v>
      </c>
      <c r="I477" s="17">
        <f t="shared" si="134"/>
        <v>0</v>
      </c>
      <c r="J477" s="17">
        <f t="shared" si="134"/>
        <v>0</v>
      </c>
      <c r="K477" s="17">
        <f t="shared" si="134"/>
        <v>0</v>
      </c>
      <c r="L477" s="17">
        <f t="shared" si="134"/>
        <v>0</v>
      </c>
      <c r="M477" s="17">
        <f t="shared" si="134"/>
        <v>0</v>
      </c>
      <c r="N477" s="17"/>
      <c r="O477" s="17">
        <f t="shared" si="134"/>
        <v>0</v>
      </c>
      <c r="P477" s="17">
        <f t="shared" si="134"/>
        <v>0</v>
      </c>
      <c r="Q477" s="17">
        <f t="shared" si="134"/>
        <v>0</v>
      </c>
      <c r="R477" s="17">
        <f t="shared" si="134"/>
        <v>0</v>
      </c>
    </row>
    <row r="478" spans="3:18" x14ac:dyDescent="0.2">
      <c r="C478" s="1">
        <f t="shared" si="122"/>
        <v>40179</v>
      </c>
      <c r="E478" s="17">
        <f t="shared" ref="E478:R478" si="135">E111*E356/1000/10000</f>
        <v>0</v>
      </c>
      <c r="F478" s="17">
        <f t="shared" si="135"/>
        <v>0</v>
      </c>
      <c r="G478" s="17">
        <f t="shared" si="135"/>
        <v>0</v>
      </c>
      <c r="H478" s="17">
        <f t="shared" si="135"/>
        <v>-30.837888883470796</v>
      </c>
      <c r="I478" s="17">
        <f t="shared" si="135"/>
        <v>0</v>
      </c>
      <c r="J478" s="17">
        <f t="shared" si="135"/>
        <v>0</v>
      </c>
      <c r="K478" s="17">
        <f t="shared" si="135"/>
        <v>0</v>
      </c>
      <c r="L478" s="17">
        <f t="shared" si="135"/>
        <v>0</v>
      </c>
      <c r="M478" s="17">
        <f t="shared" si="135"/>
        <v>0</v>
      </c>
      <c r="N478" s="17"/>
      <c r="O478" s="17">
        <f t="shared" si="135"/>
        <v>0</v>
      </c>
      <c r="P478" s="17">
        <f t="shared" si="135"/>
        <v>0</v>
      </c>
      <c r="Q478" s="17">
        <f t="shared" si="135"/>
        <v>0</v>
      </c>
      <c r="R478" s="17">
        <f t="shared" si="135"/>
        <v>0</v>
      </c>
    </row>
    <row r="479" spans="3:18" x14ac:dyDescent="0.2">
      <c r="C479" s="1">
        <f t="shared" si="122"/>
        <v>40210</v>
      </c>
      <c r="E479" s="17">
        <f t="shared" ref="E479:R479" si="136">E112*E357/1000/10000</f>
        <v>0</v>
      </c>
      <c r="F479" s="17">
        <f t="shared" si="136"/>
        <v>0</v>
      </c>
      <c r="G479" s="17">
        <f t="shared" si="136"/>
        <v>0</v>
      </c>
      <c r="H479" s="17">
        <f t="shared" si="136"/>
        <v>-32.148616916530727</v>
      </c>
      <c r="I479" s="17">
        <f t="shared" si="136"/>
        <v>0</v>
      </c>
      <c r="J479" s="17">
        <f t="shared" si="136"/>
        <v>0</v>
      </c>
      <c r="K479" s="17">
        <f t="shared" si="136"/>
        <v>0</v>
      </c>
      <c r="L479" s="17">
        <f t="shared" si="136"/>
        <v>0</v>
      </c>
      <c r="M479" s="17">
        <f t="shared" si="136"/>
        <v>0</v>
      </c>
      <c r="N479" s="17"/>
      <c r="O479" s="17">
        <f t="shared" si="136"/>
        <v>0</v>
      </c>
      <c r="P479" s="17">
        <f t="shared" si="136"/>
        <v>0</v>
      </c>
      <c r="Q479" s="17">
        <f t="shared" si="136"/>
        <v>0</v>
      </c>
      <c r="R479" s="17">
        <f t="shared" si="136"/>
        <v>0</v>
      </c>
    </row>
    <row r="480" spans="3:18" x14ac:dyDescent="0.2">
      <c r="C480" s="1">
        <f t="shared" si="122"/>
        <v>40238</v>
      </c>
      <c r="E480" s="17">
        <f t="shared" ref="E480:R480" si="137">E113*E358/1000/10000</f>
        <v>0</v>
      </c>
      <c r="F480" s="17">
        <f t="shared" si="137"/>
        <v>0</v>
      </c>
      <c r="G480" s="17">
        <f t="shared" si="137"/>
        <v>0</v>
      </c>
      <c r="H480" s="17">
        <f t="shared" si="137"/>
        <v>-32.019514964350279</v>
      </c>
      <c r="I480" s="17">
        <f t="shared" si="137"/>
        <v>0</v>
      </c>
      <c r="J480" s="17">
        <f t="shared" si="137"/>
        <v>0</v>
      </c>
      <c r="K480" s="17">
        <f t="shared" si="137"/>
        <v>0</v>
      </c>
      <c r="L480" s="17">
        <f t="shared" si="137"/>
        <v>0</v>
      </c>
      <c r="M480" s="17">
        <f t="shared" si="137"/>
        <v>0</v>
      </c>
      <c r="N480" s="17"/>
      <c r="O480" s="17">
        <f t="shared" si="137"/>
        <v>0</v>
      </c>
      <c r="P480" s="17">
        <f t="shared" si="137"/>
        <v>0</v>
      </c>
      <c r="Q480" s="17">
        <f t="shared" si="137"/>
        <v>0</v>
      </c>
      <c r="R480" s="17">
        <f t="shared" si="137"/>
        <v>0</v>
      </c>
    </row>
    <row r="481" spans="1:19" x14ac:dyDescent="0.2">
      <c r="C481" s="1">
        <f t="shared" si="122"/>
        <v>40269</v>
      </c>
      <c r="E481" s="17">
        <f t="shared" ref="E481:R481" si="138">E114*E359/1000/10000</f>
        <v>0</v>
      </c>
      <c r="F481" s="17">
        <f t="shared" si="138"/>
        <v>0</v>
      </c>
      <c r="G481" s="17">
        <f t="shared" si="138"/>
        <v>0</v>
      </c>
      <c r="H481" s="17">
        <f t="shared" si="138"/>
        <v>-32.026389793113424</v>
      </c>
      <c r="I481" s="17">
        <f t="shared" si="138"/>
        <v>0</v>
      </c>
      <c r="J481" s="17">
        <f t="shared" si="138"/>
        <v>0</v>
      </c>
      <c r="K481" s="17">
        <f t="shared" si="138"/>
        <v>0</v>
      </c>
      <c r="L481" s="17">
        <f t="shared" si="138"/>
        <v>0</v>
      </c>
      <c r="M481" s="17">
        <f t="shared" si="138"/>
        <v>0</v>
      </c>
      <c r="N481" s="17"/>
      <c r="O481" s="17">
        <f t="shared" si="138"/>
        <v>0</v>
      </c>
      <c r="P481" s="17">
        <f t="shared" si="138"/>
        <v>0</v>
      </c>
      <c r="Q481" s="17">
        <f t="shared" si="138"/>
        <v>0</v>
      </c>
      <c r="R481" s="17">
        <f t="shared" si="138"/>
        <v>0</v>
      </c>
    </row>
    <row r="482" spans="1:19" x14ac:dyDescent="0.2">
      <c r="C482" s="1">
        <f t="shared" si="122"/>
        <v>40299</v>
      </c>
      <c r="E482" s="17">
        <f t="shared" ref="E482:R482" si="139">E115*E360/1000/10000</f>
        <v>0</v>
      </c>
      <c r="F482" s="17">
        <f t="shared" si="139"/>
        <v>0</v>
      </c>
      <c r="G482" s="17">
        <f t="shared" si="139"/>
        <v>0</v>
      </c>
      <c r="H482" s="17">
        <f t="shared" si="139"/>
        <v>-29.745398795250615</v>
      </c>
      <c r="I482" s="17">
        <f t="shared" si="139"/>
        <v>0</v>
      </c>
      <c r="J482" s="17">
        <f t="shared" si="139"/>
        <v>0</v>
      </c>
      <c r="K482" s="17">
        <f t="shared" si="139"/>
        <v>0</v>
      </c>
      <c r="L482" s="17">
        <f t="shared" si="139"/>
        <v>0</v>
      </c>
      <c r="M482" s="17">
        <f t="shared" si="139"/>
        <v>0</v>
      </c>
      <c r="N482" s="17"/>
      <c r="O482" s="17">
        <f t="shared" si="139"/>
        <v>0</v>
      </c>
      <c r="P482" s="17">
        <f t="shared" si="139"/>
        <v>0</v>
      </c>
      <c r="Q482" s="17">
        <f t="shared" si="139"/>
        <v>0</v>
      </c>
      <c r="R482" s="17">
        <f t="shared" si="139"/>
        <v>0</v>
      </c>
    </row>
    <row r="483" spans="1:19" x14ac:dyDescent="0.2">
      <c r="C483" s="1">
        <f t="shared" si="122"/>
        <v>40330</v>
      </c>
      <c r="E483" s="17">
        <f t="shared" ref="E483:R483" si="140">E116*E361/1000/10000</f>
        <v>0</v>
      </c>
      <c r="F483" s="17">
        <f t="shared" si="140"/>
        <v>0</v>
      </c>
      <c r="G483" s="17">
        <f t="shared" si="140"/>
        <v>0</v>
      </c>
      <c r="H483" s="17">
        <f t="shared" si="140"/>
        <v>-30.659974821650355</v>
      </c>
      <c r="I483" s="17">
        <f t="shared" si="140"/>
        <v>0</v>
      </c>
      <c r="J483" s="17">
        <f t="shared" si="140"/>
        <v>0</v>
      </c>
      <c r="K483" s="17">
        <f t="shared" si="140"/>
        <v>0</v>
      </c>
      <c r="L483" s="17">
        <f t="shared" si="140"/>
        <v>0</v>
      </c>
      <c r="M483" s="17">
        <f t="shared" si="140"/>
        <v>0</v>
      </c>
      <c r="N483" s="17"/>
      <c r="O483" s="17">
        <f t="shared" si="140"/>
        <v>0</v>
      </c>
      <c r="P483" s="17">
        <f t="shared" si="140"/>
        <v>0</v>
      </c>
      <c r="Q483" s="17">
        <f t="shared" si="140"/>
        <v>0</v>
      </c>
      <c r="R483" s="17">
        <f t="shared" si="140"/>
        <v>0</v>
      </c>
    </row>
    <row r="484" spans="1:19" x14ac:dyDescent="0.2">
      <c r="C484" s="1">
        <f t="shared" si="122"/>
        <v>40360</v>
      </c>
      <c r="E484" s="17">
        <f t="shared" ref="E484:R484" si="141">E117*E362/1000/10000</f>
        <v>0</v>
      </c>
      <c r="F484" s="17">
        <f t="shared" si="141"/>
        <v>0</v>
      </c>
      <c r="G484" s="17">
        <f t="shared" si="141"/>
        <v>0</v>
      </c>
      <c r="H484" s="17">
        <f t="shared" si="141"/>
        <v>-34.615857599431813</v>
      </c>
      <c r="I484" s="17">
        <f t="shared" si="141"/>
        <v>0</v>
      </c>
      <c r="J484" s="17">
        <f t="shared" si="141"/>
        <v>0</v>
      </c>
      <c r="K484" s="17">
        <f t="shared" si="141"/>
        <v>0</v>
      </c>
      <c r="L484" s="17">
        <f t="shared" si="141"/>
        <v>0</v>
      </c>
      <c r="M484" s="17">
        <f t="shared" si="141"/>
        <v>0</v>
      </c>
      <c r="N484" s="17"/>
      <c r="O484" s="17">
        <f t="shared" si="141"/>
        <v>0</v>
      </c>
      <c r="P484" s="17">
        <f t="shared" si="141"/>
        <v>0</v>
      </c>
      <c r="Q484" s="17">
        <f t="shared" si="141"/>
        <v>0</v>
      </c>
      <c r="R484" s="17">
        <f t="shared" si="141"/>
        <v>0</v>
      </c>
    </row>
    <row r="485" spans="1:19" x14ac:dyDescent="0.2">
      <c r="C485" s="1">
        <f t="shared" si="122"/>
        <v>40391</v>
      </c>
      <c r="E485" s="17">
        <f t="shared" ref="E485:R485" si="142">E118*E363/1000/10000</f>
        <v>0</v>
      </c>
      <c r="F485" s="17">
        <f t="shared" si="142"/>
        <v>0</v>
      </c>
      <c r="G485" s="17">
        <f t="shared" si="142"/>
        <v>0</v>
      </c>
      <c r="H485" s="17">
        <f t="shared" si="142"/>
        <v>-35.872891140212836</v>
      </c>
      <c r="I485" s="17">
        <f t="shared" si="142"/>
        <v>0</v>
      </c>
      <c r="J485" s="17">
        <f t="shared" si="142"/>
        <v>0</v>
      </c>
      <c r="K485" s="17">
        <f t="shared" si="142"/>
        <v>0</v>
      </c>
      <c r="L485" s="17">
        <f t="shared" si="142"/>
        <v>0</v>
      </c>
      <c r="M485" s="17">
        <f t="shared" si="142"/>
        <v>0</v>
      </c>
      <c r="N485" s="17"/>
      <c r="O485" s="17">
        <f t="shared" si="142"/>
        <v>0</v>
      </c>
      <c r="P485" s="17">
        <f t="shared" si="142"/>
        <v>0</v>
      </c>
      <c r="Q485" s="17">
        <f t="shared" si="142"/>
        <v>0</v>
      </c>
      <c r="R485" s="17">
        <f t="shared" si="142"/>
        <v>0</v>
      </c>
    </row>
    <row r="486" spans="1:19" x14ac:dyDescent="0.2">
      <c r="C486" s="1">
        <f t="shared" si="122"/>
        <v>40422</v>
      </c>
      <c r="E486" s="17">
        <f t="shared" ref="E486:R486" si="143">E119*E364/1000/10000</f>
        <v>0</v>
      </c>
      <c r="F486" s="17">
        <f t="shared" si="143"/>
        <v>0</v>
      </c>
      <c r="G486" s="17">
        <f t="shared" si="143"/>
        <v>0</v>
      </c>
      <c r="H486" s="17">
        <f t="shared" si="143"/>
        <v>-25.823127452511518</v>
      </c>
      <c r="I486" s="17">
        <f t="shared" si="143"/>
        <v>0</v>
      </c>
      <c r="J486" s="17">
        <f t="shared" si="143"/>
        <v>0</v>
      </c>
      <c r="K486" s="17">
        <f t="shared" si="143"/>
        <v>0</v>
      </c>
      <c r="L486" s="17">
        <f t="shared" si="143"/>
        <v>0</v>
      </c>
      <c r="M486" s="17">
        <f t="shared" si="143"/>
        <v>0</v>
      </c>
      <c r="N486" s="17"/>
      <c r="O486" s="17">
        <f t="shared" si="143"/>
        <v>0</v>
      </c>
      <c r="P486" s="17">
        <f t="shared" si="143"/>
        <v>0</v>
      </c>
      <c r="Q486" s="17">
        <f t="shared" si="143"/>
        <v>0</v>
      </c>
      <c r="R486" s="17">
        <f t="shared" si="143"/>
        <v>0</v>
      </c>
    </row>
    <row r="487" spans="1:19" x14ac:dyDescent="0.2">
      <c r="C487" s="1">
        <f t="shared" si="122"/>
        <v>40452</v>
      </c>
      <c r="E487" s="17">
        <f t="shared" ref="E487:R487" si="144">E120*E365/1000/10000</f>
        <v>0</v>
      </c>
      <c r="F487" s="17">
        <f t="shared" si="144"/>
        <v>0</v>
      </c>
      <c r="G487" s="17">
        <f t="shared" si="144"/>
        <v>0</v>
      </c>
      <c r="H487" s="17">
        <f t="shared" si="144"/>
        <v>-28.840809136026678</v>
      </c>
      <c r="I487" s="17">
        <f t="shared" si="144"/>
        <v>0</v>
      </c>
      <c r="J487" s="17">
        <f t="shared" si="144"/>
        <v>0</v>
      </c>
      <c r="K487" s="17">
        <f t="shared" si="144"/>
        <v>0</v>
      </c>
      <c r="L487" s="17">
        <f t="shared" si="144"/>
        <v>0</v>
      </c>
      <c r="M487" s="17">
        <f t="shared" si="144"/>
        <v>0</v>
      </c>
      <c r="N487" s="17"/>
      <c r="O487" s="17">
        <f t="shared" si="144"/>
        <v>0</v>
      </c>
      <c r="P487" s="17">
        <f t="shared" si="144"/>
        <v>0</v>
      </c>
      <c r="Q487" s="17">
        <f t="shared" si="144"/>
        <v>0</v>
      </c>
      <c r="R487" s="17">
        <f t="shared" si="144"/>
        <v>0</v>
      </c>
    </row>
    <row r="488" spans="1:19" x14ac:dyDescent="0.2">
      <c r="C488" s="1">
        <f t="shared" si="122"/>
        <v>40483</v>
      </c>
      <c r="E488" s="17">
        <f t="shared" ref="E488:R488" si="145">E121*E366/1000/10000</f>
        <v>0</v>
      </c>
      <c r="F488" s="17">
        <f t="shared" si="145"/>
        <v>0</v>
      </c>
      <c r="G488" s="17">
        <f t="shared" si="145"/>
        <v>0</v>
      </c>
      <c r="H488" s="17">
        <f t="shared" si="145"/>
        <v>-30.653364612210186</v>
      </c>
      <c r="I488" s="17">
        <f t="shared" si="145"/>
        <v>0</v>
      </c>
      <c r="J488" s="17">
        <f t="shared" si="145"/>
        <v>0</v>
      </c>
      <c r="K488" s="17">
        <f t="shared" si="145"/>
        <v>0</v>
      </c>
      <c r="L488" s="17">
        <f t="shared" si="145"/>
        <v>0</v>
      </c>
      <c r="M488" s="17">
        <f t="shared" si="145"/>
        <v>0</v>
      </c>
      <c r="N488" s="17"/>
      <c r="O488" s="17">
        <f t="shared" si="145"/>
        <v>0</v>
      </c>
      <c r="P488" s="17">
        <f t="shared" si="145"/>
        <v>0</v>
      </c>
      <c r="Q488" s="17">
        <f t="shared" si="145"/>
        <v>0</v>
      </c>
      <c r="R488" s="17">
        <f t="shared" si="145"/>
        <v>0</v>
      </c>
    </row>
    <row r="489" spans="1:19" x14ac:dyDescent="0.2">
      <c r="C489" s="1">
        <f t="shared" si="122"/>
        <v>40513</v>
      </c>
      <c r="E489" s="17">
        <f t="shared" ref="E489:R489" si="146">E122*E367/1000/10000</f>
        <v>0</v>
      </c>
      <c r="F489" s="17">
        <f t="shared" si="146"/>
        <v>0</v>
      </c>
      <c r="G489" s="17">
        <f t="shared" si="146"/>
        <v>0</v>
      </c>
      <c r="H489" s="17">
        <f t="shared" si="146"/>
        <v>-32.971097159785273</v>
      </c>
      <c r="I489" s="17">
        <f t="shared" si="146"/>
        <v>0</v>
      </c>
      <c r="J489" s="17">
        <f t="shared" si="146"/>
        <v>0</v>
      </c>
      <c r="K489" s="17">
        <f t="shared" si="146"/>
        <v>0</v>
      </c>
      <c r="L489" s="17">
        <f t="shared" si="146"/>
        <v>0</v>
      </c>
      <c r="M489" s="17">
        <f t="shared" si="146"/>
        <v>0</v>
      </c>
      <c r="N489" s="17"/>
      <c r="O489" s="17">
        <f t="shared" si="146"/>
        <v>0</v>
      </c>
      <c r="P489" s="17">
        <f t="shared" si="146"/>
        <v>0</v>
      </c>
      <c r="Q489" s="17">
        <f t="shared" si="146"/>
        <v>0</v>
      </c>
      <c r="R489" s="17">
        <f t="shared" si="146"/>
        <v>0</v>
      </c>
    </row>
    <row r="490" spans="1:19" x14ac:dyDescent="0.2">
      <c r="C490" s="1"/>
    </row>
    <row r="491" spans="1:19" s="5" customFormat="1" x14ac:dyDescent="0.2">
      <c r="A491" s="5" t="s">
        <v>46</v>
      </c>
      <c r="E491" s="13" t="str">
        <f t="shared" ref="E491:R491" si="147">E$1</f>
        <v>CINERGY</v>
      </c>
      <c r="F491" s="13" t="str">
        <f t="shared" si="147"/>
        <v>Manitoba</v>
      </c>
      <c r="G491" s="13" t="str">
        <f t="shared" si="147"/>
        <v>ERCOT</v>
      </c>
      <c r="H491" s="13" t="str">
        <f t="shared" si="147"/>
        <v>INTO COMED</v>
      </c>
      <c r="I491" s="13" t="str">
        <f t="shared" si="147"/>
        <v>INTO TVA</v>
      </c>
      <c r="J491" s="13" t="str">
        <f t="shared" si="147"/>
        <v>MAPP</v>
      </c>
      <c r="K491" s="13" t="str">
        <f t="shared" si="147"/>
        <v>NEPOOL</v>
      </c>
      <c r="L491" s="13" t="str">
        <f t="shared" si="147"/>
        <v>INTO AEP</v>
      </c>
      <c r="M491" s="13" t="str">
        <f t="shared" si="147"/>
        <v>NY Zone A</v>
      </c>
      <c r="N491" s="13"/>
      <c r="O491" s="13" t="str">
        <f t="shared" si="147"/>
        <v>SOCO</v>
      </c>
      <c r="P491" s="13" t="str">
        <f t="shared" si="147"/>
        <v>NSP</v>
      </c>
      <c r="Q491" s="13" t="str">
        <f t="shared" si="147"/>
        <v>SPP</v>
      </c>
      <c r="R491" s="13" t="str">
        <f t="shared" si="147"/>
        <v>WESTERN HUB</v>
      </c>
    </row>
    <row r="492" spans="1:19" s="8" customFormat="1" x14ac:dyDescent="0.2">
      <c r="A492" s="11">
        <v>2001</v>
      </c>
      <c r="B492" s="8">
        <f>IF(B490=12,1,B490+1)</f>
        <v>1</v>
      </c>
      <c r="C492" s="9">
        <f>DATE(A492,B492,1)</f>
        <v>36892</v>
      </c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5"/>
      <c r="R492" s="14"/>
    </row>
    <row r="493" spans="1:19" s="8" customFormat="1" x14ac:dyDescent="0.2">
      <c r="A493" s="8">
        <f t="shared" ref="A493:A503" si="148">IF(B492=12,A492+1,A492)</f>
        <v>2001</v>
      </c>
      <c r="B493" s="8">
        <f t="shared" ref="B493:B503" si="149">IF(B492=12,1,B492+1)</f>
        <v>2</v>
      </c>
      <c r="C493" s="9">
        <f t="shared" ref="C493:C556" si="150">DATE(A493,B493,1)</f>
        <v>36923</v>
      </c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5"/>
      <c r="R493" s="14"/>
    </row>
    <row r="494" spans="1:19" s="8" customFormat="1" x14ac:dyDescent="0.2">
      <c r="A494" s="8">
        <f t="shared" si="148"/>
        <v>2001</v>
      </c>
      <c r="B494" s="8">
        <f t="shared" si="149"/>
        <v>3</v>
      </c>
      <c r="C494" s="9">
        <f t="shared" si="150"/>
        <v>36951</v>
      </c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5"/>
      <c r="R494" s="14"/>
    </row>
    <row r="495" spans="1:19" s="8" customFormat="1" x14ac:dyDescent="0.2">
      <c r="A495" s="8">
        <f t="shared" si="148"/>
        <v>2001</v>
      </c>
      <c r="B495" s="8">
        <f t="shared" si="149"/>
        <v>4</v>
      </c>
      <c r="C495" s="9">
        <f t="shared" si="150"/>
        <v>36982</v>
      </c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5"/>
      <c r="R495" s="14"/>
    </row>
    <row r="496" spans="1:19" s="8" customFormat="1" x14ac:dyDescent="0.2">
      <c r="A496" s="8">
        <f t="shared" si="148"/>
        <v>2001</v>
      </c>
      <c r="B496" s="8">
        <f t="shared" si="149"/>
        <v>5</v>
      </c>
      <c r="C496" s="9">
        <f t="shared" si="150"/>
        <v>37012</v>
      </c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5"/>
      <c r="R496" s="14"/>
      <c r="S496" s="10"/>
    </row>
    <row r="497" spans="1:19" s="8" customFormat="1" x14ac:dyDescent="0.2">
      <c r="A497" s="8">
        <f t="shared" si="148"/>
        <v>2001</v>
      </c>
      <c r="B497" s="8">
        <f t="shared" si="149"/>
        <v>6</v>
      </c>
      <c r="C497" s="9">
        <f t="shared" si="150"/>
        <v>37043</v>
      </c>
      <c r="D497" s="8">
        <v>2</v>
      </c>
      <c r="E497" s="14">
        <f>IF(ISNA(VLOOKUP(E$1,'offpeak-old'!$A$3:$DQ$20,$D497,FALSE)),0,VLOOKUP(E$1,'offpeak-old'!$A$3:$DQ$20,$D497,FALSE))</f>
        <v>116000</v>
      </c>
      <c r="F497" s="14">
        <f>IF(ISNA(VLOOKUP(F$1,'offpeak-old'!$A$3:$DQ$20,$D497,FALSE)),0,VLOOKUP(F$1,'offpeak-old'!$A$3:$DQ$20,$D497,FALSE))</f>
        <v>0</v>
      </c>
      <c r="G497" s="14">
        <f>IF(ISNA(VLOOKUP(G$1,'offpeak-old'!$A$3:$DQ$20,$D497,FALSE)),0,VLOOKUP(G$1,'offpeak-old'!$A$3:$DQ$20,$D497,FALSE))</f>
        <v>0</v>
      </c>
      <c r="H497" s="14">
        <f>IF(ISNA(VLOOKUP(H$1,'offpeak-old'!$A$3:$DQ$20,$D497,FALSE)),0,VLOOKUP(H$1,'offpeak-old'!$A$3:$DQ$20,$D497,FALSE))</f>
        <v>-9600</v>
      </c>
      <c r="I497" s="14">
        <f>IF(ISNA(VLOOKUP(I$1,'offpeak-old'!$A$3:$DQ$20,$D497,FALSE)),0,VLOOKUP(I$1,'offpeak-old'!$A$3:$DQ$20,$D497,FALSE))</f>
        <v>0</v>
      </c>
      <c r="J497" s="14">
        <f>IF(ISNA(VLOOKUP(J$1,'offpeak-old'!$A$3:$DQ$20,$D497,FALSE)),0,VLOOKUP(J$1,'offpeak-old'!$A$3:$DQ$20,$D497,FALSE))</f>
        <v>11200</v>
      </c>
      <c r="K497" s="14">
        <f>IF(ISNA(VLOOKUP(K$1,'offpeak-old'!$A$3:$DQ$20,$D497,FALSE)),0,VLOOKUP(K$1,'offpeak-old'!$A$3:$DQ$20,$D497,FALSE))</f>
        <v>0</v>
      </c>
      <c r="L497" s="14">
        <f>IF(ISNA(VLOOKUP(L$1,'offpeak-old'!$A$3:$DQ$20,$D497,FALSE)),0,VLOOKUP(L$1,'offpeak-old'!$A$3:$DQ$20,$D497,FALSE))</f>
        <v>-16800</v>
      </c>
      <c r="M497" s="14">
        <f>IF(ISNA(VLOOKUP(M$1,'offpeak-old'!$A$3:$DQ$20,$D497,FALSE)),0,VLOOKUP(M$1,'offpeak-old'!$A$3:$DQ$20,$D497,FALSE))</f>
        <v>0</v>
      </c>
      <c r="N497" s="14"/>
      <c r="O497" s="14">
        <f>IF(ISNA(VLOOKUP(O$1,'offpeak-old'!$A$3:$DQ$20,$D497,FALSE)),0,VLOOKUP(O$1,'offpeak-old'!$A$3:$DQ$20,$D497,FALSE))</f>
        <v>0</v>
      </c>
      <c r="P497" s="14">
        <f>IF(ISNA(VLOOKUP(P$1,'offpeak-old'!$A$3:$DQ$20,$D497,FALSE)),0,VLOOKUP(P$1,'offpeak-old'!$A$3:$DQ$20,$D497,FALSE))</f>
        <v>0</v>
      </c>
      <c r="Q497" s="15">
        <f>IF(ISNA(VLOOKUP(Q$1,'offpeak-old'!$A$3:$DQ$20,$D497,FALSE)),0,VLOOKUP(Q$1,'offpeak-old'!$A$3:$DQ$20,$D497,FALSE))</f>
        <v>15200</v>
      </c>
      <c r="R497" s="14">
        <f>IF(ISNA(VLOOKUP(R$1,'offpeak-old'!$A$3:$DQ$20,$D497,FALSE)),0,VLOOKUP(R$1,'offpeak-old'!$A$3:$DQ$20,$D497,FALSE))</f>
        <v>-46800</v>
      </c>
      <c r="S497" s="10"/>
    </row>
    <row r="498" spans="1:19" s="8" customFormat="1" x14ac:dyDescent="0.2">
      <c r="A498" s="8">
        <f t="shared" si="148"/>
        <v>2001</v>
      </c>
      <c r="B498" s="8">
        <f t="shared" si="149"/>
        <v>7</v>
      </c>
      <c r="C498" s="9">
        <f t="shared" si="150"/>
        <v>37073</v>
      </c>
      <c r="D498" s="8">
        <f t="shared" ref="D498:D561" si="151">D497+1</f>
        <v>3</v>
      </c>
      <c r="E498" s="14">
        <f>IF(ISNA(VLOOKUP(E$1,'offpeak-old'!$A$3:$DQ$20,$D498,FALSE)),0,VLOOKUP(E$1,'offpeak-old'!$A$3:$DQ$20,$D498,FALSE))</f>
        <v>175600</v>
      </c>
      <c r="F498" s="14">
        <f>IF(ISNA(VLOOKUP(F$1,'offpeak-old'!$A$3:$DQ$20,$D498,FALSE)),0,VLOOKUP(F$1,'offpeak-old'!$A$3:$DQ$20,$D498,FALSE))</f>
        <v>0</v>
      </c>
      <c r="G498" s="14">
        <f>IF(ISNA(VLOOKUP(G$1,'offpeak-old'!$A$3:$DQ$20,$D498,FALSE)),0,VLOOKUP(G$1,'offpeak-old'!$A$3:$DQ$20,$D498,FALSE))</f>
        <v>0</v>
      </c>
      <c r="H498" s="14">
        <f>IF(ISNA(VLOOKUP(H$1,'offpeak-old'!$A$3:$DQ$20,$D498,FALSE)),0,VLOOKUP(H$1,'offpeak-old'!$A$3:$DQ$20,$D498,FALSE))</f>
        <v>-12400</v>
      </c>
      <c r="I498" s="14">
        <f>IF(ISNA(VLOOKUP(I$1,'offpeak-old'!$A$3:$DQ$20,$D498,FALSE)),0,VLOOKUP(I$1,'offpeak-old'!$A$3:$DQ$20,$D498,FALSE))</f>
        <v>0</v>
      </c>
      <c r="J498" s="14">
        <f>IF(ISNA(VLOOKUP(J$1,'offpeak-old'!$A$3:$DQ$20,$D498,FALSE)),0,VLOOKUP(J$1,'offpeak-old'!$A$3:$DQ$20,$D498,FALSE))</f>
        <v>21600</v>
      </c>
      <c r="K498" s="14">
        <f>IF(ISNA(VLOOKUP(K$1,'offpeak-old'!$A$3:$DQ$20,$D498,FALSE)),0,VLOOKUP(K$1,'offpeak-old'!$A$3:$DQ$20,$D498,FALSE))</f>
        <v>0</v>
      </c>
      <c r="L498" s="14">
        <f>IF(ISNA(VLOOKUP(L$1,'offpeak-old'!$A$3:$DQ$20,$D498,FALSE)),0,VLOOKUP(L$1,'offpeak-old'!$A$3:$DQ$20,$D498,FALSE))</f>
        <v>-21600</v>
      </c>
      <c r="M498" s="14">
        <f>IF(ISNA(VLOOKUP(M$1,'offpeak-old'!$A$3:$DQ$20,$D498,FALSE)),0,VLOOKUP(M$1,'offpeak-old'!$A$3:$DQ$20,$D498,FALSE))</f>
        <v>0</v>
      </c>
      <c r="N498" s="14"/>
      <c r="O498" s="14">
        <f>IF(ISNA(VLOOKUP(O$1,'offpeak-old'!$A$3:$DQ$20,$D498,FALSE)),0,VLOOKUP(O$1,'offpeak-old'!$A$3:$DQ$20,$D498,FALSE))</f>
        <v>0</v>
      </c>
      <c r="P498" s="14">
        <f>IF(ISNA(VLOOKUP(P$1,'offpeak-old'!$A$3:$DQ$20,$D498,FALSE)),0,VLOOKUP(P$1,'offpeak-old'!$A$3:$DQ$20,$D498,FALSE))</f>
        <v>0</v>
      </c>
      <c r="Q498" s="15">
        <f>IF(ISNA(VLOOKUP(Q$1,'offpeak-old'!$A$3:$DQ$20,$D498,FALSE)),0,VLOOKUP(Q$1,'offpeak-old'!$A$3:$DQ$20,$D498,FALSE))</f>
        <v>20400</v>
      </c>
      <c r="R498" s="14">
        <f>IF(ISNA(VLOOKUP(R$1,'offpeak-old'!$A$3:$DQ$20,$D498,FALSE)),0,VLOOKUP(R$1,'offpeak-old'!$A$3:$DQ$20,$D498,FALSE))</f>
        <v>20400</v>
      </c>
      <c r="S498" s="10"/>
    </row>
    <row r="499" spans="1:19" s="8" customFormat="1" x14ac:dyDescent="0.2">
      <c r="A499" s="8">
        <f t="shared" si="148"/>
        <v>2001</v>
      </c>
      <c r="B499" s="8">
        <f t="shared" si="149"/>
        <v>8</v>
      </c>
      <c r="C499" s="9">
        <f t="shared" si="150"/>
        <v>37104</v>
      </c>
      <c r="D499" s="8">
        <f t="shared" si="151"/>
        <v>4</v>
      </c>
      <c r="E499" s="14">
        <f>IF(ISNA(VLOOKUP(E$1,'offpeak-old'!$A$3:$DQ$20,$D499,FALSE)),0,VLOOKUP(E$1,'offpeak-old'!$A$3:$DQ$20,$D499,FALSE))</f>
        <v>162800</v>
      </c>
      <c r="F499" s="14">
        <f>IF(ISNA(VLOOKUP(F$1,'offpeak-old'!$A$3:$DQ$20,$D499,FALSE)),0,VLOOKUP(F$1,'offpeak-old'!$A$3:$DQ$20,$D499,FALSE))</f>
        <v>0</v>
      </c>
      <c r="G499" s="14">
        <f>IF(ISNA(VLOOKUP(G$1,'offpeak-old'!$A$3:$DQ$20,$D499,FALSE)),0,VLOOKUP(G$1,'offpeak-old'!$A$3:$DQ$20,$D499,FALSE))</f>
        <v>0</v>
      </c>
      <c r="H499" s="14">
        <f>IF(ISNA(VLOOKUP(H$1,'offpeak-old'!$A$3:$DQ$20,$D499,FALSE)),0,VLOOKUP(H$1,'offpeak-old'!$A$3:$DQ$20,$D499,FALSE))</f>
        <v>-12400</v>
      </c>
      <c r="I499" s="14">
        <f>IF(ISNA(VLOOKUP(I$1,'offpeak-old'!$A$3:$DQ$20,$D499,FALSE)),0,VLOOKUP(I$1,'offpeak-old'!$A$3:$DQ$20,$D499,FALSE))</f>
        <v>0</v>
      </c>
      <c r="J499" s="14">
        <f>IF(ISNA(VLOOKUP(J$1,'offpeak-old'!$A$3:$DQ$20,$D499,FALSE)),0,VLOOKUP(J$1,'offpeak-old'!$A$3:$DQ$20,$D499,FALSE))</f>
        <v>19200</v>
      </c>
      <c r="K499" s="14">
        <f>IF(ISNA(VLOOKUP(K$1,'offpeak-old'!$A$3:$DQ$20,$D499,FALSE)),0,VLOOKUP(K$1,'offpeak-old'!$A$3:$DQ$20,$D499,FALSE))</f>
        <v>0</v>
      </c>
      <c r="L499" s="14">
        <f>IF(ISNA(VLOOKUP(L$1,'offpeak-old'!$A$3:$DQ$20,$D499,FALSE)),0,VLOOKUP(L$1,'offpeak-old'!$A$3:$DQ$20,$D499,FALSE))</f>
        <v>-19200</v>
      </c>
      <c r="M499" s="14">
        <f>IF(ISNA(VLOOKUP(M$1,'offpeak-old'!$A$3:$DQ$20,$D499,FALSE)),0,VLOOKUP(M$1,'offpeak-old'!$A$3:$DQ$20,$D499,FALSE))</f>
        <v>0</v>
      </c>
      <c r="N499" s="14"/>
      <c r="O499" s="14">
        <f>IF(ISNA(VLOOKUP(O$1,'offpeak-old'!$A$3:$DQ$20,$D499,FALSE)),0,VLOOKUP(O$1,'offpeak-old'!$A$3:$DQ$20,$D499,FALSE))</f>
        <v>0</v>
      </c>
      <c r="P499" s="14">
        <f>IF(ISNA(VLOOKUP(P$1,'offpeak-old'!$A$3:$DQ$20,$D499,FALSE)),0,VLOOKUP(P$1,'offpeak-old'!$A$3:$DQ$20,$D499,FALSE))</f>
        <v>0</v>
      </c>
      <c r="Q499" s="15">
        <f>IF(ISNA(VLOOKUP(Q$1,'offpeak-old'!$A$3:$DQ$20,$D499,FALSE)),0,VLOOKUP(Q$1,'offpeak-old'!$A$3:$DQ$20,$D499,FALSE))</f>
        <v>18800</v>
      </c>
      <c r="R499" s="14">
        <f>IF(ISNA(VLOOKUP(R$1,'offpeak-old'!$A$3:$DQ$20,$D499,FALSE)),0,VLOOKUP(R$1,'offpeak-old'!$A$3:$DQ$20,$D499,FALSE))</f>
        <v>18800</v>
      </c>
      <c r="S499" s="10"/>
    </row>
    <row r="500" spans="1:19" s="8" customFormat="1" x14ac:dyDescent="0.2">
      <c r="A500" s="8">
        <f t="shared" si="148"/>
        <v>2001</v>
      </c>
      <c r="B500" s="8">
        <f t="shared" si="149"/>
        <v>9</v>
      </c>
      <c r="C500" s="9">
        <f t="shared" si="150"/>
        <v>37135</v>
      </c>
      <c r="D500" s="8">
        <f t="shared" si="151"/>
        <v>5</v>
      </c>
      <c r="E500" s="14">
        <f>IF(ISNA(VLOOKUP(E$1,'offpeak-old'!$A$3:$DQ$20,$D500,FALSE)),0,VLOOKUP(E$1,'offpeak-old'!$A$3:$DQ$20,$D500,FALSE))</f>
        <v>74400</v>
      </c>
      <c r="F500" s="14">
        <f>IF(ISNA(VLOOKUP(F$1,'offpeak-old'!$A$3:$DQ$20,$D500,FALSE)),0,VLOOKUP(F$1,'offpeak-old'!$A$3:$DQ$20,$D500,FALSE))</f>
        <v>0</v>
      </c>
      <c r="G500" s="14">
        <f>IF(ISNA(VLOOKUP(G$1,'offpeak-old'!$A$3:$DQ$20,$D500,FALSE)),0,VLOOKUP(G$1,'offpeak-old'!$A$3:$DQ$20,$D500,FALSE))</f>
        <v>0</v>
      </c>
      <c r="H500" s="14">
        <f>IF(ISNA(VLOOKUP(H$1,'offpeak-old'!$A$3:$DQ$20,$D500,FALSE)),0,VLOOKUP(H$1,'offpeak-old'!$A$3:$DQ$20,$D500,FALSE))</f>
        <v>-21200</v>
      </c>
      <c r="I500" s="14">
        <f>IF(ISNA(VLOOKUP(I$1,'offpeak-old'!$A$3:$DQ$20,$D500,FALSE)),0,VLOOKUP(I$1,'offpeak-old'!$A$3:$DQ$20,$D500,FALSE))</f>
        <v>0</v>
      </c>
      <c r="J500" s="14">
        <f>IF(ISNA(VLOOKUP(J$1,'offpeak-old'!$A$3:$DQ$20,$D500,FALSE)),0,VLOOKUP(J$1,'offpeak-old'!$A$3:$DQ$20,$D500,FALSE))</f>
        <v>16000</v>
      </c>
      <c r="K500" s="14">
        <f>IF(ISNA(VLOOKUP(K$1,'offpeak-old'!$A$3:$DQ$20,$D500,FALSE)),0,VLOOKUP(K$1,'offpeak-old'!$A$3:$DQ$20,$D500,FALSE))</f>
        <v>0</v>
      </c>
      <c r="L500" s="14">
        <f>IF(ISNA(VLOOKUP(L$1,'offpeak-old'!$A$3:$DQ$20,$D500,FALSE)),0,VLOOKUP(L$1,'offpeak-old'!$A$3:$DQ$20,$D500,FALSE))</f>
        <v>0</v>
      </c>
      <c r="M500" s="14">
        <f>IF(ISNA(VLOOKUP(M$1,'offpeak-old'!$A$3:$DQ$20,$D500,FALSE)),0,VLOOKUP(M$1,'offpeak-old'!$A$3:$DQ$20,$D500,FALSE))</f>
        <v>0</v>
      </c>
      <c r="N500" s="14"/>
      <c r="O500" s="14">
        <f>IF(ISNA(VLOOKUP(O$1,'offpeak-old'!$A$3:$DQ$20,$D500,FALSE)),0,VLOOKUP(O$1,'offpeak-old'!$A$3:$DQ$20,$D500,FALSE))</f>
        <v>0</v>
      </c>
      <c r="P500" s="14">
        <f>IF(ISNA(VLOOKUP(P$1,'offpeak-old'!$A$3:$DQ$20,$D500,FALSE)),0,VLOOKUP(P$1,'offpeak-old'!$A$3:$DQ$20,$D500,FALSE))</f>
        <v>0</v>
      </c>
      <c r="Q500" s="15">
        <f>IF(ISNA(VLOOKUP(Q$1,'offpeak-old'!$A$3:$DQ$20,$D500,FALSE)),0,VLOOKUP(Q$1,'offpeak-old'!$A$3:$DQ$20,$D500,FALSE))</f>
        <v>20800</v>
      </c>
      <c r="R500" s="14">
        <f>IF(ISNA(VLOOKUP(R$1,'offpeak-old'!$A$3:$DQ$20,$D500,FALSE)),0,VLOOKUP(R$1,'offpeak-old'!$A$3:$DQ$20,$D500,FALSE))</f>
        <v>20800</v>
      </c>
      <c r="S500" s="10"/>
    </row>
    <row r="501" spans="1:19" s="8" customFormat="1" x14ac:dyDescent="0.2">
      <c r="A501" s="8">
        <f t="shared" si="148"/>
        <v>2001</v>
      </c>
      <c r="B501" s="8">
        <f t="shared" si="149"/>
        <v>10</v>
      </c>
      <c r="C501" s="9">
        <f t="shared" si="150"/>
        <v>37165</v>
      </c>
      <c r="D501" s="8">
        <f t="shared" si="151"/>
        <v>6</v>
      </c>
      <c r="E501" s="14">
        <f>IF(ISNA(VLOOKUP(E$1,'offpeak-old'!$A$3:$DQ$20,$D501,FALSE)),0,VLOOKUP(E$1,'offpeak-old'!$A$3:$DQ$20,$D501,FALSE))</f>
        <v>106727</v>
      </c>
      <c r="F501" s="14">
        <f>IF(ISNA(VLOOKUP(F$1,'offpeak-old'!$A$3:$DQ$20,$D501,FALSE)),0,VLOOKUP(F$1,'offpeak-old'!$A$3:$DQ$20,$D501,FALSE))</f>
        <v>0</v>
      </c>
      <c r="G501" s="14">
        <f>IF(ISNA(VLOOKUP(G$1,'offpeak-old'!$A$3:$DQ$20,$D501,FALSE)),0,VLOOKUP(G$1,'offpeak-old'!$A$3:$DQ$20,$D501,FALSE))</f>
        <v>0</v>
      </c>
      <c r="H501" s="14">
        <f>IF(ISNA(VLOOKUP(H$1,'offpeak-old'!$A$3:$DQ$20,$D501,FALSE)),0,VLOOKUP(H$1,'offpeak-old'!$A$3:$DQ$20,$D501,FALSE))</f>
        <v>-18850</v>
      </c>
      <c r="I501" s="14">
        <f>IF(ISNA(VLOOKUP(I$1,'offpeak-old'!$A$3:$DQ$20,$D501,FALSE)),0,VLOOKUP(I$1,'offpeak-old'!$A$3:$DQ$20,$D501,FALSE))</f>
        <v>0</v>
      </c>
      <c r="J501" s="14">
        <f>IF(ISNA(VLOOKUP(J$1,'offpeak-old'!$A$3:$DQ$20,$D501,FALSE)),0,VLOOKUP(J$1,'offpeak-old'!$A$3:$DQ$20,$D501,FALSE))</f>
        <v>12800</v>
      </c>
      <c r="K501" s="14">
        <f>IF(ISNA(VLOOKUP(K$1,'offpeak-old'!$A$3:$DQ$20,$D501,FALSE)),0,VLOOKUP(K$1,'offpeak-old'!$A$3:$DQ$20,$D501,FALSE))</f>
        <v>0</v>
      </c>
      <c r="L501" s="14">
        <f>IF(ISNA(VLOOKUP(L$1,'offpeak-old'!$A$3:$DQ$20,$D501,FALSE)),0,VLOOKUP(L$1,'offpeak-old'!$A$3:$DQ$20,$D501,FALSE))</f>
        <v>0</v>
      </c>
      <c r="M501" s="14">
        <f>IF(ISNA(VLOOKUP(M$1,'offpeak-old'!$A$3:$DQ$20,$D501,FALSE)),0,VLOOKUP(M$1,'offpeak-old'!$A$3:$DQ$20,$D501,FALSE))</f>
        <v>0</v>
      </c>
      <c r="N501" s="14"/>
      <c r="O501" s="14">
        <f>IF(ISNA(VLOOKUP(O$1,'offpeak-old'!$A$3:$DQ$20,$D501,FALSE)),0,VLOOKUP(O$1,'offpeak-old'!$A$3:$DQ$20,$D501,FALSE))</f>
        <v>0</v>
      </c>
      <c r="P501" s="14">
        <f>IF(ISNA(VLOOKUP(P$1,'offpeak-old'!$A$3:$DQ$20,$D501,FALSE)),0,VLOOKUP(P$1,'offpeak-old'!$A$3:$DQ$20,$D501,FALSE))</f>
        <v>0</v>
      </c>
      <c r="Q501" s="15">
        <f>IF(ISNA(VLOOKUP(Q$1,'offpeak-old'!$A$3:$DQ$20,$D501,FALSE)),0,VLOOKUP(Q$1,'offpeak-old'!$A$3:$DQ$20,$D501,FALSE))</f>
        <v>18850</v>
      </c>
      <c r="R501" s="14">
        <f>IF(ISNA(VLOOKUP(R$1,'offpeak-old'!$A$3:$DQ$20,$D501,FALSE)),0,VLOOKUP(R$1,'offpeak-old'!$A$3:$DQ$20,$D501,FALSE))</f>
        <v>-18850</v>
      </c>
      <c r="S501" s="10"/>
    </row>
    <row r="502" spans="1:19" s="8" customFormat="1" x14ac:dyDescent="0.2">
      <c r="A502" s="8">
        <f t="shared" si="148"/>
        <v>2001</v>
      </c>
      <c r="B502" s="8">
        <f t="shared" si="149"/>
        <v>11</v>
      </c>
      <c r="C502" s="9">
        <f t="shared" si="150"/>
        <v>37196</v>
      </c>
      <c r="D502" s="8">
        <f t="shared" si="151"/>
        <v>7</v>
      </c>
      <c r="E502" s="14">
        <f>IF(ISNA(VLOOKUP(E$1,'offpeak-old'!$A$3:$DQ$20,$D502,FALSE)),0,VLOOKUP(E$1,'offpeak-old'!$A$3:$DQ$20,$D502,FALSE))</f>
        <v>108000</v>
      </c>
      <c r="F502" s="14">
        <f>IF(ISNA(VLOOKUP(F$1,'offpeak-old'!$A$3:$DQ$20,$D502,FALSE)),0,VLOOKUP(F$1,'offpeak-old'!$A$3:$DQ$20,$D502,FALSE))</f>
        <v>0</v>
      </c>
      <c r="G502" s="14">
        <f>IF(ISNA(VLOOKUP(G$1,'offpeak-old'!$A$3:$DQ$20,$D502,FALSE)),0,VLOOKUP(G$1,'offpeak-old'!$A$3:$DQ$20,$D502,FALSE))</f>
        <v>0</v>
      </c>
      <c r="H502" s="14">
        <f>IF(ISNA(VLOOKUP(H$1,'offpeak-old'!$A$3:$DQ$20,$D502,FALSE)),0,VLOOKUP(H$1,'offpeak-old'!$A$3:$DQ$20,$D502,FALSE))</f>
        <v>-19600</v>
      </c>
      <c r="I502" s="14">
        <f>IF(ISNA(VLOOKUP(I$1,'offpeak-old'!$A$3:$DQ$20,$D502,FALSE)),0,VLOOKUP(I$1,'offpeak-old'!$A$3:$DQ$20,$D502,FALSE))</f>
        <v>0</v>
      </c>
      <c r="J502" s="14">
        <f>IF(ISNA(VLOOKUP(J$1,'offpeak-old'!$A$3:$DQ$20,$D502,FALSE)),0,VLOOKUP(J$1,'offpeak-old'!$A$3:$DQ$20,$D502,FALSE))</f>
        <v>0</v>
      </c>
      <c r="K502" s="14">
        <f>IF(ISNA(VLOOKUP(K$1,'offpeak-old'!$A$3:$DQ$20,$D502,FALSE)),0,VLOOKUP(K$1,'offpeak-old'!$A$3:$DQ$20,$D502,FALSE))</f>
        <v>0</v>
      </c>
      <c r="L502" s="14">
        <f>IF(ISNA(VLOOKUP(L$1,'offpeak-old'!$A$3:$DQ$20,$D502,FALSE)),0,VLOOKUP(L$1,'offpeak-old'!$A$3:$DQ$20,$D502,FALSE))</f>
        <v>0</v>
      </c>
      <c r="M502" s="14">
        <f>IF(ISNA(VLOOKUP(M$1,'offpeak-old'!$A$3:$DQ$20,$D502,FALSE)),0,VLOOKUP(M$1,'offpeak-old'!$A$3:$DQ$20,$D502,FALSE))</f>
        <v>0</v>
      </c>
      <c r="N502" s="14"/>
      <c r="O502" s="14">
        <f>IF(ISNA(VLOOKUP(O$1,'offpeak-old'!$A$3:$DQ$20,$D502,FALSE)),0,VLOOKUP(O$1,'offpeak-old'!$A$3:$DQ$20,$D502,FALSE))</f>
        <v>0</v>
      </c>
      <c r="P502" s="14">
        <f>IF(ISNA(VLOOKUP(P$1,'offpeak-old'!$A$3:$DQ$20,$D502,FALSE)),0,VLOOKUP(P$1,'offpeak-old'!$A$3:$DQ$20,$D502,FALSE))</f>
        <v>0</v>
      </c>
      <c r="Q502" s="15">
        <f>IF(ISNA(VLOOKUP(Q$1,'offpeak-old'!$A$3:$DQ$20,$D502,FALSE)),0,VLOOKUP(Q$1,'offpeak-old'!$A$3:$DQ$20,$D502,FALSE))</f>
        <v>19200</v>
      </c>
      <c r="R502" s="14">
        <f>IF(ISNA(VLOOKUP(R$1,'offpeak-old'!$A$3:$DQ$20,$D502,FALSE)),0,VLOOKUP(R$1,'offpeak-old'!$A$3:$DQ$20,$D502,FALSE))</f>
        <v>-19200</v>
      </c>
      <c r="S502" s="10"/>
    </row>
    <row r="503" spans="1:19" s="8" customFormat="1" x14ac:dyDescent="0.2">
      <c r="A503" s="8">
        <f t="shared" si="148"/>
        <v>2001</v>
      </c>
      <c r="B503" s="8">
        <f t="shared" si="149"/>
        <v>12</v>
      </c>
      <c r="C503" s="9">
        <f t="shared" si="150"/>
        <v>37226</v>
      </c>
      <c r="D503" s="8">
        <f t="shared" si="151"/>
        <v>8</v>
      </c>
      <c r="E503" s="14">
        <f>IF(ISNA(VLOOKUP(E$1,'offpeak-old'!$A$3:$DQ$20,$D503,FALSE)),0,VLOOKUP(E$1,'offpeak-old'!$A$3:$DQ$20,$D503,FALSE))</f>
        <v>118400</v>
      </c>
      <c r="F503" s="14">
        <f>IF(ISNA(VLOOKUP(F$1,'offpeak-old'!$A$3:$DQ$20,$D503,FALSE)),0,VLOOKUP(F$1,'offpeak-old'!$A$3:$DQ$20,$D503,FALSE))</f>
        <v>0</v>
      </c>
      <c r="G503" s="14">
        <f>IF(ISNA(VLOOKUP(G$1,'offpeak-old'!$A$3:$DQ$20,$D503,FALSE)),0,VLOOKUP(G$1,'offpeak-old'!$A$3:$DQ$20,$D503,FALSE))</f>
        <v>0</v>
      </c>
      <c r="H503" s="14">
        <f>IF(ISNA(VLOOKUP(H$1,'offpeak-old'!$A$3:$DQ$20,$D503,FALSE)),0,VLOOKUP(H$1,'offpeak-old'!$A$3:$DQ$20,$D503,FALSE))</f>
        <v>-21600</v>
      </c>
      <c r="I503" s="14">
        <f>IF(ISNA(VLOOKUP(I$1,'offpeak-old'!$A$3:$DQ$20,$D503,FALSE)),0,VLOOKUP(I$1,'offpeak-old'!$A$3:$DQ$20,$D503,FALSE))</f>
        <v>0</v>
      </c>
      <c r="J503" s="14">
        <f>IF(ISNA(VLOOKUP(J$1,'offpeak-old'!$A$3:$DQ$20,$D503,FALSE)),0,VLOOKUP(J$1,'offpeak-old'!$A$3:$DQ$20,$D503,FALSE))</f>
        <v>0</v>
      </c>
      <c r="K503" s="14">
        <f>IF(ISNA(VLOOKUP(K$1,'offpeak-old'!$A$3:$DQ$20,$D503,FALSE)),0,VLOOKUP(K$1,'offpeak-old'!$A$3:$DQ$20,$D503,FALSE))</f>
        <v>0</v>
      </c>
      <c r="L503" s="14">
        <f>IF(ISNA(VLOOKUP(L$1,'offpeak-old'!$A$3:$DQ$20,$D503,FALSE)),0,VLOOKUP(L$1,'offpeak-old'!$A$3:$DQ$20,$D503,FALSE))</f>
        <v>0</v>
      </c>
      <c r="M503" s="14">
        <f>IF(ISNA(VLOOKUP(M$1,'offpeak-old'!$A$3:$DQ$20,$D503,FALSE)),0,VLOOKUP(M$1,'offpeak-old'!$A$3:$DQ$20,$D503,FALSE))</f>
        <v>0</v>
      </c>
      <c r="N503" s="14"/>
      <c r="O503" s="14">
        <f>IF(ISNA(VLOOKUP(O$1,'offpeak-old'!$A$3:$DQ$20,$D503,FALSE)),0,VLOOKUP(O$1,'offpeak-old'!$A$3:$DQ$20,$D503,FALSE))</f>
        <v>0</v>
      </c>
      <c r="P503" s="14">
        <f>IF(ISNA(VLOOKUP(P$1,'offpeak-old'!$A$3:$DQ$20,$D503,FALSE)),0,VLOOKUP(P$1,'offpeak-old'!$A$3:$DQ$20,$D503,FALSE))</f>
        <v>0</v>
      </c>
      <c r="Q503" s="15">
        <f>IF(ISNA(VLOOKUP(Q$1,'offpeak-old'!$A$3:$DQ$20,$D503,FALSE)),0,VLOOKUP(Q$1,'offpeak-old'!$A$3:$DQ$20,$D503,FALSE))</f>
        <v>21200</v>
      </c>
      <c r="R503" s="14">
        <f>IF(ISNA(VLOOKUP(R$1,'offpeak-old'!$A$3:$DQ$20,$D503,FALSE)),0,VLOOKUP(R$1,'offpeak-old'!$A$3:$DQ$20,$D503,FALSE))</f>
        <v>-21200</v>
      </c>
      <c r="S503" s="10"/>
    </row>
    <row r="504" spans="1:19" s="8" customFormat="1" x14ac:dyDescent="0.2">
      <c r="A504" s="8">
        <f>IF(B503=12,A503+1,A503)</f>
        <v>2002</v>
      </c>
      <c r="B504" s="8">
        <f>IF(B503=12,1,B503+1)</f>
        <v>1</v>
      </c>
      <c r="C504" s="9">
        <f t="shared" si="150"/>
        <v>37257</v>
      </c>
      <c r="D504" s="8">
        <f t="shared" si="151"/>
        <v>9</v>
      </c>
      <c r="E504" s="14">
        <f>IF(ISNA(VLOOKUP(E$1,'offpeak-old'!$A$3:$DQ$20,$D504,FALSE)),0,VLOOKUP(E$1,'offpeak-old'!$A$3:$DQ$20,$D504,FALSE))</f>
        <v>-30184</v>
      </c>
      <c r="F504" s="14">
        <f>IF(ISNA(VLOOKUP(F$1,'offpeak-old'!$A$3:$DQ$20,$D504,FALSE)),0,VLOOKUP(F$1,'offpeak-old'!$A$3:$DQ$20,$D504,FALSE))</f>
        <v>0</v>
      </c>
      <c r="G504" s="14">
        <f>IF(ISNA(VLOOKUP(G$1,'offpeak-old'!$A$3:$DQ$20,$D504,FALSE)),0,VLOOKUP(G$1,'offpeak-old'!$A$3:$DQ$20,$D504,FALSE))</f>
        <v>0</v>
      </c>
      <c r="H504" s="14">
        <f>IF(ISNA(VLOOKUP(H$1,'offpeak-old'!$A$3:$DQ$20,$D504,FALSE)),0,VLOOKUP(H$1,'offpeak-old'!$A$3:$DQ$20,$D504,FALSE))</f>
        <v>-78800</v>
      </c>
      <c r="I504" s="14">
        <f>IF(ISNA(VLOOKUP(I$1,'offpeak-old'!$A$3:$DQ$20,$D504,FALSE)),0,VLOOKUP(I$1,'offpeak-old'!$A$3:$DQ$20,$D504,FALSE))</f>
        <v>0</v>
      </c>
      <c r="J504" s="14">
        <f>IF(ISNA(VLOOKUP(J$1,'offpeak-old'!$A$3:$DQ$20,$D504,FALSE)),0,VLOOKUP(J$1,'offpeak-old'!$A$3:$DQ$20,$D504,FALSE))</f>
        <v>0</v>
      </c>
      <c r="K504" s="14">
        <f>IF(ISNA(VLOOKUP(K$1,'offpeak-old'!$A$3:$DQ$20,$D504,FALSE)),0,VLOOKUP(K$1,'offpeak-old'!$A$3:$DQ$20,$D504,FALSE))</f>
        <v>0</v>
      </c>
      <c r="L504" s="14">
        <f>IF(ISNA(VLOOKUP(L$1,'offpeak-old'!$A$3:$DQ$20,$D504,FALSE)),0,VLOOKUP(L$1,'offpeak-old'!$A$3:$DQ$20,$D504,FALSE))</f>
        <v>0</v>
      </c>
      <c r="M504" s="14">
        <f>IF(ISNA(VLOOKUP(M$1,'offpeak-old'!$A$3:$DQ$20,$D504,FALSE)),0,VLOOKUP(M$1,'offpeak-old'!$A$3:$DQ$20,$D504,FALSE))</f>
        <v>0</v>
      </c>
      <c r="N504" s="14"/>
      <c r="O504" s="14">
        <f>IF(ISNA(VLOOKUP(O$1,'offpeak-old'!$A$3:$DQ$20,$D504,FALSE)),0,VLOOKUP(O$1,'offpeak-old'!$A$3:$DQ$20,$D504,FALSE))</f>
        <v>0</v>
      </c>
      <c r="P504" s="14">
        <f>IF(ISNA(VLOOKUP(P$1,'offpeak-old'!$A$3:$DQ$20,$D504,FALSE)),0,VLOOKUP(P$1,'offpeak-old'!$A$3:$DQ$20,$D504,FALSE))</f>
        <v>0</v>
      </c>
      <c r="Q504" s="15">
        <f>IF(ISNA(VLOOKUP(Q$1,'offpeak-old'!$A$3:$DQ$20,$D504,FALSE)),0,VLOOKUP(Q$1,'offpeak-old'!$A$3:$DQ$20,$D504,FALSE))</f>
        <v>0</v>
      </c>
      <c r="R504" s="14">
        <f>IF(ISNA(VLOOKUP(R$1,'offpeak-old'!$A$3:$DQ$20,$D504,FALSE)),0,VLOOKUP(R$1,'offpeak-old'!$A$3:$DQ$20,$D504,FALSE))</f>
        <v>-39200</v>
      </c>
      <c r="S504" s="10"/>
    </row>
    <row r="505" spans="1:19" s="8" customFormat="1" x14ac:dyDescent="0.2">
      <c r="A505" s="8">
        <f t="shared" ref="A505:A568" si="152">IF(B504=12,A504+1,A504)</f>
        <v>2002</v>
      </c>
      <c r="B505" s="8">
        <f t="shared" ref="B505:B568" si="153">IF(B504=12,1,B504+1)</f>
        <v>2</v>
      </c>
      <c r="C505" s="9">
        <f t="shared" si="150"/>
        <v>37288</v>
      </c>
      <c r="D505" s="8">
        <f t="shared" si="151"/>
        <v>10</v>
      </c>
      <c r="E505" s="14">
        <f>IF(ISNA(VLOOKUP(E$1,'offpeak-old'!$A$3:$DQ$20,$D505,FALSE)),0,VLOOKUP(E$1,'offpeak-old'!$A$3:$DQ$20,$D505,FALSE))</f>
        <v>-27104</v>
      </c>
      <c r="F505" s="14">
        <f>IF(ISNA(VLOOKUP(F$1,'offpeak-old'!$A$3:$DQ$20,$D505,FALSE)),0,VLOOKUP(F$1,'offpeak-old'!$A$3:$DQ$20,$D505,FALSE))</f>
        <v>0</v>
      </c>
      <c r="G505" s="14">
        <f>IF(ISNA(VLOOKUP(G$1,'offpeak-old'!$A$3:$DQ$20,$D505,FALSE)),0,VLOOKUP(G$1,'offpeak-old'!$A$3:$DQ$20,$D505,FALSE))</f>
        <v>0</v>
      </c>
      <c r="H505" s="14">
        <f>IF(ISNA(VLOOKUP(H$1,'offpeak-old'!$A$3:$DQ$20,$D505,FALSE)),0,VLOOKUP(H$1,'offpeak-old'!$A$3:$DQ$20,$D505,FALSE))</f>
        <v>-70400</v>
      </c>
      <c r="I505" s="14">
        <f>IF(ISNA(VLOOKUP(I$1,'offpeak-old'!$A$3:$DQ$20,$D505,FALSE)),0,VLOOKUP(I$1,'offpeak-old'!$A$3:$DQ$20,$D505,FALSE))</f>
        <v>0</v>
      </c>
      <c r="J505" s="14">
        <f>IF(ISNA(VLOOKUP(J$1,'offpeak-old'!$A$3:$DQ$20,$D505,FALSE)),0,VLOOKUP(J$1,'offpeak-old'!$A$3:$DQ$20,$D505,FALSE))</f>
        <v>0</v>
      </c>
      <c r="K505" s="14">
        <f>IF(ISNA(VLOOKUP(K$1,'offpeak-old'!$A$3:$DQ$20,$D505,FALSE)),0,VLOOKUP(K$1,'offpeak-old'!$A$3:$DQ$20,$D505,FALSE))</f>
        <v>0</v>
      </c>
      <c r="L505" s="14">
        <f>IF(ISNA(VLOOKUP(L$1,'offpeak-old'!$A$3:$DQ$20,$D505,FALSE)),0,VLOOKUP(L$1,'offpeak-old'!$A$3:$DQ$20,$D505,FALSE))</f>
        <v>0</v>
      </c>
      <c r="M505" s="14">
        <f>IF(ISNA(VLOOKUP(M$1,'offpeak-old'!$A$3:$DQ$20,$D505,FALSE)),0,VLOOKUP(M$1,'offpeak-old'!$A$3:$DQ$20,$D505,FALSE))</f>
        <v>0</v>
      </c>
      <c r="N505" s="14"/>
      <c r="O505" s="14">
        <f>IF(ISNA(VLOOKUP(O$1,'offpeak-old'!$A$3:$DQ$20,$D505,FALSE)),0,VLOOKUP(O$1,'offpeak-old'!$A$3:$DQ$20,$D505,FALSE))</f>
        <v>0</v>
      </c>
      <c r="P505" s="14">
        <f>IF(ISNA(VLOOKUP(P$1,'offpeak-old'!$A$3:$DQ$20,$D505,FALSE)),0,VLOOKUP(P$1,'offpeak-old'!$A$3:$DQ$20,$D505,FALSE))</f>
        <v>0</v>
      </c>
      <c r="Q505" s="15">
        <f>IF(ISNA(VLOOKUP(Q$1,'offpeak-old'!$A$3:$DQ$20,$D505,FALSE)),0,VLOOKUP(Q$1,'offpeak-old'!$A$3:$DQ$20,$D505,FALSE))</f>
        <v>0</v>
      </c>
      <c r="R505" s="14">
        <f>IF(ISNA(VLOOKUP(R$1,'offpeak-old'!$A$3:$DQ$20,$D505,FALSE)),0,VLOOKUP(R$1,'offpeak-old'!$A$3:$DQ$20,$D505,FALSE))</f>
        <v>-35200</v>
      </c>
      <c r="S505" s="10"/>
    </row>
    <row r="506" spans="1:19" s="8" customFormat="1" x14ac:dyDescent="0.2">
      <c r="A506" s="8">
        <f t="shared" si="152"/>
        <v>2002</v>
      </c>
      <c r="B506" s="8">
        <f t="shared" si="153"/>
        <v>3</v>
      </c>
      <c r="C506" s="9">
        <f t="shared" si="150"/>
        <v>37316</v>
      </c>
      <c r="D506" s="8">
        <f t="shared" si="151"/>
        <v>11</v>
      </c>
      <c r="E506" s="14">
        <f>IF(ISNA(VLOOKUP(E$1,'offpeak-old'!$A$3:$DQ$20,$D506,FALSE)),0,VLOOKUP(E$1,'offpeak-old'!$A$3:$DQ$20,$D506,FALSE))</f>
        <v>-31416</v>
      </c>
      <c r="F506" s="14">
        <f>IF(ISNA(VLOOKUP(F$1,'offpeak-old'!$A$3:$DQ$20,$D506,FALSE)),0,VLOOKUP(F$1,'offpeak-old'!$A$3:$DQ$20,$D506,FALSE))</f>
        <v>0</v>
      </c>
      <c r="G506" s="14">
        <f>IF(ISNA(VLOOKUP(G$1,'offpeak-old'!$A$3:$DQ$20,$D506,FALSE)),0,VLOOKUP(G$1,'offpeak-old'!$A$3:$DQ$20,$D506,FALSE))</f>
        <v>0</v>
      </c>
      <c r="H506" s="14">
        <f>IF(ISNA(VLOOKUP(H$1,'offpeak-old'!$A$3:$DQ$20,$D506,FALSE)),0,VLOOKUP(H$1,'offpeak-old'!$A$3:$DQ$20,$D506,FALSE))</f>
        <v>-81600</v>
      </c>
      <c r="I506" s="14">
        <f>IF(ISNA(VLOOKUP(I$1,'offpeak-old'!$A$3:$DQ$20,$D506,FALSE)),0,VLOOKUP(I$1,'offpeak-old'!$A$3:$DQ$20,$D506,FALSE))</f>
        <v>0</v>
      </c>
      <c r="J506" s="14">
        <f>IF(ISNA(VLOOKUP(J$1,'offpeak-old'!$A$3:$DQ$20,$D506,FALSE)),0,VLOOKUP(J$1,'offpeak-old'!$A$3:$DQ$20,$D506,FALSE))</f>
        <v>0</v>
      </c>
      <c r="K506" s="14">
        <f>IF(ISNA(VLOOKUP(K$1,'offpeak-old'!$A$3:$DQ$20,$D506,FALSE)),0,VLOOKUP(K$1,'offpeak-old'!$A$3:$DQ$20,$D506,FALSE))</f>
        <v>0</v>
      </c>
      <c r="L506" s="14">
        <f>IF(ISNA(VLOOKUP(L$1,'offpeak-old'!$A$3:$DQ$20,$D506,FALSE)),0,VLOOKUP(L$1,'offpeak-old'!$A$3:$DQ$20,$D506,FALSE))</f>
        <v>0</v>
      </c>
      <c r="M506" s="14">
        <f>IF(ISNA(VLOOKUP(M$1,'offpeak-old'!$A$3:$DQ$20,$D506,FALSE)),0,VLOOKUP(M$1,'offpeak-old'!$A$3:$DQ$20,$D506,FALSE))</f>
        <v>0</v>
      </c>
      <c r="N506" s="14"/>
      <c r="O506" s="14">
        <f>IF(ISNA(VLOOKUP(O$1,'offpeak-old'!$A$3:$DQ$20,$D506,FALSE)),0,VLOOKUP(O$1,'offpeak-old'!$A$3:$DQ$20,$D506,FALSE))</f>
        <v>0</v>
      </c>
      <c r="P506" s="14">
        <f>IF(ISNA(VLOOKUP(P$1,'offpeak-old'!$A$3:$DQ$20,$D506,FALSE)),0,VLOOKUP(P$1,'offpeak-old'!$A$3:$DQ$20,$D506,FALSE))</f>
        <v>0</v>
      </c>
      <c r="Q506" s="15">
        <f>IF(ISNA(VLOOKUP(Q$1,'offpeak-old'!$A$3:$DQ$20,$D506,FALSE)),0,VLOOKUP(Q$1,'offpeak-old'!$A$3:$DQ$20,$D506,FALSE))</f>
        <v>0</v>
      </c>
      <c r="R506" s="14">
        <f>IF(ISNA(VLOOKUP(R$1,'offpeak-old'!$A$3:$DQ$20,$D506,FALSE)),0,VLOOKUP(R$1,'offpeak-old'!$A$3:$DQ$20,$D506,FALSE))</f>
        <v>-40800</v>
      </c>
      <c r="S506" s="10"/>
    </row>
    <row r="507" spans="1:19" s="8" customFormat="1" x14ac:dyDescent="0.2">
      <c r="A507" s="8">
        <f t="shared" si="152"/>
        <v>2002</v>
      </c>
      <c r="B507" s="8">
        <f t="shared" si="153"/>
        <v>4</v>
      </c>
      <c r="C507" s="9">
        <f t="shared" si="150"/>
        <v>37347</v>
      </c>
      <c r="D507" s="8">
        <f t="shared" si="151"/>
        <v>12</v>
      </c>
      <c r="E507" s="14">
        <f>IF(ISNA(VLOOKUP(E$1,'offpeak-old'!$A$3:$DQ$20,$D507,FALSE)),0,VLOOKUP(E$1,'offpeak-old'!$A$3:$DQ$20,$D507,FALSE))</f>
        <v>-28259</v>
      </c>
      <c r="F507" s="14">
        <f>IF(ISNA(VLOOKUP(F$1,'offpeak-old'!$A$3:$DQ$20,$D507,FALSE)),0,VLOOKUP(F$1,'offpeak-old'!$A$3:$DQ$20,$D507,FALSE))</f>
        <v>0</v>
      </c>
      <c r="G507" s="14">
        <f>IF(ISNA(VLOOKUP(G$1,'offpeak-old'!$A$3:$DQ$20,$D507,FALSE)),0,VLOOKUP(G$1,'offpeak-old'!$A$3:$DQ$20,$D507,FALSE))</f>
        <v>0</v>
      </c>
      <c r="H507" s="14">
        <f>IF(ISNA(VLOOKUP(H$1,'offpeak-old'!$A$3:$DQ$20,$D507,FALSE)),0,VLOOKUP(H$1,'offpeak-old'!$A$3:$DQ$20,$D507,FALSE))</f>
        <v>-73400</v>
      </c>
      <c r="I507" s="14">
        <f>IF(ISNA(VLOOKUP(I$1,'offpeak-old'!$A$3:$DQ$20,$D507,FALSE)),0,VLOOKUP(I$1,'offpeak-old'!$A$3:$DQ$20,$D507,FALSE))</f>
        <v>0</v>
      </c>
      <c r="J507" s="14">
        <f>IF(ISNA(VLOOKUP(J$1,'offpeak-old'!$A$3:$DQ$20,$D507,FALSE)),0,VLOOKUP(J$1,'offpeak-old'!$A$3:$DQ$20,$D507,FALSE))</f>
        <v>0</v>
      </c>
      <c r="K507" s="14">
        <f>IF(ISNA(VLOOKUP(K$1,'offpeak-old'!$A$3:$DQ$20,$D507,FALSE)),0,VLOOKUP(K$1,'offpeak-old'!$A$3:$DQ$20,$D507,FALSE))</f>
        <v>0</v>
      </c>
      <c r="L507" s="14">
        <f>IF(ISNA(VLOOKUP(L$1,'offpeak-old'!$A$3:$DQ$20,$D507,FALSE)),0,VLOOKUP(L$1,'offpeak-old'!$A$3:$DQ$20,$D507,FALSE))</f>
        <v>0</v>
      </c>
      <c r="M507" s="14">
        <f>IF(ISNA(VLOOKUP(M$1,'offpeak-old'!$A$3:$DQ$20,$D507,FALSE)),0,VLOOKUP(M$1,'offpeak-old'!$A$3:$DQ$20,$D507,FALSE))</f>
        <v>0</v>
      </c>
      <c r="N507" s="14"/>
      <c r="O507" s="14">
        <f>IF(ISNA(VLOOKUP(O$1,'offpeak-old'!$A$3:$DQ$20,$D507,FALSE)),0,VLOOKUP(O$1,'offpeak-old'!$A$3:$DQ$20,$D507,FALSE))</f>
        <v>0</v>
      </c>
      <c r="P507" s="14">
        <f>IF(ISNA(VLOOKUP(P$1,'offpeak-old'!$A$3:$DQ$20,$D507,FALSE)),0,VLOOKUP(P$1,'offpeak-old'!$A$3:$DQ$20,$D507,FALSE))</f>
        <v>0</v>
      </c>
      <c r="Q507" s="15">
        <f>IF(ISNA(VLOOKUP(Q$1,'offpeak-old'!$A$3:$DQ$20,$D507,FALSE)),0,VLOOKUP(Q$1,'offpeak-old'!$A$3:$DQ$20,$D507,FALSE))</f>
        <v>0</v>
      </c>
      <c r="R507" s="14">
        <f>IF(ISNA(VLOOKUP(R$1,'offpeak-old'!$A$3:$DQ$20,$D507,FALSE)),0,VLOOKUP(R$1,'offpeak-old'!$A$3:$DQ$20,$D507,FALSE))</f>
        <v>-36700</v>
      </c>
      <c r="S507" s="10"/>
    </row>
    <row r="508" spans="1:19" s="8" customFormat="1" x14ac:dyDescent="0.2">
      <c r="A508" s="8">
        <f t="shared" si="152"/>
        <v>2002</v>
      </c>
      <c r="B508" s="8">
        <f t="shared" si="153"/>
        <v>5</v>
      </c>
      <c r="C508" s="9">
        <f t="shared" si="150"/>
        <v>37377</v>
      </c>
      <c r="D508" s="8">
        <f t="shared" si="151"/>
        <v>13</v>
      </c>
      <c r="E508" s="14">
        <f>IF(ISNA(VLOOKUP(E$1,'offpeak-old'!$A$3:$DQ$20,$D508,FALSE)),0,VLOOKUP(E$1,'offpeak-old'!$A$3:$DQ$20,$D508,FALSE))</f>
        <v>-30184</v>
      </c>
      <c r="F508" s="14">
        <f>IF(ISNA(VLOOKUP(F$1,'offpeak-old'!$A$3:$DQ$20,$D508,FALSE)),0,VLOOKUP(F$1,'offpeak-old'!$A$3:$DQ$20,$D508,FALSE))</f>
        <v>0</v>
      </c>
      <c r="G508" s="14">
        <f>IF(ISNA(VLOOKUP(G$1,'offpeak-old'!$A$3:$DQ$20,$D508,FALSE)),0,VLOOKUP(G$1,'offpeak-old'!$A$3:$DQ$20,$D508,FALSE))</f>
        <v>0</v>
      </c>
      <c r="H508" s="14">
        <f>IF(ISNA(VLOOKUP(H$1,'offpeak-old'!$A$3:$DQ$20,$D508,FALSE)),0,VLOOKUP(H$1,'offpeak-old'!$A$3:$DQ$20,$D508,FALSE))</f>
        <v>-78800</v>
      </c>
      <c r="I508" s="14">
        <f>IF(ISNA(VLOOKUP(I$1,'offpeak-old'!$A$3:$DQ$20,$D508,FALSE)),0,VLOOKUP(I$1,'offpeak-old'!$A$3:$DQ$20,$D508,FALSE))</f>
        <v>0</v>
      </c>
      <c r="J508" s="14">
        <f>IF(ISNA(VLOOKUP(J$1,'offpeak-old'!$A$3:$DQ$20,$D508,FALSE)),0,VLOOKUP(J$1,'offpeak-old'!$A$3:$DQ$20,$D508,FALSE))</f>
        <v>0</v>
      </c>
      <c r="K508" s="14">
        <f>IF(ISNA(VLOOKUP(K$1,'offpeak-old'!$A$3:$DQ$20,$D508,FALSE)),0,VLOOKUP(K$1,'offpeak-old'!$A$3:$DQ$20,$D508,FALSE))</f>
        <v>0</v>
      </c>
      <c r="L508" s="14">
        <f>IF(ISNA(VLOOKUP(L$1,'offpeak-old'!$A$3:$DQ$20,$D508,FALSE)),0,VLOOKUP(L$1,'offpeak-old'!$A$3:$DQ$20,$D508,FALSE))</f>
        <v>0</v>
      </c>
      <c r="M508" s="14">
        <f>IF(ISNA(VLOOKUP(M$1,'offpeak-old'!$A$3:$DQ$20,$D508,FALSE)),0,VLOOKUP(M$1,'offpeak-old'!$A$3:$DQ$20,$D508,FALSE))</f>
        <v>0</v>
      </c>
      <c r="N508" s="14"/>
      <c r="O508" s="14">
        <f>IF(ISNA(VLOOKUP(O$1,'offpeak-old'!$A$3:$DQ$20,$D508,FALSE)),0,VLOOKUP(O$1,'offpeak-old'!$A$3:$DQ$20,$D508,FALSE))</f>
        <v>0</v>
      </c>
      <c r="P508" s="14">
        <f>IF(ISNA(VLOOKUP(P$1,'offpeak-old'!$A$3:$DQ$20,$D508,FALSE)),0,VLOOKUP(P$1,'offpeak-old'!$A$3:$DQ$20,$D508,FALSE))</f>
        <v>0</v>
      </c>
      <c r="Q508" s="15">
        <f>IF(ISNA(VLOOKUP(Q$1,'offpeak-old'!$A$3:$DQ$20,$D508,FALSE)),0,VLOOKUP(Q$1,'offpeak-old'!$A$3:$DQ$20,$D508,FALSE))</f>
        <v>0</v>
      </c>
      <c r="R508" s="14">
        <f>IF(ISNA(VLOOKUP(R$1,'offpeak-old'!$A$3:$DQ$20,$D508,FALSE)),0,VLOOKUP(R$1,'offpeak-old'!$A$3:$DQ$20,$D508,FALSE))</f>
        <v>-39200</v>
      </c>
      <c r="S508" s="10"/>
    </row>
    <row r="509" spans="1:19" s="8" customFormat="1" x14ac:dyDescent="0.2">
      <c r="A509" s="8">
        <f t="shared" si="152"/>
        <v>2002</v>
      </c>
      <c r="B509" s="8">
        <f t="shared" si="153"/>
        <v>6</v>
      </c>
      <c r="C509" s="9">
        <f t="shared" si="150"/>
        <v>37408</v>
      </c>
      <c r="D509" s="8">
        <f t="shared" si="151"/>
        <v>14</v>
      </c>
      <c r="E509" s="14">
        <f>IF(ISNA(VLOOKUP(E$1,'offpeak-old'!$A$3:$DQ$20,$D509,FALSE)),0,VLOOKUP(E$1,'offpeak-old'!$A$3:$DQ$20,$D509,FALSE))</f>
        <v>-30800</v>
      </c>
      <c r="F509" s="14">
        <f>IF(ISNA(VLOOKUP(F$1,'offpeak-old'!$A$3:$DQ$20,$D509,FALSE)),0,VLOOKUP(F$1,'offpeak-old'!$A$3:$DQ$20,$D509,FALSE))</f>
        <v>0</v>
      </c>
      <c r="G509" s="14">
        <f>IF(ISNA(VLOOKUP(G$1,'offpeak-old'!$A$3:$DQ$20,$D509,FALSE)),0,VLOOKUP(G$1,'offpeak-old'!$A$3:$DQ$20,$D509,FALSE))</f>
        <v>0</v>
      </c>
      <c r="H509" s="14">
        <f>IF(ISNA(VLOOKUP(H$1,'offpeak-old'!$A$3:$DQ$20,$D509,FALSE)),0,VLOOKUP(H$1,'offpeak-old'!$A$3:$DQ$20,$D509,FALSE))</f>
        <v>-80000</v>
      </c>
      <c r="I509" s="14">
        <f>IF(ISNA(VLOOKUP(I$1,'offpeak-old'!$A$3:$DQ$20,$D509,FALSE)),0,VLOOKUP(I$1,'offpeak-old'!$A$3:$DQ$20,$D509,FALSE))</f>
        <v>0</v>
      </c>
      <c r="J509" s="14">
        <f>IF(ISNA(VLOOKUP(J$1,'offpeak-old'!$A$3:$DQ$20,$D509,FALSE)),0,VLOOKUP(J$1,'offpeak-old'!$A$3:$DQ$20,$D509,FALSE))</f>
        <v>0</v>
      </c>
      <c r="K509" s="14">
        <f>IF(ISNA(VLOOKUP(K$1,'offpeak-old'!$A$3:$DQ$20,$D509,FALSE)),0,VLOOKUP(K$1,'offpeak-old'!$A$3:$DQ$20,$D509,FALSE))</f>
        <v>0</v>
      </c>
      <c r="L509" s="14">
        <f>IF(ISNA(VLOOKUP(L$1,'offpeak-old'!$A$3:$DQ$20,$D509,FALSE)),0,VLOOKUP(L$1,'offpeak-old'!$A$3:$DQ$20,$D509,FALSE))</f>
        <v>0</v>
      </c>
      <c r="M509" s="14">
        <f>IF(ISNA(VLOOKUP(M$1,'offpeak-old'!$A$3:$DQ$20,$D509,FALSE)),0,VLOOKUP(M$1,'offpeak-old'!$A$3:$DQ$20,$D509,FALSE))</f>
        <v>0</v>
      </c>
      <c r="N509" s="14"/>
      <c r="O509" s="14">
        <f>IF(ISNA(VLOOKUP(O$1,'offpeak-old'!$A$3:$DQ$20,$D509,FALSE)),0,VLOOKUP(O$1,'offpeak-old'!$A$3:$DQ$20,$D509,FALSE))</f>
        <v>0</v>
      </c>
      <c r="P509" s="14">
        <f>IF(ISNA(VLOOKUP(P$1,'offpeak-old'!$A$3:$DQ$20,$D509,FALSE)),0,VLOOKUP(P$1,'offpeak-old'!$A$3:$DQ$20,$D509,FALSE))</f>
        <v>0</v>
      </c>
      <c r="Q509" s="15">
        <f>IF(ISNA(VLOOKUP(Q$1,'offpeak-old'!$A$3:$DQ$20,$D509,FALSE)),0,VLOOKUP(Q$1,'offpeak-old'!$A$3:$DQ$20,$D509,FALSE))</f>
        <v>0</v>
      </c>
      <c r="R509" s="14">
        <f>IF(ISNA(VLOOKUP(R$1,'offpeak-old'!$A$3:$DQ$20,$D509,FALSE)),0,VLOOKUP(R$1,'offpeak-old'!$A$3:$DQ$20,$D509,FALSE))</f>
        <v>-40000</v>
      </c>
      <c r="S509" s="10"/>
    </row>
    <row r="510" spans="1:19" s="8" customFormat="1" x14ac:dyDescent="0.2">
      <c r="A510" s="8">
        <f t="shared" si="152"/>
        <v>2002</v>
      </c>
      <c r="B510" s="8">
        <f t="shared" si="153"/>
        <v>7</v>
      </c>
      <c r="C510" s="9">
        <f t="shared" si="150"/>
        <v>37438</v>
      </c>
      <c r="D510" s="8">
        <f t="shared" si="151"/>
        <v>15</v>
      </c>
      <c r="E510" s="14">
        <f>IF(ISNA(VLOOKUP(E$1,'offpeak-old'!$A$3:$DQ$20,$D510,FALSE)),0,VLOOKUP(E$1,'offpeak-old'!$A$3:$DQ$20,$D510,FALSE))</f>
        <v>-30184</v>
      </c>
      <c r="F510" s="14">
        <f>IF(ISNA(VLOOKUP(F$1,'offpeak-old'!$A$3:$DQ$20,$D510,FALSE)),0,VLOOKUP(F$1,'offpeak-old'!$A$3:$DQ$20,$D510,FALSE))</f>
        <v>0</v>
      </c>
      <c r="G510" s="14">
        <f>IF(ISNA(VLOOKUP(G$1,'offpeak-old'!$A$3:$DQ$20,$D510,FALSE)),0,VLOOKUP(G$1,'offpeak-old'!$A$3:$DQ$20,$D510,FALSE))</f>
        <v>0</v>
      </c>
      <c r="H510" s="14">
        <f>IF(ISNA(VLOOKUP(H$1,'offpeak-old'!$A$3:$DQ$20,$D510,FALSE)),0,VLOOKUP(H$1,'offpeak-old'!$A$3:$DQ$20,$D510,FALSE))</f>
        <v>-78800</v>
      </c>
      <c r="I510" s="14">
        <f>IF(ISNA(VLOOKUP(I$1,'offpeak-old'!$A$3:$DQ$20,$D510,FALSE)),0,VLOOKUP(I$1,'offpeak-old'!$A$3:$DQ$20,$D510,FALSE))</f>
        <v>0</v>
      </c>
      <c r="J510" s="14">
        <f>IF(ISNA(VLOOKUP(J$1,'offpeak-old'!$A$3:$DQ$20,$D510,FALSE)),0,VLOOKUP(J$1,'offpeak-old'!$A$3:$DQ$20,$D510,FALSE))</f>
        <v>0</v>
      </c>
      <c r="K510" s="14">
        <f>IF(ISNA(VLOOKUP(K$1,'offpeak-old'!$A$3:$DQ$20,$D510,FALSE)),0,VLOOKUP(K$1,'offpeak-old'!$A$3:$DQ$20,$D510,FALSE))</f>
        <v>0</v>
      </c>
      <c r="L510" s="14">
        <f>IF(ISNA(VLOOKUP(L$1,'offpeak-old'!$A$3:$DQ$20,$D510,FALSE)),0,VLOOKUP(L$1,'offpeak-old'!$A$3:$DQ$20,$D510,FALSE))</f>
        <v>0</v>
      </c>
      <c r="M510" s="14">
        <f>IF(ISNA(VLOOKUP(M$1,'offpeak-old'!$A$3:$DQ$20,$D510,FALSE)),0,VLOOKUP(M$1,'offpeak-old'!$A$3:$DQ$20,$D510,FALSE))</f>
        <v>0</v>
      </c>
      <c r="N510" s="14"/>
      <c r="O510" s="14">
        <f>IF(ISNA(VLOOKUP(O$1,'offpeak-old'!$A$3:$DQ$20,$D510,FALSE)),0,VLOOKUP(O$1,'offpeak-old'!$A$3:$DQ$20,$D510,FALSE))</f>
        <v>0</v>
      </c>
      <c r="P510" s="14">
        <f>IF(ISNA(VLOOKUP(P$1,'offpeak-old'!$A$3:$DQ$20,$D510,FALSE)),0,VLOOKUP(P$1,'offpeak-old'!$A$3:$DQ$20,$D510,FALSE))</f>
        <v>0</v>
      </c>
      <c r="Q510" s="15">
        <f>IF(ISNA(VLOOKUP(Q$1,'offpeak-old'!$A$3:$DQ$20,$D510,FALSE)),0,VLOOKUP(Q$1,'offpeak-old'!$A$3:$DQ$20,$D510,FALSE))</f>
        <v>0</v>
      </c>
      <c r="R510" s="14">
        <f>IF(ISNA(VLOOKUP(R$1,'offpeak-old'!$A$3:$DQ$20,$D510,FALSE)),0,VLOOKUP(R$1,'offpeak-old'!$A$3:$DQ$20,$D510,FALSE))</f>
        <v>-39200</v>
      </c>
      <c r="S510" s="10"/>
    </row>
    <row r="511" spans="1:19" s="8" customFormat="1" x14ac:dyDescent="0.2">
      <c r="A511" s="8">
        <f t="shared" si="152"/>
        <v>2002</v>
      </c>
      <c r="B511" s="8">
        <f t="shared" si="153"/>
        <v>8</v>
      </c>
      <c r="C511" s="9">
        <f t="shared" si="150"/>
        <v>37469</v>
      </c>
      <c r="D511" s="8">
        <f t="shared" si="151"/>
        <v>16</v>
      </c>
      <c r="E511" s="14">
        <f>IF(ISNA(VLOOKUP(E$1,'offpeak-old'!$A$3:$DQ$20,$D511,FALSE)),0,VLOOKUP(E$1,'offpeak-old'!$A$3:$DQ$20,$D511,FALSE))</f>
        <v>-30184</v>
      </c>
      <c r="F511" s="14">
        <f>IF(ISNA(VLOOKUP(F$1,'offpeak-old'!$A$3:$DQ$20,$D511,FALSE)),0,VLOOKUP(F$1,'offpeak-old'!$A$3:$DQ$20,$D511,FALSE))</f>
        <v>0</v>
      </c>
      <c r="G511" s="14">
        <f>IF(ISNA(VLOOKUP(G$1,'offpeak-old'!$A$3:$DQ$20,$D511,FALSE)),0,VLOOKUP(G$1,'offpeak-old'!$A$3:$DQ$20,$D511,FALSE))</f>
        <v>0</v>
      </c>
      <c r="H511" s="14">
        <f>IF(ISNA(VLOOKUP(H$1,'offpeak-old'!$A$3:$DQ$20,$D511,FALSE)),0,VLOOKUP(H$1,'offpeak-old'!$A$3:$DQ$20,$D511,FALSE))</f>
        <v>-78400</v>
      </c>
      <c r="I511" s="14">
        <f>IF(ISNA(VLOOKUP(I$1,'offpeak-old'!$A$3:$DQ$20,$D511,FALSE)),0,VLOOKUP(I$1,'offpeak-old'!$A$3:$DQ$20,$D511,FALSE))</f>
        <v>0</v>
      </c>
      <c r="J511" s="14">
        <f>IF(ISNA(VLOOKUP(J$1,'offpeak-old'!$A$3:$DQ$20,$D511,FALSE)),0,VLOOKUP(J$1,'offpeak-old'!$A$3:$DQ$20,$D511,FALSE))</f>
        <v>0</v>
      </c>
      <c r="K511" s="14">
        <f>IF(ISNA(VLOOKUP(K$1,'offpeak-old'!$A$3:$DQ$20,$D511,FALSE)),0,VLOOKUP(K$1,'offpeak-old'!$A$3:$DQ$20,$D511,FALSE))</f>
        <v>0</v>
      </c>
      <c r="L511" s="14">
        <f>IF(ISNA(VLOOKUP(L$1,'offpeak-old'!$A$3:$DQ$20,$D511,FALSE)),0,VLOOKUP(L$1,'offpeak-old'!$A$3:$DQ$20,$D511,FALSE))</f>
        <v>0</v>
      </c>
      <c r="M511" s="14">
        <f>IF(ISNA(VLOOKUP(M$1,'offpeak-old'!$A$3:$DQ$20,$D511,FALSE)),0,VLOOKUP(M$1,'offpeak-old'!$A$3:$DQ$20,$D511,FALSE))</f>
        <v>0</v>
      </c>
      <c r="N511" s="14"/>
      <c r="O511" s="14">
        <f>IF(ISNA(VLOOKUP(O$1,'offpeak-old'!$A$3:$DQ$20,$D511,FALSE)),0,VLOOKUP(O$1,'offpeak-old'!$A$3:$DQ$20,$D511,FALSE))</f>
        <v>0</v>
      </c>
      <c r="P511" s="14">
        <f>IF(ISNA(VLOOKUP(P$1,'offpeak-old'!$A$3:$DQ$20,$D511,FALSE)),0,VLOOKUP(P$1,'offpeak-old'!$A$3:$DQ$20,$D511,FALSE))</f>
        <v>0</v>
      </c>
      <c r="Q511" s="15">
        <f>IF(ISNA(VLOOKUP(Q$1,'offpeak-old'!$A$3:$DQ$20,$D511,FALSE)),0,VLOOKUP(Q$1,'offpeak-old'!$A$3:$DQ$20,$D511,FALSE))</f>
        <v>0</v>
      </c>
      <c r="R511" s="14">
        <f>IF(ISNA(VLOOKUP(R$1,'offpeak-old'!$A$3:$DQ$20,$D511,FALSE)),0,VLOOKUP(R$1,'offpeak-old'!$A$3:$DQ$20,$D511,FALSE))</f>
        <v>-39200</v>
      </c>
      <c r="S511" s="10"/>
    </row>
    <row r="512" spans="1:19" s="8" customFormat="1" x14ac:dyDescent="0.2">
      <c r="A512" s="8">
        <f t="shared" si="152"/>
        <v>2002</v>
      </c>
      <c r="B512" s="8">
        <f t="shared" si="153"/>
        <v>9</v>
      </c>
      <c r="C512" s="9">
        <f t="shared" si="150"/>
        <v>37500</v>
      </c>
      <c r="D512" s="8">
        <f t="shared" si="151"/>
        <v>17</v>
      </c>
      <c r="E512" s="14">
        <f>IF(ISNA(VLOOKUP(E$1,'offpeak-old'!$A$3:$DQ$20,$D512,FALSE)),0,VLOOKUP(E$1,'offpeak-old'!$A$3:$DQ$20,$D512,FALSE))</f>
        <v>-30800</v>
      </c>
      <c r="F512" s="14">
        <f>IF(ISNA(VLOOKUP(F$1,'offpeak-old'!$A$3:$DQ$20,$D512,FALSE)),0,VLOOKUP(F$1,'offpeak-old'!$A$3:$DQ$20,$D512,FALSE))</f>
        <v>0</v>
      </c>
      <c r="G512" s="14">
        <f>IF(ISNA(VLOOKUP(G$1,'offpeak-old'!$A$3:$DQ$20,$D512,FALSE)),0,VLOOKUP(G$1,'offpeak-old'!$A$3:$DQ$20,$D512,FALSE))</f>
        <v>0</v>
      </c>
      <c r="H512" s="14">
        <f>IF(ISNA(VLOOKUP(H$1,'offpeak-old'!$A$3:$DQ$20,$D512,FALSE)),0,VLOOKUP(H$1,'offpeak-old'!$A$3:$DQ$20,$D512,FALSE))</f>
        <v>-80400</v>
      </c>
      <c r="I512" s="14">
        <f>IF(ISNA(VLOOKUP(I$1,'offpeak-old'!$A$3:$DQ$20,$D512,FALSE)),0,VLOOKUP(I$1,'offpeak-old'!$A$3:$DQ$20,$D512,FALSE))</f>
        <v>0</v>
      </c>
      <c r="J512" s="14">
        <f>IF(ISNA(VLOOKUP(J$1,'offpeak-old'!$A$3:$DQ$20,$D512,FALSE)),0,VLOOKUP(J$1,'offpeak-old'!$A$3:$DQ$20,$D512,FALSE))</f>
        <v>0</v>
      </c>
      <c r="K512" s="14">
        <f>IF(ISNA(VLOOKUP(K$1,'offpeak-old'!$A$3:$DQ$20,$D512,FALSE)),0,VLOOKUP(K$1,'offpeak-old'!$A$3:$DQ$20,$D512,FALSE))</f>
        <v>0</v>
      </c>
      <c r="L512" s="14">
        <f>IF(ISNA(VLOOKUP(L$1,'offpeak-old'!$A$3:$DQ$20,$D512,FALSE)),0,VLOOKUP(L$1,'offpeak-old'!$A$3:$DQ$20,$D512,FALSE))</f>
        <v>0</v>
      </c>
      <c r="M512" s="14">
        <f>IF(ISNA(VLOOKUP(M$1,'offpeak-old'!$A$3:$DQ$20,$D512,FALSE)),0,VLOOKUP(M$1,'offpeak-old'!$A$3:$DQ$20,$D512,FALSE))</f>
        <v>0</v>
      </c>
      <c r="N512" s="14"/>
      <c r="O512" s="14">
        <f>IF(ISNA(VLOOKUP(O$1,'offpeak-old'!$A$3:$DQ$20,$D512,FALSE)),0,VLOOKUP(O$1,'offpeak-old'!$A$3:$DQ$20,$D512,FALSE))</f>
        <v>0</v>
      </c>
      <c r="P512" s="14">
        <f>IF(ISNA(VLOOKUP(P$1,'offpeak-old'!$A$3:$DQ$20,$D512,FALSE)),0,VLOOKUP(P$1,'offpeak-old'!$A$3:$DQ$20,$D512,FALSE))</f>
        <v>0</v>
      </c>
      <c r="Q512" s="15">
        <f>IF(ISNA(VLOOKUP(Q$1,'offpeak-old'!$A$3:$DQ$20,$D512,FALSE)),0,VLOOKUP(Q$1,'offpeak-old'!$A$3:$DQ$20,$D512,FALSE))</f>
        <v>0</v>
      </c>
      <c r="R512" s="14">
        <f>IF(ISNA(VLOOKUP(R$1,'offpeak-old'!$A$3:$DQ$20,$D512,FALSE)),0,VLOOKUP(R$1,'offpeak-old'!$A$3:$DQ$20,$D512,FALSE))</f>
        <v>-40000</v>
      </c>
      <c r="S512" s="10"/>
    </row>
    <row r="513" spans="1:19" s="8" customFormat="1" x14ac:dyDescent="0.2">
      <c r="A513" s="8">
        <f t="shared" si="152"/>
        <v>2002</v>
      </c>
      <c r="B513" s="8">
        <f t="shared" si="153"/>
        <v>10</v>
      </c>
      <c r="C513" s="9">
        <f t="shared" si="150"/>
        <v>37530</v>
      </c>
      <c r="D513" s="8">
        <f t="shared" si="151"/>
        <v>18</v>
      </c>
      <c r="E513" s="14">
        <f>IF(ISNA(VLOOKUP(E$1,'offpeak-old'!$A$3:$DQ$20,$D513,FALSE)),0,VLOOKUP(E$1,'offpeak-old'!$A$3:$DQ$20,$D513,FALSE))</f>
        <v>-29029</v>
      </c>
      <c r="F513" s="14">
        <f>IF(ISNA(VLOOKUP(F$1,'offpeak-old'!$A$3:$DQ$20,$D513,FALSE)),0,VLOOKUP(F$1,'offpeak-old'!$A$3:$DQ$20,$D513,FALSE))</f>
        <v>0</v>
      </c>
      <c r="G513" s="14">
        <f>IF(ISNA(VLOOKUP(G$1,'offpeak-old'!$A$3:$DQ$20,$D513,FALSE)),0,VLOOKUP(G$1,'offpeak-old'!$A$3:$DQ$20,$D513,FALSE))</f>
        <v>0</v>
      </c>
      <c r="H513" s="14">
        <f>IF(ISNA(VLOOKUP(H$1,'offpeak-old'!$A$3:$DQ$20,$D513,FALSE)),0,VLOOKUP(H$1,'offpeak-old'!$A$3:$DQ$20,$D513,FALSE))</f>
        <v>-75400</v>
      </c>
      <c r="I513" s="14">
        <f>IF(ISNA(VLOOKUP(I$1,'offpeak-old'!$A$3:$DQ$20,$D513,FALSE)),0,VLOOKUP(I$1,'offpeak-old'!$A$3:$DQ$20,$D513,FALSE))</f>
        <v>0</v>
      </c>
      <c r="J513" s="14">
        <f>IF(ISNA(VLOOKUP(J$1,'offpeak-old'!$A$3:$DQ$20,$D513,FALSE)),0,VLOOKUP(J$1,'offpeak-old'!$A$3:$DQ$20,$D513,FALSE))</f>
        <v>0</v>
      </c>
      <c r="K513" s="14">
        <f>IF(ISNA(VLOOKUP(K$1,'offpeak-old'!$A$3:$DQ$20,$D513,FALSE)),0,VLOOKUP(K$1,'offpeak-old'!$A$3:$DQ$20,$D513,FALSE))</f>
        <v>0</v>
      </c>
      <c r="L513" s="14">
        <f>IF(ISNA(VLOOKUP(L$1,'offpeak-old'!$A$3:$DQ$20,$D513,FALSE)),0,VLOOKUP(L$1,'offpeak-old'!$A$3:$DQ$20,$D513,FALSE))</f>
        <v>0</v>
      </c>
      <c r="M513" s="14">
        <f>IF(ISNA(VLOOKUP(M$1,'offpeak-old'!$A$3:$DQ$20,$D513,FALSE)),0,VLOOKUP(M$1,'offpeak-old'!$A$3:$DQ$20,$D513,FALSE))</f>
        <v>0</v>
      </c>
      <c r="N513" s="14"/>
      <c r="O513" s="14">
        <f>IF(ISNA(VLOOKUP(O$1,'offpeak-old'!$A$3:$DQ$20,$D513,FALSE)),0,VLOOKUP(O$1,'offpeak-old'!$A$3:$DQ$20,$D513,FALSE))</f>
        <v>0</v>
      </c>
      <c r="P513" s="14">
        <f>IF(ISNA(VLOOKUP(P$1,'offpeak-old'!$A$3:$DQ$20,$D513,FALSE)),0,VLOOKUP(P$1,'offpeak-old'!$A$3:$DQ$20,$D513,FALSE))</f>
        <v>0</v>
      </c>
      <c r="Q513" s="15">
        <f>IF(ISNA(VLOOKUP(Q$1,'offpeak-old'!$A$3:$DQ$20,$D513,FALSE)),0,VLOOKUP(Q$1,'offpeak-old'!$A$3:$DQ$20,$D513,FALSE))</f>
        <v>0</v>
      </c>
      <c r="R513" s="14">
        <f>IF(ISNA(VLOOKUP(R$1,'offpeak-old'!$A$3:$DQ$20,$D513,FALSE)),0,VLOOKUP(R$1,'offpeak-old'!$A$3:$DQ$20,$D513,FALSE))</f>
        <v>-37700</v>
      </c>
      <c r="S513" s="10"/>
    </row>
    <row r="514" spans="1:19" s="8" customFormat="1" x14ac:dyDescent="0.2">
      <c r="A514" s="8">
        <f t="shared" si="152"/>
        <v>2002</v>
      </c>
      <c r="B514" s="8">
        <f t="shared" si="153"/>
        <v>11</v>
      </c>
      <c r="C514" s="9">
        <f t="shared" si="150"/>
        <v>37561</v>
      </c>
      <c r="D514" s="8">
        <f t="shared" si="151"/>
        <v>19</v>
      </c>
      <c r="E514" s="14">
        <f>IF(ISNA(VLOOKUP(E$1,'offpeak-old'!$A$3:$DQ$20,$D514,FALSE)),0,VLOOKUP(E$1,'offpeak-old'!$A$3:$DQ$20,$D514,FALSE))</f>
        <v>-30800</v>
      </c>
      <c r="F514" s="14">
        <f>IF(ISNA(VLOOKUP(F$1,'offpeak-old'!$A$3:$DQ$20,$D514,FALSE)),0,VLOOKUP(F$1,'offpeak-old'!$A$3:$DQ$20,$D514,FALSE))</f>
        <v>0</v>
      </c>
      <c r="G514" s="14">
        <f>IF(ISNA(VLOOKUP(G$1,'offpeak-old'!$A$3:$DQ$20,$D514,FALSE)),0,VLOOKUP(G$1,'offpeak-old'!$A$3:$DQ$20,$D514,FALSE))</f>
        <v>0</v>
      </c>
      <c r="H514" s="14">
        <f>IF(ISNA(VLOOKUP(H$1,'offpeak-old'!$A$3:$DQ$20,$D514,FALSE)),0,VLOOKUP(H$1,'offpeak-old'!$A$3:$DQ$20,$D514,FALSE))</f>
        <v>-80400</v>
      </c>
      <c r="I514" s="14">
        <f>IF(ISNA(VLOOKUP(I$1,'offpeak-old'!$A$3:$DQ$20,$D514,FALSE)),0,VLOOKUP(I$1,'offpeak-old'!$A$3:$DQ$20,$D514,FALSE))</f>
        <v>0</v>
      </c>
      <c r="J514" s="14">
        <f>IF(ISNA(VLOOKUP(J$1,'offpeak-old'!$A$3:$DQ$20,$D514,FALSE)),0,VLOOKUP(J$1,'offpeak-old'!$A$3:$DQ$20,$D514,FALSE))</f>
        <v>0</v>
      </c>
      <c r="K514" s="14">
        <f>IF(ISNA(VLOOKUP(K$1,'offpeak-old'!$A$3:$DQ$20,$D514,FALSE)),0,VLOOKUP(K$1,'offpeak-old'!$A$3:$DQ$20,$D514,FALSE))</f>
        <v>0</v>
      </c>
      <c r="L514" s="14">
        <f>IF(ISNA(VLOOKUP(L$1,'offpeak-old'!$A$3:$DQ$20,$D514,FALSE)),0,VLOOKUP(L$1,'offpeak-old'!$A$3:$DQ$20,$D514,FALSE))</f>
        <v>0</v>
      </c>
      <c r="M514" s="14">
        <f>IF(ISNA(VLOOKUP(M$1,'offpeak-old'!$A$3:$DQ$20,$D514,FALSE)),0,VLOOKUP(M$1,'offpeak-old'!$A$3:$DQ$20,$D514,FALSE))</f>
        <v>0</v>
      </c>
      <c r="N514" s="14"/>
      <c r="O514" s="14">
        <f>IF(ISNA(VLOOKUP(O$1,'offpeak-old'!$A$3:$DQ$20,$D514,FALSE)),0,VLOOKUP(O$1,'offpeak-old'!$A$3:$DQ$20,$D514,FALSE))</f>
        <v>0</v>
      </c>
      <c r="P514" s="14">
        <f>IF(ISNA(VLOOKUP(P$1,'offpeak-old'!$A$3:$DQ$20,$D514,FALSE)),0,VLOOKUP(P$1,'offpeak-old'!$A$3:$DQ$20,$D514,FALSE))</f>
        <v>0</v>
      </c>
      <c r="Q514" s="15">
        <f>IF(ISNA(VLOOKUP(Q$1,'offpeak-old'!$A$3:$DQ$20,$D514,FALSE)),0,VLOOKUP(Q$1,'offpeak-old'!$A$3:$DQ$20,$D514,FALSE))</f>
        <v>0</v>
      </c>
      <c r="R514" s="14">
        <f>IF(ISNA(VLOOKUP(R$1,'offpeak-old'!$A$3:$DQ$20,$D514,FALSE)),0,VLOOKUP(R$1,'offpeak-old'!$A$3:$DQ$20,$D514,FALSE))</f>
        <v>-40000</v>
      </c>
      <c r="S514" s="10"/>
    </row>
    <row r="515" spans="1:19" s="8" customFormat="1" x14ac:dyDescent="0.2">
      <c r="A515" s="8">
        <f t="shared" si="152"/>
        <v>2002</v>
      </c>
      <c r="B515" s="8">
        <f t="shared" si="153"/>
        <v>12</v>
      </c>
      <c r="C515" s="9">
        <f t="shared" si="150"/>
        <v>37591</v>
      </c>
      <c r="D515" s="8">
        <f t="shared" si="151"/>
        <v>20</v>
      </c>
      <c r="E515" s="14">
        <f>IF(ISNA(VLOOKUP(E$1,'offpeak-old'!$A$3:$DQ$20,$D515,FALSE)),0,VLOOKUP(E$1,'offpeak-old'!$A$3:$DQ$20,$D515,FALSE))</f>
        <v>-31416</v>
      </c>
      <c r="F515" s="14">
        <f>IF(ISNA(VLOOKUP(F$1,'offpeak-old'!$A$3:$DQ$20,$D515,FALSE)),0,VLOOKUP(F$1,'offpeak-old'!$A$3:$DQ$20,$D515,FALSE))</f>
        <v>0</v>
      </c>
      <c r="G515" s="14">
        <f>IF(ISNA(VLOOKUP(G$1,'offpeak-old'!$A$3:$DQ$20,$D515,FALSE)),0,VLOOKUP(G$1,'offpeak-old'!$A$3:$DQ$20,$D515,FALSE))</f>
        <v>0</v>
      </c>
      <c r="H515" s="14">
        <f>IF(ISNA(VLOOKUP(H$1,'offpeak-old'!$A$3:$DQ$20,$D515,FALSE)),0,VLOOKUP(H$1,'offpeak-old'!$A$3:$DQ$20,$D515,FALSE))</f>
        <v>-82000</v>
      </c>
      <c r="I515" s="14">
        <f>IF(ISNA(VLOOKUP(I$1,'offpeak-old'!$A$3:$DQ$20,$D515,FALSE)),0,VLOOKUP(I$1,'offpeak-old'!$A$3:$DQ$20,$D515,FALSE))</f>
        <v>0</v>
      </c>
      <c r="J515" s="14">
        <f>IF(ISNA(VLOOKUP(J$1,'offpeak-old'!$A$3:$DQ$20,$D515,FALSE)),0,VLOOKUP(J$1,'offpeak-old'!$A$3:$DQ$20,$D515,FALSE))</f>
        <v>0</v>
      </c>
      <c r="K515" s="14">
        <f>IF(ISNA(VLOOKUP(K$1,'offpeak-old'!$A$3:$DQ$20,$D515,FALSE)),0,VLOOKUP(K$1,'offpeak-old'!$A$3:$DQ$20,$D515,FALSE))</f>
        <v>0</v>
      </c>
      <c r="L515" s="14">
        <f>IF(ISNA(VLOOKUP(L$1,'offpeak-old'!$A$3:$DQ$20,$D515,FALSE)),0,VLOOKUP(L$1,'offpeak-old'!$A$3:$DQ$20,$D515,FALSE))</f>
        <v>0</v>
      </c>
      <c r="M515" s="14">
        <f>IF(ISNA(VLOOKUP(M$1,'offpeak-old'!$A$3:$DQ$20,$D515,FALSE)),0,VLOOKUP(M$1,'offpeak-old'!$A$3:$DQ$20,$D515,FALSE))</f>
        <v>0</v>
      </c>
      <c r="N515" s="14"/>
      <c r="O515" s="14">
        <f>IF(ISNA(VLOOKUP(O$1,'offpeak-old'!$A$3:$DQ$20,$D515,FALSE)),0,VLOOKUP(O$1,'offpeak-old'!$A$3:$DQ$20,$D515,FALSE))</f>
        <v>0</v>
      </c>
      <c r="P515" s="14">
        <f>IF(ISNA(VLOOKUP(P$1,'offpeak-old'!$A$3:$DQ$20,$D515,FALSE)),0,VLOOKUP(P$1,'offpeak-old'!$A$3:$DQ$20,$D515,FALSE))</f>
        <v>0</v>
      </c>
      <c r="Q515" s="15">
        <f>IF(ISNA(VLOOKUP(Q$1,'offpeak-old'!$A$3:$DQ$20,$D515,FALSE)),0,VLOOKUP(Q$1,'offpeak-old'!$A$3:$DQ$20,$D515,FALSE))</f>
        <v>0</v>
      </c>
      <c r="R515" s="14">
        <f>IF(ISNA(VLOOKUP(R$1,'offpeak-old'!$A$3:$DQ$20,$D515,FALSE)),0,VLOOKUP(R$1,'offpeak-old'!$A$3:$DQ$20,$D515,FALSE))</f>
        <v>-40800</v>
      </c>
      <c r="S515" s="10"/>
    </row>
    <row r="516" spans="1:19" s="8" customFormat="1" x14ac:dyDescent="0.2">
      <c r="A516" s="8">
        <f t="shared" si="152"/>
        <v>2003</v>
      </c>
      <c r="B516" s="8">
        <f t="shared" si="153"/>
        <v>1</v>
      </c>
      <c r="C516" s="9">
        <f t="shared" si="150"/>
        <v>37622</v>
      </c>
      <c r="D516" s="8">
        <f t="shared" si="151"/>
        <v>21</v>
      </c>
      <c r="E516" s="14">
        <f>IF(ISNA(VLOOKUP(E$1,'offpeak-old'!$A$3:$DQ$20,$D516,FALSE)),0,VLOOKUP(E$1,'offpeak-old'!$A$3:$DQ$20,$D516,FALSE))</f>
        <v>-108584</v>
      </c>
      <c r="F516" s="14">
        <f>IF(ISNA(VLOOKUP(F$1,'offpeak-old'!$A$3:$DQ$20,$D516,FALSE)),0,VLOOKUP(F$1,'offpeak-old'!$A$3:$DQ$20,$D516,FALSE))</f>
        <v>0</v>
      </c>
      <c r="G516" s="14">
        <f>IF(ISNA(VLOOKUP(G$1,'offpeak-old'!$A$3:$DQ$20,$D516,FALSE)),0,VLOOKUP(G$1,'offpeak-old'!$A$3:$DQ$20,$D516,FALSE))</f>
        <v>0</v>
      </c>
      <c r="H516" s="14">
        <f>IF(ISNA(VLOOKUP(H$1,'offpeak-old'!$A$3:$DQ$20,$D516,FALSE)),0,VLOOKUP(H$1,'offpeak-old'!$A$3:$DQ$20,$D516,FALSE))</f>
        <v>-20000</v>
      </c>
      <c r="I516" s="14">
        <f>IF(ISNA(VLOOKUP(I$1,'offpeak-old'!$A$3:$DQ$20,$D516,FALSE)),0,VLOOKUP(I$1,'offpeak-old'!$A$3:$DQ$20,$D516,FALSE))</f>
        <v>0</v>
      </c>
      <c r="J516" s="14">
        <f>IF(ISNA(VLOOKUP(J$1,'offpeak-old'!$A$3:$DQ$20,$D516,FALSE)),0,VLOOKUP(J$1,'offpeak-old'!$A$3:$DQ$20,$D516,FALSE))</f>
        <v>0</v>
      </c>
      <c r="K516" s="14">
        <f>IF(ISNA(VLOOKUP(K$1,'offpeak-old'!$A$3:$DQ$20,$D516,FALSE)),0,VLOOKUP(K$1,'offpeak-old'!$A$3:$DQ$20,$D516,FALSE))</f>
        <v>0</v>
      </c>
      <c r="L516" s="14">
        <f>IF(ISNA(VLOOKUP(L$1,'offpeak-old'!$A$3:$DQ$20,$D516,FALSE)),0,VLOOKUP(L$1,'offpeak-old'!$A$3:$DQ$20,$D516,FALSE))</f>
        <v>0</v>
      </c>
      <c r="M516" s="14">
        <f>IF(ISNA(VLOOKUP(M$1,'offpeak-old'!$A$3:$DQ$20,$D516,FALSE)),0,VLOOKUP(M$1,'offpeak-old'!$A$3:$DQ$20,$D516,FALSE))</f>
        <v>0</v>
      </c>
      <c r="N516" s="14"/>
      <c r="O516" s="14">
        <f>IF(ISNA(VLOOKUP(O$1,'offpeak-old'!$A$3:$DQ$20,$D516,FALSE)),0,VLOOKUP(O$1,'offpeak-old'!$A$3:$DQ$20,$D516,FALSE))</f>
        <v>0</v>
      </c>
      <c r="P516" s="14">
        <f>IF(ISNA(VLOOKUP(P$1,'offpeak-old'!$A$3:$DQ$20,$D516,FALSE)),0,VLOOKUP(P$1,'offpeak-old'!$A$3:$DQ$20,$D516,FALSE))</f>
        <v>0</v>
      </c>
      <c r="Q516" s="15">
        <f>IF(ISNA(VLOOKUP(Q$1,'offpeak-old'!$A$3:$DQ$20,$D516,FALSE)),0,VLOOKUP(Q$1,'offpeak-old'!$A$3:$DQ$20,$D516,FALSE))</f>
        <v>9800</v>
      </c>
      <c r="R516" s="14">
        <f>IF(ISNA(VLOOKUP(R$1,'offpeak-old'!$A$3:$DQ$20,$D516,FALSE)),0,VLOOKUP(R$1,'offpeak-old'!$A$3:$DQ$20,$D516,FALSE))</f>
        <v>0</v>
      </c>
      <c r="S516" s="10"/>
    </row>
    <row r="517" spans="1:19" s="8" customFormat="1" x14ac:dyDescent="0.2">
      <c r="A517" s="8">
        <f t="shared" si="152"/>
        <v>2003</v>
      </c>
      <c r="B517" s="8">
        <f t="shared" si="153"/>
        <v>2</v>
      </c>
      <c r="C517" s="9">
        <f t="shared" si="150"/>
        <v>37653</v>
      </c>
      <c r="D517" s="8">
        <f t="shared" si="151"/>
        <v>22</v>
      </c>
      <c r="E517" s="14">
        <f>IF(ISNA(VLOOKUP(E$1,'offpeak-old'!$A$3:$DQ$20,$D517,FALSE)),0,VLOOKUP(E$1,'offpeak-old'!$A$3:$DQ$20,$D517,FALSE))</f>
        <v>-97504</v>
      </c>
      <c r="F517" s="14">
        <f>IF(ISNA(VLOOKUP(F$1,'offpeak-old'!$A$3:$DQ$20,$D517,FALSE)),0,VLOOKUP(F$1,'offpeak-old'!$A$3:$DQ$20,$D517,FALSE))</f>
        <v>0</v>
      </c>
      <c r="G517" s="14">
        <f>IF(ISNA(VLOOKUP(G$1,'offpeak-old'!$A$3:$DQ$20,$D517,FALSE)),0,VLOOKUP(G$1,'offpeak-old'!$A$3:$DQ$20,$D517,FALSE))</f>
        <v>0</v>
      </c>
      <c r="H517" s="14">
        <f>IF(ISNA(VLOOKUP(H$1,'offpeak-old'!$A$3:$DQ$20,$D517,FALSE)),0,VLOOKUP(H$1,'offpeak-old'!$A$3:$DQ$20,$D517,FALSE))</f>
        <v>-17600</v>
      </c>
      <c r="I517" s="14">
        <f>IF(ISNA(VLOOKUP(I$1,'offpeak-old'!$A$3:$DQ$20,$D517,FALSE)),0,VLOOKUP(I$1,'offpeak-old'!$A$3:$DQ$20,$D517,FALSE))</f>
        <v>0</v>
      </c>
      <c r="J517" s="14">
        <f>IF(ISNA(VLOOKUP(J$1,'offpeak-old'!$A$3:$DQ$20,$D517,FALSE)),0,VLOOKUP(J$1,'offpeak-old'!$A$3:$DQ$20,$D517,FALSE))</f>
        <v>0</v>
      </c>
      <c r="K517" s="14">
        <f>IF(ISNA(VLOOKUP(K$1,'offpeak-old'!$A$3:$DQ$20,$D517,FALSE)),0,VLOOKUP(K$1,'offpeak-old'!$A$3:$DQ$20,$D517,FALSE))</f>
        <v>0</v>
      </c>
      <c r="L517" s="14">
        <f>IF(ISNA(VLOOKUP(L$1,'offpeak-old'!$A$3:$DQ$20,$D517,FALSE)),0,VLOOKUP(L$1,'offpeak-old'!$A$3:$DQ$20,$D517,FALSE))</f>
        <v>0</v>
      </c>
      <c r="M517" s="14">
        <f>IF(ISNA(VLOOKUP(M$1,'offpeak-old'!$A$3:$DQ$20,$D517,FALSE)),0,VLOOKUP(M$1,'offpeak-old'!$A$3:$DQ$20,$D517,FALSE))</f>
        <v>0</v>
      </c>
      <c r="N517" s="14"/>
      <c r="O517" s="14">
        <f>IF(ISNA(VLOOKUP(O$1,'offpeak-old'!$A$3:$DQ$20,$D517,FALSE)),0,VLOOKUP(O$1,'offpeak-old'!$A$3:$DQ$20,$D517,FALSE))</f>
        <v>0</v>
      </c>
      <c r="P517" s="14">
        <f>IF(ISNA(VLOOKUP(P$1,'offpeak-old'!$A$3:$DQ$20,$D517,FALSE)),0,VLOOKUP(P$1,'offpeak-old'!$A$3:$DQ$20,$D517,FALSE))</f>
        <v>0</v>
      </c>
      <c r="Q517" s="15">
        <f>IF(ISNA(VLOOKUP(Q$1,'offpeak-old'!$A$3:$DQ$20,$D517,FALSE)),0,VLOOKUP(Q$1,'offpeak-old'!$A$3:$DQ$20,$D517,FALSE))</f>
        <v>8800</v>
      </c>
      <c r="R517" s="14">
        <f>IF(ISNA(VLOOKUP(R$1,'offpeak-old'!$A$3:$DQ$20,$D517,FALSE)),0,VLOOKUP(R$1,'offpeak-old'!$A$3:$DQ$20,$D517,FALSE))</f>
        <v>0</v>
      </c>
      <c r="S517" s="10"/>
    </row>
    <row r="518" spans="1:19" s="8" customFormat="1" x14ac:dyDescent="0.2">
      <c r="A518" s="8">
        <f t="shared" si="152"/>
        <v>2003</v>
      </c>
      <c r="B518" s="8">
        <f t="shared" si="153"/>
        <v>3</v>
      </c>
      <c r="C518" s="9">
        <f t="shared" si="150"/>
        <v>37681</v>
      </c>
      <c r="D518" s="8">
        <f t="shared" si="151"/>
        <v>23</v>
      </c>
      <c r="E518" s="14">
        <f>IF(ISNA(VLOOKUP(E$1,'offpeak-old'!$A$3:$DQ$20,$D518,FALSE)),0,VLOOKUP(E$1,'offpeak-old'!$A$3:$DQ$20,$D518,FALSE))</f>
        <v>-113016</v>
      </c>
      <c r="F518" s="14">
        <f>IF(ISNA(VLOOKUP(F$1,'offpeak-old'!$A$3:$DQ$20,$D518,FALSE)),0,VLOOKUP(F$1,'offpeak-old'!$A$3:$DQ$20,$D518,FALSE))</f>
        <v>0</v>
      </c>
      <c r="G518" s="14">
        <f>IF(ISNA(VLOOKUP(G$1,'offpeak-old'!$A$3:$DQ$20,$D518,FALSE)),0,VLOOKUP(G$1,'offpeak-old'!$A$3:$DQ$20,$D518,FALSE))</f>
        <v>0</v>
      </c>
      <c r="H518" s="14">
        <f>IF(ISNA(VLOOKUP(H$1,'offpeak-old'!$A$3:$DQ$20,$D518,FALSE)),0,VLOOKUP(H$1,'offpeak-old'!$A$3:$DQ$20,$D518,FALSE))</f>
        <v>-20400</v>
      </c>
      <c r="I518" s="14">
        <f>IF(ISNA(VLOOKUP(I$1,'offpeak-old'!$A$3:$DQ$20,$D518,FALSE)),0,VLOOKUP(I$1,'offpeak-old'!$A$3:$DQ$20,$D518,FALSE))</f>
        <v>0</v>
      </c>
      <c r="J518" s="14">
        <f>IF(ISNA(VLOOKUP(J$1,'offpeak-old'!$A$3:$DQ$20,$D518,FALSE)),0,VLOOKUP(J$1,'offpeak-old'!$A$3:$DQ$20,$D518,FALSE))</f>
        <v>0</v>
      </c>
      <c r="K518" s="14">
        <f>IF(ISNA(VLOOKUP(K$1,'offpeak-old'!$A$3:$DQ$20,$D518,FALSE)),0,VLOOKUP(K$1,'offpeak-old'!$A$3:$DQ$20,$D518,FALSE))</f>
        <v>0</v>
      </c>
      <c r="L518" s="14">
        <f>IF(ISNA(VLOOKUP(L$1,'offpeak-old'!$A$3:$DQ$20,$D518,FALSE)),0,VLOOKUP(L$1,'offpeak-old'!$A$3:$DQ$20,$D518,FALSE))</f>
        <v>0</v>
      </c>
      <c r="M518" s="14">
        <f>IF(ISNA(VLOOKUP(M$1,'offpeak-old'!$A$3:$DQ$20,$D518,FALSE)),0,VLOOKUP(M$1,'offpeak-old'!$A$3:$DQ$20,$D518,FALSE))</f>
        <v>0</v>
      </c>
      <c r="N518" s="14"/>
      <c r="O518" s="14">
        <f>IF(ISNA(VLOOKUP(O$1,'offpeak-old'!$A$3:$DQ$20,$D518,FALSE)),0,VLOOKUP(O$1,'offpeak-old'!$A$3:$DQ$20,$D518,FALSE))</f>
        <v>0</v>
      </c>
      <c r="P518" s="14">
        <f>IF(ISNA(VLOOKUP(P$1,'offpeak-old'!$A$3:$DQ$20,$D518,FALSE)),0,VLOOKUP(P$1,'offpeak-old'!$A$3:$DQ$20,$D518,FALSE))</f>
        <v>0</v>
      </c>
      <c r="Q518" s="15">
        <f>IF(ISNA(VLOOKUP(Q$1,'offpeak-old'!$A$3:$DQ$20,$D518,FALSE)),0,VLOOKUP(Q$1,'offpeak-old'!$A$3:$DQ$20,$D518,FALSE))</f>
        <v>10200</v>
      </c>
      <c r="R518" s="14">
        <f>IF(ISNA(VLOOKUP(R$1,'offpeak-old'!$A$3:$DQ$20,$D518,FALSE)),0,VLOOKUP(R$1,'offpeak-old'!$A$3:$DQ$20,$D518,FALSE))</f>
        <v>0</v>
      </c>
      <c r="S518" s="10"/>
    </row>
    <row r="519" spans="1:19" s="8" customFormat="1" x14ac:dyDescent="0.2">
      <c r="A519" s="8">
        <f t="shared" si="152"/>
        <v>2003</v>
      </c>
      <c r="B519" s="8">
        <f t="shared" si="153"/>
        <v>4</v>
      </c>
      <c r="C519" s="9">
        <f t="shared" si="150"/>
        <v>37712</v>
      </c>
      <c r="D519" s="8">
        <f t="shared" si="151"/>
        <v>24</v>
      </c>
      <c r="E519" s="14">
        <f>IF(ISNA(VLOOKUP(E$1,'offpeak-old'!$A$3:$DQ$20,$D519,FALSE)),0,VLOOKUP(E$1,'offpeak-old'!$A$3:$DQ$20,$D519,FALSE))</f>
        <v>-101659</v>
      </c>
      <c r="F519" s="14">
        <f>IF(ISNA(VLOOKUP(F$1,'offpeak-old'!$A$3:$DQ$20,$D519,FALSE)),0,VLOOKUP(F$1,'offpeak-old'!$A$3:$DQ$20,$D519,FALSE))</f>
        <v>0</v>
      </c>
      <c r="G519" s="14">
        <f>IF(ISNA(VLOOKUP(G$1,'offpeak-old'!$A$3:$DQ$20,$D519,FALSE)),0,VLOOKUP(G$1,'offpeak-old'!$A$3:$DQ$20,$D519,FALSE))</f>
        <v>0</v>
      </c>
      <c r="H519" s="14">
        <f>IF(ISNA(VLOOKUP(H$1,'offpeak-old'!$A$3:$DQ$20,$D519,FALSE)),0,VLOOKUP(H$1,'offpeak-old'!$A$3:$DQ$20,$D519,FALSE))</f>
        <v>-18350</v>
      </c>
      <c r="I519" s="14">
        <f>IF(ISNA(VLOOKUP(I$1,'offpeak-old'!$A$3:$DQ$20,$D519,FALSE)),0,VLOOKUP(I$1,'offpeak-old'!$A$3:$DQ$20,$D519,FALSE))</f>
        <v>0</v>
      </c>
      <c r="J519" s="14">
        <f>IF(ISNA(VLOOKUP(J$1,'offpeak-old'!$A$3:$DQ$20,$D519,FALSE)),0,VLOOKUP(J$1,'offpeak-old'!$A$3:$DQ$20,$D519,FALSE))</f>
        <v>0</v>
      </c>
      <c r="K519" s="14">
        <f>IF(ISNA(VLOOKUP(K$1,'offpeak-old'!$A$3:$DQ$20,$D519,FALSE)),0,VLOOKUP(K$1,'offpeak-old'!$A$3:$DQ$20,$D519,FALSE))</f>
        <v>0</v>
      </c>
      <c r="L519" s="14">
        <f>IF(ISNA(VLOOKUP(L$1,'offpeak-old'!$A$3:$DQ$20,$D519,FALSE)),0,VLOOKUP(L$1,'offpeak-old'!$A$3:$DQ$20,$D519,FALSE))</f>
        <v>0</v>
      </c>
      <c r="M519" s="14">
        <f>IF(ISNA(VLOOKUP(M$1,'offpeak-old'!$A$3:$DQ$20,$D519,FALSE)),0,VLOOKUP(M$1,'offpeak-old'!$A$3:$DQ$20,$D519,FALSE))</f>
        <v>0</v>
      </c>
      <c r="N519" s="14"/>
      <c r="O519" s="14">
        <f>IF(ISNA(VLOOKUP(O$1,'offpeak-old'!$A$3:$DQ$20,$D519,FALSE)),0,VLOOKUP(O$1,'offpeak-old'!$A$3:$DQ$20,$D519,FALSE))</f>
        <v>0</v>
      </c>
      <c r="P519" s="14">
        <f>IF(ISNA(VLOOKUP(P$1,'offpeak-old'!$A$3:$DQ$20,$D519,FALSE)),0,VLOOKUP(P$1,'offpeak-old'!$A$3:$DQ$20,$D519,FALSE))</f>
        <v>0</v>
      </c>
      <c r="Q519" s="15">
        <f>IF(ISNA(VLOOKUP(Q$1,'offpeak-old'!$A$3:$DQ$20,$D519,FALSE)),0,VLOOKUP(Q$1,'offpeak-old'!$A$3:$DQ$20,$D519,FALSE))</f>
        <v>9175</v>
      </c>
      <c r="R519" s="14">
        <f>IF(ISNA(VLOOKUP(R$1,'offpeak-old'!$A$3:$DQ$20,$D519,FALSE)),0,VLOOKUP(R$1,'offpeak-old'!$A$3:$DQ$20,$D519,FALSE))</f>
        <v>0</v>
      </c>
      <c r="S519" s="10"/>
    </row>
    <row r="520" spans="1:19" s="8" customFormat="1" x14ac:dyDescent="0.2">
      <c r="A520" s="8">
        <f t="shared" si="152"/>
        <v>2003</v>
      </c>
      <c r="B520" s="8">
        <f t="shared" si="153"/>
        <v>5</v>
      </c>
      <c r="C520" s="9">
        <f t="shared" si="150"/>
        <v>37742</v>
      </c>
      <c r="D520" s="8">
        <f t="shared" si="151"/>
        <v>25</v>
      </c>
      <c r="E520" s="14">
        <f>IF(ISNA(VLOOKUP(E$1,'offpeak-old'!$A$3:$DQ$20,$D520,FALSE)),0,VLOOKUP(E$1,'offpeak-old'!$A$3:$DQ$20,$D520,FALSE))</f>
        <v>-113016</v>
      </c>
      <c r="F520" s="14">
        <f>IF(ISNA(VLOOKUP(F$1,'offpeak-old'!$A$3:$DQ$20,$D520,FALSE)),0,VLOOKUP(F$1,'offpeak-old'!$A$3:$DQ$20,$D520,FALSE))</f>
        <v>0</v>
      </c>
      <c r="G520" s="14">
        <f>IF(ISNA(VLOOKUP(G$1,'offpeak-old'!$A$3:$DQ$20,$D520,FALSE)),0,VLOOKUP(G$1,'offpeak-old'!$A$3:$DQ$20,$D520,FALSE))</f>
        <v>0</v>
      </c>
      <c r="H520" s="14">
        <f>IF(ISNA(VLOOKUP(H$1,'offpeak-old'!$A$3:$DQ$20,$D520,FALSE)),0,VLOOKUP(H$1,'offpeak-old'!$A$3:$DQ$20,$D520,FALSE))</f>
        <v>-20800</v>
      </c>
      <c r="I520" s="14">
        <f>IF(ISNA(VLOOKUP(I$1,'offpeak-old'!$A$3:$DQ$20,$D520,FALSE)),0,VLOOKUP(I$1,'offpeak-old'!$A$3:$DQ$20,$D520,FALSE))</f>
        <v>0</v>
      </c>
      <c r="J520" s="14">
        <f>IF(ISNA(VLOOKUP(J$1,'offpeak-old'!$A$3:$DQ$20,$D520,FALSE)),0,VLOOKUP(J$1,'offpeak-old'!$A$3:$DQ$20,$D520,FALSE))</f>
        <v>0</v>
      </c>
      <c r="K520" s="14">
        <f>IF(ISNA(VLOOKUP(K$1,'offpeak-old'!$A$3:$DQ$20,$D520,FALSE)),0,VLOOKUP(K$1,'offpeak-old'!$A$3:$DQ$20,$D520,FALSE))</f>
        <v>0</v>
      </c>
      <c r="L520" s="14">
        <f>IF(ISNA(VLOOKUP(L$1,'offpeak-old'!$A$3:$DQ$20,$D520,FALSE)),0,VLOOKUP(L$1,'offpeak-old'!$A$3:$DQ$20,$D520,FALSE))</f>
        <v>0</v>
      </c>
      <c r="M520" s="14">
        <f>IF(ISNA(VLOOKUP(M$1,'offpeak-old'!$A$3:$DQ$20,$D520,FALSE)),0,VLOOKUP(M$1,'offpeak-old'!$A$3:$DQ$20,$D520,FALSE))</f>
        <v>0</v>
      </c>
      <c r="N520" s="14"/>
      <c r="O520" s="14">
        <f>IF(ISNA(VLOOKUP(O$1,'offpeak-old'!$A$3:$DQ$20,$D520,FALSE)),0,VLOOKUP(O$1,'offpeak-old'!$A$3:$DQ$20,$D520,FALSE))</f>
        <v>0</v>
      </c>
      <c r="P520" s="14">
        <f>IF(ISNA(VLOOKUP(P$1,'offpeak-old'!$A$3:$DQ$20,$D520,FALSE)),0,VLOOKUP(P$1,'offpeak-old'!$A$3:$DQ$20,$D520,FALSE))</f>
        <v>0</v>
      </c>
      <c r="Q520" s="15">
        <f>IF(ISNA(VLOOKUP(Q$1,'offpeak-old'!$A$3:$DQ$20,$D520,FALSE)),0,VLOOKUP(Q$1,'offpeak-old'!$A$3:$DQ$20,$D520,FALSE))</f>
        <v>10200</v>
      </c>
      <c r="R520" s="14">
        <f>IF(ISNA(VLOOKUP(R$1,'offpeak-old'!$A$3:$DQ$20,$D520,FALSE)),0,VLOOKUP(R$1,'offpeak-old'!$A$3:$DQ$20,$D520,FALSE))</f>
        <v>0</v>
      </c>
      <c r="S520" s="10"/>
    </row>
    <row r="521" spans="1:19" s="8" customFormat="1" x14ac:dyDescent="0.2">
      <c r="A521" s="8">
        <f t="shared" si="152"/>
        <v>2003</v>
      </c>
      <c r="B521" s="8">
        <f t="shared" si="153"/>
        <v>6</v>
      </c>
      <c r="C521" s="9">
        <f t="shared" si="150"/>
        <v>37773</v>
      </c>
      <c r="D521" s="8">
        <f t="shared" si="151"/>
        <v>26</v>
      </c>
      <c r="E521" s="14">
        <f>IF(ISNA(VLOOKUP(E$1,'offpeak-old'!$A$3:$DQ$20,$D521,FALSE)),0,VLOOKUP(E$1,'offpeak-old'!$A$3:$DQ$20,$D521,FALSE))</f>
        <v>-106368</v>
      </c>
      <c r="F521" s="14">
        <f>IF(ISNA(VLOOKUP(F$1,'offpeak-old'!$A$3:$DQ$20,$D521,FALSE)),0,VLOOKUP(F$1,'offpeak-old'!$A$3:$DQ$20,$D521,FALSE))</f>
        <v>0</v>
      </c>
      <c r="G521" s="14">
        <f>IF(ISNA(VLOOKUP(G$1,'offpeak-old'!$A$3:$DQ$20,$D521,FALSE)),0,VLOOKUP(G$1,'offpeak-old'!$A$3:$DQ$20,$D521,FALSE))</f>
        <v>0</v>
      </c>
      <c r="H521" s="14">
        <f>IF(ISNA(VLOOKUP(H$1,'offpeak-old'!$A$3:$DQ$20,$D521,FALSE)),0,VLOOKUP(H$1,'offpeak-old'!$A$3:$DQ$20,$D521,FALSE))</f>
        <v>-19200</v>
      </c>
      <c r="I521" s="14">
        <f>IF(ISNA(VLOOKUP(I$1,'offpeak-old'!$A$3:$DQ$20,$D521,FALSE)),0,VLOOKUP(I$1,'offpeak-old'!$A$3:$DQ$20,$D521,FALSE))</f>
        <v>0</v>
      </c>
      <c r="J521" s="14">
        <f>IF(ISNA(VLOOKUP(J$1,'offpeak-old'!$A$3:$DQ$20,$D521,FALSE)),0,VLOOKUP(J$1,'offpeak-old'!$A$3:$DQ$20,$D521,FALSE))</f>
        <v>0</v>
      </c>
      <c r="K521" s="14">
        <f>IF(ISNA(VLOOKUP(K$1,'offpeak-old'!$A$3:$DQ$20,$D521,FALSE)),0,VLOOKUP(K$1,'offpeak-old'!$A$3:$DQ$20,$D521,FALSE))</f>
        <v>0</v>
      </c>
      <c r="L521" s="14">
        <f>IF(ISNA(VLOOKUP(L$1,'offpeak-old'!$A$3:$DQ$20,$D521,FALSE)),0,VLOOKUP(L$1,'offpeak-old'!$A$3:$DQ$20,$D521,FALSE))</f>
        <v>0</v>
      </c>
      <c r="M521" s="14">
        <f>IF(ISNA(VLOOKUP(M$1,'offpeak-old'!$A$3:$DQ$20,$D521,FALSE)),0,VLOOKUP(M$1,'offpeak-old'!$A$3:$DQ$20,$D521,FALSE))</f>
        <v>0</v>
      </c>
      <c r="N521" s="14"/>
      <c r="O521" s="14">
        <f>IF(ISNA(VLOOKUP(O$1,'offpeak-old'!$A$3:$DQ$20,$D521,FALSE)),0,VLOOKUP(O$1,'offpeak-old'!$A$3:$DQ$20,$D521,FALSE))</f>
        <v>0</v>
      </c>
      <c r="P521" s="14">
        <f>IF(ISNA(VLOOKUP(P$1,'offpeak-old'!$A$3:$DQ$20,$D521,FALSE)),0,VLOOKUP(P$1,'offpeak-old'!$A$3:$DQ$20,$D521,FALSE))</f>
        <v>0</v>
      </c>
      <c r="Q521" s="15">
        <f>IF(ISNA(VLOOKUP(Q$1,'offpeak-old'!$A$3:$DQ$20,$D521,FALSE)),0,VLOOKUP(Q$1,'offpeak-old'!$A$3:$DQ$20,$D521,FALSE))</f>
        <v>9600</v>
      </c>
      <c r="R521" s="14">
        <f>IF(ISNA(VLOOKUP(R$1,'offpeak-old'!$A$3:$DQ$20,$D521,FALSE)),0,VLOOKUP(R$1,'offpeak-old'!$A$3:$DQ$20,$D521,FALSE))</f>
        <v>0</v>
      </c>
      <c r="S521" s="10"/>
    </row>
    <row r="522" spans="1:19" s="8" customFormat="1" x14ac:dyDescent="0.2">
      <c r="A522" s="8">
        <f t="shared" si="152"/>
        <v>2003</v>
      </c>
      <c r="B522" s="8">
        <f t="shared" si="153"/>
        <v>7</v>
      </c>
      <c r="C522" s="9">
        <f t="shared" si="150"/>
        <v>37803</v>
      </c>
      <c r="D522" s="8">
        <f t="shared" si="151"/>
        <v>27</v>
      </c>
      <c r="E522" s="14">
        <f>IF(ISNA(VLOOKUP(E$1,'offpeak-old'!$A$3:$DQ$20,$D522,FALSE)),0,VLOOKUP(E$1,'offpeak-old'!$A$3:$DQ$20,$D522,FALSE))</f>
        <v>-108584</v>
      </c>
      <c r="F522" s="14">
        <f>IF(ISNA(VLOOKUP(F$1,'offpeak-old'!$A$3:$DQ$20,$D522,FALSE)),0,VLOOKUP(F$1,'offpeak-old'!$A$3:$DQ$20,$D522,FALSE))</f>
        <v>0</v>
      </c>
      <c r="G522" s="14">
        <f>IF(ISNA(VLOOKUP(G$1,'offpeak-old'!$A$3:$DQ$20,$D522,FALSE)),0,VLOOKUP(G$1,'offpeak-old'!$A$3:$DQ$20,$D522,FALSE))</f>
        <v>0</v>
      </c>
      <c r="H522" s="14">
        <f>IF(ISNA(VLOOKUP(H$1,'offpeak-old'!$A$3:$DQ$20,$D522,FALSE)),0,VLOOKUP(H$1,'offpeak-old'!$A$3:$DQ$20,$D522,FALSE))</f>
        <v>-20000</v>
      </c>
      <c r="I522" s="14">
        <f>IF(ISNA(VLOOKUP(I$1,'offpeak-old'!$A$3:$DQ$20,$D522,FALSE)),0,VLOOKUP(I$1,'offpeak-old'!$A$3:$DQ$20,$D522,FALSE))</f>
        <v>0</v>
      </c>
      <c r="J522" s="14">
        <f>IF(ISNA(VLOOKUP(J$1,'offpeak-old'!$A$3:$DQ$20,$D522,FALSE)),0,VLOOKUP(J$1,'offpeak-old'!$A$3:$DQ$20,$D522,FALSE))</f>
        <v>0</v>
      </c>
      <c r="K522" s="14">
        <f>IF(ISNA(VLOOKUP(K$1,'offpeak-old'!$A$3:$DQ$20,$D522,FALSE)),0,VLOOKUP(K$1,'offpeak-old'!$A$3:$DQ$20,$D522,FALSE))</f>
        <v>0</v>
      </c>
      <c r="L522" s="14">
        <f>IF(ISNA(VLOOKUP(L$1,'offpeak-old'!$A$3:$DQ$20,$D522,FALSE)),0,VLOOKUP(L$1,'offpeak-old'!$A$3:$DQ$20,$D522,FALSE))</f>
        <v>0</v>
      </c>
      <c r="M522" s="14">
        <f>IF(ISNA(VLOOKUP(M$1,'offpeak-old'!$A$3:$DQ$20,$D522,FALSE)),0,VLOOKUP(M$1,'offpeak-old'!$A$3:$DQ$20,$D522,FALSE))</f>
        <v>0</v>
      </c>
      <c r="N522" s="14"/>
      <c r="O522" s="14">
        <f>IF(ISNA(VLOOKUP(O$1,'offpeak-old'!$A$3:$DQ$20,$D522,FALSE)),0,VLOOKUP(O$1,'offpeak-old'!$A$3:$DQ$20,$D522,FALSE))</f>
        <v>0</v>
      </c>
      <c r="P522" s="14">
        <f>IF(ISNA(VLOOKUP(P$1,'offpeak-old'!$A$3:$DQ$20,$D522,FALSE)),0,VLOOKUP(P$1,'offpeak-old'!$A$3:$DQ$20,$D522,FALSE))</f>
        <v>0</v>
      </c>
      <c r="Q522" s="15">
        <f>IF(ISNA(VLOOKUP(Q$1,'offpeak-old'!$A$3:$DQ$20,$D522,FALSE)),0,VLOOKUP(Q$1,'offpeak-old'!$A$3:$DQ$20,$D522,FALSE))</f>
        <v>9800</v>
      </c>
      <c r="R522" s="14">
        <f>IF(ISNA(VLOOKUP(R$1,'offpeak-old'!$A$3:$DQ$20,$D522,FALSE)),0,VLOOKUP(R$1,'offpeak-old'!$A$3:$DQ$20,$D522,FALSE))</f>
        <v>0</v>
      </c>
      <c r="S522" s="10"/>
    </row>
    <row r="523" spans="1:19" s="8" customFormat="1" x14ac:dyDescent="0.2">
      <c r="A523" s="8">
        <f t="shared" si="152"/>
        <v>2003</v>
      </c>
      <c r="B523" s="8">
        <f t="shared" si="153"/>
        <v>8</v>
      </c>
      <c r="C523" s="9">
        <f t="shared" si="150"/>
        <v>37834</v>
      </c>
      <c r="D523" s="8">
        <f t="shared" si="151"/>
        <v>28</v>
      </c>
      <c r="E523" s="14">
        <f>IF(ISNA(VLOOKUP(E$1,'offpeak-old'!$A$3:$DQ$20,$D523,FALSE)),0,VLOOKUP(E$1,'offpeak-old'!$A$3:$DQ$20,$D523,FALSE))</f>
        <v>-113016</v>
      </c>
      <c r="F523" s="14">
        <f>IF(ISNA(VLOOKUP(F$1,'offpeak-old'!$A$3:$DQ$20,$D523,FALSE)),0,VLOOKUP(F$1,'offpeak-old'!$A$3:$DQ$20,$D523,FALSE))</f>
        <v>0</v>
      </c>
      <c r="G523" s="14">
        <f>IF(ISNA(VLOOKUP(G$1,'offpeak-old'!$A$3:$DQ$20,$D523,FALSE)),0,VLOOKUP(G$1,'offpeak-old'!$A$3:$DQ$20,$D523,FALSE))</f>
        <v>0</v>
      </c>
      <c r="H523" s="14">
        <f>IF(ISNA(VLOOKUP(H$1,'offpeak-old'!$A$3:$DQ$20,$D523,FALSE)),0,VLOOKUP(H$1,'offpeak-old'!$A$3:$DQ$20,$D523,FALSE))</f>
        <v>-20400</v>
      </c>
      <c r="I523" s="14">
        <f>IF(ISNA(VLOOKUP(I$1,'offpeak-old'!$A$3:$DQ$20,$D523,FALSE)),0,VLOOKUP(I$1,'offpeak-old'!$A$3:$DQ$20,$D523,FALSE))</f>
        <v>0</v>
      </c>
      <c r="J523" s="14">
        <f>IF(ISNA(VLOOKUP(J$1,'offpeak-old'!$A$3:$DQ$20,$D523,FALSE)),0,VLOOKUP(J$1,'offpeak-old'!$A$3:$DQ$20,$D523,FALSE))</f>
        <v>0</v>
      </c>
      <c r="K523" s="14">
        <f>IF(ISNA(VLOOKUP(K$1,'offpeak-old'!$A$3:$DQ$20,$D523,FALSE)),0,VLOOKUP(K$1,'offpeak-old'!$A$3:$DQ$20,$D523,FALSE))</f>
        <v>0</v>
      </c>
      <c r="L523" s="14">
        <f>IF(ISNA(VLOOKUP(L$1,'offpeak-old'!$A$3:$DQ$20,$D523,FALSE)),0,VLOOKUP(L$1,'offpeak-old'!$A$3:$DQ$20,$D523,FALSE))</f>
        <v>0</v>
      </c>
      <c r="M523" s="14">
        <f>IF(ISNA(VLOOKUP(M$1,'offpeak-old'!$A$3:$DQ$20,$D523,FALSE)),0,VLOOKUP(M$1,'offpeak-old'!$A$3:$DQ$20,$D523,FALSE))</f>
        <v>0</v>
      </c>
      <c r="N523" s="14"/>
      <c r="O523" s="14">
        <f>IF(ISNA(VLOOKUP(O$1,'offpeak-old'!$A$3:$DQ$20,$D523,FALSE)),0,VLOOKUP(O$1,'offpeak-old'!$A$3:$DQ$20,$D523,FALSE))</f>
        <v>0</v>
      </c>
      <c r="P523" s="14">
        <f>IF(ISNA(VLOOKUP(P$1,'offpeak-old'!$A$3:$DQ$20,$D523,FALSE)),0,VLOOKUP(P$1,'offpeak-old'!$A$3:$DQ$20,$D523,FALSE))</f>
        <v>0</v>
      </c>
      <c r="Q523" s="15">
        <f>IF(ISNA(VLOOKUP(Q$1,'offpeak-old'!$A$3:$DQ$20,$D523,FALSE)),0,VLOOKUP(Q$1,'offpeak-old'!$A$3:$DQ$20,$D523,FALSE))</f>
        <v>10200</v>
      </c>
      <c r="R523" s="14">
        <f>IF(ISNA(VLOOKUP(R$1,'offpeak-old'!$A$3:$DQ$20,$D523,FALSE)),0,VLOOKUP(R$1,'offpeak-old'!$A$3:$DQ$20,$D523,FALSE))</f>
        <v>0</v>
      </c>
      <c r="S523" s="10"/>
    </row>
    <row r="524" spans="1:19" s="8" customFormat="1" x14ac:dyDescent="0.2">
      <c r="A524" s="8">
        <f t="shared" si="152"/>
        <v>2003</v>
      </c>
      <c r="B524" s="8">
        <f t="shared" si="153"/>
        <v>9</v>
      </c>
      <c r="C524" s="9">
        <f t="shared" si="150"/>
        <v>37865</v>
      </c>
      <c r="D524" s="8">
        <f t="shared" si="151"/>
        <v>29</v>
      </c>
      <c r="E524" s="14">
        <f>IF(ISNA(VLOOKUP(E$1,'offpeak-old'!$A$3:$DQ$20,$D524,FALSE)),0,VLOOKUP(E$1,'offpeak-old'!$A$3:$DQ$20,$D524,FALSE))</f>
        <v>-106368</v>
      </c>
      <c r="F524" s="14">
        <f>IF(ISNA(VLOOKUP(F$1,'offpeak-old'!$A$3:$DQ$20,$D524,FALSE)),0,VLOOKUP(F$1,'offpeak-old'!$A$3:$DQ$20,$D524,FALSE))</f>
        <v>0</v>
      </c>
      <c r="G524" s="14">
        <f>IF(ISNA(VLOOKUP(G$1,'offpeak-old'!$A$3:$DQ$20,$D524,FALSE)),0,VLOOKUP(G$1,'offpeak-old'!$A$3:$DQ$20,$D524,FALSE))</f>
        <v>0</v>
      </c>
      <c r="H524" s="14">
        <f>IF(ISNA(VLOOKUP(H$1,'offpeak-old'!$A$3:$DQ$20,$D524,FALSE)),0,VLOOKUP(H$1,'offpeak-old'!$A$3:$DQ$20,$D524,FALSE))</f>
        <v>-19600</v>
      </c>
      <c r="I524" s="14">
        <f>IF(ISNA(VLOOKUP(I$1,'offpeak-old'!$A$3:$DQ$20,$D524,FALSE)),0,VLOOKUP(I$1,'offpeak-old'!$A$3:$DQ$20,$D524,FALSE))</f>
        <v>0</v>
      </c>
      <c r="J524" s="14">
        <f>IF(ISNA(VLOOKUP(J$1,'offpeak-old'!$A$3:$DQ$20,$D524,FALSE)),0,VLOOKUP(J$1,'offpeak-old'!$A$3:$DQ$20,$D524,FALSE))</f>
        <v>0</v>
      </c>
      <c r="K524" s="14">
        <f>IF(ISNA(VLOOKUP(K$1,'offpeak-old'!$A$3:$DQ$20,$D524,FALSE)),0,VLOOKUP(K$1,'offpeak-old'!$A$3:$DQ$20,$D524,FALSE))</f>
        <v>0</v>
      </c>
      <c r="L524" s="14">
        <f>IF(ISNA(VLOOKUP(L$1,'offpeak-old'!$A$3:$DQ$20,$D524,FALSE)),0,VLOOKUP(L$1,'offpeak-old'!$A$3:$DQ$20,$D524,FALSE))</f>
        <v>0</v>
      </c>
      <c r="M524" s="14">
        <f>IF(ISNA(VLOOKUP(M$1,'offpeak-old'!$A$3:$DQ$20,$D524,FALSE)),0,VLOOKUP(M$1,'offpeak-old'!$A$3:$DQ$20,$D524,FALSE))</f>
        <v>0</v>
      </c>
      <c r="N524" s="14"/>
      <c r="O524" s="14">
        <f>IF(ISNA(VLOOKUP(O$1,'offpeak-old'!$A$3:$DQ$20,$D524,FALSE)),0,VLOOKUP(O$1,'offpeak-old'!$A$3:$DQ$20,$D524,FALSE))</f>
        <v>0</v>
      </c>
      <c r="P524" s="14">
        <f>IF(ISNA(VLOOKUP(P$1,'offpeak-old'!$A$3:$DQ$20,$D524,FALSE)),0,VLOOKUP(P$1,'offpeak-old'!$A$3:$DQ$20,$D524,FALSE))</f>
        <v>0</v>
      </c>
      <c r="Q524" s="15">
        <f>IF(ISNA(VLOOKUP(Q$1,'offpeak-old'!$A$3:$DQ$20,$D524,FALSE)),0,VLOOKUP(Q$1,'offpeak-old'!$A$3:$DQ$20,$D524,FALSE))</f>
        <v>9600</v>
      </c>
      <c r="R524" s="14">
        <f>IF(ISNA(VLOOKUP(R$1,'offpeak-old'!$A$3:$DQ$20,$D524,FALSE)),0,VLOOKUP(R$1,'offpeak-old'!$A$3:$DQ$20,$D524,FALSE))</f>
        <v>0</v>
      </c>
      <c r="S524" s="10"/>
    </row>
    <row r="525" spans="1:19" s="8" customFormat="1" x14ac:dyDescent="0.2">
      <c r="A525" s="8">
        <f t="shared" si="152"/>
        <v>2003</v>
      </c>
      <c r="B525" s="8">
        <f t="shared" si="153"/>
        <v>10</v>
      </c>
      <c r="C525" s="9">
        <f t="shared" si="150"/>
        <v>37895</v>
      </c>
      <c r="D525" s="8">
        <f t="shared" si="151"/>
        <v>30</v>
      </c>
      <c r="E525" s="14">
        <f>IF(ISNA(VLOOKUP(E$1,'offpeak-old'!$A$3:$DQ$20,$D525,FALSE)),0,VLOOKUP(E$1,'offpeak-old'!$A$3:$DQ$20,$D525,FALSE))</f>
        <v>-104429</v>
      </c>
      <c r="F525" s="14">
        <f>IF(ISNA(VLOOKUP(F$1,'offpeak-old'!$A$3:$DQ$20,$D525,FALSE)),0,VLOOKUP(F$1,'offpeak-old'!$A$3:$DQ$20,$D525,FALSE))</f>
        <v>0</v>
      </c>
      <c r="G525" s="14">
        <f>IF(ISNA(VLOOKUP(G$1,'offpeak-old'!$A$3:$DQ$20,$D525,FALSE)),0,VLOOKUP(G$1,'offpeak-old'!$A$3:$DQ$20,$D525,FALSE))</f>
        <v>0</v>
      </c>
      <c r="H525" s="14">
        <f>IF(ISNA(VLOOKUP(H$1,'offpeak-old'!$A$3:$DQ$20,$D525,FALSE)),0,VLOOKUP(H$1,'offpeak-old'!$A$3:$DQ$20,$D525,FALSE))</f>
        <v>-18850</v>
      </c>
      <c r="I525" s="14">
        <f>IF(ISNA(VLOOKUP(I$1,'offpeak-old'!$A$3:$DQ$20,$D525,FALSE)),0,VLOOKUP(I$1,'offpeak-old'!$A$3:$DQ$20,$D525,FALSE))</f>
        <v>0</v>
      </c>
      <c r="J525" s="14">
        <f>IF(ISNA(VLOOKUP(J$1,'offpeak-old'!$A$3:$DQ$20,$D525,FALSE)),0,VLOOKUP(J$1,'offpeak-old'!$A$3:$DQ$20,$D525,FALSE))</f>
        <v>0</v>
      </c>
      <c r="K525" s="14">
        <f>IF(ISNA(VLOOKUP(K$1,'offpeak-old'!$A$3:$DQ$20,$D525,FALSE)),0,VLOOKUP(K$1,'offpeak-old'!$A$3:$DQ$20,$D525,FALSE))</f>
        <v>0</v>
      </c>
      <c r="L525" s="14">
        <f>IF(ISNA(VLOOKUP(L$1,'offpeak-old'!$A$3:$DQ$20,$D525,FALSE)),0,VLOOKUP(L$1,'offpeak-old'!$A$3:$DQ$20,$D525,FALSE))</f>
        <v>0</v>
      </c>
      <c r="M525" s="14">
        <f>IF(ISNA(VLOOKUP(M$1,'offpeak-old'!$A$3:$DQ$20,$D525,FALSE)),0,VLOOKUP(M$1,'offpeak-old'!$A$3:$DQ$20,$D525,FALSE))</f>
        <v>0</v>
      </c>
      <c r="N525" s="14"/>
      <c r="O525" s="14">
        <f>IF(ISNA(VLOOKUP(O$1,'offpeak-old'!$A$3:$DQ$20,$D525,FALSE)),0,VLOOKUP(O$1,'offpeak-old'!$A$3:$DQ$20,$D525,FALSE))</f>
        <v>0</v>
      </c>
      <c r="P525" s="14">
        <f>IF(ISNA(VLOOKUP(P$1,'offpeak-old'!$A$3:$DQ$20,$D525,FALSE)),0,VLOOKUP(P$1,'offpeak-old'!$A$3:$DQ$20,$D525,FALSE))</f>
        <v>0</v>
      </c>
      <c r="Q525" s="15">
        <f>IF(ISNA(VLOOKUP(Q$1,'offpeak-old'!$A$3:$DQ$20,$D525,FALSE)),0,VLOOKUP(Q$1,'offpeak-old'!$A$3:$DQ$20,$D525,FALSE))</f>
        <v>9425</v>
      </c>
      <c r="R525" s="14">
        <f>IF(ISNA(VLOOKUP(R$1,'offpeak-old'!$A$3:$DQ$20,$D525,FALSE)),0,VLOOKUP(R$1,'offpeak-old'!$A$3:$DQ$20,$D525,FALSE))</f>
        <v>0</v>
      </c>
      <c r="S525" s="10"/>
    </row>
    <row r="526" spans="1:19" s="8" customFormat="1" x14ac:dyDescent="0.2">
      <c r="A526" s="8">
        <f t="shared" si="152"/>
        <v>2003</v>
      </c>
      <c r="B526" s="8">
        <f t="shared" si="153"/>
        <v>11</v>
      </c>
      <c r="C526" s="9">
        <f t="shared" si="150"/>
        <v>37926</v>
      </c>
      <c r="D526" s="8">
        <f t="shared" si="151"/>
        <v>31</v>
      </c>
      <c r="E526" s="14">
        <f>IF(ISNA(VLOOKUP(E$1,'offpeak-old'!$A$3:$DQ$20,$D526,FALSE)),0,VLOOKUP(E$1,'offpeak-old'!$A$3:$DQ$20,$D526,FALSE))</f>
        <v>-115232</v>
      </c>
      <c r="F526" s="14">
        <f>IF(ISNA(VLOOKUP(F$1,'offpeak-old'!$A$3:$DQ$20,$D526,FALSE)),0,VLOOKUP(F$1,'offpeak-old'!$A$3:$DQ$20,$D526,FALSE))</f>
        <v>0</v>
      </c>
      <c r="G526" s="14">
        <f>IF(ISNA(VLOOKUP(G$1,'offpeak-old'!$A$3:$DQ$20,$D526,FALSE)),0,VLOOKUP(G$1,'offpeak-old'!$A$3:$DQ$20,$D526,FALSE))</f>
        <v>0</v>
      </c>
      <c r="H526" s="14">
        <f>IF(ISNA(VLOOKUP(H$1,'offpeak-old'!$A$3:$DQ$20,$D526,FALSE)),0,VLOOKUP(H$1,'offpeak-old'!$A$3:$DQ$20,$D526,FALSE))</f>
        <v>-21200</v>
      </c>
      <c r="I526" s="14">
        <f>IF(ISNA(VLOOKUP(I$1,'offpeak-old'!$A$3:$DQ$20,$D526,FALSE)),0,VLOOKUP(I$1,'offpeak-old'!$A$3:$DQ$20,$D526,FALSE))</f>
        <v>0</v>
      </c>
      <c r="J526" s="14">
        <f>IF(ISNA(VLOOKUP(J$1,'offpeak-old'!$A$3:$DQ$20,$D526,FALSE)),0,VLOOKUP(J$1,'offpeak-old'!$A$3:$DQ$20,$D526,FALSE))</f>
        <v>0</v>
      </c>
      <c r="K526" s="14">
        <f>IF(ISNA(VLOOKUP(K$1,'offpeak-old'!$A$3:$DQ$20,$D526,FALSE)),0,VLOOKUP(K$1,'offpeak-old'!$A$3:$DQ$20,$D526,FALSE))</f>
        <v>0</v>
      </c>
      <c r="L526" s="14">
        <f>IF(ISNA(VLOOKUP(L$1,'offpeak-old'!$A$3:$DQ$20,$D526,FALSE)),0,VLOOKUP(L$1,'offpeak-old'!$A$3:$DQ$20,$D526,FALSE))</f>
        <v>0</v>
      </c>
      <c r="M526" s="14">
        <f>IF(ISNA(VLOOKUP(M$1,'offpeak-old'!$A$3:$DQ$20,$D526,FALSE)),0,VLOOKUP(M$1,'offpeak-old'!$A$3:$DQ$20,$D526,FALSE))</f>
        <v>0</v>
      </c>
      <c r="N526" s="14"/>
      <c r="O526" s="14">
        <f>IF(ISNA(VLOOKUP(O$1,'offpeak-old'!$A$3:$DQ$20,$D526,FALSE)),0,VLOOKUP(O$1,'offpeak-old'!$A$3:$DQ$20,$D526,FALSE))</f>
        <v>0</v>
      </c>
      <c r="P526" s="14">
        <f>IF(ISNA(VLOOKUP(P$1,'offpeak-old'!$A$3:$DQ$20,$D526,FALSE)),0,VLOOKUP(P$1,'offpeak-old'!$A$3:$DQ$20,$D526,FALSE))</f>
        <v>0</v>
      </c>
      <c r="Q526" s="15">
        <f>IF(ISNA(VLOOKUP(Q$1,'offpeak-old'!$A$3:$DQ$20,$D526,FALSE)),0,VLOOKUP(Q$1,'offpeak-old'!$A$3:$DQ$20,$D526,FALSE))</f>
        <v>10400</v>
      </c>
      <c r="R526" s="14">
        <f>IF(ISNA(VLOOKUP(R$1,'offpeak-old'!$A$3:$DQ$20,$D526,FALSE)),0,VLOOKUP(R$1,'offpeak-old'!$A$3:$DQ$20,$D526,FALSE))</f>
        <v>0</v>
      </c>
      <c r="S526" s="10"/>
    </row>
    <row r="527" spans="1:19" s="8" customFormat="1" x14ac:dyDescent="0.2">
      <c r="A527" s="8">
        <f t="shared" si="152"/>
        <v>2003</v>
      </c>
      <c r="B527" s="8">
        <f t="shared" si="153"/>
        <v>12</v>
      </c>
      <c r="C527" s="9">
        <f t="shared" si="150"/>
        <v>37956</v>
      </c>
      <c r="D527" s="8">
        <f t="shared" si="151"/>
        <v>32</v>
      </c>
      <c r="E527" s="14">
        <f>IF(ISNA(VLOOKUP(E$1,'offpeak-old'!$A$3:$DQ$20,$D527,FALSE)),0,VLOOKUP(E$1,'offpeak-old'!$A$3:$DQ$20,$D527,FALSE))</f>
        <v>-108584</v>
      </c>
      <c r="F527" s="14">
        <f>IF(ISNA(VLOOKUP(F$1,'offpeak-old'!$A$3:$DQ$20,$D527,FALSE)),0,VLOOKUP(F$1,'offpeak-old'!$A$3:$DQ$20,$D527,FALSE))</f>
        <v>0</v>
      </c>
      <c r="G527" s="14">
        <f>IF(ISNA(VLOOKUP(G$1,'offpeak-old'!$A$3:$DQ$20,$D527,FALSE)),0,VLOOKUP(G$1,'offpeak-old'!$A$3:$DQ$20,$D527,FALSE))</f>
        <v>0</v>
      </c>
      <c r="H527" s="14">
        <f>IF(ISNA(VLOOKUP(H$1,'offpeak-old'!$A$3:$DQ$20,$D527,FALSE)),0,VLOOKUP(H$1,'offpeak-old'!$A$3:$DQ$20,$D527,FALSE))</f>
        <v>-20000</v>
      </c>
      <c r="I527" s="14">
        <f>IF(ISNA(VLOOKUP(I$1,'offpeak-old'!$A$3:$DQ$20,$D527,FALSE)),0,VLOOKUP(I$1,'offpeak-old'!$A$3:$DQ$20,$D527,FALSE))</f>
        <v>0</v>
      </c>
      <c r="J527" s="14">
        <f>IF(ISNA(VLOOKUP(J$1,'offpeak-old'!$A$3:$DQ$20,$D527,FALSE)),0,VLOOKUP(J$1,'offpeak-old'!$A$3:$DQ$20,$D527,FALSE))</f>
        <v>0</v>
      </c>
      <c r="K527" s="14">
        <f>IF(ISNA(VLOOKUP(K$1,'offpeak-old'!$A$3:$DQ$20,$D527,FALSE)),0,VLOOKUP(K$1,'offpeak-old'!$A$3:$DQ$20,$D527,FALSE))</f>
        <v>0</v>
      </c>
      <c r="L527" s="14">
        <f>IF(ISNA(VLOOKUP(L$1,'offpeak-old'!$A$3:$DQ$20,$D527,FALSE)),0,VLOOKUP(L$1,'offpeak-old'!$A$3:$DQ$20,$D527,FALSE))</f>
        <v>0</v>
      </c>
      <c r="M527" s="14">
        <f>IF(ISNA(VLOOKUP(M$1,'offpeak-old'!$A$3:$DQ$20,$D527,FALSE)),0,VLOOKUP(M$1,'offpeak-old'!$A$3:$DQ$20,$D527,FALSE))</f>
        <v>0</v>
      </c>
      <c r="N527" s="14"/>
      <c r="O527" s="14">
        <f>IF(ISNA(VLOOKUP(O$1,'offpeak-old'!$A$3:$DQ$20,$D527,FALSE)),0,VLOOKUP(O$1,'offpeak-old'!$A$3:$DQ$20,$D527,FALSE))</f>
        <v>0</v>
      </c>
      <c r="P527" s="14">
        <f>IF(ISNA(VLOOKUP(P$1,'offpeak-old'!$A$3:$DQ$20,$D527,FALSE)),0,VLOOKUP(P$1,'offpeak-old'!$A$3:$DQ$20,$D527,FALSE))</f>
        <v>0</v>
      </c>
      <c r="Q527" s="15">
        <f>IF(ISNA(VLOOKUP(Q$1,'offpeak-old'!$A$3:$DQ$20,$D527,FALSE)),0,VLOOKUP(Q$1,'offpeak-old'!$A$3:$DQ$20,$D527,FALSE))</f>
        <v>9800</v>
      </c>
      <c r="R527" s="14">
        <f>IF(ISNA(VLOOKUP(R$1,'offpeak-old'!$A$3:$DQ$20,$D527,FALSE)),0,VLOOKUP(R$1,'offpeak-old'!$A$3:$DQ$20,$D527,FALSE))</f>
        <v>0</v>
      </c>
      <c r="S527" s="10"/>
    </row>
    <row r="528" spans="1:19" s="8" customFormat="1" x14ac:dyDescent="0.2">
      <c r="A528" s="8">
        <f t="shared" si="152"/>
        <v>2004</v>
      </c>
      <c r="B528" s="8">
        <f t="shared" si="153"/>
        <v>1</v>
      </c>
      <c r="C528" s="9">
        <f t="shared" si="150"/>
        <v>37987</v>
      </c>
      <c r="D528" s="8">
        <f t="shared" si="151"/>
        <v>33</v>
      </c>
      <c r="E528" s="14">
        <f>IF(ISNA(VLOOKUP(E$1,'offpeak-old'!$A$3:$DQ$20,$D528,FALSE)),0,VLOOKUP(E$1,'offpeak-old'!$A$3:$DQ$20,$D528,FALSE))</f>
        <v>29784</v>
      </c>
      <c r="F528" s="14">
        <f>IF(ISNA(VLOOKUP(F$1,'offpeak-old'!$A$3:$DQ$20,$D528,FALSE)),0,VLOOKUP(F$1,'offpeak-old'!$A$3:$DQ$20,$D528,FALSE))</f>
        <v>0</v>
      </c>
      <c r="G528" s="14">
        <f>IF(ISNA(VLOOKUP(G$1,'offpeak-old'!$A$3:$DQ$20,$D528,FALSE)),0,VLOOKUP(G$1,'offpeak-old'!$A$3:$DQ$20,$D528,FALSE))</f>
        <v>0</v>
      </c>
      <c r="H528" s="14">
        <f>IF(ISNA(VLOOKUP(H$1,'offpeak-old'!$A$3:$DQ$20,$D528,FALSE)),0,VLOOKUP(H$1,'offpeak-old'!$A$3:$DQ$20,$D528,FALSE))</f>
        <v>0</v>
      </c>
      <c r="I528" s="14">
        <f>IF(ISNA(VLOOKUP(I$1,'offpeak-old'!$A$3:$DQ$20,$D528,FALSE)),0,VLOOKUP(I$1,'offpeak-old'!$A$3:$DQ$20,$D528,FALSE))</f>
        <v>0</v>
      </c>
      <c r="J528" s="14">
        <f>IF(ISNA(VLOOKUP(J$1,'offpeak-old'!$A$3:$DQ$20,$D528,FALSE)),0,VLOOKUP(J$1,'offpeak-old'!$A$3:$DQ$20,$D528,FALSE))</f>
        <v>0</v>
      </c>
      <c r="K528" s="14">
        <f>IF(ISNA(VLOOKUP(K$1,'offpeak-old'!$A$3:$DQ$20,$D528,FALSE)),0,VLOOKUP(K$1,'offpeak-old'!$A$3:$DQ$20,$D528,FALSE))</f>
        <v>0</v>
      </c>
      <c r="L528" s="14">
        <f>IF(ISNA(VLOOKUP(L$1,'offpeak-old'!$A$3:$DQ$20,$D528,FALSE)),0,VLOOKUP(L$1,'offpeak-old'!$A$3:$DQ$20,$D528,FALSE))</f>
        <v>0</v>
      </c>
      <c r="M528" s="14">
        <f>IF(ISNA(VLOOKUP(M$1,'offpeak-old'!$A$3:$DQ$20,$D528,FALSE)),0,VLOOKUP(M$1,'offpeak-old'!$A$3:$DQ$20,$D528,FALSE))</f>
        <v>0</v>
      </c>
      <c r="N528" s="14"/>
      <c r="O528" s="14">
        <f>IF(ISNA(VLOOKUP(O$1,'offpeak-old'!$A$3:$DQ$20,$D528,FALSE)),0,VLOOKUP(O$1,'offpeak-old'!$A$3:$DQ$20,$D528,FALSE))</f>
        <v>0</v>
      </c>
      <c r="P528" s="14">
        <f>IF(ISNA(VLOOKUP(P$1,'offpeak-old'!$A$3:$DQ$20,$D528,FALSE)),0,VLOOKUP(P$1,'offpeak-old'!$A$3:$DQ$20,$D528,FALSE))</f>
        <v>0</v>
      </c>
      <c r="Q528" s="15">
        <f>IF(ISNA(VLOOKUP(Q$1,'offpeak-old'!$A$3:$DQ$20,$D528,FALSE)),0,VLOOKUP(Q$1,'offpeak-old'!$A$3:$DQ$20,$D528,FALSE))</f>
        <v>0</v>
      </c>
      <c r="R528" s="14">
        <f>IF(ISNA(VLOOKUP(R$1,'offpeak-old'!$A$3:$DQ$20,$D528,FALSE)),0,VLOOKUP(R$1,'offpeak-old'!$A$3:$DQ$20,$D528,FALSE))</f>
        <v>0</v>
      </c>
      <c r="S528" s="10"/>
    </row>
    <row r="529" spans="1:19" s="8" customFormat="1" x14ac:dyDescent="0.2">
      <c r="A529" s="8">
        <f t="shared" si="152"/>
        <v>2004</v>
      </c>
      <c r="B529" s="8">
        <f t="shared" si="153"/>
        <v>2</v>
      </c>
      <c r="C529" s="9">
        <f t="shared" si="150"/>
        <v>38018</v>
      </c>
      <c r="D529" s="8">
        <f t="shared" si="151"/>
        <v>34</v>
      </c>
      <c r="E529" s="14">
        <f>IF(ISNA(VLOOKUP(E$1,'offpeak-old'!$A$3:$DQ$20,$D529,FALSE)),0,VLOOKUP(E$1,'offpeak-old'!$A$3:$DQ$20,$D529,FALSE))</f>
        <v>27448</v>
      </c>
      <c r="F529" s="14">
        <f>IF(ISNA(VLOOKUP(F$1,'offpeak-old'!$A$3:$DQ$20,$D529,FALSE)),0,VLOOKUP(F$1,'offpeak-old'!$A$3:$DQ$20,$D529,FALSE))</f>
        <v>0</v>
      </c>
      <c r="G529" s="14">
        <f>IF(ISNA(VLOOKUP(G$1,'offpeak-old'!$A$3:$DQ$20,$D529,FALSE)),0,VLOOKUP(G$1,'offpeak-old'!$A$3:$DQ$20,$D529,FALSE))</f>
        <v>0</v>
      </c>
      <c r="H529" s="14">
        <f>IF(ISNA(VLOOKUP(H$1,'offpeak-old'!$A$3:$DQ$20,$D529,FALSE)),0,VLOOKUP(H$1,'offpeak-old'!$A$3:$DQ$20,$D529,FALSE))</f>
        <v>0</v>
      </c>
      <c r="I529" s="14">
        <f>IF(ISNA(VLOOKUP(I$1,'offpeak-old'!$A$3:$DQ$20,$D529,FALSE)),0,VLOOKUP(I$1,'offpeak-old'!$A$3:$DQ$20,$D529,FALSE))</f>
        <v>0</v>
      </c>
      <c r="J529" s="14">
        <f>IF(ISNA(VLOOKUP(J$1,'offpeak-old'!$A$3:$DQ$20,$D529,FALSE)),0,VLOOKUP(J$1,'offpeak-old'!$A$3:$DQ$20,$D529,FALSE))</f>
        <v>0</v>
      </c>
      <c r="K529" s="14">
        <f>IF(ISNA(VLOOKUP(K$1,'offpeak-old'!$A$3:$DQ$20,$D529,FALSE)),0,VLOOKUP(K$1,'offpeak-old'!$A$3:$DQ$20,$D529,FALSE))</f>
        <v>0</v>
      </c>
      <c r="L529" s="14">
        <f>IF(ISNA(VLOOKUP(L$1,'offpeak-old'!$A$3:$DQ$20,$D529,FALSE)),0,VLOOKUP(L$1,'offpeak-old'!$A$3:$DQ$20,$D529,FALSE))</f>
        <v>0</v>
      </c>
      <c r="M529" s="14">
        <f>IF(ISNA(VLOOKUP(M$1,'offpeak-old'!$A$3:$DQ$20,$D529,FALSE)),0,VLOOKUP(M$1,'offpeak-old'!$A$3:$DQ$20,$D529,FALSE))</f>
        <v>0</v>
      </c>
      <c r="N529" s="14"/>
      <c r="O529" s="14">
        <f>IF(ISNA(VLOOKUP(O$1,'offpeak-old'!$A$3:$DQ$20,$D529,FALSE)),0,VLOOKUP(O$1,'offpeak-old'!$A$3:$DQ$20,$D529,FALSE))</f>
        <v>0</v>
      </c>
      <c r="P529" s="14">
        <f>IF(ISNA(VLOOKUP(P$1,'offpeak-old'!$A$3:$DQ$20,$D529,FALSE)),0,VLOOKUP(P$1,'offpeak-old'!$A$3:$DQ$20,$D529,FALSE))</f>
        <v>0</v>
      </c>
      <c r="Q529" s="15">
        <f>IF(ISNA(VLOOKUP(Q$1,'offpeak-old'!$A$3:$DQ$20,$D529,FALSE)),0,VLOOKUP(Q$1,'offpeak-old'!$A$3:$DQ$20,$D529,FALSE))</f>
        <v>0</v>
      </c>
      <c r="R529" s="14">
        <f>IF(ISNA(VLOOKUP(R$1,'offpeak-old'!$A$3:$DQ$20,$D529,FALSE)),0,VLOOKUP(R$1,'offpeak-old'!$A$3:$DQ$20,$D529,FALSE))</f>
        <v>0</v>
      </c>
      <c r="S529" s="10"/>
    </row>
    <row r="530" spans="1:19" s="8" customFormat="1" x14ac:dyDescent="0.2">
      <c r="A530" s="8">
        <f t="shared" si="152"/>
        <v>2004</v>
      </c>
      <c r="B530" s="8">
        <f t="shared" si="153"/>
        <v>3</v>
      </c>
      <c r="C530" s="9">
        <f t="shared" si="150"/>
        <v>38047</v>
      </c>
      <c r="D530" s="8">
        <f t="shared" si="151"/>
        <v>35</v>
      </c>
      <c r="E530" s="14">
        <f>IF(ISNA(VLOOKUP(E$1,'offpeak-old'!$A$3:$DQ$20,$D530,FALSE)),0,VLOOKUP(E$1,'offpeak-old'!$A$3:$DQ$20,$D530,FALSE))</f>
        <v>27448</v>
      </c>
      <c r="F530" s="14">
        <f>IF(ISNA(VLOOKUP(F$1,'offpeak-old'!$A$3:$DQ$20,$D530,FALSE)),0,VLOOKUP(F$1,'offpeak-old'!$A$3:$DQ$20,$D530,FALSE))</f>
        <v>0</v>
      </c>
      <c r="G530" s="14">
        <f>IF(ISNA(VLOOKUP(G$1,'offpeak-old'!$A$3:$DQ$20,$D530,FALSE)),0,VLOOKUP(G$1,'offpeak-old'!$A$3:$DQ$20,$D530,FALSE))</f>
        <v>0</v>
      </c>
      <c r="H530" s="14">
        <f>IF(ISNA(VLOOKUP(H$1,'offpeak-old'!$A$3:$DQ$20,$D530,FALSE)),0,VLOOKUP(H$1,'offpeak-old'!$A$3:$DQ$20,$D530,FALSE))</f>
        <v>0</v>
      </c>
      <c r="I530" s="14">
        <f>IF(ISNA(VLOOKUP(I$1,'offpeak-old'!$A$3:$DQ$20,$D530,FALSE)),0,VLOOKUP(I$1,'offpeak-old'!$A$3:$DQ$20,$D530,FALSE))</f>
        <v>0</v>
      </c>
      <c r="J530" s="14">
        <f>IF(ISNA(VLOOKUP(J$1,'offpeak-old'!$A$3:$DQ$20,$D530,FALSE)),0,VLOOKUP(J$1,'offpeak-old'!$A$3:$DQ$20,$D530,FALSE))</f>
        <v>0</v>
      </c>
      <c r="K530" s="14">
        <f>IF(ISNA(VLOOKUP(K$1,'offpeak-old'!$A$3:$DQ$20,$D530,FALSE)),0,VLOOKUP(K$1,'offpeak-old'!$A$3:$DQ$20,$D530,FALSE))</f>
        <v>0</v>
      </c>
      <c r="L530" s="14">
        <f>IF(ISNA(VLOOKUP(L$1,'offpeak-old'!$A$3:$DQ$20,$D530,FALSE)),0,VLOOKUP(L$1,'offpeak-old'!$A$3:$DQ$20,$D530,FALSE))</f>
        <v>0</v>
      </c>
      <c r="M530" s="14">
        <f>IF(ISNA(VLOOKUP(M$1,'offpeak-old'!$A$3:$DQ$20,$D530,FALSE)),0,VLOOKUP(M$1,'offpeak-old'!$A$3:$DQ$20,$D530,FALSE))</f>
        <v>0</v>
      </c>
      <c r="N530" s="14"/>
      <c r="O530" s="14">
        <f>IF(ISNA(VLOOKUP(O$1,'offpeak-old'!$A$3:$DQ$20,$D530,FALSE)),0,VLOOKUP(O$1,'offpeak-old'!$A$3:$DQ$20,$D530,FALSE))</f>
        <v>0</v>
      </c>
      <c r="P530" s="14">
        <f>IF(ISNA(VLOOKUP(P$1,'offpeak-old'!$A$3:$DQ$20,$D530,FALSE)),0,VLOOKUP(P$1,'offpeak-old'!$A$3:$DQ$20,$D530,FALSE))</f>
        <v>0</v>
      </c>
      <c r="Q530" s="15">
        <f>IF(ISNA(VLOOKUP(Q$1,'offpeak-old'!$A$3:$DQ$20,$D530,FALSE)),0,VLOOKUP(Q$1,'offpeak-old'!$A$3:$DQ$20,$D530,FALSE))</f>
        <v>0</v>
      </c>
      <c r="R530" s="14">
        <f>IF(ISNA(VLOOKUP(R$1,'offpeak-old'!$A$3:$DQ$20,$D530,FALSE)),0,VLOOKUP(R$1,'offpeak-old'!$A$3:$DQ$20,$D530,FALSE))</f>
        <v>0</v>
      </c>
      <c r="S530" s="10"/>
    </row>
    <row r="531" spans="1:19" s="8" customFormat="1" x14ac:dyDescent="0.2">
      <c r="A531" s="8">
        <f t="shared" si="152"/>
        <v>2004</v>
      </c>
      <c r="B531" s="8">
        <f t="shared" si="153"/>
        <v>4</v>
      </c>
      <c r="C531" s="9">
        <f t="shared" si="150"/>
        <v>38078</v>
      </c>
      <c r="D531" s="8">
        <f t="shared" si="151"/>
        <v>36</v>
      </c>
      <c r="E531" s="14">
        <f>IF(ISNA(VLOOKUP(E$1,'offpeak-old'!$A$3:$DQ$20,$D531,FALSE)),0,VLOOKUP(E$1,'offpeak-old'!$A$3:$DQ$20,$D531,FALSE))</f>
        <v>26791</v>
      </c>
      <c r="F531" s="14">
        <f>IF(ISNA(VLOOKUP(F$1,'offpeak-old'!$A$3:$DQ$20,$D531,FALSE)),0,VLOOKUP(F$1,'offpeak-old'!$A$3:$DQ$20,$D531,FALSE))</f>
        <v>0</v>
      </c>
      <c r="G531" s="14">
        <f>IF(ISNA(VLOOKUP(G$1,'offpeak-old'!$A$3:$DQ$20,$D531,FALSE)),0,VLOOKUP(G$1,'offpeak-old'!$A$3:$DQ$20,$D531,FALSE))</f>
        <v>0</v>
      </c>
      <c r="H531" s="14">
        <f>IF(ISNA(VLOOKUP(H$1,'offpeak-old'!$A$3:$DQ$20,$D531,FALSE)),0,VLOOKUP(H$1,'offpeak-old'!$A$3:$DQ$20,$D531,FALSE))</f>
        <v>0</v>
      </c>
      <c r="I531" s="14">
        <f>IF(ISNA(VLOOKUP(I$1,'offpeak-old'!$A$3:$DQ$20,$D531,FALSE)),0,VLOOKUP(I$1,'offpeak-old'!$A$3:$DQ$20,$D531,FALSE))</f>
        <v>0</v>
      </c>
      <c r="J531" s="14">
        <f>IF(ISNA(VLOOKUP(J$1,'offpeak-old'!$A$3:$DQ$20,$D531,FALSE)),0,VLOOKUP(J$1,'offpeak-old'!$A$3:$DQ$20,$D531,FALSE))</f>
        <v>0</v>
      </c>
      <c r="K531" s="14">
        <f>IF(ISNA(VLOOKUP(K$1,'offpeak-old'!$A$3:$DQ$20,$D531,FALSE)),0,VLOOKUP(K$1,'offpeak-old'!$A$3:$DQ$20,$D531,FALSE))</f>
        <v>0</v>
      </c>
      <c r="L531" s="14">
        <f>IF(ISNA(VLOOKUP(L$1,'offpeak-old'!$A$3:$DQ$20,$D531,FALSE)),0,VLOOKUP(L$1,'offpeak-old'!$A$3:$DQ$20,$D531,FALSE))</f>
        <v>0</v>
      </c>
      <c r="M531" s="14">
        <f>IF(ISNA(VLOOKUP(M$1,'offpeak-old'!$A$3:$DQ$20,$D531,FALSE)),0,VLOOKUP(M$1,'offpeak-old'!$A$3:$DQ$20,$D531,FALSE))</f>
        <v>0</v>
      </c>
      <c r="N531" s="14"/>
      <c r="O531" s="14">
        <f>IF(ISNA(VLOOKUP(O$1,'offpeak-old'!$A$3:$DQ$20,$D531,FALSE)),0,VLOOKUP(O$1,'offpeak-old'!$A$3:$DQ$20,$D531,FALSE))</f>
        <v>0</v>
      </c>
      <c r="P531" s="14">
        <f>IF(ISNA(VLOOKUP(P$1,'offpeak-old'!$A$3:$DQ$20,$D531,FALSE)),0,VLOOKUP(P$1,'offpeak-old'!$A$3:$DQ$20,$D531,FALSE))</f>
        <v>0</v>
      </c>
      <c r="Q531" s="15">
        <f>IF(ISNA(VLOOKUP(Q$1,'offpeak-old'!$A$3:$DQ$20,$D531,FALSE)),0,VLOOKUP(Q$1,'offpeak-old'!$A$3:$DQ$20,$D531,FALSE))</f>
        <v>0</v>
      </c>
      <c r="R531" s="14">
        <f>IF(ISNA(VLOOKUP(R$1,'offpeak-old'!$A$3:$DQ$20,$D531,FALSE)),0,VLOOKUP(R$1,'offpeak-old'!$A$3:$DQ$20,$D531,FALSE))</f>
        <v>0</v>
      </c>
      <c r="S531" s="10"/>
    </row>
    <row r="532" spans="1:19" s="8" customFormat="1" x14ac:dyDescent="0.2">
      <c r="A532" s="8">
        <f t="shared" si="152"/>
        <v>2004</v>
      </c>
      <c r="B532" s="8">
        <f t="shared" si="153"/>
        <v>5</v>
      </c>
      <c r="C532" s="9">
        <f t="shared" si="150"/>
        <v>38108</v>
      </c>
      <c r="D532" s="8">
        <f t="shared" si="151"/>
        <v>37</v>
      </c>
      <c r="E532" s="14">
        <f>IF(ISNA(VLOOKUP(E$1,'offpeak-old'!$A$3:$DQ$20,$D532,FALSE)),0,VLOOKUP(E$1,'offpeak-old'!$A$3:$DQ$20,$D532,FALSE))</f>
        <v>30952</v>
      </c>
      <c r="F532" s="14">
        <f>IF(ISNA(VLOOKUP(F$1,'offpeak-old'!$A$3:$DQ$20,$D532,FALSE)),0,VLOOKUP(F$1,'offpeak-old'!$A$3:$DQ$20,$D532,FALSE))</f>
        <v>0</v>
      </c>
      <c r="G532" s="14">
        <f>IF(ISNA(VLOOKUP(G$1,'offpeak-old'!$A$3:$DQ$20,$D532,FALSE)),0,VLOOKUP(G$1,'offpeak-old'!$A$3:$DQ$20,$D532,FALSE))</f>
        <v>0</v>
      </c>
      <c r="H532" s="14">
        <f>IF(ISNA(VLOOKUP(H$1,'offpeak-old'!$A$3:$DQ$20,$D532,FALSE)),0,VLOOKUP(H$1,'offpeak-old'!$A$3:$DQ$20,$D532,FALSE))</f>
        <v>0</v>
      </c>
      <c r="I532" s="14">
        <f>IF(ISNA(VLOOKUP(I$1,'offpeak-old'!$A$3:$DQ$20,$D532,FALSE)),0,VLOOKUP(I$1,'offpeak-old'!$A$3:$DQ$20,$D532,FALSE))</f>
        <v>0</v>
      </c>
      <c r="J532" s="14">
        <f>IF(ISNA(VLOOKUP(J$1,'offpeak-old'!$A$3:$DQ$20,$D532,FALSE)),0,VLOOKUP(J$1,'offpeak-old'!$A$3:$DQ$20,$D532,FALSE))</f>
        <v>0</v>
      </c>
      <c r="K532" s="14">
        <f>IF(ISNA(VLOOKUP(K$1,'offpeak-old'!$A$3:$DQ$20,$D532,FALSE)),0,VLOOKUP(K$1,'offpeak-old'!$A$3:$DQ$20,$D532,FALSE))</f>
        <v>0</v>
      </c>
      <c r="L532" s="14">
        <f>IF(ISNA(VLOOKUP(L$1,'offpeak-old'!$A$3:$DQ$20,$D532,FALSE)),0,VLOOKUP(L$1,'offpeak-old'!$A$3:$DQ$20,$D532,FALSE))</f>
        <v>0</v>
      </c>
      <c r="M532" s="14">
        <f>IF(ISNA(VLOOKUP(M$1,'offpeak-old'!$A$3:$DQ$20,$D532,FALSE)),0,VLOOKUP(M$1,'offpeak-old'!$A$3:$DQ$20,$D532,FALSE))</f>
        <v>0</v>
      </c>
      <c r="N532" s="14"/>
      <c r="O532" s="14">
        <f>IF(ISNA(VLOOKUP(O$1,'offpeak-old'!$A$3:$DQ$20,$D532,FALSE)),0,VLOOKUP(O$1,'offpeak-old'!$A$3:$DQ$20,$D532,FALSE))</f>
        <v>0</v>
      </c>
      <c r="P532" s="14">
        <f>IF(ISNA(VLOOKUP(P$1,'offpeak-old'!$A$3:$DQ$20,$D532,FALSE)),0,VLOOKUP(P$1,'offpeak-old'!$A$3:$DQ$20,$D532,FALSE))</f>
        <v>0</v>
      </c>
      <c r="Q532" s="15">
        <f>IF(ISNA(VLOOKUP(Q$1,'offpeak-old'!$A$3:$DQ$20,$D532,FALSE)),0,VLOOKUP(Q$1,'offpeak-old'!$A$3:$DQ$20,$D532,FALSE))</f>
        <v>0</v>
      </c>
      <c r="R532" s="14">
        <f>IF(ISNA(VLOOKUP(R$1,'offpeak-old'!$A$3:$DQ$20,$D532,FALSE)),0,VLOOKUP(R$1,'offpeak-old'!$A$3:$DQ$20,$D532,FALSE))</f>
        <v>0</v>
      </c>
      <c r="S532" s="10"/>
    </row>
    <row r="533" spans="1:19" s="8" customFormat="1" x14ac:dyDescent="0.2">
      <c r="A533" s="8">
        <f t="shared" si="152"/>
        <v>2004</v>
      </c>
      <c r="B533" s="8">
        <f t="shared" si="153"/>
        <v>6</v>
      </c>
      <c r="C533" s="9">
        <f t="shared" si="150"/>
        <v>38139</v>
      </c>
      <c r="D533" s="8">
        <f t="shared" si="151"/>
        <v>38</v>
      </c>
      <c r="E533" s="14">
        <f>IF(ISNA(VLOOKUP(E$1,'offpeak-old'!$A$3:$DQ$20,$D533,FALSE)),0,VLOOKUP(E$1,'offpeak-old'!$A$3:$DQ$20,$D533,FALSE))</f>
        <v>26864</v>
      </c>
      <c r="F533" s="14">
        <f>IF(ISNA(VLOOKUP(F$1,'offpeak-old'!$A$3:$DQ$20,$D533,FALSE)),0,VLOOKUP(F$1,'offpeak-old'!$A$3:$DQ$20,$D533,FALSE))</f>
        <v>0</v>
      </c>
      <c r="G533" s="14">
        <f>IF(ISNA(VLOOKUP(G$1,'offpeak-old'!$A$3:$DQ$20,$D533,FALSE)),0,VLOOKUP(G$1,'offpeak-old'!$A$3:$DQ$20,$D533,FALSE))</f>
        <v>0</v>
      </c>
      <c r="H533" s="14">
        <f>IF(ISNA(VLOOKUP(H$1,'offpeak-old'!$A$3:$DQ$20,$D533,FALSE)),0,VLOOKUP(H$1,'offpeak-old'!$A$3:$DQ$20,$D533,FALSE))</f>
        <v>0</v>
      </c>
      <c r="I533" s="14">
        <f>IF(ISNA(VLOOKUP(I$1,'offpeak-old'!$A$3:$DQ$20,$D533,FALSE)),0,VLOOKUP(I$1,'offpeak-old'!$A$3:$DQ$20,$D533,FALSE))</f>
        <v>0</v>
      </c>
      <c r="J533" s="14">
        <f>IF(ISNA(VLOOKUP(J$1,'offpeak-old'!$A$3:$DQ$20,$D533,FALSE)),0,VLOOKUP(J$1,'offpeak-old'!$A$3:$DQ$20,$D533,FALSE))</f>
        <v>0</v>
      </c>
      <c r="K533" s="14">
        <f>IF(ISNA(VLOOKUP(K$1,'offpeak-old'!$A$3:$DQ$20,$D533,FALSE)),0,VLOOKUP(K$1,'offpeak-old'!$A$3:$DQ$20,$D533,FALSE))</f>
        <v>0</v>
      </c>
      <c r="L533" s="14">
        <f>IF(ISNA(VLOOKUP(L$1,'offpeak-old'!$A$3:$DQ$20,$D533,FALSE)),0,VLOOKUP(L$1,'offpeak-old'!$A$3:$DQ$20,$D533,FALSE))</f>
        <v>0</v>
      </c>
      <c r="M533" s="14">
        <f>IF(ISNA(VLOOKUP(M$1,'offpeak-old'!$A$3:$DQ$20,$D533,FALSE)),0,VLOOKUP(M$1,'offpeak-old'!$A$3:$DQ$20,$D533,FALSE))</f>
        <v>0</v>
      </c>
      <c r="N533" s="14"/>
      <c r="O533" s="14">
        <f>IF(ISNA(VLOOKUP(O$1,'offpeak-old'!$A$3:$DQ$20,$D533,FALSE)),0,VLOOKUP(O$1,'offpeak-old'!$A$3:$DQ$20,$D533,FALSE))</f>
        <v>0</v>
      </c>
      <c r="P533" s="14">
        <f>IF(ISNA(VLOOKUP(P$1,'offpeak-old'!$A$3:$DQ$20,$D533,FALSE)),0,VLOOKUP(P$1,'offpeak-old'!$A$3:$DQ$20,$D533,FALSE))</f>
        <v>0</v>
      </c>
      <c r="Q533" s="15">
        <f>IF(ISNA(VLOOKUP(Q$1,'offpeak-old'!$A$3:$DQ$20,$D533,FALSE)),0,VLOOKUP(Q$1,'offpeak-old'!$A$3:$DQ$20,$D533,FALSE))</f>
        <v>0</v>
      </c>
      <c r="R533" s="14">
        <f>IF(ISNA(VLOOKUP(R$1,'offpeak-old'!$A$3:$DQ$20,$D533,FALSE)),0,VLOOKUP(R$1,'offpeak-old'!$A$3:$DQ$20,$D533,FALSE))</f>
        <v>0</v>
      </c>
      <c r="S533" s="10"/>
    </row>
    <row r="534" spans="1:19" s="8" customFormat="1" x14ac:dyDescent="0.2">
      <c r="A534" s="8">
        <f t="shared" si="152"/>
        <v>2004</v>
      </c>
      <c r="B534" s="8">
        <f t="shared" si="153"/>
        <v>7</v>
      </c>
      <c r="C534" s="9">
        <f t="shared" si="150"/>
        <v>38169</v>
      </c>
      <c r="D534" s="8">
        <f t="shared" si="151"/>
        <v>39</v>
      </c>
      <c r="E534" s="14">
        <f>IF(ISNA(VLOOKUP(E$1,'offpeak-old'!$A$3:$DQ$20,$D534,FALSE)),0,VLOOKUP(E$1,'offpeak-old'!$A$3:$DQ$20,$D534,FALSE))</f>
        <v>29784</v>
      </c>
      <c r="F534" s="14">
        <f>IF(ISNA(VLOOKUP(F$1,'offpeak-old'!$A$3:$DQ$20,$D534,FALSE)),0,VLOOKUP(F$1,'offpeak-old'!$A$3:$DQ$20,$D534,FALSE))</f>
        <v>0</v>
      </c>
      <c r="G534" s="14">
        <f>IF(ISNA(VLOOKUP(G$1,'offpeak-old'!$A$3:$DQ$20,$D534,FALSE)),0,VLOOKUP(G$1,'offpeak-old'!$A$3:$DQ$20,$D534,FALSE))</f>
        <v>0</v>
      </c>
      <c r="H534" s="14">
        <f>IF(ISNA(VLOOKUP(H$1,'offpeak-old'!$A$3:$DQ$20,$D534,FALSE)),0,VLOOKUP(H$1,'offpeak-old'!$A$3:$DQ$20,$D534,FALSE))</f>
        <v>0</v>
      </c>
      <c r="I534" s="14">
        <f>IF(ISNA(VLOOKUP(I$1,'offpeak-old'!$A$3:$DQ$20,$D534,FALSE)),0,VLOOKUP(I$1,'offpeak-old'!$A$3:$DQ$20,$D534,FALSE))</f>
        <v>0</v>
      </c>
      <c r="J534" s="14">
        <f>IF(ISNA(VLOOKUP(J$1,'offpeak-old'!$A$3:$DQ$20,$D534,FALSE)),0,VLOOKUP(J$1,'offpeak-old'!$A$3:$DQ$20,$D534,FALSE))</f>
        <v>0</v>
      </c>
      <c r="K534" s="14">
        <f>IF(ISNA(VLOOKUP(K$1,'offpeak-old'!$A$3:$DQ$20,$D534,FALSE)),0,VLOOKUP(K$1,'offpeak-old'!$A$3:$DQ$20,$D534,FALSE))</f>
        <v>0</v>
      </c>
      <c r="L534" s="14">
        <f>IF(ISNA(VLOOKUP(L$1,'offpeak-old'!$A$3:$DQ$20,$D534,FALSE)),0,VLOOKUP(L$1,'offpeak-old'!$A$3:$DQ$20,$D534,FALSE))</f>
        <v>0</v>
      </c>
      <c r="M534" s="14">
        <f>IF(ISNA(VLOOKUP(M$1,'offpeak-old'!$A$3:$DQ$20,$D534,FALSE)),0,VLOOKUP(M$1,'offpeak-old'!$A$3:$DQ$20,$D534,FALSE))</f>
        <v>0</v>
      </c>
      <c r="N534" s="14"/>
      <c r="O534" s="14">
        <f>IF(ISNA(VLOOKUP(O$1,'offpeak-old'!$A$3:$DQ$20,$D534,FALSE)),0,VLOOKUP(O$1,'offpeak-old'!$A$3:$DQ$20,$D534,FALSE))</f>
        <v>0</v>
      </c>
      <c r="P534" s="14">
        <f>IF(ISNA(VLOOKUP(P$1,'offpeak-old'!$A$3:$DQ$20,$D534,FALSE)),0,VLOOKUP(P$1,'offpeak-old'!$A$3:$DQ$20,$D534,FALSE))</f>
        <v>0</v>
      </c>
      <c r="Q534" s="15">
        <f>IF(ISNA(VLOOKUP(Q$1,'offpeak-old'!$A$3:$DQ$20,$D534,FALSE)),0,VLOOKUP(Q$1,'offpeak-old'!$A$3:$DQ$20,$D534,FALSE))</f>
        <v>0</v>
      </c>
      <c r="R534" s="14">
        <f>IF(ISNA(VLOOKUP(R$1,'offpeak-old'!$A$3:$DQ$20,$D534,FALSE)),0,VLOOKUP(R$1,'offpeak-old'!$A$3:$DQ$20,$D534,FALSE))</f>
        <v>0</v>
      </c>
      <c r="S534" s="10"/>
    </row>
    <row r="535" spans="1:19" s="8" customFormat="1" x14ac:dyDescent="0.2">
      <c r="A535" s="8">
        <f t="shared" si="152"/>
        <v>2004</v>
      </c>
      <c r="B535" s="8">
        <f t="shared" si="153"/>
        <v>8</v>
      </c>
      <c r="C535" s="9">
        <f t="shared" si="150"/>
        <v>38200</v>
      </c>
      <c r="D535" s="8">
        <f t="shared" si="151"/>
        <v>40</v>
      </c>
      <c r="E535" s="14">
        <f>IF(ISNA(VLOOKUP(E$1,'offpeak-old'!$A$3:$DQ$20,$D535,FALSE)),0,VLOOKUP(E$1,'offpeak-old'!$A$3:$DQ$20,$D535,FALSE))</f>
        <v>28616</v>
      </c>
      <c r="F535" s="14">
        <f>IF(ISNA(VLOOKUP(F$1,'offpeak-old'!$A$3:$DQ$20,$D535,FALSE)),0,VLOOKUP(F$1,'offpeak-old'!$A$3:$DQ$20,$D535,FALSE))</f>
        <v>0</v>
      </c>
      <c r="G535" s="14">
        <f>IF(ISNA(VLOOKUP(G$1,'offpeak-old'!$A$3:$DQ$20,$D535,FALSE)),0,VLOOKUP(G$1,'offpeak-old'!$A$3:$DQ$20,$D535,FALSE))</f>
        <v>0</v>
      </c>
      <c r="H535" s="14">
        <f>IF(ISNA(VLOOKUP(H$1,'offpeak-old'!$A$3:$DQ$20,$D535,FALSE)),0,VLOOKUP(H$1,'offpeak-old'!$A$3:$DQ$20,$D535,FALSE))</f>
        <v>0</v>
      </c>
      <c r="I535" s="14">
        <f>IF(ISNA(VLOOKUP(I$1,'offpeak-old'!$A$3:$DQ$20,$D535,FALSE)),0,VLOOKUP(I$1,'offpeak-old'!$A$3:$DQ$20,$D535,FALSE))</f>
        <v>0</v>
      </c>
      <c r="J535" s="14">
        <f>IF(ISNA(VLOOKUP(J$1,'offpeak-old'!$A$3:$DQ$20,$D535,FALSE)),0,VLOOKUP(J$1,'offpeak-old'!$A$3:$DQ$20,$D535,FALSE))</f>
        <v>0</v>
      </c>
      <c r="K535" s="14">
        <f>IF(ISNA(VLOOKUP(K$1,'offpeak-old'!$A$3:$DQ$20,$D535,FALSE)),0,VLOOKUP(K$1,'offpeak-old'!$A$3:$DQ$20,$D535,FALSE))</f>
        <v>0</v>
      </c>
      <c r="L535" s="14">
        <f>IF(ISNA(VLOOKUP(L$1,'offpeak-old'!$A$3:$DQ$20,$D535,FALSE)),0,VLOOKUP(L$1,'offpeak-old'!$A$3:$DQ$20,$D535,FALSE))</f>
        <v>0</v>
      </c>
      <c r="M535" s="14">
        <f>IF(ISNA(VLOOKUP(M$1,'offpeak-old'!$A$3:$DQ$20,$D535,FALSE)),0,VLOOKUP(M$1,'offpeak-old'!$A$3:$DQ$20,$D535,FALSE))</f>
        <v>0</v>
      </c>
      <c r="N535" s="14"/>
      <c r="O535" s="14">
        <f>IF(ISNA(VLOOKUP(O$1,'offpeak-old'!$A$3:$DQ$20,$D535,FALSE)),0,VLOOKUP(O$1,'offpeak-old'!$A$3:$DQ$20,$D535,FALSE))</f>
        <v>0</v>
      </c>
      <c r="P535" s="14">
        <f>IF(ISNA(VLOOKUP(P$1,'offpeak-old'!$A$3:$DQ$20,$D535,FALSE)),0,VLOOKUP(P$1,'offpeak-old'!$A$3:$DQ$20,$D535,FALSE))</f>
        <v>0</v>
      </c>
      <c r="Q535" s="15">
        <f>IF(ISNA(VLOOKUP(Q$1,'offpeak-old'!$A$3:$DQ$20,$D535,FALSE)),0,VLOOKUP(Q$1,'offpeak-old'!$A$3:$DQ$20,$D535,FALSE))</f>
        <v>0</v>
      </c>
      <c r="R535" s="14">
        <f>IF(ISNA(VLOOKUP(R$1,'offpeak-old'!$A$3:$DQ$20,$D535,FALSE)),0,VLOOKUP(R$1,'offpeak-old'!$A$3:$DQ$20,$D535,FALSE))</f>
        <v>0</v>
      </c>
      <c r="S535" s="10"/>
    </row>
    <row r="536" spans="1:19" s="8" customFormat="1" x14ac:dyDescent="0.2">
      <c r="A536" s="8">
        <f t="shared" si="152"/>
        <v>2004</v>
      </c>
      <c r="B536" s="8">
        <f t="shared" si="153"/>
        <v>9</v>
      </c>
      <c r="C536" s="9">
        <f t="shared" si="150"/>
        <v>38231</v>
      </c>
      <c r="D536" s="8">
        <f t="shared" si="151"/>
        <v>41</v>
      </c>
      <c r="E536" s="14">
        <f>IF(ISNA(VLOOKUP(E$1,'offpeak-old'!$A$3:$DQ$20,$D536,FALSE)),0,VLOOKUP(E$1,'offpeak-old'!$A$3:$DQ$20,$D536,FALSE))</f>
        <v>28032</v>
      </c>
      <c r="F536" s="14">
        <f>IF(ISNA(VLOOKUP(F$1,'offpeak-old'!$A$3:$DQ$20,$D536,FALSE)),0,VLOOKUP(F$1,'offpeak-old'!$A$3:$DQ$20,$D536,FALSE))</f>
        <v>0</v>
      </c>
      <c r="G536" s="14">
        <f>IF(ISNA(VLOOKUP(G$1,'offpeak-old'!$A$3:$DQ$20,$D536,FALSE)),0,VLOOKUP(G$1,'offpeak-old'!$A$3:$DQ$20,$D536,FALSE))</f>
        <v>0</v>
      </c>
      <c r="H536" s="14">
        <f>IF(ISNA(VLOOKUP(H$1,'offpeak-old'!$A$3:$DQ$20,$D536,FALSE)),0,VLOOKUP(H$1,'offpeak-old'!$A$3:$DQ$20,$D536,FALSE))</f>
        <v>0</v>
      </c>
      <c r="I536" s="14">
        <f>IF(ISNA(VLOOKUP(I$1,'offpeak-old'!$A$3:$DQ$20,$D536,FALSE)),0,VLOOKUP(I$1,'offpeak-old'!$A$3:$DQ$20,$D536,FALSE))</f>
        <v>0</v>
      </c>
      <c r="J536" s="14">
        <f>IF(ISNA(VLOOKUP(J$1,'offpeak-old'!$A$3:$DQ$20,$D536,FALSE)),0,VLOOKUP(J$1,'offpeak-old'!$A$3:$DQ$20,$D536,FALSE))</f>
        <v>0</v>
      </c>
      <c r="K536" s="14">
        <f>IF(ISNA(VLOOKUP(K$1,'offpeak-old'!$A$3:$DQ$20,$D536,FALSE)),0,VLOOKUP(K$1,'offpeak-old'!$A$3:$DQ$20,$D536,FALSE))</f>
        <v>0</v>
      </c>
      <c r="L536" s="14">
        <f>IF(ISNA(VLOOKUP(L$1,'offpeak-old'!$A$3:$DQ$20,$D536,FALSE)),0,VLOOKUP(L$1,'offpeak-old'!$A$3:$DQ$20,$D536,FALSE))</f>
        <v>0</v>
      </c>
      <c r="M536" s="14">
        <f>IF(ISNA(VLOOKUP(M$1,'offpeak-old'!$A$3:$DQ$20,$D536,FALSE)),0,VLOOKUP(M$1,'offpeak-old'!$A$3:$DQ$20,$D536,FALSE))</f>
        <v>0</v>
      </c>
      <c r="N536" s="14"/>
      <c r="O536" s="14">
        <f>IF(ISNA(VLOOKUP(O$1,'offpeak-old'!$A$3:$DQ$20,$D536,FALSE)),0,VLOOKUP(O$1,'offpeak-old'!$A$3:$DQ$20,$D536,FALSE))</f>
        <v>0</v>
      </c>
      <c r="P536" s="14">
        <f>IF(ISNA(VLOOKUP(P$1,'offpeak-old'!$A$3:$DQ$20,$D536,FALSE)),0,VLOOKUP(P$1,'offpeak-old'!$A$3:$DQ$20,$D536,FALSE))</f>
        <v>0</v>
      </c>
      <c r="Q536" s="15">
        <f>IF(ISNA(VLOOKUP(Q$1,'offpeak-old'!$A$3:$DQ$20,$D536,FALSE)),0,VLOOKUP(Q$1,'offpeak-old'!$A$3:$DQ$20,$D536,FALSE))</f>
        <v>0</v>
      </c>
      <c r="R536" s="14">
        <f>IF(ISNA(VLOOKUP(R$1,'offpeak-old'!$A$3:$DQ$20,$D536,FALSE)),0,VLOOKUP(R$1,'offpeak-old'!$A$3:$DQ$20,$D536,FALSE))</f>
        <v>0</v>
      </c>
      <c r="S536" s="10"/>
    </row>
    <row r="537" spans="1:19" s="8" customFormat="1" x14ac:dyDescent="0.2">
      <c r="A537" s="8">
        <f t="shared" si="152"/>
        <v>2004</v>
      </c>
      <c r="B537" s="8">
        <f t="shared" si="153"/>
        <v>10</v>
      </c>
      <c r="C537" s="9">
        <f t="shared" si="150"/>
        <v>38261</v>
      </c>
      <c r="D537" s="8">
        <f t="shared" si="151"/>
        <v>42</v>
      </c>
      <c r="E537" s="14">
        <f>IF(ISNA(VLOOKUP(E$1,'offpeak-old'!$A$3:$DQ$20,$D537,FALSE)),0,VLOOKUP(E$1,'offpeak-old'!$A$3:$DQ$20,$D537,FALSE))</f>
        <v>29857</v>
      </c>
      <c r="F537" s="14">
        <f>IF(ISNA(VLOOKUP(F$1,'offpeak-old'!$A$3:$DQ$20,$D537,FALSE)),0,VLOOKUP(F$1,'offpeak-old'!$A$3:$DQ$20,$D537,FALSE))</f>
        <v>0</v>
      </c>
      <c r="G537" s="14">
        <f>IF(ISNA(VLOOKUP(G$1,'offpeak-old'!$A$3:$DQ$20,$D537,FALSE)),0,VLOOKUP(G$1,'offpeak-old'!$A$3:$DQ$20,$D537,FALSE))</f>
        <v>0</v>
      </c>
      <c r="H537" s="14">
        <f>IF(ISNA(VLOOKUP(H$1,'offpeak-old'!$A$3:$DQ$20,$D537,FALSE)),0,VLOOKUP(H$1,'offpeak-old'!$A$3:$DQ$20,$D537,FALSE))</f>
        <v>0</v>
      </c>
      <c r="I537" s="14">
        <f>IF(ISNA(VLOOKUP(I$1,'offpeak-old'!$A$3:$DQ$20,$D537,FALSE)),0,VLOOKUP(I$1,'offpeak-old'!$A$3:$DQ$20,$D537,FALSE))</f>
        <v>0</v>
      </c>
      <c r="J537" s="14">
        <f>IF(ISNA(VLOOKUP(J$1,'offpeak-old'!$A$3:$DQ$20,$D537,FALSE)),0,VLOOKUP(J$1,'offpeak-old'!$A$3:$DQ$20,$D537,FALSE))</f>
        <v>0</v>
      </c>
      <c r="K537" s="14">
        <f>IF(ISNA(VLOOKUP(K$1,'offpeak-old'!$A$3:$DQ$20,$D537,FALSE)),0,VLOOKUP(K$1,'offpeak-old'!$A$3:$DQ$20,$D537,FALSE))</f>
        <v>0</v>
      </c>
      <c r="L537" s="14">
        <f>IF(ISNA(VLOOKUP(L$1,'offpeak-old'!$A$3:$DQ$20,$D537,FALSE)),0,VLOOKUP(L$1,'offpeak-old'!$A$3:$DQ$20,$D537,FALSE))</f>
        <v>0</v>
      </c>
      <c r="M537" s="14">
        <f>IF(ISNA(VLOOKUP(M$1,'offpeak-old'!$A$3:$DQ$20,$D537,FALSE)),0,VLOOKUP(M$1,'offpeak-old'!$A$3:$DQ$20,$D537,FALSE))</f>
        <v>0</v>
      </c>
      <c r="N537" s="14"/>
      <c r="O537" s="14">
        <f>IF(ISNA(VLOOKUP(O$1,'offpeak-old'!$A$3:$DQ$20,$D537,FALSE)),0,VLOOKUP(O$1,'offpeak-old'!$A$3:$DQ$20,$D537,FALSE))</f>
        <v>0</v>
      </c>
      <c r="P537" s="14">
        <f>IF(ISNA(VLOOKUP(P$1,'offpeak-old'!$A$3:$DQ$20,$D537,FALSE)),0,VLOOKUP(P$1,'offpeak-old'!$A$3:$DQ$20,$D537,FALSE))</f>
        <v>0</v>
      </c>
      <c r="Q537" s="15">
        <f>IF(ISNA(VLOOKUP(Q$1,'offpeak-old'!$A$3:$DQ$20,$D537,FALSE)),0,VLOOKUP(Q$1,'offpeak-old'!$A$3:$DQ$20,$D537,FALSE))</f>
        <v>0</v>
      </c>
      <c r="R537" s="14">
        <f>IF(ISNA(VLOOKUP(R$1,'offpeak-old'!$A$3:$DQ$20,$D537,FALSE)),0,VLOOKUP(R$1,'offpeak-old'!$A$3:$DQ$20,$D537,FALSE))</f>
        <v>0</v>
      </c>
      <c r="S537" s="10"/>
    </row>
    <row r="538" spans="1:19" s="8" customFormat="1" x14ac:dyDescent="0.2">
      <c r="A538" s="8">
        <f t="shared" si="152"/>
        <v>2004</v>
      </c>
      <c r="B538" s="8">
        <f t="shared" si="153"/>
        <v>11</v>
      </c>
      <c r="C538" s="9">
        <f t="shared" si="150"/>
        <v>38292</v>
      </c>
      <c r="D538" s="8">
        <f t="shared" si="151"/>
        <v>43</v>
      </c>
      <c r="E538" s="14">
        <f>IF(ISNA(VLOOKUP(E$1,'offpeak-old'!$A$3:$DQ$20,$D538,FALSE)),0,VLOOKUP(E$1,'offpeak-old'!$A$3:$DQ$20,$D538,FALSE))</f>
        <v>28032</v>
      </c>
      <c r="F538" s="14">
        <f>IF(ISNA(VLOOKUP(F$1,'offpeak-old'!$A$3:$DQ$20,$D538,FALSE)),0,VLOOKUP(F$1,'offpeak-old'!$A$3:$DQ$20,$D538,FALSE))</f>
        <v>0</v>
      </c>
      <c r="G538" s="14">
        <f>IF(ISNA(VLOOKUP(G$1,'offpeak-old'!$A$3:$DQ$20,$D538,FALSE)),0,VLOOKUP(G$1,'offpeak-old'!$A$3:$DQ$20,$D538,FALSE))</f>
        <v>0</v>
      </c>
      <c r="H538" s="14">
        <f>IF(ISNA(VLOOKUP(H$1,'offpeak-old'!$A$3:$DQ$20,$D538,FALSE)),0,VLOOKUP(H$1,'offpeak-old'!$A$3:$DQ$20,$D538,FALSE))</f>
        <v>0</v>
      </c>
      <c r="I538" s="14">
        <f>IF(ISNA(VLOOKUP(I$1,'offpeak-old'!$A$3:$DQ$20,$D538,FALSE)),0,VLOOKUP(I$1,'offpeak-old'!$A$3:$DQ$20,$D538,FALSE))</f>
        <v>0</v>
      </c>
      <c r="J538" s="14">
        <f>IF(ISNA(VLOOKUP(J$1,'offpeak-old'!$A$3:$DQ$20,$D538,FALSE)),0,VLOOKUP(J$1,'offpeak-old'!$A$3:$DQ$20,$D538,FALSE))</f>
        <v>0</v>
      </c>
      <c r="K538" s="14">
        <f>IF(ISNA(VLOOKUP(K$1,'offpeak-old'!$A$3:$DQ$20,$D538,FALSE)),0,VLOOKUP(K$1,'offpeak-old'!$A$3:$DQ$20,$D538,FALSE))</f>
        <v>0</v>
      </c>
      <c r="L538" s="14">
        <f>IF(ISNA(VLOOKUP(L$1,'offpeak-old'!$A$3:$DQ$20,$D538,FALSE)),0,VLOOKUP(L$1,'offpeak-old'!$A$3:$DQ$20,$D538,FALSE))</f>
        <v>0</v>
      </c>
      <c r="M538" s="14">
        <f>IF(ISNA(VLOOKUP(M$1,'offpeak-old'!$A$3:$DQ$20,$D538,FALSE)),0,VLOOKUP(M$1,'offpeak-old'!$A$3:$DQ$20,$D538,FALSE))</f>
        <v>0</v>
      </c>
      <c r="N538" s="14"/>
      <c r="O538" s="14">
        <f>IF(ISNA(VLOOKUP(O$1,'offpeak-old'!$A$3:$DQ$20,$D538,FALSE)),0,VLOOKUP(O$1,'offpeak-old'!$A$3:$DQ$20,$D538,FALSE))</f>
        <v>0</v>
      </c>
      <c r="P538" s="14">
        <f>IF(ISNA(VLOOKUP(P$1,'offpeak-old'!$A$3:$DQ$20,$D538,FALSE)),0,VLOOKUP(P$1,'offpeak-old'!$A$3:$DQ$20,$D538,FALSE))</f>
        <v>0</v>
      </c>
      <c r="Q538" s="15">
        <f>IF(ISNA(VLOOKUP(Q$1,'offpeak-old'!$A$3:$DQ$20,$D538,FALSE)),0,VLOOKUP(Q$1,'offpeak-old'!$A$3:$DQ$20,$D538,FALSE))</f>
        <v>0</v>
      </c>
      <c r="R538" s="14">
        <f>IF(ISNA(VLOOKUP(R$1,'offpeak-old'!$A$3:$DQ$20,$D538,FALSE)),0,VLOOKUP(R$1,'offpeak-old'!$A$3:$DQ$20,$D538,FALSE))</f>
        <v>0</v>
      </c>
      <c r="S538" s="10"/>
    </row>
    <row r="539" spans="1:19" s="8" customFormat="1" x14ac:dyDescent="0.2">
      <c r="A539" s="8">
        <f t="shared" si="152"/>
        <v>2004</v>
      </c>
      <c r="B539" s="8">
        <f t="shared" si="153"/>
        <v>12</v>
      </c>
      <c r="C539" s="9">
        <f t="shared" si="150"/>
        <v>38322</v>
      </c>
      <c r="D539" s="8">
        <f t="shared" si="151"/>
        <v>44</v>
      </c>
      <c r="E539" s="14">
        <f>IF(ISNA(VLOOKUP(E$1,'offpeak-old'!$A$3:$DQ$20,$D539,FALSE)),0,VLOOKUP(E$1,'offpeak-old'!$A$3:$DQ$20,$D539,FALSE))</f>
        <v>27448</v>
      </c>
      <c r="F539" s="14">
        <f>IF(ISNA(VLOOKUP(F$1,'offpeak-old'!$A$3:$DQ$20,$D539,FALSE)),0,VLOOKUP(F$1,'offpeak-old'!$A$3:$DQ$20,$D539,FALSE))</f>
        <v>0</v>
      </c>
      <c r="G539" s="14">
        <f>IF(ISNA(VLOOKUP(G$1,'offpeak-old'!$A$3:$DQ$20,$D539,FALSE)),0,VLOOKUP(G$1,'offpeak-old'!$A$3:$DQ$20,$D539,FALSE))</f>
        <v>0</v>
      </c>
      <c r="H539" s="14">
        <f>IF(ISNA(VLOOKUP(H$1,'offpeak-old'!$A$3:$DQ$20,$D539,FALSE)),0,VLOOKUP(H$1,'offpeak-old'!$A$3:$DQ$20,$D539,FALSE))</f>
        <v>0</v>
      </c>
      <c r="I539" s="14">
        <f>IF(ISNA(VLOOKUP(I$1,'offpeak-old'!$A$3:$DQ$20,$D539,FALSE)),0,VLOOKUP(I$1,'offpeak-old'!$A$3:$DQ$20,$D539,FALSE))</f>
        <v>0</v>
      </c>
      <c r="J539" s="14">
        <f>IF(ISNA(VLOOKUP(J$1,'offpeak-old'!$A$3:$DQ$20,$D539,FALSE)),0,VLOOKUP(J$1,'offpeak-old'!$A$3:$DQ$20,$D539,FALSE))</f>
        <v>0</v>
      </c>
      <c r="K539" s="14">
        <f>IF(ISNA(VLOOKUP(K$1,'offpeak-old'!$A$3:$DQ$20,$D539,FALSE)),0,VLOOKUP(K$1,'offpeak-old'!$A$3:$DQ$20,$D539,FALSE))</f>
        <v>0</v>
      </c>
      <c r="L539" s="14">
        <f>IF(ISNA(VLOOKUP(L$1,'offpeak-old'!$A$3:$DQ$20,$D539,FALSE)),0,VLOOKUP(L$1,'offpeak-old'!$A$3:$DQ$20,$D539,FALSE))</f>
        <v>0</v>
      </c>
      <c r="M539" s="14">
        <f>IF(ISNA(VLOOKUP(M$1,'offpeak-old'!$A$3:$DQ$20,$D539,FALSE)),0,VLOOKUP(M$1,'offpeak-old'!$A$3:$DQ$20,$D539,FALSE))</f>
        <v>0</v>
      </c>
      <c r="N539" s="14"/>
      <c r="O539" s="14">
        <f>IF(ISNA(VLOOKUP(O$1,'offpeak-old'!$A$3:$DQ$20,$D539,FALSE)),0,VLOOKUP(O$1,'offpeak-old'!$A$3:$DQ$20,$D539,FALSE))</f>
        <v>0</v>
      </c>
      <c r="P539" s="14">
        <f>IF(ISNA(VLOOKUP(P$1,'offpeak-old'!$A$3:$DQ$20,$D539,FALSE)),0,VLOOKUP(P$1,'offpeak-old'!$A$3:$DQ$20,$D539,FALSE))</f>
        <v>0</v>
      </c>
      <c r="Q539" s="15">
        <f>IF(ISNA(VLOOKUP(Q$1,'offpeak-old'!$A$3:$DQ$20,$D539,FALSE)),0,VLOOKUP(Q$1,'offpeak-old'!$A$3:$DQ$20,$D539,FALSE))</f>
        <v>0</v>
      </c>
      <c r="R539" s="14">
        <f>IF(ISNA(VLOOKUP(R$1,'offpeak-old'!$A$3:$DQ$20,$D539,FALSE)),0,VLOOKUP(R$1,'offpeak-old'!$A$3:$DQ$20,$D539,FALSE))</f>
        <v>0</v>
      </c>
      <c r="S539" s="10"/>
    </row>
    <row r="540" spans="1:19" s="8" customFormat="1" x14ac:dyDescent="0.2">
      <c r="A540" s="8">
        <f t="shared" si="152"/>
        <v>2005</v>
      </c>
      <c r="B540" s="8">
        <f t="shared" si="153"/>
        <v>1</v>
      </c>
      <c r="C540" s="9">
        <f t="shared" si="150"/>
        <v>38353</v>
      </c>
      <c r="D540" s="8">
        <f t="shared" si="151"/>
        <v>45</v>
      </c>
      <c r="E540" s="14">
        <f>IF(ISNA(VLOOKUP(E$1,'offpeak-old'!$A$3:$DQ$20,$D540,FALSE)),0,VLOOKUP(E$1,'offpeak-old'!$A$3:$DQ$20,$D540,FALSE))</f>
        <v>70584</v>
      </c>
      <c r="F540" s="14">
        <f>IF(ISNA(VLOOKUP(F$1,'offpeak-old'!$A$3:$DQ$20,$D540,FALSE)),0,VLOOKUP(F$1,'offpeak-old'!$A$3:$DQ$20,$D540,FALSE))</f>
        <v>0</v>
      </c>
      <c r="G540" s="14">
        <f>IF(ISNA(VLOOKUP(G$1,'offpeak-old'!$A$3:$DQ$20,$D540,FALSE)),0,VLOOKUP(G$1,'offpeak-old'!$A$3:$DQ$20,$D540,FALSE))</f>
        <v>0</v>
      </c>
      <c r="H540" s="14">
        <f>IF(ISNA(VLOOKUP(H$1,'offpeak-old'!$A$3:$DQ$20,$D540,FALSE)),0,VLOOKUP(H$1,'offpeak-old'!$A$3:$DQ$20,$D540,FALSE))</f>
        <v>0</v>
      </c>
      <c r="I540" s="14">
        <f>IF(ISNA(VLOOKUP(I$1,'offpeak-old'!$A$3:$DQ$20,$D540,FALSE)),0,VLOOKUP(I$1,'offpeak-old'!$A$3:$DQ$20,$D540,FALSE))</f>
        <v>0</v>
      </c>
      <c r="J540" s="14">
        <f>IF(ISNA(VLOOKUP(J$1,'offpeak-old'!$A$3:$DQ$20,$D540,FALSE)),0,VLOOKUP(J$1,'offpeak-old'!$A$3:$DQ$20,$D540,FALSE))</f>
        <v>0</v>
      </c>
      <c r="K540" s="14">
        <f>IF(ISNA(VLOOKUP(K$1,'offpeak-old'!$A$3:$DQ$20,$D540,FALSE)),0,VLOOKUP(K$1,'offpeak-old'!$A$3:$DQ$20,$D540,FALSE))</f>
        <v>0</v>
      </c>
      <c r="L540" s="14">
        <f>IF(ISNA(VLOOKUP(L$1,'offpeak-old'!$A$3:$DQ$20,$D540,FALSE)),0,VLOOKUP(L$1,'offpeak-old'!$A$3:$DQ$20,$D540,FALSE))</f>
        <v>0</v>
      </c>
      <c r="M540" s="14">
        <f>IF(ISNA(VLOOKUP(M$1,'offpeak-old'!$A$3:$DQ$20,$D540,FALSE)),0,VLOOKUP(M$1,'offpeak-old'!$A$3:$DQ$20,$D540,FALSE))</f>
        <v>0</v>
      </c>
      <c r="N540" s="14"/>
      <c r="O540" s="14">
        <f>IF(ISNA(VLOOKUP(O$1,'offpeak-old'!$A$3:$DQ$20,$D540,FALSE)),0,VLOOKUP(O$1,'offpeak-old'!$A$3:$DQ$20,$D540,FALSE))</f>
        <v>0</v>
      </c>
      <c r="P540" s="14">
        <f>IF(ISNA(VLOOKUP(P$1,'offpeak-old'!$A$3:$DQ$20,$D540,FALSE)),0,VLOOKUP(P$1,'offpeak-old'!$A$3:$DQ$20,$D540,FALSE))</f>
        <v>0</v>
      </c>
      <c r="Q540" s="15">
        <f>IF(ISNA(VLOOKUP(Q$1,'offpeak-old'!$A$3:$DQ$20,$D540,FALSE)),0,VLOOKUP(Q$1,'offpeak-old'!$A$3:$DQ$20,$D540,FALSE))</f>
        <v>0</v>
      </c>
      <c r="R540" s="14">
        <f>IF(ISNA(VLOOKUP(R$1,'offpeak-old'!$A$3:$DQ$20,$D540,FALSE)),0,VLOOKUP(R$1,'offpeak-old'!$A$3:$DQ$20,$D540,FALSE))</f>
        <v>0</v>
      </c>
      <c r="S540" s="10"/>
    </row>
    <row r="541" spans="1:19" s="8" customFormat="1" x14ac:dyDescent="0.2">
      <c r="A541" s="8">
        <f t="shared" si="152"/>
        <v>2005</v>
      </c>
      <c r="B541" s="8">
        <f t="shared" si="153"/>
        <v>2</v>
      </c>
      <c r="C541" s="9">
        <f t="shared" si="150"/>
        <v>38384</v>
      </c>
      <c r="D541" s="8">
        <f t="shared" si="151"/>
        <v>46</v>
      </c>
      <c r="E541" s="14">
        <f>IF(ISNA(VLOOKUP(E$1,'offpeak-old'!$A$3:$DQ$20,$D541,FALSE)),0,VLOOKUP(E$1,'offpeak-old'!$A$3:$DQ$20,$D541,FALSE))</f>
        <v>60896</v>
      </c>
      <c r="F541" s="14">
        <f>IF(ISNA(VLOOKUP(F$1,'offpeak-old'!$A$3:$DQ$20,$D541,FALSE)),0,VLOOKUP(F$1,'offpeak-old'!$A$3:$DQ$20,$D541,FALSE))</f>
        <v>0</v>
      </c>
      <c r="G541" s="14">
        <f>IF(ISNA(VLOOKUP(G$1,'offpeak-old'!$A$3:$DQ$20,$D541,FALSE)),0,VLOOKUP(G$1,'offpeak-old'!$A$3:$DQ$20,$D541,FALSE))</f>
        <v>0</v>
      </c>
      <c r="H541" s="14">
        <f>IF(ISNA(VLOOKUP(H$1,'offpeak-old'!$A$3:$DQ$20,$D541,FALSE)),0,VLOOKUP(H$1,'offpeak-old'!$A$3:$DQ$20,$D541,FALSE))</f>
        <v>0</v>
      </c>
      <c r="I541" s="14">
        <f>IF(ISNA(VLOOKUP(I$1,'offpeak-old'!$A$3:$DQ$20,$D541,FALSE)),0,VLOOKUP(I$1,'offpeak-old'!$A$3:$DQ$20,$D541,FALSE))</f>
        <v>0</v>
      </c>
      <c r="J541" s="14">
        <f>IF(ISNA(VLOOKUP(J$1,'offpeak-old'!$A$3:$DQ$20,$D541,FALSE)),0,VLOOKUP(J$1,'offpeak-old'!$A$3:$DQ$20,$D541,FALSE))</f>
        <v>0</v>
      </c>
      <c r="K541" s="14">
        <f>IF(ISNA(VLOOKUP(K$1,'offpeak-old'!$A$3:$DQ$20,$D541,FALSE)),0,VLOOKUP(K$1,'offpeak-old'!$A$3:$DQ$20,$D541,FALSE))</f>
        <v>0</v>
      </c>
      <c r="L541" s="14">
        <f>IF(ISNA(VLOOKUP(L$1,'offpeak-old'!$A$3:$DQ$20,$D541,FALSE)),0,VLOOKUP(L$1,'offpeak-old'!$A$3:$DQ$20,$D541,FALSE))</f>
        <v>0</v>
      </c>
      <c r="M541" s="14">
        <f>IF(ISNA(VLOOKUP(M$1,'offpeak-old'!$A$3:$DQ$20,$D541,FALSE)),0,VLOOKUP(M$1,'offpeak-old'!$A$3:$DQ$20,$D541,FALSE))</f>
        <v>0</v>
      </c>
      <c r="N541" s="14"/>
      <c r="O541" s="14">
        <f>IF(ISNA(VLOOKUP(O$1,'offpeak-old'!$A$3:$DQ$20,$D541,FALSE)),0,VLOOKUP(O$1,'offpeak-old'!$A$3:$DQ$20,$D541,FALSE))</f>
        <v>0</v>
      </c>
      <c r="P541" s="14">
        <f>IF(ISNA(VLOOKUP(P$1,'offpeak-old'!$A$3:$DQ$20,$D541,FALSE)),0,VLOOKUP(P$1,'offpeak-old'!$A$3:$DQ$20,$D541,FALSE))</f>
        <v>0</v>
      </c>
      <c r="Q541" s="15">
        <f>IF(ISNA(VLOOKUP(Q$1,'offpeak-old'!$A$3:$DQ$20,$D541,FALSE)),0,VLOOKUP(Q$1,'offpeak-old'!$A$3:$DQ$20,$D541,FALSE))</f>
        <v>0</v>
      </c>
      <c r="R541" s="14">
        <f>IF(ISNA(VLOOKUP(R$1,'offpeak-old'!$A$3:$DQ$20,$D541,FALSE)),0,VLOOKUP(R$1,'offpeak-old'!$A$3:$DQ$20,$D541,FALSE))</f>
        <v>0</v>
      </c>
      <c r="S541" s="10"/>
    </row>
    <row r="542" spans="1:19" s="8" customFormat="1" x14ac:dyDescent="0.2">
      <c r="A542" s="8">
        <f t="shared" si="152"/>
        <v>2005</v>
      </c>
      <c r="B542" s="8">
        <f t="shared" si="153"/>
        <v>3</v>
      </c>
      <c r="C542" s="9">
        <f t="shared" si="150"/>
        <v>38412</v>
      </c>
      <c r="D542" s="8">
        <f t="shared" si="151"/>
        <v>47</v>
      </c>
      <c r="E542" s="14">
        <f>IF(ISNA(VLOOKUP(E$1,'offpeak-old'!$A$3:$DQ$20,$D542,FALSE)),0,VLOOKUP(E$1,'offpeak-old'!$A$3:$DQ$20,$D542,FALSE))</f>
        <v>65048</v>
      </c>
      <c r="F542" s="14">
        <f>IF(ISNA(VLOOKUP(F$1,'offpeak-old'!$A$3:$DQ$20,$D542,FALSE)),0,VLOOKUP(F$1,'offpeak-old'!$A$3:$DQ$20,$D542,FALSE))</f>
        <v>0</v>
      </c>
      <c r="G542" s="14">
        <f>IF(ISNA(VLOOKUP(G$1,'offpeak-old'!$A$3:$DQ$20,$D542,FALSE)),0,VLOOKUP(G$1,'offpeak-old'!$A$3:$DQ$20,$D542,FALSE))</f>
        <v>0</v>
      </c>
      <c r="H542" s="14">
        <f>IF(ISNA(VLOOKUP(H$1,'offpeak-old'!$A$3:$DQ$20,$D542,FALSE)),0,VLOOKUP(H$1,'offpeak-old'!$A$3:$DQ$20,$D542,FALSE))</f>
        <v>0</v>
      </c>
      <c r="I542" s="14">
        <f>IF(ISNA(VLOOKUP(I$1,'offpeak-old'!$A$3:$DQ$20,$D542,FALSE)),0,VLOOKUP(I$1,'offpeak-old'!$A$3:$DQ$20,$D542,FALSE))</f>
        <v>0</v>
      </c>
      <c r="J542" s="14">
        <f>IF(ISNA(VLOOKUP(J$1,'offpeak-old'!$A$3:$DQ$20,$D542,FALSE)),0,VLOOKUP(J$1,'offpeak-old'!$A$3:$DQ$20,$D542,FALSE))</f>
        <v>0</v>
      </c>
      <c r="K542" s="14">
        <f>IF(ISNA(VLOOKUP(K$1,'offpeak-old'!$A$3:$DQ$20,$D542,FALSE)),0,VLOOKUP(K$1,'offpeak-old'!$A$3:$DQ$20,$D542,FALSE))</f>
        <v>0</v>
      </c>
      <c r="L542" s="14">
        <f>IF(ISNA(VLOOKUP(L$1,'offpeak-old'!$A$3:$DQ$20,$D542,FALSE)),0,VLOOKUP(L$1,'offpeak-old'!$A$3:$DQ$20,$D542,FALSE))</f>
        <v>0</v>
      </c>
      <c r="M542" s="14">
        <f>IF(ISNA(VLOOKUP(M$1,'offpeak-old'!$A$3:$DQ$20,$D542,FALSE)),0,VLOOKUP(M$1,'offpeak-old'!$A$3:$DQ$20,$D542,FALSE))</f>
        <v>0</v>
      </c>
      <c r="N542" s="14"/>
      <c r="O542" s="14">
        <f>IF(ISNA(VLOOKUP(O$1,'offpeak-old'!$A$3:$DQ$20,$D542,FALSE)),0,VLOOKUP(O$1,'offpeak-old'!$A$3:$DQ$20,$D542,FALSE))</f>
        <v>0</v>
      </c>
      <c r="P542" s="14">
        <f>IF(ISNA(VLOOKUP(P$1,'offpeak-old'!$A$3:$DQ$20,$D542,FALSE)),0,VLOOKUP(P$1,'offpeak-old'!$A$3:$DQ$20,$D542,FALSE))</f>
        <v>0</v>
      </c>
      <c r="Q542" s="15">
        <f>IF(ISNA(VLOOKUP(Q$1,'offpeak-old'!$A$3:$DQ$20,$D542,FALSE)),0,VLOOKUP(Q$1,'offpeak-old'!$A$3:$DQ$20,$D542,FALSE))</f>
        <v>0</v>
      </c>
      <c r="R542" s="14">
        <f>IF(ISNA(VLOOKUP(R$1,'offpeak-old'!$A$3:$DQ$20,$D542,FALSE)),0,VLOOKUP(R$1,'offpeak-old'!$A$3:$DQ$20,$D542,FALSE))</f>
        <v>0</v>
      </c>
      <c r="S542" s="10"/>
    </row>
    <row r="543" spans="1:19" s="8" customFormat="1" x14ac:dyDescent="0.2">
      <c r="A543" s="8">
        <f t="shared" si="152"/>
        <v>2005</v>
      </c>
      <c r="B543" s="8">
        <f t="shared" si="153"/>
        <v>4</v>
      </c>
      <c r="C543" s="9">
        <f t="shared" si="150"/>
        <v>38443</v>
      </c>
      <c r="D543" s="8">
        <f t="shared" si="151"/>
        <v>48</v>
      </c>
      <c r="E543" s="14">
        <f>IF(ISNA(VLOOKUP(E$1,'offpeak-old'!$A$3:$DQ$20,$D543,FALSE)),0,VLOOKUP(E$1,'offpeak-old'!$A$3:$DQ$20,$D543,FALSE))</f>
        <v>66259</v>
      </c>
      <c r="F543" s="14">
        <f>IF(ISNA(VLOOKUP(F$1,'offpeak-old'!$A$3:$DQ$20,$D543,FALSE)),0,VLOOKUP(F$1,'offpeak-old'!$A$3:$DQ$20,$D543,FALSE))</f>
        <v>0</v>
      </c>
      <c r="G543" s="14">
        <f>IF(ISNA(VLOOKUP(G$1,'offpeak-old'!$A$3:$DQ$20,$D543,FALSE)),0,VLOOKUP(G$1,'offpeak-old'!$A$3:$DQ$20,$D543,FALSE))</f>
        <v>0</v>
      </c>
      <c r="H543" s="14">
        <f>IF(ISNA(VLOOKUP(H$1,'offpeak-old'!$A$3:$DQ$20,$D543,FALSE)),0,VLOOKUP(H$1,'offpeak-old'!$A$3:$DQ$20,$D543,FALSE))</f>
        <v>0</v>
      </c>
      <c r="I543" s="14">
        <f>IF(ISNA(VLOOKUP(I$1,'offpeak-old'!$A$3:$DQ$20,$D543,FALSE)),0,VLOOKUP(I$1,'offpeak-old'!$A$3:$DQ$20,$D543,FALSE))</f>
        <v>0</v>
      </c>
      <c r="J543" s="14">
        <f>IF(ISNA(VLOOKUP(J$1,'offpeak-old'!$A$3:$DQ$20,$D543,FALSE)),0,VLOOKUP(J$1,'offpeak-old'!$A$3:$DQ$20,$D543,FALSE))</f>
        <v>0</v>
      </c>
      <c r="K543" s="14">
        <f>IF(ISNA(VLOOKUP(K$1,'offpeak-old'!$A$3:$DQ$20,$D543,FALSE)),0,VLOOKUP(K$1,'offpeak-old'!$A$3:$DQ$20,$D543,FALSE))</f>
        <v>0</v>
      </c>
      <c r="L543" s="14">
        <f>IF(ISNA(VLOOKUP(L$1,'offpeak-old'!$A$3:$DQ$20,$D543,FALSE)),0,VLOOKUP(L$1,'offpeak-old'!$A$3:$DQ$20,$D543,FALSE))</f>
        <v>0</v>
      </c>
      <c r="M543" s="14">
        <f>IF(ISNA(VLOOKUP(M$1,'offpeak-old'!$A$3:$DQ$20,$D543,FALSE)),0,VLOOKUP(M$1,'offpeak-old'!$A$3:$DQ$20,$D543,FALSE))</f>
        <v>0</v>
      </c>
      <c r="N543" s="14"/>
      <c r="O543" s="14">
        <f>IF(ISNA(VLOOKUP(O$1,'offpeak-old'!$A$3:$DQ$20,$D543,FALSE)),0,VLOOKUP(O$1,'offpeak-old'!$A$3:$DQ$20,$D543,FALSE))</f>
        <v>0</v>
      </c>
      <c r="P543" s="14">
        <f>IF(ISNA(VLOOKUP(P$1,'offpeak-old'!$A$3:$DQ$20,$D543,FALSE)),0,VLOOKUP(P$1,'offpeak-old'!$A$3:$DQ$20,$D543,FALSE))</f>
        <v>0</v>
      </c>
      <c r="Q543" s="15">
        <f>IF(ISNA(VLOOKUP(Q$1,'offpeak-old'!$A$3:$DQ$20,$D543,FALSE)),0,VLOOKUP(Q$1,'offpeak-old'!$A$3:$DQ$20,$D543,FALSE))</f>
        <v>0</v>
      </c>
      <c r="R543" s="14">
        <f>IF(ISNA(VLOOKUP(R$1,'offpeak-old'!$A$3:$DQ$20,$D543,FALSE)),0,VLOOKUP(R$1,'offpeak-old'!$A$3:$DQ$20,$D543,FALSE))</f>
        <v>0</v>
      </c>
      <c r="S543" s="10"/>
    </row>
    <row r="544" spans="1:19" s="8" customFormat="1" x14ac:dyDescent="0.2">
      <c r="A544" s="8">
        <f t="shared" si="152"/>
        <v>2005</v>
      </c>
      <c r="B544" s="8">
        <f t="shared" si="153"/>
        <v>5</v>
      </c>
      <c r="C544" s="9">
        <f t="shared" si="150"/>
        <v>38473</v>
      </c>
      <c r="D544" s="8">
        <f t="shared" si="151"/>
        <v>49</v>
      </c>
      <c r="E544" s="14">
        <f>IF(ISNA(VLOOKUP(E$1,'offpeak-old'!$A$3:$DQ$20,$D544,FALSE)),0,VLOOKUP(E$1,'offpeak-old'!$A$3:$DQ$20,$D544,FALSE))</f>
        <v>70584</v>
      </c>
      <c r="F544" s="14">
        <f>IF(ISNA(VLOOKUP(F$1,'offpeak-old'!$A$3:$DQ$20,$D544,FALSE)),0,VLOOKUP(F$1,'offpeak-old'!$A$3:$DQ$20,$D544,FALSE))</f>
        <v>0</v>
      </c>
      <c r="G544" s="14">
        <f>IF(ISNA(VLOOKUP(G$1,'offpeak-old'!$A$3:$DQ$20,$D544,FALSE)),0,VLOOKUP(G$1,'offpeak-old'!$A$3:$DQ$20,$D544,FALSE))</f>
        <v>0</v>
      </c>
      <c r="H544" s="14">
        <f>IF(ISNA(VLOOKUP(H$1,'offpeak-old'!$A$3:$DQ$20,$D544,FALSE)),0,VLOOKUP(H$1,'offpeak-old'!$A$3:$DQ$20,$D544,FALSE))</f>
        <v>0</v>
      </c>
      <c r="I544" s="14">
        <f>IF(ISNA(VLOOKUP(I$1,'offpeak-old'!$A$3:$DQ$20,$D544,FALSE)),0,VLOOKUP(I$1,'offpeak-old'!$A$3:$DQ$20,$D544,FALSE))</f>
        <v>0</v>
      </c>
      <c r="J544" s="14">
        <f>IF(ISNA(VLOOKUP(J$1,'offpeak-old'!$A$3:$DQ$20,$D544,FALSE)),0,VLOOKUP(J$1,'offpeak-old'!$A$3:$DQ$20,$D544,FALSE))</f>
        <v>0</v>
      </c>
      <c r="K544" s="14">
        <f>IF(ISNA(VLOOKUP(K$1,'offpeak-old'!$A$3:$DQ$20,$D544,FALSE)),0,VLOOKUP(K$1,'offpeak-old'!$A$3:$DQ$20,$D544,FALSE))</f>
        <v>0</v>
      </c>
      <c r="L544" s="14">
        <f>IF(ISNA(VLOOKUP(L$1,'offpeak-old'!$A$3:$DQ$20,$D544,FALSE)),0,VLOOKUP(L$1,'offpeak-old'!$A$3:$DQ$20,$D544,FALSE))</f>
        <v>0</v>
      </c>
      <c r="M544" s="14">
        <f>IF(ISNA(VLOOKUP(M$1,'offpeak-old'!$A$3:$DQ$20,$D544,FALSE)),0,VLOOKUP(M$1,'offpeak-old'!$A$3:$DQ$20,$D544,FALSE))</f>
        <v>0</v>
      </c>
      <c r="N544" s="14"/>
      <c r="O544" s="14">
        <f>IF(ISNA(VLOOKUP(O$1,'offpeak-old'!$A$3:$DQ$20,$D544,FALSE)),0,VLOOKUP(O$1,'offpeak-old'!$A$3:$DQ$20,$D544,FALSE))</f>
        <v>0</v>
      </c>
      <c r="P544" s="14">
        <f>IF(ISNA(VLOOKUP(P$1,'offpeak-old'!$A$3:$DQ$20,$D544,FALSE)),0,VLOOKUP(P$1,'offpeak-old'!$A$3:$DQ$20,$D544,FALSE))</f>
        <v>0</v>
      </c>
      <c r="Q544" s="15">
        <f>IF(ISNA(VLOOKUP(Q$1,'offpeak-old'!$A$3:$DQ$20,$D544,FALSE)),0,VLOOKUP(Q$1,'offpeak-old'!$A$3:$DQ$20,$D544,FALSE))</f>
        <v>0</v>
      </c>
      <c r="R544" s="14">
        <f>IF(ISNA(VLOOKUP(R$1,'offpeak-old'!$A$3:$DQ$20,$D544,FALSE)),0,VLOOKUP(R$1,'offpeak-old'!$A$3:$DQ$20,$D544,FALSE))</f>
        <v>0</v>
      </c>
      <c r="S544" s="10"/>
    </row>
    <row r="545" spans="1:19" s="8" customFormat="1" x14ac:dyDescent="0.2">
      <c r="A545" s="8">
        <f t="shared" si="152"/>
        <v>2005</v>
      </c>
      <c r="B545" s="8">
        <f t="shared" si="153"/>
        <v>6</v>
      </c>
      <c r="C545" s="9">
        <f t="shared" si="150"/>
        <v>38504</v>
      </c>
      <c r="D545" s="8">
        <f t="shared" si="151"/>
        <v>50</v>
      </c>
      <c r="E545" s="14">
        <f>IF(ISNA(VLOOKUP(E$1,'offpeak-old'!$A$3:$DQ$20,$D545,FALSE)),0,VLOOKUP(E$1,'offpeak-old'!$A$3:$DQ$20,$D545,FALSE))</f>
        <v>63664</v>
      </c>
      <c r="F545" s="14">
        <f>IF(ISNA(VLOOKUP(F$1,'offpeak-old'!$A$3:$DQ$20,$D545,FALSE)),0,VLOOKUP(F$1,'offpeak-old'!$A$3:$DQ$20,$D545,FALSE))</f>
        <v>0</v>
      </c>
      <c r="G545" s="14">
        <f>IF(ISNA(VLOOKUP(G$1,'offpeak-old'!$A$3:$DQ$20,$D545,FALSE)),0,VLOOKUP(G$1,'offpeak-old'!$A$3:$DQ$20,$D545,FALSE))</f>
        <v>0</v>
      </c>
      <c r="H545" s="14">
        <f>IF(ISNA(VLOOKUP(H$1,'offpeak-old'!$A$3:$DQ$20,$D545,FALSE)),0,VLOOKUP(H$1,'offpeak-old'!$A$3:$DQ$20,$D545,FALSE))</f>
        <v>0</v>
      </c>
      <c r="I545" s="14">
        <f>IF(ISNA(VLOOKUP(I$1,'offpeak-old'!$A$3:$DQ$20,$D545,FALSE)),0,VLOOKUP(I$1,'offpeak-old'!$A$3:$DQ$20,$D545,FALSE))</f>
        <v>0</v>
      </c>
      <c r="J545" s="14">
        <f>IF(ISNA(VLOOKUP(J$1,'offpeak-old'!$A$3:$DQ$20,$D545,FALSE)),0,VLOOKUP(J$1,'offpeak-old'!$A$3:$DQ$20,$D545,FALSE))</f>
        <v>0</v>
      </c>
      <c r="K545" s="14">
        <f>IF(ISNA(VLOOKUP(K$1,'offpeak-old'!$A$3:$DQ$20,$D545,FALSE)),0,VLOOKUP(K$1,'offpeak-old'!$A$3:$DQ$20,$D545,FALSE))</f>
        <v>0</v>
      </c>
      <c r="L545" s="14">
        <f>IF(ISNA(VLOOKUP(L$1,'offpeak-old'!$A$3:$DQ$20,$D545,FALSE)),0,VLOOKUP(L$1,'offpeak-old'!$A$3:$DQ$20,$D545,FALSE))</f>
        <v>0</v>
      </c>
      <c r="M545" s="14">
        <f>IF(ISNA(VLOOKUP(M$1,'offpeak-old'!$A$3:$DQ$20,$D545,FALSE)),0,VLOOKUP(M$1,'offpeak-old'!$A$3:$DQ$20,$D545,FALSE))</f>
        <v>0</v>
      </c>
      <c r="N545" s="14"/>
      <c r="O545" s="14">
        <f>IF(ISNA(VLOOKUP(O$1,'offpeak-old'!$A$3:$DQ$20,$D545,FALSE)),0,VLOOKUP(O$1,'offpeak-old'!$A$3:$DQ$20,$D545,FALSE))</f>
        <v>0</v>
      </c>
      <c r="P545" s="14">
        <f>IF(ISNA(VLOOKUP(P$1,'offpeak-old'!$A$3:$DQ$20,$D545,FALSE)),0,VLOOKUP(P$1,'offpeak-old'!$A$3:$DQ$20,$D545,FALSE))</f>
        <v>0</v>
      </c>
      <c r="Q545" s="15">
        <f>IF(ISNA(VLOOKUP(Q$1,'offpeak-old'!$A$3:$DQ$20,$D545,FALSE)),0,VLOOKUP(Q$1,'offpeak-old'!$A$3:$DQ$20,$D545,FALSE))</f>
        <v>0</v>
      </c>
      <c r="R545" s="14">
        <f>IF(ISNA(VLOOKUP(R$1,'offpeak-old'!$A$3:$DQ$20,$D545,FALSE)),0,VLOOKUP(R$1,'offpeak-old'!$A$3:$DQ$20,$D545,FALSE))</f>
        <v>0</v>
      </c>
      <c r="S545" s="10"/>
    </row>
    <row r="546" spans="1:19" s="8" customFormat="1" x14ac:dyDescent="0.2">
      <c r="A546" s="8">
        <f t="shared" si="152"/>
        <v>2005</v>
      </c>
      <c r="B546" s="8">
        <f t="shared" si="153"/>
        <v>7</v>
      </c>
      <c r="C546" s="9">
        <f t="shared" si="150"/>
        <v>38534</v>
      </c>
      <c r="D546" s="8">
        <f t="shared" si="151"/>
        <v>51</v>
      </c>
      <c r="E546" s="14">
        <f>IF(ISNA(VLOOKUP(E$1,'offpeak-old'!$A$3:$DQ$20,$D546,FALSE)),0,VLOOKUP(E$1,'offpeak-old'!$A$3:$DQ$20,$D546,FALSE))</f>
        <v>73352</v>
      </c>
      <c r="F546" s="14">
        <f>IF(ISNA(VLOOKUP(F$1,'offpeak-old'!$A$3:$DQ$20,$D546,FALSE)),0,VLOOKUP(F$1,'offpeak-old'!$A$3:$DQ$20,$D546,FALSE))</f>
        <v>0</v>
      </c>
      <c r="G546" s="14">
        <f>IF(ISNA(VLOOKUP(G$1,'offpeak-old'!$A$3:$DQ$20,$D546,FALSE)),0,VLOOKUP(G$1,'offpeak-old'!$A$3:$DQ$20,$D546,FALSE))</f>
        <v>0</v>
      </c>
      <c r="H546" s="14">
        <f>IF(ISNA(VLOOKUP(H$1,'offpeak-old'!$A$3:$DQ$20,$D546,FALSE)),0,VLOOKUP(H$1,'offpeak-old'!$A$3:$DQ$20,$D546,FALSE))</f>
        <v>0</v>
      </c>
      <c r="I546" s="14">
        <f>IF(ISNA(VLOOKUP(I$1,'offpeak-old'!$A$3:$DQ$20,$D546,FALSE)),0,VLOOKUP(I$1,'offpeak-old'!$A$3:$DQ$20,$D546,FALSE))</f>
        <v>0</v>
      </c>
      <c r="J546" s="14">
        <f>IF(ISNA(VLOOKUP(J$1,'offpeak-old'!$A$3:$DQ$20,$D546,FALSE)),0,VLOOKUP(J$1,'offpeak-old'!$A$3:$DQ$20,$D546,FALSE))</f>
        <v>0</v>
      </c>
      <c r="K546" s="14">
        <f>IF(ISNA(VLOOKUP(K$1,'offpeak-old'!$A$3:$DQ$20,$D546,FALSE)),0,VLOOKUP(K$1,'offpeak-old'!$A$3:$DQ$20,$D546,FALSE))</f>
        <v>0</v>
      </c>
      <c r="L546" s="14">
        <f>IF(ISNA(VLOOKUP(L$1,'offpeak-old'!$A$3:$DQ$20,$D546,FALSE)),0,VLOOKUP(L$1,'offpeak-old'!$A$3:$DQ$20,$D546,FALSE))</f>
        <v>0</v>
      </c>
      <c r="M546" s="14">
        <f>IF(ISNA(VLOOKUP(M$1,'offpeak-old'!$A$3:$DQ$20,$D546,FALSE)),0,VLOOKUP(M$1,'offpeak-old'!$A$3:$DQ$20,$D546,FALSE))</f>
        <v>0</v>
      </c>
      <c r="N546" s="14"/>
      <c r="O546" s="14">
        <f>IF(ISNA(VLOOKUP(O$1,'offpeak-old'!$A$3:$DQ$20,$D546,FALSE)),0,VLOOKUP(O$1,'offpeak-old'!$A$3:$DQ$20,$D546,FALSE))</f>
        <v>0</v>
      </c>
      <c r="P546" s="14">
        <f>IF(ISNA(VLOOKUP(P$1,'offpeak-old'!$A$3:$DQ$20,$D546,FALSE)),0,VLOOKUP(P$1,'offpeak-old'!$A$3:$DQ$20,$D546,FALSE))</f>
        <v>0</v>
      </c>
      <c r="Q546" s="15">
        <f>IF(ISNA(VLOOKUP(Q$1,'offpeak-old'!$A$3:$DQ$20,$D546,FALSE)),0,VLOOKUP(Q$1,'offpeak-old'!$A$3:$DQ$20,$D546,FALSE))</f>
        <v>0</v>
      </c>
      <c r="R546" s="14">
        <f>IF(ISNA(VLOOKUP(R$1,'offpeak-old'!$A$3:$DQ$20,$D546,FALSE)),0,VLOOKUP(R$1,'offpeak-old'!$A$3:$DQ$20,$D546,FALSE))</f>
        <v>0</v>
      </c>
      <c r="S546" s="10"/>
    </row>
    <row r="547" spans="1:19" s="8" customFormat="1" x14ac:dyDescent="0.2">
      <c r="A547" s="8">
        <f t="shared" si="152"/>
        <v>2005</v>
      </c>
      <c r="B547" s="8">
        <f t="shared" si="153"/>
        <v>8</v>
      </c>
      <c r="C547" s="9">
        <f t="shared" si="150"/>
        <v>38565</v>
      </c>
      <c r="D547" s="8">
        <f t="shared" si="151"/>
        <v>52</v>
      </c>
      <c r="E547" s="14">
        <f>IF(ISNA(VLOOKUP(E$1,'offpeak-old'!$A$3:$DQ$20,$D547,FALSE)),0,VLOOKUP(E$1,'offpeak-old'!$A$3:$DQ$20,$D547,FALSE))</f>
        <v>65048</v>
      </c>
      <c r="F547" s="14">
        <f>IF(ISNA(VLOOKUP(F$1,'offpeak-old'!$A$3:$DQ$20,$D547,FALSE)),0,VLOOKUP(F$1,'offpeak-old'!$A$3:$DQ$20,$D547,FALSE))</f>
        <v>0</v>
      </c>
      <c r="G547" s="14">
        <f>IF(ISNA(VLOOKUP(G$1,'offpeak-old'!$A$3:$DQ$20,$D547,FALSE)),0,VLOOKUP(G$1,'offpeak-old'!$A$3:$DQ$20,$D547,FALSE))</f>
        <v>0</v>
      </c>
      <c r="H547" s="14">
        <f>IF(ISNA(VLOOKUP(H$1,'offpeak-old'!$A$3:$DQ$20,$D547,FALSE)),0,VLOOKUP(H$1,'offpeak-old'!$A$3:$DQ$20,$D547,FALSE))</f>
        <v>0</v>
      </c>
      <c r="I547" s="14">
        <f>IF(ISNA(VLOOKUP(I$1,'offpeak-old'!$A$3:$DQ$20,$D547,FALSE)),0,VLOOKUP(I$1,'offpeak-old'!$A$3:$DQ$20,$D547,FALSE))</f>
        <v>0</v>
      </c>
      <c r="J547" s="14">
        <f>IF(ISNA(VLOOKUP(J$1,'offpeak-old'!$A$3:$DQ$20,$D547,FALSE)),0,VLOOKUP(J$1,'offpeak-old'!$A$3:$DQ$20,$D547,FALSE))</f>
        <v>0</v>
      </c>
      <c r="K547" s="14">
        <f>IF(ISNA(VLOOKUP(K$1,'offpeak-old'!$A$3:$DQ$20,$D547,FALSE)),0,VLOOKUP(K$1,'offpeak-old'!$A$3:$DQ$20,$D547,FALSE))</f>
        <v>0</v>
      </c>
      <c r="L547" s="14">
        <f>IF(ISNA(VLOOKUP(L$1,'offpeak-old'!$A$3:$DQ$20,$D547,FALSE)),0,VLOOKUP(L$1,'offpeak-old'!$A$3:$DQ$20,$D547,FALSE))</f>
        <v>0</v>
      </c>
      <c r="M547" s="14">
        <f>IF(ISNA(VLOOKUP(M$1,'offpeak-old'!$A$3:$DQ$20,$D547,FALSE)),0,VLOOKUP(M$1,'offpeak-old'!$A$3:$DQ$20,$D547,FALSE))</f>
        <v>0</v>
      </c>
      <c r="N547" s="14"/>
      <c r="O547" s="14">
        <f>IF(ISNA(VLOOKUP(O$1,'offpeak-old'!$A$3:$DQ$20,$D547,FALSE)),0,VLOOKUP(O$1,'offpeak-old'!$A$3:$DQ$20,$D547,FALSE))</f>
        <v>0</v>
      </c>
      <c r="P547" s="14">
        <f>IF(ISNA(VLOOKUP(P$1,'offpeak-old'!$A$3:$DQ$20,$D547,FALSE)),0,VLOOKUP(P$1,'offpeak-old'!$A$3:$DQ$20,$D547,FALSE))</f>
        <v>0</v>
      </c>
      <c r="Q547" s="15">
        <f>IF(ISNA(VLOOKUP(Q$1,'offpeak-old'!$A$3:$DQ$20,$D547,FALSE)),0,VLOOKUP(Q$1,'offpeak-old'!$A$3:$DQ$20,$D547,FALSE))</f>
        <v>0</v>
      </c>
      <c r="R547" s="14">
        <f>IF(ISNA(VLOOKUP(R$1,'offpeak-old'!$A$3:$DQ$20,$D547,FALSE)),0,VLOOKUP(R$1,'offpeak-old'!$A$3:$DQ$20,$D547,FALSE))</f>
        <v>0</v>
      </c>
      <c r="S547" s="10"/>
    </row>
    <row r="548" spans="1:19" s="8" customFormat="1" x14ac:dyDescent="0.2">
      <c r="A548" s="8">
        <f t="shared" si="152"/>
        <v>2005</v>
      </c>
      <c r="B548" s="8">
        <f t="shared" si="153"/>
        <v>9</v>
      </c>
      <c r="C548" s="9">
        <f t="shared" si="150"/>
        <v>38596</v>
      </c>
      <c r="D548" s="8">
        <f t="shared" si="151"/>
        <v>53</v>
      </c>
      <c r="E548" s="14">
        <f>IF(ISNA(VLOOKUP(E$1,'offpeak-old'!$A$3:$DQ$20,$D548,FALSE)),0,VLOOKUP(E$1,'offpeak-old'!$A$3:$DQ$20,$D548,FALSE))</f>
        <v>66432</v>
      </c>
      <c r="F548" s="14">
        <f>IF(ISNA(VLOOKUP(F$1,'offpeak-old'!$A$3:$DQ$20,$D548,FALSE)),0,VLOOKUP(F$1,'offpeak-old'!$A$3:$DQ$20,$D548,FALSE))</f>
        <v>0</v>
      </c>
      <c r="G548" s="14">
        <f>IF(ISNA(VLOOKUP(G$1,'offpeak-old'!$A$3:$DQ$20,$D548,FALSE)),0,VLOOKUP(G$1,'offpeak-old'!$A$3:$DQ$20,$D548,FALSE))</f>
        <v>0</v>
      </c>
      <c r="H548" s="14">
        <f>IF(ISNA(VLOOKUP(H$1,'offpeak-old'!$A$3:$DQ$20,$D548,FALSE)),0,VLOOKUP(H$1,'offpeak-old'!$A$3:$DQ$20,$D548,FALSE))</f>
        <v>0</v>
      </c>
      <c r="I548" s="14">
        <f>IF(ISNA(VLOOKUP(I$1,'offpeak-old'!$A$3:$DQ$20,$D548,FALSE)),0,VLOOKUP(I$1,'offpeak-old'!$A$3:$DQ$20,$D548,FALSE))</f>
        <v>0</v>
      </c>
      <c r="J548" s="14">
        <f>IF(ISNA(VLOOKUP(J$1,'offpeak-old'!$A$3:$DQ$20,$D548,FALSE)),0,VLOOKUP(J$1,'offpeak-old'!$A$3:$DQ$20,$D548,FALSE))</f>
        <v>0</v>
      </c>
      <c r="K548" s="14">
        <f>IF(ISNA(VLOOKUP(K$1,'offpeak-old'!$A$3:$DQ$20,$D548,FALSE)),0,VLOOKUP(K$1,'offpeak-old'!$A$3:$DQ$20,$D548,FALSE))</f>
        <v>0</v>
      </c>
      <c r="L548" s="14">
        <f>IF(ISNA(VLOOKUP(L$1,'offpeak-old'!$A$3:$DQ$20,$D548,FALSE)),0,VLOOKUP(L$1,'offpeak-old'!$A$3:$DQ$20,$D548,FALSE))</f>
        <v>0</v>
      </c>
      <c r="M548" s="14">
        <f>IF(ISNA(VLOOKUP(M$1,'offpeak-old'!$A$3:$DQ$20,$D548,FALSE)),0,VLOOKUP(M$1,'offpeak-old'!$A$3:$DQ$20,$D548,FALSE))</f>
        <v>0</v>
      </c>
      <c r="N548" s="14"/>
      <c r="O548" s="14">
        <f>IF(ISNA(VLOOKUP(O$1,'offpeak-old'!$A$3:$DQ$20,$D548,FALSE)),0,VLOOKUP(O$1,'offpeak-old'!$A$3:$DQ$20,$D548,FALSE))</f>
        <v>0</v>
      </c>
      <c r="P548" s="14">
        <f>IF(ISNA(VLOOKUP(P$1,'offpeak-old'!$A$3:$DQ$20,$D548,FALSE)),0,VLOOKUP(P$1,'offpeak-old'!$A$3:$DQ$20,$D548,FALSE))</f>
        <v>0</v>
      </c>
      <c r="Q548" s="15">
        <f>IF(ISNA(VLOOKUP(Q$1,'offpeak-old'!$A$3:$DQ$20,$D548,FALSE)),0,VLOOKUP(Q$1,'offpeak-old'!$A$3:$DQ$20,$D548,FALSE))</f>
        <v>0</v>
      </c>
      <c r="R548" s="14">
        <f>IF(ISNA(VLOOKUP(R$1,'offpeak-old'!$A$3:$DQ$20,$D548,FALSE)),0,VLOOKUP(R$1,'offpeak-old'!$A$3:$DQ$20,$D548,FALSE))</f>
        <v>0</v>
      </c>
      <c r="S548" s="10"/>
    </row>
    <row r="549" spans="1:19" s="8" customFormat="1" x14ac:dyDescent="0.2">
      <c r="A549" s="8">
        <f t="shared" si="152"/>
        <v>2005</v>
      </c>
      <c r="B549" s="8">
        <f t="shared" si="153"/>
        <v>10</v>
      </c>
      <c r="C549" s="9">
        <f t="shared" si="150"/>
        <v>38626</v>
      </c>
      <c r="D549" s="8">
        <f t="shared" si="151"/>
        <v>54</v>
      </c>
      <c r="E549" s="14">
        <f>IF(ISNA(VLOOKUP(E$1,'offpeak-old'!$A$3:$DQ$20,$D549,FALSE)),0,VLOOKUP(E$1,'offpeak-old'!$A$3:$DQ$20,$D549,FALSE))</f>
        <v>70757</v>
      </c>
      <c r="F549" s="14">
        <f>IF(ISNA(VLOOKUP(F$1,'offpeak-old'!$A$3:$DQ$20,$D549,FALSE)),0,VLOOKUP(F$1,'offpeak-old'!$A$3:$DQ$20,$D549,FALSE))</f>
        <v>0</v>
      </c>
      <c r="G549" s="14">
        <f>IF(ISNA(VLOOKUP(G$1,'offpeak-old'!$A$3:$DQ$20,$D549,FALSE)),0,VLOOKUP(G$1,'offpeak-old'!$A$3:$DQ$20,$D549,FALSE))</f>
        <v>0</v>
      </c>
      <c r="H549" s="14">
        <f>IF(ISNA(VLOOKUP(H$1,'offpeak-old'!$A$3:$DQ$20,$D549,FALSE)),0,VLOOKUP(H$1,'offpeak-old'!$A$3:$DQ$20,$D549,FALSE))</f>
        <v>0</v>
      </c>
      <c r="I549" s="14">
        <f>IF(ISNA(VLOOKUP(I$1,'offpeak-old'!$A$3:$DQ$20,$D549,FALSE)),0,VLOOKUP(I$1,'offpeak-old'!$A$3:$DQ$20,$D549,FALSE))</f>
        <v>0</v>
      </c>
      <c r="J549" s="14">
        <f>IF(ISNA(VLOOKUP(J$1,'offpeak-old'!$A$3:$DQ$20,$D549,FALSE)),0,VLOOKUP(J$1,'offpeak-old'!$A$3:$DQ$20,$D549,FALSE))</f>
        <v>0</v>
      </c>
      <c r="K549" s="14">
        <f>IF(ISNA(VLOOKUP(K$1,'offpeak-old'!$A$3:$DQ$20,$D549,FALSE)),0,VLOOKUP(K$1,'offpeak-old'!$A$3:$DQ$20,$D549,FALSE))</f>
        <v>0</v>
      </c>
      <c r="L549" s="14">
        <f>IF(ISNA(VLOOKUP(L$1,'offpeak-old'!$A$3:$DQ$20,$D549,FALSE)),0,VLOOKUP(L$1,'offpeak-old'!$A$3:$DQ$20,$D549,FALSE))</f>
        <v>0</v>
      </c>
      <c r="M549" s="14">
        <f>IF(ISNA(VLOOKUP(M$1,'offpeak-old'!$A$3:$DQ$20,$D549,FALSE)),0,VLOOKUP(M$1,'offpeak-old'!$A$3:$DQ$20,$D549,FALSE))</f>
        <v>0</v>
      </c>
      <c r="N549" s="14"/>
      <c r="O549" s="14">
        <f>IF(ISNA(VLOOKUP(O$1,'offpeak-old'!$A$3:$DQ$20,$D549,FALSE)),0,VLOOKUP(O$1,'offpeak-old'!$A$3:$DQ$20,$D549,FALSE))</f>
        <v>0</v>
      </c>
      <c r="P549" s="14">
        <f>IF(ISNA(VLOOKUP(P$1,'offpeak-old'!$A$3:$DQ$20,$D549,FALSE)),0,VLOOKUP(P$1,'offpeak-old'!$A$3:$DQ$20,$D549,FALSE))</f>
        <v>0</v>
      </c>
      <c r="Q549" s="15">
        <f>IF(ISNA(VLOOKUP(Q$1,'offpeak-old'!$A$3:$DQ$20,$D549,FALSE)),0,VLOOKUP(Q$1,'offpeak-old'!$A$3:$DQ$20,$D549,FALSE))</f>
        <v>0</v>
      </c>
      <c r="R549" s="14">
        <f>IF(ISNA(VLOOKUP(R$1,'offpeak-old'!$A$3:$DQ$20,$D549,FALSE)),0,VLOOKUP(R$1,'offpeak-old'!$A$3:$DQ$20,$D549,FALSE))</f>
        <v>0</v>
      </c>
      <c r="S549" s="10"/>
    </row>
    <row r="550" spans="1:19" s="8" customFormat="1" x14ac:dyDescent="0.2">
      <c r="A550" s="8">
        <f t="shared" si="152"/>
        <v>2005</v>
      </c>
      <c r="B550" s="8">
        <f t="shared" si="153"/>
        <v>11</v>
      </c>
      <c r="C550" s="9">
        <f t="shared" si="150"/>
        <v>38657</v>
      </c>
      <c r="D550" s="8">
        <f t="shared" si="151"/>
        <v>55</v>
      </c>
      <c r="E550" s="14">
        <f>IF(ISNA(VLOOKUP(E$1,'offpeak-old'!$A$3:$DQ$20,$D550,FALSE)),0,VLOOKUP(E$1,'offpeak-old'!$A$3:$DQ$20,$D550,FALSE))</f>
        <v>66432</v>
      </c>
      <c r="F550" s="14">
        <f>IF(ISNA(VLOOKUP(F$1,'offpeak-old'!$A$3:$DQ$20,$D550,FALSE)),0,VLOOKUP(F$1,'offpeak-old'!$A$3:$DQ$20,$D550,FALSE))</f>
        <v>0</v>
      </c>
      <c r="G550" s="14">
        <f>IF(ISNA(VLOOKUP(G$1,'offpeak-old'!$A$3:$DQ$20,$D550,FALSE)),0,VLOOKUP(G$1,'offpeak-old'!$A$3:$DQ$20,$D550,FALSE))</f>
        <v>0</v>
      </c>
      <c r="H550" s="14">
        <f>IF(ISNA(VLOOKUP(H$1,'offpeak-old'!$A$3:$DQ$20,$D550,FALSE)),0,VLOOKUP(H$1,'offpeak-old'!$A$3:$DQ$20,$D550,FALSE))</f>
        <v>0</v>
      </c>
      <c r="I550" s="14">
        <f>IF(ISNA(VLOOKUP(I$1,'offpeak-old'!$A$3:$DQ$20,$D550,FALSE)),0,VLOOKUP(I$1,'offpeak-old'!$A$3:$DQ$20,$D550,FALSE))</f>
        <v>0</v>
      </c>
      <c r="J550" s="14">
        <f>IF(ISNA(VLOOKUP(J$1,'offpeak-old'!$A$3:$DQ$20,$D550,FALSE)),0,VLOOKUP(J$1,'offpeak-old'!$A$3:$DQ$20,$D550,FALSE))</f>
        <v>0</v>
      </c>
      <c r="K550" s="14">
        <f>IF(ISNA(VLOOKUP(K$1,'offpeak-old'!$A$3:$DQ$20,$D550,FALSE)),0,VLOOKUP(K$1,'offpeak-old'!$A$3:$DQ$20,$D550,FALSE))</f>
        <v>0</v>
      </c>
      <c r="L550" s="14">
        <f>IF(ISNA(VLOOKUP(L$1,'offpeak-old'!$A$3:$DQ$20,$D550,FALSE)),0,VLOOKUP(L$1,'offpeak-old'!$A$3:$DQ$20,$D550,FALSE))</f>
        <v>0</v>
      </c>
      <c r="M550" s="14">
        <f>IF(ISNA(VLOOKUP(M$1,'offpeak-old'!$A$3:$DQ$20,$D550,FALSE)),0,VLOOKUP(M$1,'offpeak-old'!$A$3:$DQ$20,$D550,FALSE))</f>
        <v>0</v>
      </c>
      <c r="N550" s="14"/>
      <c r="O550" s="14">
        <f>IF(ISNA(VLOOKUP(O$1,'offpeak-old'!$A$3:$DQ$20,$D550,FALSE)),0,VLOOKUP(O$1,'offpeak-old'!$A$3:$DQ$20,$D550,FALSE))</f>
        <v>0</v>
      </c>
      <c r="P550" s="14">
        <f>IF(ISNA(VLOOKUP(P$1,'offpeak-old'!$A$3:$DQ$20,$D550,FALSE)),0,VLOOKUP(P$1,'offpeak-old'!$A$3:$DQ$20,$D550,FALSE))</f>
        <v>0</v>
      </c>
      <c r="Q550" s="15">
        <f>IF(ISNA(VLOOKUP(Q$1,'offpeak-old'!$A$3:$DQ$20,$D550,FALSE)),0,VLOOKUP(Q$1,'offpeak-old'!$A$3:$DQ$20,$D550,FALSE))</f>
        <v>0</v>
      </c>
      <c r="R550" s="14">
        <f>IF(ISNA(VLOOKUP(R$1,'offpeak-old'!$A$3:$DQ$20,$D550,FALSE)),0,VLOOKUP(R$1,'offpeak-old'!$A$3:$DQ$20,$D550,FALSE))</f>
        <v>0</v>
      </c>
      <c r="S550" s="10"/>
    </row>
    <row r="551" spans="1:19" s="8" customFormat="1" x14ac:dyDescent="0.2">
      <c r="A551" s="8">
        <f t="shared" si="152"/>
        <v>2005</v>
      </c>
      <c r="B551" s="8">
        <f t="shared" si="153"/>
        <v>12</v>
      </c>
      <c r="C551" s="9">
        <f t="shared" si="150"/>
        <v>38687</v>
      </c>
      <c r="D551" s="8">
        <f t="shared" si="151"/>
        <v>56</v>
      </c>
      <c r="E551" s="14">
        <f>IF(ISNA(VLOOKUP(E$1,'offpeak-old'!$A$3:$DQ$20,$D551,FALSE)),0,VLOOKUP(E$1,'offpeak-old'!$A$3:$DQ$20,$D551,FALSE))</f>
        <v>70584</v>
      </c>
      <c r="F551" s="14">
        <f>IF(ISNA(VLOOKUP(F$1,'offpeak-old'!$A$3:$DQ$20,$D551,FALSE)),0,VLOOKUP(F$1,'offpeak-old'!$A$3:$DQ$20,$D551,FALSE))</f>
        <v>0</v>
      </c>
      <c r="G551" s="14">
        <f>IF(ISNA(VLOOKUP(G$1,'offpeak-old'!$A$3:$DQ$20,$D551,FALSE)),0,VLOOKUP(G$1,'offpeak-old'!$A$3:$DQ$20,$D551,FALSE))</f>
        <v>0</v>
      </c>
      <c r="H551" s="14">
        <f>IF(ISNA(VLOOKUP(H$1,'offpeak-old'!$A$3:$DQ$20,$D551,FALSE)),0,VLOOKUP(H$1,'offpeak-old'!$A$3:$DQ$20,$D551,FALSE))</f>
        <v>0</v>
      </c>
      <c r="I551" s="14">
        <f>IF(ISNA(VLOOKUP(I$1,'offpeak-old'!$A$3:$DQ$20,$D551,FALSE)),0,VLOOKUP(I$1,'offpeak-old'!$A$3:$DQ$20,$D551,FALSE))</f>
        <v>0</v>
      </c>
      <c r="J551" s="14">
        <f>IF(ISNA(VLOOKUP(J$1,'offpeak-old'!$A$3:$DQ$20,$D551,FALSE)),0,VLOOKUP(J$1,'offpeak-old'!$A$3:$DQ$20,$D551,FALSE))</f>
        <v>0</v>
      </c>
      <c r="K551" s="14">
        <f>IF(ISNA(VLOOKUP(K$1,'offpeak-old'!$A$3:$DQ$20,$D551,FALSE)),0,VLOOKUP(K$1,'offpeak-old'!$A$3:$DQ$20,$D551,FALSE))</f>
        <v>0</v>
      </c>
      <c r="L551" s="14">
        <f>IF(ISNA(VLOOKUP(L$1,'offpeak-old'!$A$3:$DQ$20,$D551,FALSE)),0,VLOOKUP(L$1,'offpeak-old'!$A$3:$DQ$20,$D551,FALSE))</f>
        <v>0</v>
      </c>
      <c r="M551" s="14">
        <f>IF(ISNA(VLOOKUP(M$1,'offpeak-old'!$A$3:$DQ$20,$D551,FALSE)),0,VLOOKUP(M$1,'offpeak-old'!$A$3:$DQ$20,$D551,FALSE))</f>
        <v>0</v>
      </c>
      <c r="N551" s="14"/>
      <c r="O551" s="14">
        <f>IF(ISNA(VLOOKUP(O$1,'offpeak-old'!$A$3:$DQ$20,$D551,FALSE)),0,VLOOKUP(O$1,'offpeak-old'!$A$3:$DQ$20,$D551,FALSE))</f>
        <v>0</v>
      </c>
      <c r="P551" s="14">
        <f>IF(ISNA(VLOOKUP(P$1,'offpeak-old'!$A$3:$DQ$20,$D551,FALSE)),0,VLOOKUP(P$1,'offpeak-old'!$A$3:$DQ$20,$D551,FALSE))</f>
        <v>0</v>
      </c>
      <c r="Q551" s="15">
        <f>IF(ISNA(VLOOKUP(Q$1,'offpeak-old'!$A$3:$DQ$20,$D551,FALSE)),0,VLOOKUP(Q$1,'offpeak-old'!$A$3:$DQ$20,$D551,FALSE))</f>
        <v>0</v>
      </c>
      <c r="R551" s="14">
        <f>IF(ISNA(VLOOKUP(R$1,'offpeak-old'!$A$3:$DQ$20,$D551,FALSE)),0,VLOOKUP(R$1,'offpeak-old'!$A$3:$DQ$20,$D551,FALSE))</f>
        <v>0</v>
      </c>
      <c r="S551" s="10"/>
    </row>
    <row r="552" spans="1:19" s="8" customFormat="1" x14ac:dyDescent="0.2">
      <c r="A552" s="8">
        <f t="shared" si="152"/>
        <v>2006</v>
      </c>
      <c r="B552" s="8">
        <f t="shared" si="153"/>
        <v>1</v>
      </c>
      <c r="C552" s="9">
        <f t="shared" si="150"/>
        <v>38718</v>
      </c>
      <c r="D552" s="8">
        <f t="shared" si="151"/>
        <v>57</v>
      </c>
      <c r="E552" s="14">
        <f>IF(ISNA(VLOOKUP(E$1,'offpeak-old'!$A$3:$DQ$20,$D552,FALSE)),0,VLOOKUP(E$1,'offpeak-old'!$A$3:$DQ$20,$D552,FALSE))</f>
        <v>29784</v>
      </c>
      <c r="F552" s="14">
        <f>IF(ISNA(VLOOKUP(F$1,'offpeak-old'!$A$3:$DQ$20,$D552,FALSE)),0,VLOOKUP(F$1,'offpeak-old'!$A$3:$DQ$20,$D552,FALSE))</f>
        <v>0</v>
      </c>
      <c r="G552" s="14">
        <f>IF(ISNA(VLOOKUP(G$1,'offpeak-old'!$A$3:$DQ$20,$D552,FALSE)),0,VLOOKUP(G$1,'offpeak-old'!$A$3:$DQ$20,$D552,FALSE))</f>
        <v>0</v>
      </c>
      <c r="H552" s="14">
        <f>IF(ISNA(VLOOKUP(H$1,'offpeak-old'!$A$3:$DQ$20,$D552,FALSE)),0,VLOOKUP(H$1,'offpeak-old'!$A$3:$DQ$20,$D552,FALSE))</f>
        <v>-30600</v>
      </c>
      <c r="I552" s="14">
        <f>IF(ISNA(VLOOKUP(I$1,'offpeak-old'!$A$3:$DQ$20,$D552,FALSE)),0,VLOOKUP(I$1,'offpeak-old'!$A$3:$DQ$20,$D552,FALSE))</f>
        <v>0</v>
      </c>
      <c r="J552" s="14">
        <f>IF(ISNA(VLOOKUP(J$1,'offpeak-old'!$A$3:$DQ$20,$D552,FALSE)),0,VLOOKUP(J$1,'offpeak-old'!$A$3:$DQ$20,$D552,FALSE))</f>
        <v>0</v>
      </c>
      <c r="K552" s="14">
        <f>IF(ISNA(VLOOKUP(K$1,'offpeak-old'!$A$3:$DQ$20,$D552,FALSE)),0,VLOOKUP(K$1,'offpeak-old'!$A$3:$DQ$20,$D552,FALSE))</f>
        <v>0</v>
      </c>
      <c r="L552" s="14">
        <f>IF(ISNA(VLOOKUP(L$1,'offpeak-old'!$A$3:$DQ$20,$D552,FALSE)),0,VLOOKUP(L$1,'offpeak-old'!$A$3:$DQ$20,$D552,FALSE))</f>
        <v>0</v>
      </c>
      <c r="M552" s="14">
        <f>IF(ISNA(VLOOKUP(M$1,'offpeak-old'!$A$3:$DQ$20,$D552,FALSE)),0,VLOOKUP(M$1,'offpeak-old'!$A$3:$DQ$20,$D552,FALSE))</f>
        <v>0</v>
      </c>
      <c r="N552" s="14"/>
      <c r="O552" s="14">
        <f>IF(ISNA(VLOOKUP(O$1,'offpeak-old'!$A$3:$DQ$20,$D552,FALSE)),0,VLOOKUP(O$1,'offpeak-old'!$A$3:$DQ$20,$D552,FALSE))</f>
        <v>0</v>
      </c>
      <c r="P552" s="14">
        <f>IF(ISNA(VLOOKUP(P$1,'offpeak-old'!$A$3:$DQ$20,$D552,FALSE)),0,VLOOKUP(P$1,'offpeak-old'!$A$3:$DQ$20,$D552,FALSE))</f>
        <v>0</v>
      </c>
      <c r="Q552" s="15">
        <f>IF(ISNA(VLOOKUP(Q$1,'offpeak-old'!$A$3:$DQ$20,$D552,FALSE)),0,VLOOKUP(Q$1,'offpeak-old'!$A$3:$DQ$20,$D552,FALSE))</f>
        <v>0</v>
      </c>
      <c r="R552" s="14">
        <f>IF(ISNA(VLOOKUP(R$1,'offpeak-old'!$A$3:$DQ$20,$D552,FALSE)),0,VLOOKUP(R$1,'offpeak-old'!$A$3:$DQ$20,$D552,FALSE))</f>
        <v>0</v>
      </c>
      <c r="S552" s="10"/>
    </row>
    <row r="553" spans="1:19" s="8" customFormat="1" x14ac:dyDescent="0.2">
      <c r="A553" s="8">
        <f t="shared" si="152"/>
        <v>2006</v>
      </c>
      <c r="B553" s="8">
        <f t="shared" si="153"/>
        <v>2</v>
      </c>
      <c r="C553" s="9">
        <f t="shared" si="150"/>
        <v>38749</v>
      </c>
      <c r="D553" s="8">
        <f t="shared" si="151"/>
        <v>58</v>
      </c>
      <c r="E553" s="14">
        <f>IF(ISNA(VLOOKUP(E$1,'offpeak-old'!$A$3:$DQ$20,$D553,FALSE)),0,VLOOKUP(E$1,'offpeak-old'!$A$3:$DQ$20,$D553,FALSE))</f>
        <v>25696</v>
      </c>
      <c r="F553" s="14">
        <f>IF(ISNA(VLOOKUP(F$1,'offpeak-old'!$A$3:$DQ$20,$D553,FALSE)),0,VLOOKUP(F$1,'offpeak-old'!$A$3:$DQ$20,$D553,FALSE))</f>
        <v>0</v>
      </c>
      <c r="G553" s="14">
        <f>IF(ISNA(VLOOKUP(G$1,'offpeak-old'!$A$3:$DQ$20,$D553,FALSE)),0,VLOOKUP(G$1,'offpeak-old'!$A$3:$DQ$20,$D553,FALSE))</f>
        <v>0</v>
      </c>
      <c r="H553" s="14">
        <f>IF(ISNA(VLOOKUP(H$1,'offpeak-old'!$A$3:$DQ$20,$D553,FALSE)),0,VLOOKUP(H$1,'offpeak-old'!$A$3:$DQ$20,$D553,FALSE))</f>
        <v>-25696</v>
      </c>
      <c r="I553" s="14">
        <f>IF(ISNA(VLOOKUP(I$1,'offpeak-old'!$A$3:$DQ$20,$D553,FALSE)),0,VLOOKUP(I$1,'offpeak-old'!$A$3:$DQ$20,$D553,FALSE))</f>
        <v>0</v>
      </c>
      <c r="J553" s="14">
        <f>IF(ISNA(VLOOKUP(J$1,'offpeak-old'!$A$3:$DQ$20,$D553,FALSE)),0,VLOOKUP(J$1,'offpeak-old'!$A$3:$DQ$20,$D553,FALSE))</f>
        <v>0</v>
      </c>
      <c r="K553" s="14">
        <f>IF(ISNA(VLOOKUP(K$1,'offpeak-old'!$A$3:$DQ$20,$D553,FALSE)),0,VLOOKUP(K$1,'offpeak-old'!$A$3:$DQ$20,$D553,FALSE))</f>
        <v>0</v>
      </c>
      <c r="L553" s="14">
        <f>IF(ISNA(VLOOKUP(L$1,'offpeak-old'!$A$3:$DQ$20,$D553,FALSE)),0,VLOOKUP(L$1,'offpeak-old'!$A$3:$DQ$20,$D553,FALSE))</f>
        <v>0</v>
      </c>
      <c r="M553" s="14">
        <f>IF(ISNA(VLOOKUP(M$1,'offpeak-old'!$A$3:$DQ$20,$D553,FALSE)),0,VLOOKUP(M$1,'offpeak-old'!$A$3:$DQ$20,$D553,FALSE))</f>
        <v>0</v>
      </c>
      <c r="N553" s="14"/>
      <c r="O553" s="14">
        <f>IF(ISNA(VLOOKUP(O$1,'offpeak-old'!$A$3:$DQ$20,$D553,FALSE)),0,VLOOKUP(O$1,'offpeak-old'!$A$3:$DQ$20,$D553,FALSE))</f>
        <v>0</v>
      </c>
      <c r="P553" s="14">
        <f>IF(ISNA(VLOOKUP(P$1,'offpeak-old'!$A$3:$DQ$20,$D553,FALSE)),0,VLOOKUP(P$1,'offpeak-old'!$A$3:$DQ$20,$D553,FALSE))</f>
        <v>0</v>
      </c>
      <c r="Q553" s="15">
        <f>IF(ISNA(VLOOKUP(Q$1,'offpeak-old'!$A$3:$DQ$20,$D553,FALSE)),0,VLOOKUP(Q$1,'offpeak-old'!$A$3:$DQ$20,$D553,FALSE))</f>
        <v>0</v>
      </c>
      <c r="R553" s="14">
        <f>IF(ISNA(VLOOKUP(R$1,'offpeak-old'!$A$3:$DQ$20,$D553,FALSE)),0,VLOOKUP(R$1,'offpeak-old'!$A$3:$DQ$20,$D553,FALSE))</f>
        <v>0</v>
      </c>
      <c r="S553" s="10"/>
    </row>
    <row r="554" spans="1:19" s="8" customFormat="1" x14ac:dyDescent="0.2">
      <c r="A554" s="8">
        <f t="shared" si="152"/>
        <v>2006</v>
      </c>
      <c r="B554" s="8">
        <f t="shared" si="153"/>
        <v>3</v>
      </c>
      <c r="C554" s="9">
        <f t="shared" si="150"/>
        <v>38777</v>
      </c>
      <c r="D554" s="8">
        <f t="shared" si="151"/>
        <v>59</v>
      </c>
      <c r="E554" s="14">
        <f>IF(ISNA(VLOOKUP(E$1,'offpeak-old'!$A$3:$DQ$20,$D554,FALSE)),0,VLOOKUP(E$1,'offpeak-old'!$A$3:$DQ$20,$D554,FALSE))</f>
        <v>27448</v>
      </c>
      <c r="F554" s="14">
        <f>IF(ISNA(VLOOKUP(F$1,'offpeak-old'!$A$3:$DQ$20,$D554,FALSE)),0,VLOOKUP(F$1,'offpeak-old'!$A$3:$DQ$20,$D554,FALSE))</f>
        <v>0</v>
      </c>
      <c r="G554" s="14">
        <f>IF(ISNA(VLOOKUP(G$1,'offpeak-old'!$A$3:$DQ$20,$D554,FALSE)),0,VLOOKUP(G$1,'offpeak-old'!$A$3:$DQ$20,$D554,FALSE))</f>
        <v>0</v>
      </c>
      <c r="H554" s="14">
        <f>IF(ISNA(VLOOKUP(H$1,'offpeak-old'!$A$3:$DQ$20,$D554,FALSE)),0,VLOOKUP(H$1,'offpeak-old'!$A$3:$DQ$20,$D554,FALSE))</f>
        <v>-28200</v>
      </c>
      <c r="I554" s="14">
        <f>IF(ISNA(VLOOKUP(I$1,'offpeak-old'!$A$3:$DQ$20,$D554,FALSE)),0,VLOOKUP(I$1,'offpeak-old'!$A$3:$DQ$20,$D554,FALSE))</f>
        <v>0</v>
      </c>
      <c r="J554" s="14">
        <f>IF(ISNA(VLOOKUP(J$1,'offpeak-old'!$A$3:$DQ$20,$D554,FALSE)),0,VLOOKUP(J$1,'offpeak-old'!$A$3:$DQ$20,$D554,FALSE))</f>
        <v>0</v>
      </c>
      <c r="K554" s="14">
        <f>IF(ISNA(VLOOKUP(K$1,'offpeak-old'!$A$3:$DQ$20,$D554,FALSE)),0,VLOOKUP(K$1,'offpeak-old'!$A$3:$DQ$20,$D554,FALSE))</f>
        <v>0</v>
      </c>
      <c r="L554" s="14">
        <f>IF(ISNA(VLOOKUP(L$1,'offpeak-old'!$A$3:$DQ$20,$D554,FALSE)),0,VLOOKUP(L$1,'offpeak-old'!$A$3:$DQ$20,$D554,FALSE))</f>
        <v>0</v>
      </c>
      <c r="M554" s="14">
        <f>IF(ISNA(VLOOKUP(M$1,'offpeak-old'!$A$3:$DQ$20,$D554,FALSE)),0,VLOOKUP(M$1,'offpeak-old'!$A$3:$DQ$20,$D554,FALSE))</f>
        <v>0</v>
      </c>
      <c r="N554" s="14"/>
      <c r="O554" s="14">
        <f>IF(ISNA(VLOOKUP(O$1,'offpeak-old'!$A$3:$DQ$20,$D554,FALSE)),0,VLOOKUP(O$1,'offpeak-old'!$A$3:$DQ$20,$D554,FALSE))</f>
        <v>0</v>
      </c>
      <c r="P554" s="14">
        <f>IF(ISNA(VLOOKUP(P$1,'offpeak-old'!$A$3:$DQ$20,$D554,FALSE)),0,VLOOKUP(P$1,'offpeak-old'!$A$3:$DQ$20,$D554,FALSE))</f>
        <v>0</v>
      </c>
      <c r="Q554" s="15">
        <f>IF(ISNA(VLOOKUP(Q$1,'offpeak-old'!$A$3:$DQ$20,$D554,FALSE)),0,VLOOKUP(Q$1,'offpeak-old'!$A$3:$DQ$20,$D554,FALSE))</f>
        <v>0</v>
      </c>
      <c r="R554" s="14">
        <f>IF(ISNA(VLOOKUP(R$1,'offpeak-old'!$A$3:$DQ$20,$D554,FALSE)),0,VLOOKUP(R$1,'offpeak-old'!$A$3:$DQ$20,$D554,FALSE))</f>
        <v>0</v>
      </c>
      <c r="S554" s="10"/>
    </row>
    <row r="555" spans="1:19" s="8" customFormat="1" x14ac:dyDescent="0.2">
      <c r="A555" s="8">
        <f t="shared" si="152"/>
        <v>2006</v>
      </c>
      <c r="B555" s="8">
        <f t="shared" si="153"/>
        <v>4</v>
      </c>
      <c r="C555" s="9">
        <f t="shared" si="150"/>
        <v>38808</v>
      </c>
      <c r="D555" s="8">
        <f t="shared" si="151"/>
        <v>60</v>
      </c>
      <c r="E555" s="14">
        <f>IF(ISNA(VLOOKUP(E$1,'offpeak-old'!$A$3:$DQ$20,$D555,FALSE)),0,VLOOKUP(E$1,'offpeak-old'!$A$3:$DQ$20,$D555,FALSE))</f>
        <v>29127</v>
      </c>
      <c r="F555" s="14">
        <f>IF(ISNA(VLOOKUP(F$1,'offpeak-old'!$A$3:$DQ$20,$D555,FALSE)),0,VLOOKUP(F$1,'offpeak-old'!$A$3:$DQ$20,$D555,FALSE))</f>
        <v>0</v>
      </c>
      <c r="G555" s="14">
        <f>IF(ISNA(VLOOKUP(G$1,'offpeak-old'!$A$3:$DQ$20,$D555,FALSE)),0,VLOOKUP(G$1,'offpeak-old'!$A$3:$DQ$20,$D555,FALSE))</f>
        <v>0</v>
      </c>
      <c r="H555" s="14">
        <f>IF(ISNA(VLOOKUP(H$1,'offpeak-old'!$A$3:$DQ$20,$D555,FALSE)),0,VLOOKUP(H$1,'offpeak-old'!$A$3:$DQ$20,$D555,FALSE))</f>
        <v>-29550</v>
      </c>
      <c r="I555" s="14">
        <f>IF(ISNA(VLOOKUP(I$1,'offpeak-old'!$A$3:$DQ$20,$D555,FALSE)),0,VLOOKUP(I$1,'offpeak-old'!$A$3:$DQ$20,$D555,FALSE))</f>
        <v>0</v>
      </c>
      <c r="J555" s="14">
        <f>IF(ISNA(VLOOKUP(J$1,'offpeak-old'!$A$3:$DQ$20,$D555,FALSE)),0,VLOOKUP(J$1,'offpeak-old'!$A$3:$DQ$20,$D555,FALSE))</f>
        <v>0</v>
      </c>
      <c r="K555" s="14">
        <f>IF(ISNA(VLOOKUP(K$1,'offpeak-old'!$A$3:$DQ$20,$D555,FALSE)),0,VLOOKUP(K$1,'offpeak-old'!$A$3:$DQ$20,$D555,FALSE))</f>
        <v>0</v>
      </c>
      <c r="L555" s="14">
        <f>IF(ISNA(VLOOKUP(L$1,'offpeak-old'!$A$3:$DQ$20,$D555,FALSE)),0,VLOOKUP(L$1,'offpeak-old'!$A$3:$DQ$20,$D555,FALSE))</f>
        <v>0</v>
      </c>
      <c r="M555" s="14">
        <f>IF(ISNA(VLOOKUP(M$1,'offpeak-old'!$A$3:$DQ$20,$D555,FALSE)),0,VLOOKUP(M$1,'offpeak-old'!$A$3:$DQ$20,$D555,FALSE))</f>
        <v>0</v>
      </c>
      <c r="N555" s="14"/>
      <c r="O555" s="14">
        <f>IF(ISNA(VLOOKUP(O$1,'offpeak-old'!$A$3:$DQ$20,$D555,FALSE)),0,VLOOKUP(O$1,'offpeak-old'!$A$3:$DQ$20,$D555,FALSE))</f>
        <v>0</v>
      </c>
      <c r="P555" s="14">
        <f>IF(ISNA(VLOOKUP(P$1,'offpeak-old'!$A$3:$DQ$20,$D555,FALSE)),0,VLOOKUP(P$1,'offpeak-old'!$A$3:$DQ$20,$D555,FALSE))</f>
        <v>0</v>
      </c>
      <c r="Q555" s="15">
        <f>IF(ISNA(VLOOKUP(Q$1,'offpeak-old'!$A$3:$DQ$20,$D555,FALSE)),0,VLOOKUP(Q$1,'offpeak-old'!$A$3:$DQ$20,$D555,FALSE))</f>
        <v>0</v>
      </c>
      <c r="R555" s="14">
        <f>IF(ISNA(VLOOKUP(R$1,'offpeak-old'!$A$3:$DQ$20,$D555,FALSE)),0,VLOOKUP(R$1,'offpeak-old'!$A$3:$DQ$20,$D555,FALSE))</f>
        <v>0</v>
      </c>
      <c r="S555" s="10"/>
    </row>
    <row r="556" spans="1:19" s="8" customFormat="1" x14ac:dyDescent="0.2">
      <c r="A556" s="8">
        <f t="shared" si="152"/>
        <v>2006</v>
      </c>
      <c r="B556" s="8">
        <f t="shared" si="153"/>
        <v>5</v>
      </c>
      <c r="C556" s="9">
        <f t="shared" si="150"/>
        <v>38838</v>
      </c>
      <c r="D556" s="8">
        <f t="shared" si="151"/>
        <v>61</v>
      </c>
      <c r="E556" s="14">
        <f>IF(ISNA(VLOOKUP(E$1,'offpeak-old'!$A$3:$DQ$20,$D556,FALSE)),0,VLOOKUP(E$1,'offpeak-old'!$A$3:$DQ$20,$D556,FALSE))</f>
        <v>28616</v>
      </c>
      <c r="F556" s="14">
        <f>IF(ISNA(VLOOKUP(F$1,'offpeak-old'!$A$3:$DQ$20,$D556,FALSE)),0,VLOOKUP(F$1,'offpeak-old'!$A$3:$DQ$20,$D556,FALSE))</f>
        <v>0</v>
      </c>
      <c r="G556" s="14">
        <f>IF(ISNA(VLOOKUP(G$1,'offpeak-old'!$A$3:$DQ$20,$D556,FALSE)),0,VLOOKUP(G$1,'offpeak-old'!$A$3:$DQ$20,$D556,FALSE))</f>
        <v>0</v>
      </c>
      <c r="H556" s="14">
        <f>IF(ISNA(VLOOKUP(H$1,'offpeak-old'!$A$3:$DQ$20,$D556,FALSE)),0,VLOOKUP(H$1,'offpeak-old'!$A$3:$DQ$20,$D556,FALSE))</f>
        <v>-25480</v>
      </c>
      <c r="I556" s="14">
        <f>IF(ISNA(VLOOKUP(I$1,'offpeak-old'!$A$3:$DQ$20,$D556,FALSE)),0,VLOOKUP(I$1,'offpeak-old'!$A$3:$DQ$20,$D556,FALSE))</f>
        <v>0</v>
      </c>
      <c r="J556" s="14">
        <f>IF(ISNA(VLOOKUP(J$1,'offpeak-old'!$A$3:$DQ$20,$D556,FALSE)),0,VLOOKUP(J$1,'offpeak-old'!$A$3:$DQ$20,$D556,FALSE))</f>
        <v>0</v>
      </c>
      <c r="K556" s="14">
        <f>IF(ISNA(VLOOKUP(K$1,'offpeak-old'!$A$3:$DQ$20,$D556,FALSE)),0,VLOOKUP(K$1,'offpeak-old'!$A$3:$DQ$20,$D556,FALSE))</f>
        <v>0</v>
      </c>
      <c r="L556" s="14">
        <f>IF(ISNA(VLOOKUP(L$1,'offpeak-old'!$A$3:$DQ$20,$D556,FALSE)),0,VLOOKUP(L$1,'offpeak-old'!$A$3:$DQ$20,$D556,FALSE))</f>
        <v>0</v>
      </c>
      <c r="M556" s="14">
        <f>IF(ISNA(VLOOKUP(M$1,'offpeak-old'!$A$3:$DQ$20,$D556,FALSE)),0,VLOOKUP(M$1,'offpeak-old'!$A$3:$DQ$20,$D556,FALSE))</f>
        <v>0</v>
      </c>
      <c r="N556" s="14"/>
      <c r="O556" s="14">
        <f>IF(ISNA(VLOOKUP(O$1,'offpeak-old'!$A$3:$DQ$20,$D556,FALSE)),0,VLOOKUP(O$1,'offpeak-old'!$A$3:$DQ$20,$D556,FALSE))</f>
        <v>0</v>
      </c>
      <c r="P556" s="14">
        <f>IF(ISNA(VLOOKUP(P$1,'offpeak-old'!$A$3:$DQ$20,$D556,FALSE)),0,VLOOKUP(P$1,'offpeak-old'!$A$3:$DQ$20,$D556,FALSE))</f>
        <v>0</v>
      </c>
      <c r="Q556" s="15">
        <f>IF(ISNA(VLOOKUP(Q$1,'offpeak-old'!$A$3:$DQ$20,$D556,FALSE)),0,VLOOKUP(Q$1,'offpeak-old'!$A$3:$DQ$20,$D556,FALSE))</f>
        <v>0</v>
      </c>
      <c r="R556" s="14">
        <f>IF(ISNA(VLOOKUP(R$1,'offpeak-old'!$A$3:$DQ$20,$D556,FALSE)),0,VLOOKUP(R$1,'offpeak-old'!$A$3:$DQ$20,$D556,FALSE))</f>
        <v>0</v>
      </c>
      <c r="S556" s="10"/>
    </row>
    <row r="557" spans="1:19" s="8" customFormat="1" x14ac:dyDescent="0.2">
      <c r="A557" s="8">
        <f t="shared" si="152"/>
        <v>2006</v>
      </c>
      <c r="B557" s="8">
        <f t="shared" si="153"/>
        <v>6</v>
      </c>
      <c r="C557" s="9">
        <f t="shared" ref="C557:C591" si="154">DATE(A557,B557,1)</f>
        <v>38869</v>
      </c>
      <c r="D557" s="8">
        <f t="shared" si="151"/>
        <v>62</v>
      </c>
      <c r="E557" s="14">
        <f>IF(ISNA(VLOOKUP(E$1,'offpeak-old'!$A$3:$DQ$20,$D557,FALSE)),0,VLOOKUP(E$1,'offpeak-old'!$A$3:$DQ$20,$D557,FALSE))</f>
        <v>26864</v>
      </c>
      <c r="F557" s="14">
        <f>IF(ISNA(VLOOKUP(F$1,'offpeak-old'!$A$3:$DQ$20,$D557,FALSE)),0,VLOOKUP(F$1,'offpeak-old'!$A$3:$DQ$20,$D557,FALSE))</f>
        <v>0</v>
      </c>
      <c r="G557" s="14">
        <f>IF(ISNA(VLOOKUP(G$1,'offpeak-old'!$A$3:$DQ$20,$D557,FALSE)),0,VLOOKUP(G$1,'offpeak-old'!$A$3:$DQ$20,$D557,FALSE))</f>
        <v>0</v>
      </c>
      <c r="H557" s="14">
        <f>IF(ISNA(VLOOKUP(H$1,'offpeak-old'!$A$3:$DQ$20,$D557,FALSE)),0,VLOOKUP(H$1,'offpeak-old'!$A$3:$DQ$20,$D557,FALSE))</f>
        <v>-22816</v>
      </c>
      <c r="I557" s="14">
        <f>IF(ISNA(VLOOKUP(I$1,'offpeak-old'!$A$3:$DQ$20,$D557,FALSE)),0,VLOOKUP(I$1,'offpeak-old'!$A$3:$DQ$20,$D557,FALSE))</f>
        <v>0</v>
      </c>
      <c r="J557" s="14">
        <f>IF(ISNA(VLOOKUP(J$1,'offpeak-old'!$A$3:$DQ$20,$D557,FALSE)),0,VLOOKUP(J$1,'offpeak-old'!$A$3:$DQ$20,$D557,FALSE))</f>
        <v>0</v>
      </c>
      <c r="K557" s="14">
        <f>IF(ISNA(VLOOKUP(K$1,'offpeak-old'!$A$3:$DQ$20,$D557,FALSE)),0,VLOOKUP(K$1,'offpeak-old'!$A$3:$DQ$20,$D557,FALSE))</f>
        <v>0</v>
      </c>
      <c r="L557" s="14">
        <f>IF(ISNA(VLOOKUP(L$1,'offpeak-old'!$A$3:$DQ$20,$D557,FALSE)),0,VLOOKUP(L$1,'offpeak-old'!$A$3:$DQ$20,$D557,FALSE))</f>
        <v>0</v>
      </c>
      <c r="M557" s="14">
        <f>IF(ISNA(VLOOKUP(M$1,'offpeak-old'!$A$3:$DQ$20,$D557,FALSE)),0,VLOOKUP(M$1,'offpeak-old'!$A$3:$DQ$20,$D557,FALSE))</f>
        <v>0</v>
      </c>
      <c r="N557" s="14"/>
      <c r="O557" s="14">
        <f>IF(ISNA(VLOOKUP(O$1,'offpeak-old'!$A$3:$DQ$20,$D557,FALSE)),0,VLOOKUP(O$1,'offpeak-old'!$A$3:$DQ$20,$D557,FALSE))</f>
        <v>0</v>
      </c>
      <c r="P557" s="14">
        <f>IF(ISNA(VLOOKUP(P$1,'offpeak-old'!$A$3:$DQ$20,$D557,FALSE)),0,VLOOKUP(P$1,'offpeak-old'!$A$3:$DQ$20,$D557,FALSE))</f>
        <v>0</v>
      </c>
      <c r="Q557" s="15">
        <f>IF(ISNA(VLOOKUP(Q$1,'offpeak-old'!$A$3:$DQ$20,$D557,FALSE)),0,VLOOKUP(Q$1,'offpeak-old'!$A$3:$DQ$20,$D557,FALSE))</f>
        <v>0</v>
      </c>
      <c r="R557" s="14">
        <f>IF(ISNA(VLOOKUP(R$1,'offpeak-old'!$A$3:$DQ$20,$D557,FALSE)),0,VLOOKUP(R$1,'offpeak-old'!$A$3:$DQ$20,$D557,FALSE))</f>
        <v>0</v>
      </c>
      <c r="S557" s="10"/>
    </row>
    <row r="558" spans="1:19" s="8" customFormat="1" x14ac:dyDescent="0.2">
      <c r="A558" s="8">
        <f t="shared" si="152"/>
        <v>2006</v>
      </c>
      <c r="B558" s="8">
        <f t="shared" si="153"/>
        <v>7</v>
      </c>
      <c r="C558" s="9">
        <f t="shared" si="154"/>
        <v>38899</v>
      </c>
      <c r="D558" s="8">
        <f t="shared" si="151"/>
        <v>63</v>
      </c>
      <c r="E558" s="14">
        <f>IF(ISNA(VLOOKUP(E$1,'offpeak-old'!$A$3:$DQ$20,$D558,FALSE)),0,VLOOKUP(E$1,'offpeak-old'!$A$3:$DQ$20,$D558,FALSE))</f>
        <v>30952</v>
      </c>
      <c r="F558" s="14">
        <f>IF(ISNA(VLOOKUP(F$1,'offpeak-old'!$A$3:$DQ$20,$D558,FALSE)),0,VLOOKUP(F$1,'offpeak-old'!$A$3:$DQ$20,$D558,FALSE))</f>
        <v>0</v>
      </c>
      <c r="G558" s="14">
        <f>IF(ISNA(VLOOKUP(G$1,'offpeak-old'!$A$3:$DQ$20,$D558,FALSE)),0,VLOOKUP(G$1,'offpeak-old'!$A$3:$DQ$20,$D558,FALSE))</f>
        <v>0</v>
      </c>
      <c r="H558" s="14">
        <f>IF(ISNA(VLOOKUP(H$1,'offpeak-old'!$A$3:$DQ$20,$D558,FALSE)),0,VLOOKUP(H$1,'offpeak-old'!$A$3:$DQ$20,$D558,FALSE))</f>
        <v>-25016</v>
      </c>
      <c r="I558" s="14">
        <f>IF(ISNA(VLOOKUP(I$1,'offpeak-old'!$A$3:$DQ$20,$D558,FALSE)),0,VLOOKUP(I$1,'offpeak-old'!$A$3:$DQ$20,$D558,FALSE))</f>
        <v>0</v>
      </c>
      <c r="J558" s="14">
        <f>IF(ISNA(VLOOKUP(J$1,'offpeak-old'!$A$3:$DQ$20,$D558,FALSE)),0,VLOOKUP(J$1,'offpeak-old'!$A$3:$DQ$20,$D558,FALSE))</f>
        <v>0</v>
      </c>
      <c r="K558" s="14">
        <f>IF(ISNA(VLOOKUP(K$1,'offpeak-old'!$A$3:$DQ$20,$D558,FALSE)),0,VLOOKUP(K$1,'offpeak-old'!$A$3:$DQ$20,$D558,FALSE))</f>
        <v>0</v>
      </c>
      <c r="L558" s="14">
        <f>IF(ISNA(VLOOKUP(L$1,'offpeak-old'!$A$3:$DQ$20,$D558,FALSE)),0,VLOOKUP(L$1,'offpeak-old'!$A$3:$DQ$20,$D558,FALSE))</f>
        <v>0</v>
      </c>
      <c r="M558" s="14">
        <f>IF(ISNA(VLOOKUP(M$1,'offpeak-old'!$A$3:$DQ$20,$D558,FALSE)),0,VLOOKUP(M$1,'offpeak-old'!$A$3:$DQ$20,$D558,FALSE))</f>
        <v>0</v>
      </c>
      <c r="N558" s="14"/>
      <c r="O558" s="14">
        <f>IF(ISNA(VLOOKUP(O$1,'offpeak-old'!$A$3:$DQ$20,$D558,FALSE)),0,VLOOKUP(O$1,'offpeak-old'!$A$3:$DQ$20,$D558,FALSE))</f>
        <v>0</v>
      </c>
      <c r="P558" s="14">
        <f>IF(ISNA(VLOOKUP(P$1,'offpeak-old'!$A$3:$DQ$20,$D558,FALSE)),0,VLOOKUP(P$1,'offpeak-old'!$A$3:$DQ$20,$D558,FALSE))</f>
        <v>0</v>
      </c>
      <c r="Q558" s="15">
        <f>IF(ISNA(VLOOKUP(Q$1,'offpeak-old'!$A$3:$DQ$20,$D558,FALSE)),0,VLOOKUP(Q$1,'offpeak-old'!$A$3:$DQ$20,$D558,FALSE))</f>
        <v>0</v>
      </c>
      <c r="R558" s="14">
        <f>IF(ISNA(VLOOKUP(R$1,'offpeak-old'!$A$3:$DQ$20,$D558,FALSE)),0,VLOOKUP(R$1,'offpeak-old'!$A$3:$DQ$20,$D558,FALSE))</f>
        <v>0</v>
      </c>
      <c r="S558" s="10"/>
    </row>
    <row r="559" spans="1:19" s="8" customFormat="1" x14ac:dyDescent="0.2">
      <c r="A559" s="8">
        <f t="shared" si="152"/>
        <v>2006</v>
      </c>
      <c r="B559" s="8">
        <f t="shared" si="153"/>
        <v>8</v>
      </c>
      <c r="C559" s="9">
        <f t="shared" si="154"/>
        <v>38930</v>
      </c>
      <c r="D559" s="8">
        <f t="shared" si="151"/>
        <v>64</v>
      </c>
      <c r="E559" s="14">
        <f>IF(ISNA(VLOOKUP(E$1,'offpeak-old'!$A$3:$DQ$20,$D559,FALSE)),0,VLOOKUP(E$1,'offpeak-old'!$A$3:$DQ$20,$D559,FALSE))</f>
        <v>27448</v>
      </c>
      <c r="F559" s="14">
        <f>IF(ISNA(VLOOKUP(F$1,'offpeak-old'!$A$3:$DQ$20,$D559,FALSE)),0,VLOOKUP(F$1,'offpeak-old'!$A$3:$DQ$20,$D559,FALSE))</f>
        <v>0</v>
      </c>
      <c r="G559" s="14">
        <f>IF(ISNA(VLOOKUP(G$1,'offpeak-old'!$A$3:$DQ$20,$D559,FALSE)),0,VLOOKUP(G$1,'offpeak-old'!$A$3:$DQ$20,$D559,FALSE))</f>
        <v>0</v>
      </c>
      <c r="H559" s="14">
        <f>IF(ISNA(VLOOKUP(H$1,'offpeak-old'!$A$3:$DQ$20,$D559,FALSE)),0,VLOOKUP(H$1,'offpeak-old'!$A$3:$DQ$20,$D559,FALSE))</f>
        <v>-22184</v>
      </c>
      <c r="I559" s="14">
        <f>IF(ISNA(VLOOKUP(I$1,'offpeak-old'!$A$3:$DQ$20,$D559,FALSE)),0,VLOOKUP(I$1,'offpeak-old'!$A$3:$DQ$20,$D559,FALSE))</f>
        <v>0</v>
      </c>
      <c r="J559" s="14">
        <f>IF(ISNA(VLOOKUP(J$1,'offpeak-old'!$A$3:$DQ$20,$D559,FALSE)),0,VLOOKUP(J$1,'offpeak-old'!$A$3:$DQ$20,$D559,FALSE))</f>
        <v>0</v>
      </c>
      <c r="K559" s="14">
        <f>IF(ISNA(VLOOKUP(K$1,'offpeak-old'!$A$3:$DQ$20,$D559,FALSE)),0,VLOOKUP(K$1,'offpeak-old'!$A$3:$DQ$20,$D559,FALSE))</f>
        <v>0</v>
      </c>
      <c r="L559" s="14">
        <f>IF(ISNA(VLOOKUP(L$1,'offpeak-old'!$A$3:$DQ$20,$D559,FALSE)),0,VLOOKUP(L$1,'offpeak-old'!$A$3:$DQ$20,$D559,FALSE))</f>
        <v>0</v>
      </c>
      <c r="M559" s="14">
        <f>IF(ISNA(VLOOKUP(M$1,'offpeak-old'!$A$3:$DQ$20,$D559,FALSE)),0,VLOOKUP(M$1,'offpeak-old'!$A$3:$DQ$20,$D559,FALSE))</f>
        <v>0</v>
      </c>
      <c r="N559" s="14"/>
      <c r="O559" s="14">
        <f>IF(ISNA(VLOOKUP(O$1,'offpeak-old'!$A$3:$DQ$20,$D559,FALSE)),0,VLOOKUP(O$1,'offpeak-old'!$A$3:$DQ$20,$D559,FALSE))</f>
        <v>0</v>
      </c>
      <c r="P559" s="14">
        <f>IF(ISNA(VLOOKUP(P$1,'offpeak-old'!$A$3:$DQ$20,$D559,FALSE)),0,VLOOKUP(P$1,'offpeak-old'!$A$3:$DQ$20,$D559,FALSE))</f>
        <v>0</v>
      </c>
      <c r="Q559" s="15">
        <f>IF(ISNA(VLOOKUP(Q$1,'offpeak-old'!$A$3:$DQ$20,$D559,FALSE)),0,VLOOKUP(Q$1,'offpeak-old'!$A$3:$DQ$20,$D559,FALSE))</f>
        <v>0</v>
      </c>
      <c r="R559" s="14">
        <f>IF(ISNA(VLOOKUP(R$1,'offpeak-old'!$A$3:$DQ$20,$D559,FALSE)),0,VLOOKUP(R$1,'offpeak-old'!$A$3:$DQ$20,$D559,FALSE))</f>
        <v>0</v>
      </c>
      <c r="S559" s="10"/>
    </row>
    <row r="560" spans="1:19" s="8" customFormat="1" x14ac:dyDescent="0.2">
      <c r="A560" s="8">
        <f t="shared" si="152"/>
        <v>2006</v>
      </c>
      <c r="B560" s="8">
        <f t="shared" si="153"/>
        <v>9</v>
      </c>
      <c r="C560" s="9">
        <f t="shared" si="154"/>
        <v>38961</v>
      </c>
      <c r="D560" s="8">
        <f t="shared" si="151"/>
        <v>65</v>
      </c>
      <c r="E560" s="14">
        <f>IF(ISNA(VLOOKUP(E$1,'offpeak-old'!$A$3:$DQ$20,$D560,FALSE)),0,VLOOKUP(E$1,'offpeak-old'!$A$3:$DQ$20,$D560,FALSE))</f>
        <v>29200</v>
      </c>
      <c r="F560" s="14">
        <f>IF(ISNA(VLOOKUP(F$1,'offpeak-old'!$A$3:$DQ$20,$D560,FALSE)),0,VLOOKUP(F$1,'offpeak-old'!$A$3:$DQ$20,$D560,FALSE))</f>
        <v>0</v>
      </c>
      <c r="G560" s="14">
        <f>IF(ISNA(VLOOKUP(G$1,'offpeak-old'!$A$3:$DQ$20,$D560,FALSE)),0,VLOOKUP(G$1,'offpeak-old'!$A$3:$DQ$20,$D560,FALSE))</f>
        <v>0</v>
      </c>
      <c r="H560" s="14">
        <f>IF(ISNA(VLOOKUP(H$1,'offpeak-old'!$A$3:$DQ$20,$D560,FALSE)),0,VLOOKUP(H$1,'offpeak-old'!$A$3:$DQ$20,$D560,FALSE))</f>
        <v>-26000</v>
      </c>
      <c r="I560" s="14">
        <f>IF(ISNA(VLOOKUP(I$1,'offpeak-old'!$A$3:$DQ$20,$D560,FALSE)),0,VLOOKUP(I$1,'offpeak-old'!$A$3:$DQ$20,$D560,FALSE))</f>
        <v>0</v>
      </c>
      <c r="J560" s="14">
        <f>IF(ISNA(VLOOKUP(J$1,'offpeak-old'!$A$3:$DQ$20,$D560,FALSE)),0,VLOOKUP(J$1,'offpeak-old'!$A$3:$DQ$20,$D560,FALSE))</f>
        <v>0</v>
      </c>
      <c r="K560" s="14">
        <f>IF(ISNA(VLOOKUP(K$1,'offpeak-old'!$A$3:$DQ$20,$D560,FALSE)),0,VLOOKUP(K$1,'offpeak-old'!$A$3:$DQ$20,$D560,FALSE))</f>
        <v>0</v>
      </c>
      <c r="L560" s="14">
        <f>IF(ISNA(VLOOKUP(L$1,'offpeak-old'!$A$3:$DQ$20,$D560,FALSE)),0,VLOOKUP(L$1,'offpeak-old'!$A$3:$DQ$20,$D560,FALSE))</f>
        <v>0</v>
      </c>
      <c r="M560" s="14">
        <f>IF(ISNA(VLOOKUP(M$1,'offpeak-old'!$A$3:$DQ$20,$D560,FALSE)),0,VLOOKUP(M$1,'offpeak-old'!$A$3:$DQ$20,$D560,FALSE))</f>
        <v>0</v>
      </c>
      <c r="N560" s="14"/>
      <c r="O560" s="14">
        <f>IF(ISNA(VLOOKUP(O$1,'offpeak-old'!$A$3:$DQ$20,$D560,FALSE)),0,VLOOKUP(O$1,'offpeak-old'!$A$3:$DQ$20,$D560,FALSE))</f>
        <v>0</v>
      </c>
      <c r="P560" s="14">
        <f>IF(ISNA(VLOOKUP(P$1,'offpeak-old'!$A$3:$DQ$20,$D560,FALSE)),0,VLOOKUP(P$1,'offpeak-old'!$A$3:$DQ$20,$D560,FALSE))</f>
        <v>0</v>
      </c>
      <c r="Q560" s="15">
        <f>IF(ISNA(VLOOKUP(Q$1,'offpeak-old'!$A$3:$DQ$20,$D560,FALSE)),0,VLOOKUP(Q$1,'offpeak-old'!$A$3:$DQ$20,$D560,FALSE))</f>
        <v>0</v>
      </c>
      <c r="R560" s="14">
        <f>IF(ISNA(VLOOKUP(R$1,'offpeak-old'!$A$3:$DQ$20,$D560,FALSE)),0,VLOOKUP(R$1,'offpeak-old'!$A$3:$DQ$20,$D560,FALSE))</f>
        <v>0</v>
      </c>
      <c r="S560" s="10"/>
    </row>
    <row r="561" spans="1:19" s="8" customFormat="1" x14ac:dyDescent="0.2">
      <c r="A561" s="8">
        <f t="shared" si="152"/>
        <v>2006</v>
      </c>
      <c r="B561" s="8">
        <f t="shared" si="153"/>
        <v>10</v>
      </c>
      <c r="C561" s="9">
        <f t="shared" si="154"/>
        <v>38991</v>
      </c>
      <c r="D561" s="8">
        <f t="shared" si="151"/>
        <v>66</v>
      </c>
      <c r="E561" s="14">
        <f>IF(ISNA(VLOOKUP(E$1,'offpeak-old'!$A$3:$DQ$20,$D561,FALSE)),0,VLOOKUP(E$1,'offpeak-old'!$A$3:$DQ$20,$D561,FALSE))</f>
        <v>28689</v>
      </c>
      <c r="F561" s="14">
        <f>IF(ISNA(VLOOKUP(F$1,'offpeak-old'!$A$3:$DQ$20,$D561,FALSE)),0,VLOOKUP(F$1,'offpeak-old'!$A$3:$DQ$20,$D561,FALSE))</f>
        <v>0</v>
      </c>
      <c r="G561" s="14">
        <f>IF(ISNA(VLOOKUP(G$1,'offpeak-old'!$A$3:$DQ$20,$D561,FALSE)),0,VLOOKUP(G$1,'offpeak-old'!$A$3:$DQ$20,$D561,FALSE))</f>
        <v>0</v>
      </c>
      <c r="H561" s="14">
        <f>IF(ISNA(VLOOKUP(H$1,'offpeak-old'!$A$3:$DQ$20,$D561,FALSE)),0,VLOOKUP(H$1,'offpeak-old'!$A$3:$DQ$20,$D561,FALSE))</f>
        <v>-25922</v>
      </c>
      <c r="I561" s="14">
        <f>IF(ISNA(VLOOKUP(I$1,'offpeak-old'!$A$3:$DQ$20,$D561,FALSE)),0,VLOOKUP(I$1,'offpeak-old'!$A$3:$DQ$20,$D561,FALSE))</f>
        <v>0</v>
      </c>
      <c r="J561" s="14">
        <f>IF(ISNA(VLOOKUP(J$1,'offpeak-old'!$A$3:$DQ$20,$D561,FALSE)),0,VLOOKUP(J$1,'offpeak-old'!$A$3:$DQ$20,$D561,FALSE))</f>
        <v>0</v>
      </c>
      <c r="K561" s="14">
        <f>IF(ISNA(VLOOKUP(K$1,'offpeak-old'!$A$3:$DQ$20,$D561,FALSE)),0,VLOOKUP(K$1,'offpeak-old'!$A$3:$DQ$20,$D561,FALSE))</f>
        <v>0</v>
      </c>
      <c r="L561" s="14">
        <f>IF(ISNA(VLOOKUP(L$1,'offpeak-old'!$A$3:$DQ$20,$D561,FALSE)),0,VLOOKUP(L$1,'offpeak-old'!$A$3:$DQ$20,$D561,FALSE))</f>
        <v>0</v>
      </c>
      <c r="M561" s="14">
        <f>IF(ISNA(VLOOKUP(M$1,'offpeak-old'!$A$3:$DQ$20,$D561,FALSE)),0,VLOOKUP(M$1,'offpeak-old'!$A$3:$DQ$20,$D561,FALSE))</f>
        <v>0</v>
      </c>
      <c r="N561" s="14"/>
      <c r="O561" s="14">
        <f>IF(ISNA(VLOOKUP(O$1,'offpeak-old'!$A$3:$DQ$20,$D561,FALSE)),0,VLOOKUP(O$1,'offpeak-old'!$A$3:$DQ$20,$D561,FALSE))</f>
        <v>0</v>
      </c>
      <c r="P561" s="14">
        <f>IF(ISNA(VLOOKUP(P$1,'offpeak-old'!$A$3:$DQ$20,$D561,FALSE)),0,VLOOKUP(P$1,'offpeak-old'!$A$3:$DQ$20,$D561,FALSE))</f>
        <v>0</v>
      </c>
      <c r="Q561" s="15">
        <f>IF(ISNA(VLOOKUP(Q$1,'offpeak-old'!$A$3:$DQ$20,$D561,FALSE)),0,VLOOKUP(Q$1,'offpeak-old'!$A$3:$DQ$20,$D561,FALSE))</f>
        <v>0</v>
      </c>
      <c r="R561" s="14">
        <f>IF(ISNA(VLOOKUP(R$1,'offpeak-old'!$A$3:$DQ$20,$D561,FALSE)),0,VLOOKUP(R$1,'offpeak-old'!$A$3:$DQ$20,$D561,FALSE))</f>
        <v>0</v>
      </c>
      <c r="S561" s="10"/>
    </row>
    <row r="562" spans="1:19" s="8" customFormat="1" x14ac:dyDescent="0.2">
      <c r="A562" s="8">
        <f t="shared" si="152"/>
        <v>2006</v>
      </c>
      <c r="B562" s="8">
        <f t="shared" si="153"/>
        <v>11</v>
      </c>
      <c r="C562" s="9">
        <f t="shared" si="154"/>
        <v>39022</v>
      </c>
      <c r="D562" s="8">
        <f t="shared" ref="D562:D592" si="155">D561+1</f>
        <v>67</v>
      </c>
      <c r="E562" s="14">
        <f>IF(ISNA(VLOOKUP(E$1,'offpeak-old'!$A$3:$DQ$20,$D562,FALSE)),0,VLOOKUP(E$1,'offpeak-old'!$A$3:$DQ$20,$D562,FALSE))</f>
        <v>28032</v>
      </c>
      <c r="F562" s="14">
        <f>IF(ISNA(VLOOKUP(F$1,'offpeak-old'!$A$3:$DQ$20,$D562,FALSE)),0,VLOOKUP(F$1,'offpeak-old'!$A$3:$DQ$20,$D562,FALSE))</f>
        <v>0</v>
      </c>
      <c r="G562" s="14">
        <f>IF(ISNA(VLOOKUP(G$1,'offpeak-old'!$A$3:$DQ$20,$D562,FALSE)),0,VLOOKUP(G$1,'offpeak-old'!$A$3:$DQ$20,$D562,FALSE))</f>
        <v>0</v>
      </c>
      <c r="H562" s="14">
        <f>IF(ISNA(VLOOKUP(H$1,'offpeak-old'!$A$3:$DQ$20,$D562,FALSE)),0,VLOOKUP(H$1,'offpeak-old'!$A$3:$DQ$20,$D562,FALSE))</f>
        <v>-28416</v>
      </c>
      <c r="I562" s="14">
        <f>IF(ISNA(VLOOKUP(I$1,'offpeak-old'!$A$3:$DQ$20,$D562,FALSE)),0,VLOOKUP(I$1,'offpeak-old'!$A$3:$DQ$20,$D562,FALSE))</f>
        <v>0</v>
      </c>
      <c r="J562" s="14">
        <f>IF(ISNA(VLOOKUP(J$1,'offpeak-old'!$A$3:$DQ$20,$D562,FALSE)),0,VLOOKUP(J$1,'offpeak-old'!$A$3:$DQ$20,$D562,FALSE))</f>
        <v>0</v>
      </c>
      <c r="K562" s="14">
        <f>IF(ISNA(VLOOKUP(K$1,'offpeak-old'!$A$3:$DQ$20,$D562,FALSE)),0,VLOOKUP(K$1,'offpeak-old'!$A$3:$DQ$20,$D562,FALSE))</f>
        <v>0</v>
      </c>
      <c r="L562" s="14">
        <f>IF(ISNA(VLOOKUP(L$1,'offpeak-old'!$A$3:$DQ$20,$D562,FALSE)),0,VLOOKUP(L$1,'offpeak-old'!$A$3:$DQ$20,$D562,FALSE))</f>
        <v>0</v>
      </c>
      <c r="M562" s="14">
        <f>IF(ISNA(VLOOKUP(M$1,'offpeak-old'!$A$3:$DQ$20,$D562,FALSE)),0,VLOOKUP(M$1,'offpeak-old'!$A$3:$DQ$20,$D562,FALSE))</f>
        <v>0</v>
      </c>
      <c r="N562" s="14"/>
      <c r="O562" s="14">
        <f>IF(ISNA(VLOOKUP(O$1,'offpeak-old'!$A$3:$DQ$20,$D562,FALSE)),0,VLOOKUP(O$1,'offpeak-old'!$A$3:$DQ$20,$D562,FALSE))</f>
        <v>0</v>
      </c>
      <c r="P562" s="14">
        <f>IF(ISNA(VLOOKUP(P$1,'offpeak-old'!$A$3:$DQ$20,$D562,FALSE)),0,VLOOKUP(P$1,'offpeak-old'!$A$3:$DQ$20,$D562,FALSE))</f>
        <v>0</v>
      </c>
      <c r="Q562" s="15">
        <f>IF(ISNA(VLOOKUP(Q$1,'offpeak-old'!$A$3:$DQ$20,$D562,FALSE)),0,VLOOKUP(Q$1,'offpeak-old'!$A$3:$DQ$20,$D562,FALSE))</f>
        <v>0</v>
      </c>
      <c r="R562" s="14">
        <f>IF(ISNA(VLOOKUP(R$1,'offpeak-old'!$A$3:$DQ$20,$D562,FALSE)),0,VLOOKUP(R$1,'offpeak-old'!$A$3:$DQ$20,$D562,FALSE))</f>
        <v>0</v>
      </c>
      <c r="S562" s="10"/>
    </row>
    <row r="563" spans="1:19" s="8" customFormat="1" x14ac:dyDescent="0.2">
      <c r="A563" s="8">
        <f t="shared" si="152"/>
        <v>2006</v>
      </c>
      <c r="B563" s="8">
        <f t="shared" si="153"/>
        <v>12</v>
      </c>
      <c r="C563" s="9">
        <f t="shared" si="154"/>
        <v>39052</v>
      </c>
      <c r="D563" s="8">
        <f t="shared" si="155"/>
        <v>68</v>
      </c>
      <c r="E563" s="14">
        <f>IF(ISNA(VLOOKUP(E$1,'offpeak-old'!$A$3:$DQ$20,$D563,FALSE)),0,VLOOKUP(E$1,'offpeak-old'!$A$3:$DQ$20,$D563,FALSE))</f>
        <v>30952</v>
      </c>
      <c r="F563" s="14">
        <f>IF(ISNA(VLOOKUP(F$1,'offpeak-old'!$A$3:$DQ$20,$D563,FALSE)),0,VLOOKUP(F$1,'offpeak-old'!$A$3:$DQ$20,$D563,FALSE))</f>
        <v>0</v>
      </c>
      <c r="G563" s="14">
        <f>IF(ISNA(VLOOKUP(G$1,'offpeak-old'!$A$3:$DQ$20,$D563,FALSE)),0,VLOOKUP(G$1,'offpeak-old'!$A$3:$DQ$20,$D563,FALSE))</f>
        <v>0</v>
      </c>
      <c r="H563" s="14">
        <f>IF(ISNA(VLOOKUP(H$1,'offpeak-old'!$A$3:$DQ$20,$D563,FALSE)),0,VLOOKUP(H$1,'offpeak-old'!$A$3:$DQ$20,$D563,FALSE))</f>
        <v>-30952</v>
      </c>
      <c r="I563" s="14">
        <f>IF(ISNA(VLOOKUP(I$1,'offpeak-old'!$A$3:$DQ$20,$D563,FALSE)),0,VLOOKUP(I$1,'offpeak-old'!$A$3:$DQ$20,$D563,FALSE))</f>
        <v>0</v>
      </c>
      <c r="J563" s="14">
        <f>IF(ISNA(VLOOKUP(J$1,'offpeak-old'!$A$3:$DQ$20,$D563,FALSE)),0,VLOOKUP(J$1,'offpeak-old'!$A$3:$DQ$20,$D563,FALSE))</f>
        <v>0</v>
      </c>
      <c r="K563" s="14">
        <f>IF(ISNA(VLOOKUP(K$1,'offpeak-old'!$A$3:$DQ$20,$D563,FALSE)),0,VLOOKUP(K$1,'offpeak-old'!$A$3:$DQ$20,$D563,FALSE))</f>
        <v>0</v>
      </c>
      <c r="L563" s="14">
        <f>IF(ISNA(VLOOKUP(L$1,'offpeak-old'!$A$3:$DQ$20,$D563,FALSE)),0,VLOOKUP(L$1,'offpeak-old'!$A$3:$DQ$20,$D563,FALSE))</f>
        <v>0</v>
      </c>
      <c r="M563" s="14">
        <f>IF(ISNA(VLOOKUP(M$1,'offpeak-old'!$A$3:$DQ$20,$D563,FALSE)),0,VLOOKUP(M$1,'offpeak-old'!$A$3:$DQ$20,$D563,FALSE))</f>
        <v>0</v>
      </c>
      <c r="N563" s="14"/>
      <c r="O563" s="14">
        <f>IF(ISNA(VLOOKUP(O$1,'offpeak-old'!$A$3:$DQ$20,$D563,FALSE)),0,VLOOKUP(O$1,'offpeak-old'!$A$3:$DQ$20,$D563,FALSE))</f>
        <v>0</v>
      </c>
      <c r="P563" s="14">
        <f>IF(ISNA(VLOOKUP(P$1,'offpeak-old'!$A$3:$DQ$20,$D563,FALSE)),0,VLOOKUP(P$1,'offpeak-old'!$A$3:$DQ$20,$D563,FALSE))</f>
        <v>0</v>
      </c>
      <c r="Q563" s="15">
        <f>IF(ISNA(VLOOKUP(Q$1,'offpeak-old'!$A$3:$DQ$20,$D563,FALSE)),0,VLOOKUP(Q$1,'offpeak-old'!$A$3:$DQ$20,$D563,FALSE))</f>
        <v>0</v>
      </c>
      <c r="R563" s="14">
        <f>IF(ISNA(VLOOKUP(R$1,'offpeak-old'!$A$3:$DQ$20,$D563,FALSE)),0,VLOOKUP(R$1,'offpeak-old'!$A$3:$DQ$20,$D563,FALSE))</f>
        <v>0</v>
      </c>
      <c r="S563" s="10"/>
    </row>
    <row r="564" spans="1:19" s="8" customFormat="1" x14ac:dyDescent="0.2">
      <c r="A564" s="8">
        <f t="shared" si="152"/>
        <v>2007</v>
      </c>
      <c r="B564" s="8">
        <f t="shared" si="153"/>
        <v>1</v>
      </c>
      <c r="C564" s="9">
        <f t="shared" si="154"/>
        <v>39083</v>
      </c>
      <c r="D564" s="8">
        <f t="shared" si="155"/>
        <v>69</v>
      </c>
      <c r="E564" s="14">
        <f>IF(ISNA(VLOOKUP(E$1,'offpeak-old'!$A$3:$DQ$20,$D564,FALSE)),0,VLOOKUP(E$1,'offpeak-old'!$A$3:$DQ$20,$D564,FALSE))</f>
        <v>9016</v>
      </c>
      <c r="F564" s="14">
        <f>IF(ISNA(VLOOKUP(F$1,'offpeak-old'!$A$3:$DQ$20,$D564,FALSE)),0,VLOOKUP(F$1,'offpeak-old'!$A$3:$DQ$20,$D564,FALSE))</f>
        <v>0</v>
      </c>
      <c r="G564" s="14">
        <f>IF(ISNA(VLOOKUP(G$1,'offpeak-old'!$A$3:$DQ$20,$D564,FALSE)),0,VLOOKUP(G$1,'offpeak-old'!$A$3:$DQ$20,$D564,FALSE))</f>
        <v>0</v>
      </c>
      <c r="H564" s="14">
        <f>IF(ISNA(VLOOKUP(H$1,'offpeak-old'!$A$3:$DQ$20,$D564,FALSE)),0,VLOOKUP(H$1,'offpeak-old'!$A$3:$DQ$20,$D564,FALSE))</f>
        <v>-29400</v>
      </c>
      <c r="I564" s="14">
        <f>IF(ISNA(VLOOKUP(I$1,'offpeak-old'!$A$3:$DQ$20,$D564,FALSE)),0,VLOOKUP(I$1,'offpeak-old'!$A$3:$DQ$20,$D564,FALSE))</f>
        <v>0</v>
      </c>
      <c r="J564" s="14">
        <f>IF(ISNA(VLOOKUP(J$1,'offpeak-old'!$A$3:$DQ$20,$D564,FALSE)),0,VLOOKUP(J$1,'offpeak-old'!$A$3:$DQ$20,$D564,FALSE))</f>
        <v>0</v>
      </c>
      <c r="K564" s="14">
        <f>IF(ISNA(VLOOKUP(K$1,'offpeak-old'!$A$3:$DQ$20,$D564,FALSE)),0,VLOOKUP(K$1,'offpeak-old'!$A$3:$DQ$20,$D564,FALSE))</f>
        <v>0</v>
      </c>
      <c r="L564" s="14">
        <f>IF(ISNA(VLOOKUP(L$1,'offpeak-old'!$A$3:$DQ$20,$D564,FALSE)),0,VLOOKUP(L$1,'offpeak-old'!$A$3:$DQ$20,$D564,FALSE))</f>
        <v>0</v>
      </c>
      <c r="M564" s="14">
        <f>IF(ISNA(VLOOKUP(M$1,'offpeak-old'!$A$3:$DQ$20,$D564,FALSE)),0,VLOOKUP(M$1,'offpeak-old'!$A$3:$DQ$20,$D564,FALSE))</f>
        <v>0</v>
      </c>
      <c r="N564" s="14"/>
      <c r="O564" s="14">
        <f>IF(ISNA(VLOOKUP(O$1,'offpeak-old'!$A$3:$DQ$20,$D564,FALSE)),0,VLOOKUP(O$1,'offpeak-old'!$A$3:$DQ$20,$D564,FALSE))</f>
        <v>0</v>
      </c>
      <c r="P564" s="14">
        <f>IF(ISNA(VLOOKUP(P$1,'offpeak-old'!$A$3:$DQ$20,$D564,FALSE)),0,VLOOKUP(P$1,'offpeak-old'!$A$3:$DQ$20,$D564,FALSE))</f>
        <v>0</v>
      </c>
      <c r="Q564" s="15">
        <f>IF(ISNA(VLOOKUP(Q$1,'offpeak-old'!$A$3:$DQ$20,$D564,FALSE)),0,VLOOKUP(Q$1,'offpeak-old'!$A$3:$DQ$20,$D564,FALSE))</f>
        <v>0</v>
      </c>
      <c r="R564" s="14">
        <f>IF(ISNA(VLOOKUP(R$1,'offpeak-old'!$A$3:$DQ$20,$D564,FALSE)),0,VLOOKUP(R$1,'offpeak-old'!$A$3:$DQ$20,$D564,FALSE))</f>
        <v>0</v>
      </c>
      <c r="S564" s="10"/>
    </row>
    <row r="565" spans="1:19" s="8" customFormat="1" x14ac:dyDescent="0.2">
      <c r="A565" s="8">
        <f t="shared" si="152"/>
        <v>2007</v>
      </c>
      <c r="B565" s="8">
        <f t="shared" si="153"/>
        <v>2</v>
      </c>
      <c r="C565" s="9">
        <f t="shared" si="154"/>
        <v>39114</v>
      </c>
      <c r="D565" s="8">
        <f t="shared" si="155"/>
        <v>70</v>
      </c>
      <c r="E565" s="14">
        <f>IF(ISNA(VLOOKUP(E$1,'offpeak-old'!$A$3:$DQ$20,$D565,FALSE)),0,VLOOKUP(E$1,'offpeak-old'!$A$3:$DQ$20,$D565,FALSE))</f>
        <v>8096</v>
      </c>
      <c r="F565" s="14">
        <f>IF(ISNA(VLOOKUP(F$1,'offpeak-old'!$A$3:$DQ$20,$D565,FALSE)),0,VLOOKUP(F$1,'offpeak-old'!$A$3:$DQ$20,$D565,FALSE))</f>
        <v>0</v>
      </c>
      <c r="G565" s="14">
        <f>IF(ISNA(VLOOKUP(G$1,'offpeak-old'!$A$3:$DQ$20,$D565,FALSE)),0,VLOOKUP(G$1,'offpeak-old'!$A$3:$DQ$20,$D565,FALSE))</f>
        <v>0</v>
      </c>
      <c r="H565" s="14">
        <f>IF(ISNA(VLOOKUP(H$1,'offpeak-old'!$A$3:$DQ$20,$D565,FALSE)),0,VLOOKUP(H$1,'offpeak-old'!$A$3:$DQ$20,$D565,FALSE))</f>
        <v>-25696</v>
      </c>
      <c r="I565" s="14">
        <f>IF(ISNA(VLOOKUP(I$1,'offpeak-old'!$A$3:$DQ$20,$D565,FALSE)),0,VLOOKUP(I$1,'offpeak-old'!$A$3:$DQ$20,$D565,FALSE))</f>
        <v>0</v>
      </c>
      <c r="J565" s="14">
        <f>IF(ISNA(VLOOKUP(J$1,'offpeak-old'!$A$3:$DQ$20,$D565,FALSE)),0,VLOOKUP(J$1,'offpeak-old'!$A$3:$DQ$20,$D565,FALSE))</f>
        <v>0</v>
      </c>
      <c r="K565" s="14">
        <f>IF(ISNA(VLOOKUP(K$1,'offpeak-old'!$A$3:$DQ$20,$D565,FALSE)),0,VLOOKUP(K$1,'offpeak-old'!$A$3:$DQ$20,$D565,FALSE))</f>
        <v>0</v>
      </c>
      <c r="L565" s="14">
        <f>IF(ISNA(VLOOKUP(L$1,'offpeak-old'!$A$3:$DQ$20,$D565,FALSE)),0,VLOOKUP(L$1,'offpeak-old'!$A$3:$DQ$20,$D565,FALSE))</f>
        <v>0</v>
      </c>
      <c r="M565" s="14">
        <f>IF(ISNA(VLOOKUP(M$1,'offpeak-old'!$A$3:$DQ$20,$D565,FALSE)),0,VLOOKUP(M$1,'offpeak-old'!$A$3:$DQ$20,$D565,FALSE))</f>
        <v>0</v>
      </c>
      <c r="N565" s="14"/>
      <c r="O565" s="14">
        <f>IF(ISNA(VLOOKUP(O$1,'offpeak-old'!$A$3:$DQ$20,$D565,FALSE)),0,VLOOKUP(O$1,'offpeak-old'!$A$3:$DQ$20,$D565,FALSE))</f>
        <v>0</v>
      </c>
      <c r="P565" s="14">
        <f>IF(ISNA(VLOOKUP(P$1,'offpeak-old'!$A$3:$DQ$20,$D565,FALSE)),0,VLOOKUP(P$1,'offpeak-old'!$A$3:$DQ$20,$D565,FALSE))</f>
        <v>0</v>
      </c>
      <c r="Q565" s="15">
        <f>IF(ISNA(VLOOKUP(Q$1,'offpeak-old'!$A$3:$DQ$20,$D565,FALSE)),0,VLOOKUP(Q$1,'offpeak-old'!$A$3:$DQ$20,$D565,FALSE))</f>
        <v>0</v>
      </c>
      <c r="R565" s="14">
        <f>IF(ISNA(VLOOKUP(R$1,'offpeak-old'!$A$3:$DQ$20,$D565,FALSE)),0,VLOOKUP(R$1,'offpeak-old'!$A$3:$DQ$20,$D565,FALSE))</f>
        <v>0</v>
      </c>
      <c r="S565" s="10"/>
    </row>
    <row r="566" spans="1:19" s="8" customFormat="1" x14ac:dyDescent="0.2">
      <c r="A566" s="8">
        <f t="shared" si="152"/>
        <v>2007</v>
      </c>
      <c r="B566" s="8">
        <f t="shared" si="153"/>
        <v>3</v>
      </c>
      <c r="C566" s="9">
        <f t="shared" si="154"/>
        <v>39142</v>
      </c>
      <c r="D566" s="8">
        <f t="shared" si="155"/>
        <v>71</v>
      </c>
      <c r="E566" s="14">
        <f>IF(ISNA(VLOOKUP(E$1,'offpeak-old'!$A$3:$DQ$20,$D566,FALSE)),0,VLOOKUP(E$1,'offpeak-old'!$A$3:$DQ$20,$D566,FALSE))</f>
        <v>9016</v>
      </c>
      <c r="F566" s="14">
        <f>IF(ISNA(VLOOKUP(F$1,'offpeak-old'!$A$3:$DQ$20,$D566,FALSE)),0,VLOOKUP(F$1,'offpeak-old'!$A$3:$DQ$20,$D566,FALSE))</f>
        <v>0</v>
      </c>
      <c r="G566" s="14">
        <f>IF(ISNA(VLOOKUP(G$1,'offpeak-old'!$A$3:$DQ$20,$D566,FALSE)),0,VLOOKUP(G$1,'offpeak-old'!$A$3:$DQ$20,$D566,FALSE))</f>
        <v>0</v>
      </c>
      <c r="H566" s="14">
        <f>IF(ISNA(VLOOKUP(H$1,'offpeak-old'!$A$3:$DQ$20,$D566,FALSE)),0,VLOOKUP(H$1,'offpeak-old'!$A$3:$DQ$20,$D566,FALSE))</f>
        <v>-29400</v>
      </c>
      <c r="I566" s="14">
        <f>IF(ISNA(VLOOKUP(I$1,'offpeak-old'!$A$3:$DQ$20,$D566,FALSE)),0,VLOOKUP(I$1,'offpeak-old'!$A$3:$DQ$20,$D566,FALSE))</f>
        <v>0</v>
      </c>
      <c r="J566" s="14">
        <f>IF(ISNA(VLOOKUP(J$1,'offpeak-old'!$A$3:$DQ$20,$D566,FALSE)),0,VLOOKUP(J$1,'offpeak-old'!$A$3:$DQ$20,$D566,FALSE))</f>
        <v>0</v>
      </c>
      <c r="K566" s="14">
        <f>IF(ISNA(VLOOKUP(K$1,'offpeak-old'!$A$3:$DQ$20,$D566,FALSE)),0,VLOOKUP(K$1,'offpeak-old'!$A$3:$DQ$20,$D566,FALSE))</f>
        <v>0</v>
      </c>
      <c r="L566" s="14">
        <f>IF(ISNA(VLOOKUP(L$1,'offpeak-old'!$A$3:$DQ$20,$D566,FALSE)),0,VLOOKUP(L$1,'offpeak-old'!$A$3:$DQ$20,$D566,FALSE))</f>
        <v>0</v>
      </c>
      <c r="M566" s="14">
        <f>IF(ISNA(VLOOKUP(M$1,'offpeak-old'!$A$3:$DQ$20,$D566,FALSE)),0,VLOOKUP(M$1,'offpeak-old'!$A$3:$DQ$20,$D566,FALSE))</f>
        <v>0</v>
      </c>
      <c r="N566" s="14"/>
      <c r="O566" s="14">
        <f>IF(ISNA(VLOOKUP(O$1,'offpeak-old'!$A$3:$DQ$20,$D566,FALSE)),0,VLOOKUP(O$1,'offpeak-old'!$A$3:$DQ$20,$D566,FALSE))</f>
        <v>0</v>
      </c>
      <c r="P566" s="14">
        <f>IF(ISNA(VLOOKUP(P$1,'offpeak-old'!$A$3:$DQ$20,$D566,FALSE)),0,VLOOKUP(P$1,'offpeak-old'!$A$3:$DQ$20,$D566,FALSE))</f>
        <v>0</v>
      </c>
      <c r="Q566" s="15">
        <f>IF(ISNA(VLOOKUP(Q$1,'offpeak-old'!$A$3:$DQ$20,$D566,FALSE)),0,VLOOKUP(Q$1,'offpeak-old'!$A$3:$DQ$20,$D566,FALSE))</f>
        <v>0</v>
      </c>
      <c r="R566" s="14">
        <f>IF(ISNA(VLOOKUP(R$1,'offpeak-old'!$A$3:$DQ$20,$D566,FALSE)),0,VLOOKUP(R$1,'offpeak-old'!$A$3:$DQ$20,$D566,FALSE))</f>
        <v>0</v>
      </c>
      <c r="S566" s="10"/>
    </row>
    <row r="567" spans="1:19" s="8" customFormat="1" x14ac:dyDescent="0.2">
      <c r="A567" s="8">
        <f t="shared" si="152"/>
        <v>2007</v>
      </c>
      <c r="B567" s="8">
        <f t="shared" si="153"/>
        <v>4</v>
      </c>
      <c r="C567" s="9">
        <f t="shared" si="154"/>
        <v>39173</v>
      </c>
      <c r="D567" s="8">
        <f t="shared" si="155"/>
        <v>72</v>
      </c>
      <c r="E567" s="14">
        <f>IF(ISNA(VLOOKUP(E$1,'offpeak-old'!$A$3:$DQ$20,$D567,FALSE)),0,VLOOKUP(E$1,'offpeak-old'!$A$3:$DQ$20,$D567,FALSE))</f>
        <v>8809</v>
      </c>
      <c r="F567" s="14">
        <f>IF(ISNA(VLOOKUP(F$1,'offpeak-old'!$A$3:$DQ$20,$D567,FALSE)),0,VLOOKUP(F$1,'offpeak-old'!$A$3:$DQ$20,$D567,FALSE))</f>
        <v>0</v>
      </c>
      <c r="G567" s="14">
        <f>IF(ISNA(VLOOKUP(G$1,'offpeak-old'!$A$3:$DQ$20,$D567,FALSE)),0,VLOOKUP(G$1,'offpeak-old'!$A$3:$DQ$20,$D567,FALSE))</f>
        <v>0</v>
      </c>
      <c r="H567" s="14">
        <f>IF(ISNA(VLOOKUP(H$1,'offpeak-old'!$A$3:$DQ$20,$D567,FALSE)),0,VLOOKUP(H$1,'offpeak-old'!$A$3:$DQ$20,$D567,FALSE))</f>
        <v>-28366</v>
      </c>
      <c r="I567" s="14">
        <f>IF(ISNA(VLOOKUP(I$1,'offpeak-old'!$A$3:$DQ$20,$D567,FALSE)),0,VLOOKUP(I$1,'offpeak-old'!$A$3:$DQ$20,$D567,FALSE))</f>
        <v>0</v>
      </c>
      <c r="J567" s="14">
        <f>IF(ISNA(VLOOKUP(J$1,'offpeak-old'!$A$3:$DQ$20,$D567,FALSE)),0,VLOOKUP(J$1,'offpeak-old'!$A$3:$DQ$20,$D567,FALSE))</f>
        <v>0</v>
      </c>
      <c r="K567" s="14">
        <f>IF(ISNA(VLOOKUP(K$1,'offpeak-old'!$A$3:$DQ$20,$D567,FALSE)),0,VLOOKUP(K$1,'offpeak-old'!$A$3:$DQ$20,$D567,FALSE))</f>
        <v>0</v>
      </c>
      <c r="L567" s="14">
        <f>IF(ISNA(VLOOKUP(L$1,'offpeak-old'!$A$3:$DQ$20,$D567,FALSE)),0,VLOOKUP(L$1,'offpeak-old'!$A$3:$DQ$20,$D567,FALSE))</f>
        <v>0</v>
      </c>
      <c r="M567" s="14">
        <f>IF(ISNA(VLOOKUP(M$1,'offpeak-old'!$A$3:$DQ$20,$D567,FALSE)),0,VLOOKUP(M$1,'offpeak-old'!$A$3:$DQ$20,$D567,FALSE))</f>
        <v>0</v>
      </c>
      <c r="N567" s="14"/>
      <c r="O567" s="14">
        <f>IF(ISNA(VLOOKUP(O$1,'offpeak-old'!$A$3:$DQ$20,$D567,FALSE)),0,VLOOKUP(O$1,'offpeak-old'!$A$3:$DQ$20,$D567,FALSE))</f>
        <v>0</v>
      </c>
      <c r="P567" s="14">
        <f>IF(ISNA(VLOOKUP(P$1,'offpeak-old'!$A$3:$DQ$20,$D567,FALSE)),0,VLOOKUP(P$1,'offpeak-old'!$A$3:$DQ$20,$D567,FALSE))</f>
        <v>0</v>
      </c>
      <c r="Q567" s="15">
        <f>IF(ISNA(VLOOKUP(Q$1,'offpeak-old'!$A$3:$DQ$20,$D567,FALSE)),0,VLOOKUP(Q$1,'offpeak-old'!$A$3:$DQ$20,$D567,FALSE))</f>
        <v>0</v>
      </c>
      <c r="R567" s="14">
        <f>IF(ISNA(VLOOKUP(R$1,'offpeak-old'!$A$3:$DQ$20,$D567,FALSE)),0,VLOOKUP(R$1,'offpeak-old'!$A$3:$DQ$20,$D567,FALSE))</f>
        <v>0</v>
      </c>
      <c r="S567" s="10"/>
    </row>
    <row r="568" spans="1:19" s="8" customFormat="1" x14ac:dyDescent="0.2">
      <c r="A568" s="8">
        <f t="shared" si="152"/>
        <v>2007</v>
      </c>
      <c r="B568" s="8">
        <f t="shared" si="153"/>
        <v>5</v>
      </c>
      <c r="C568" s="9">
        <f t="shared" si="154"/>
        <v>39203</v>
      </c>
      <c r="D568" s="8">
        <f t="shared" si="155"/>
        <v>73</v>
      </c>
      <c r="E568" s="14">
        <f>IF(ISNA(VLOOKUP(E$1,'offpeak-old'!$A$3:$DQ$20,$D568,FALSE)),0,VLOOKUP(E$1,'offpeak-old'!$A$3:$DQ$20,$D568,FALSE))</f>
        <v>9016</v>
      </c>
      <c r="F568" s="14">
        <f>IF(ISNA(VLOOKUP(F$1,'offpeak-old'!$A$3:$DQ$20,$D568,FALSE)),0,VLOOKUP(F$1,'offpeak-old'!$A$3:$DQ$20,$D568,FALSE))</f>
        <v>0</v>
      </c>
      <c r="G568" s="14">
        <f>IF(ISNA(VLOOKUP(G$1,'offpeak-old'!$A$3:$DQ$20,$D568,FALSE)),0,VLOOKUP(G$1,'offpeak-old'!$A$3:$DQ$20,$D568,FALSE))</f>
        <v>0</v>
      </c>
      <c r="H568" s="14">
        <f>IF(ISNA(VLOOKUP(H$1,'offpeak-old'!$A$3:$DQ$20,$D568,FALSE)),0,VLOOKUP(H$1,'offpeak-old'!$A$3:$DQ$20,$D568,FALSE))</f>
        <v>-25480</v>
      </c>
      <c r="I568" s="14">
        <f>IF(ISNA(VLOOKUP(I$1,'offpeak-old'!$A$3:$DQ$20,$D568,FALSE)),0,VLOOKUP(I$1,'offpeak-old'!$A$3:$DQ$20,$D568,FALSE))</f>
        <v>0</v>
      </c>
      <c r="J568" s="14">
        <f>IF(ISNA(VLOOKUP(J$1,'offpeak-old'!$A$3:$DQ$20,$D568,FALSE)),0,VLOOKUP(J$1,'offpeak-old'!$A$3:$DQ$20,$D568,FALSE))</f>
        <v>0</v>
      </c>
      <c r="K568" s="14">
        <f>IF(ISNA(VLOOKUP(K$1,'offpeak-old'!$A$3:$DQ$20,$D568,FALSE)),0,VLOOKUP(K$1,'offpeak-old'!$A$3:$DQ$20,$D568,FALSE))</f>
        <v>0</v>
      </c>
      <c r="L568" s="14">
        <f>IF(ISNA(VLOOKUP(L$1,'offpeak-old'!$A$3:$DQ$20,$D568,FALSE)),0,VLOOKUP(L$1,'offpeak-old'!$A$3:$DQ$20,$D568,FALSE))</f>
        <v>0</v>
      </c>
      <c r="M568" s="14">
        <f>IF(ISNA(VLOOKUP(M$1,'offpeak-old'!$A$3:$DQ$20,$D568,FALSE)),0,VLOOKUP(M$1,'offpeak-old'!$A$3:$DQ$20,$D568,FALSE))</f>
        <v>0</v>
      </c>
      <c r="N568" s="14"/>
      <c r="O568" s="14">
        <f>IF(ISNA(VLOOKUP(O$1,'offpeak-old'!$A$3:$DQ$20,$D568,FALSE)),0,VLOOKUP(O$1,'offpeak-old'!$A$3:$DQ$20,$D568,FALSE))</f>
        <v>0</v>
      </c>
      <c r="P568" s="14">
        <f>IF(ISNA(VLOOKUP(P$1,'offpeak-old'!$A$3:$DQ$20,$D568,FALSE)),0,VLOOKUP(P$1,'offpeak-old'!$A$3:$DQ$20,$D568,FALSE))</f>
        <v>0</v>
      </c>
      <c r="Q568" s="15">
        <f>IF(ISNA(VLOOKUP(Q$1,'offpeak-old'!$A$3:$DQ$20,$D568,FALSE)),0,VLOOKUP(Q$1,'offpeak-old'!$A$3:$DQ$20,$D568,FALSE))</f>
        <v>0</v>
      </c>
      <c r="R568" s="14">
        <f>IF(ISNA(VLOOKUP(R$1,'offpeak-old'!$A$3:$DQ$20,$D568,FALSE)),0,VLOOKUP(R$1,'offpeak-old'!$A$3:$DQ$20,$D568,FALSE))</f>
        <v>0</v>
      </c>
      <c r="S568" s="10"/>
    </row>
    <row r="569" spans="1:19" s="8" customFormat="1" x14ac:dyDescent="0.2">
      <c r="A569" s="8">
        <f t="shared" ref="A569:A592" si="156">IF(B568=12,A568+1,A568)</f>
        <v>2007</v>
      </c>
      <c r="B569" s="8">
        <f t="shared" ref="B569:B598" si="157">IF(B568=12,1,B568+1)</f>
        <v>6</v>
      </c>
      <c r="C569" s="9">
        <f t="shared" si="154"/>
        <v>39234</v>
      </c>
      <c r="D569" s="8">
        <f t="shared" si="155"/>
        <v>74</v>
      </c>
      <c r="E569" s="14">
        <f>IF(ISNA(VLOOKUP(E$1,'offpeak-old'!$A$3:$DQ$20,$D569,FALSE)),0,VLOOKUP(E$1,'offpeak-old'!$A$3:$DQ$20,$D569,FALSE))</f>
        <v>8832</v>
      </c>
      <c r="F569" s="14">
        <f>IF(ISNA(VLOOKUP(F$1,'offpeak-old'!$A$3:$DQ$20,$D569,FALSE)),0,VLOOKUP(F$1,'offpeak-old'!$A$3:$DQ$20,$D569,FALSE))</f>
        <v>0</v>
      </c>
      <c r="G569" s="14">
        <f>IF(ISNA(VLOOKUP(G$1,'offpeak-old'!$A$3:$DQ$20,$D569,FALSE)),0,VLOOKUP(G$1,'offpeak-old'!$A$3:$DQ$20,$D569,FALSE))</f>
        <v>0</v>
      </c>
      <c r="H569" s="14">
        <f>IF(ISNA(VLOOKUP(H$1,'offpeak-old'!$A$3:$DQ$20,$D569,FALSE)),0,VLOOKUP(H$1,'offpeak-old'!$A$3:$DQ$20,$D569,FALSE))</f>
        <v>-23808</v>
      </c>
      <c r="I569" s="14">
        <f>IF(ISNA(VLOOKUP(I$1,'offpeak-old'!$A$3:$DQ$20,$D569,FALSE)),0,VLOOKUP(I$1,'offpeak-old'!$A$3:$DQ$20,$D569,FALSE))</f>
        <v>0</v>
      </c>
      <c r="J569" s="14">
        <f>IF(ISNA(VLOOKUP(J$1,'offpeak-old'!$A$3:$DQ$20,$D569,FALSE)),0,VLOOKUP(J$1,'offpeak-old'!$A$3:$DQ$20,$D569,FALSE))</f>
        <v>0</v>
      </c>
      <c r="K569" s="14">
        <f>IF(ISNA(VLOOKUP(K$1,'offpeak-old'!$A$3:$DQ$20,$D569,FALSE)),0,VLOOKUP(K$1,'offpeak-old'!$A$3:$DQ$20,$D569,FALSE))</f>
        <v>0</v>
      </c>
      <c r="L569" s="14">
        <f>IF(ISNA(VLOOKUP(L$1,'offpeak-old'!$A$3:$DQ$20,$D569,FALSE)),0,VLOOKUP(L$1,'offpeak-old'!$A$3:$DQ$20,$D569,FALSE))</f>
        <v>0</v>
      </c>
      <c r="M569" s="14">
        <f>IF(ISNA(VLOOKUP(M$1,'offpeak-old'!$A$3:$DQ$20,$D569,FALSE)),0,VLOOKUP(M$1,'offpeak-old'!$A$3:$DQ$20,$D569,FALSE))</f>
        <v>0</v>
      </c>
      <c r="N569" s="14"/>
      <c r="O569" s="14">
        <f>IF(ISNA(VLOOKUP(O$1,'offpeak-old'!$A$3:$DQ$20,$D569,FALSE)),0,VLOOKUP(O$1,'offpeak-old'!$A$3:$DQ$20,$D569,FALSE))</f>
        <v>0</v>
      </c>
      <c r="P569" s="14">
        <f>IF(ISNA(VLOOKUP(P$1,'offpeak-old'!$A$3:$DQ$20,$D569,FALSE)),0,VLOOKUP(P$1,'offpeak-old'!$A$3:$DQ$20,$D569,FALSE))</f>
        <v>0</v>
      </c>
      <c r="Q569" s="15">
        <f>IF(ISNA(VLOOKUP(Q$1,'offpeak-old'!$A$3:$DQ$20,$D569,FALSE)),0,VLOOKUP(Q$1,'offpeak-old'!$A$3:$DQ$20,$D569,FALSE))</f>
        <v>0</v>
      </c>
      <c r="R569" s="14">
        <f>IF(ISNA(VLOOKUP(R$1,'offpeak-old'!$A$3:$DQ$20,$D569,FALSE)),0,VLOOKUP(R$1,'offpeak-old'!$A$3:$DQ$20,$D569,FALSE))</f>
        <v>0</v>
      </c>
      <c r="S569" s="10"/>
    </row>
    <row r="570" spans="1:19" s="8" customFormat="1" x14ac:dyDescent="0.2">
      <c r="A570" s="8">
        <f t="shared" si="156"/>
        <v>2007</v>
      </c>
      <c r="B570" s="8">
        <f t="shared" si="157"/>
        <v>7</v>
      </c>
      <c r="C570" s="9">
        <f t="shared" si="154"/>
        <v>39264</v>
      </c>
      <c r="D570" s="8">
        <f t="shared" si="155"/>
        <v>75</v>
      </c>
      <c r="E570" s="14">
        <f>IF(ISNA(VLOOKUP(E$1,'offpeak-old'!$A$3:$DQ$20,$D570,FALSE)),0,VLOOKUP(E$1,'offpeak-old'!$A$3:$DQ$20,$D570,FALSE))</f>
        <v>9384</v>
      </c>
      <c r="F570" s="14">
        <f>IF(ISNA(VLOOKUP(F$1,'offpeak-old'!$A$3:$DQ$20,$D570,FALSE)),0,VLOOKUP(F$1,'offpeak-old'!$A$3:$DQ$20,$D570,FALSE))</f>
        <v>0</v>
      </c>
      <c r="G570" s="14">
        <f>IF(ISNA(VLOOKUP(G$1,'offpeak-old'!$A$3:$DQ$20,$D570,FALSE)),0,VLOOKUP(G$1,'offpeak-old'!$A$3:$DQ$20,$D570,FALSE))</f>
        <v>0</v>
      </c>
      <c r="H570" s="14">
        <f>IF(ISNA(VLOOKUP(H$1,'offpeak-old'!$A$3:$DQ$20,$D570,FALSE)),0,VLOOKUP(H$1,'offpeak-old'!$A$3:$DQ$20,$D570,FALSE))</f>
        <v>-24072</v>
      </c>
      <c r="I570" s="14">
        <f>IF(ISNA(VLOOKUP(I$1,'offpeak-old'!$A$3:$DQ$20,$D570,FALSE)),0,VLOOKUP(I$1,'offpeak-old'!$A$3:$DQ$20,$D570,FALSE))</f>
        <v>0</v>
      </c>
      <c r="J570" s="14">
        <f>IF(ISNA(VLOOKUP(J$1,'offpeak-old'!$A$3:$DQ$20,$D570,FALSE)),0,VLOOKUP(J$1,'offpeak-old'!$A$3:$DQ$20,$D570,FALSE))</f>
        <v>0</v>
      </c>
      <c r="K570" s="14">
        <f>IF(ISNA(VLOOKUP(K$1,'offpeak-old'!$A$3:$DQ$20,$D570,FALSE)),0,VLOOKUP(K$1,'offpeak-old'!$A$3:$DQ$20,$D570,FALSE))</f>
        <v>0</v>
      </c>
      <c r="L570" s="14">
        <f>IF(ISNA(VLOOKUP(L$1,'offpeak-old'!$A$3:$DQ$20,$D570,FALSE)),0,VLOOKUP(L$1,'offpeak-old'!$A$3:$DQ$20,$D570,FALSE))</f>
        <v>0</v>
      </c>
      <c r="M570" s="14">
        <f>IF(ISNA(VLOOKUP(M$1,'offpeak-old'!$A$3:$DQ$20,$D570,FALSE)),0,VLOOKUP(M$1,'offpeak-old'!$A$3:$DQ$20,$D570,FALSE))</f>
        <v>0</v>
      </c>
      <c r="N570" s="14"/>
      <c r="O570" s="14">
        <f>IF(ISNA(VLOOKUP(O$1,'offpeak-old'!$A$3:$DQ$20,$D570,FALSE)),0,VLOOKUP(O$1,'offpeak-old'!$A$3:$DQ$20,$D570,FALSE))</f>
        <v>0</v>
      </c>
      <c r="P570" s="14">
        <f>IF(ISNA(VLOOKUP(P$1,'offpeak-old'!$A$3:$DQ$20,$D570,FALSE)),0,VLOOKUP(P$1,'offpeak-old'!$A$3:$DQ$20,$D570,FALSE))</f>
        <v>0</v>
      </c>
      <c r="Q570" s="15">
        <f>IF(ISNA(VLOOKUP(Q$1,'offpeak-old'!$A$3:$DQ$20,$D570,FALSE)),0,VLOOKUP(Q$1,'offpeak-old'!$A$3:$DQ$20,$D570,FALSE))</f>
        <v>0</v>
      </c>
      <c r="R570" s="14">
        <f>IF(ISNA(VLOOKUP(R$1,'offpeak-old'!$A$3:$DQ$20,$D570,FALSE)),0,VLOOKUP(R$1,'offpeak-old'!$A$3:$DQ$20,$D570,FALSE))</f>
        <v>0</v>
      </c>
      <c r="S570" s="10"/>
    </row>
    <row r="571" spans="1:19" s="8" customFormat="1" x14ac:dyDescent="0.2">
      <c r="A571" s="8">
        <f t="shared" si="156"/>
        <v>2007</v>
      </c>
      <c r="B571" s="8">
        <f t="shared" si="157"/>
        <v>8</v>
      </c>
      <c r="C571" s="9">
        <f t="shared" si="154"/>
        <v>39295</v>
      </c>
      <c r="D571" s="8">
        <f t="shared" si="155"/>
        <v>76</v>
      </c>
      <c r="E571" s="14">
        <f>IF(ISNA(VLOOKUP(E$1,'offpeak-old'!$A$3:$DQ$20,$D571,FALSE)),0,VLOOKUP(E$1,'offpeak-old'!$A$3:$DQ$20,$D571,FALSE))</f>
        <v>8648</v>
      </c>
      <c r="F571" s="14">
        <f>IF(ISNA(VLOOKUP(F$1,'offpeak-old'!$A$3:$DQ$20,$D571,FALSE)),0,VLOOKUP(F$1,'offpeak-old'!$A$3:$DQ$20,$D571,FALSE))</f>
        <v>0</v>
      </c>
      <c r="G571" s="14">
        <f>IF(ISNA(VLOOKUP(G$1,'offpeak-old'!$A$3:$DQ$20,$D571,FALSE)),0,VLOOKUP(G$1,'offpeak-old'!$A$3:$DQ$20,$D571,FALSE))</f>
        <v>0</v>
      </c>
      <c r="H571" s="14">
        <f>IF(ISNA(VLOOKUP(H$1,'offpeak-old'!$A$3:$DQ$20,$D571,FALSE)),0,VLOOKUP(H$1,'offpeak-old'!$A$3:$DQ$20,$D571,FALSE))</f>
        <v>-22184</v>
      </c>
      <c r="I571" s="14">
        <f>IF(ISNA(VLOOKUP(I$1,'offpeak-old'!$A$3:$DQ$20,$D571,FALSE)),0,VLOOKUP(I$1,'offpeak-old'!$A$3:$DQ$20,$D571,FALSE))</f>
        <v>0</v>
      </c>
      <c r="J571" s="14">
        <f>IF(ISNA(VLOOKUP(J$1,'offpeak-old'!$A$3:$DQ$20,$D571,FALSE)),0,VLOOKUP(J$1,'offpeak-old'!$A$3:$DQ$20,$D571,FALSE))</f>
        <v>0</v>
      </c>
      <c r="K571" s="14">
        <f>IF(ISNA(VLOOKUP(K$1,'offpeak-old'!$A$3:$DQ$20,$D571,FALSE)),0,VLOOKUP(K$1,'offpeak-old'!$A$3:$DQ$20,$D571,FALSE))</f>
        <v>0</v>
      </c>
      <c r="L571" s="14">
        <f>IF(ISNA(VLOOKUP(L$1,'offpeak-old'!$A$3:$DQ$20,$D571,FALSE)),0,VLOOKUP(L$1,'offpeak-old'!$A$3:$DQ$20,$D571,FALSE))</f>
        <v>0</v>
      </c>
      <c r="M571" s="14">
        <f>IF(ISNA(VLOOKUP(M$1,'offpeak-old'!$A$3:$DQ$20,$D571,FALSE)),0,VLOOKUP(M$1,'offpeak-old'!$A$3:$DQ$20,$D571,FALSE))</f>
        <v>0</v>
      </c>
      <c r="N571" s="14"/>
      <c r="O571" s="14">
        <f>IF(ISNA(VLOOKUP(O$1,'offpeak-old'!$A$3:$DQ$20,$D571,FALSE)),0,VLOOKUP(O$1,'offpeak-old'!$A$3:$DQ$20,$D571,FALSE))</f>
        <v>0</v>
      </c>
      <c r="P571" s="14">
        <f>IF(ISNA(VLOOKUP(P$1,'offpeak-old'!$A$3:$DQ$20,$D571,FALSE)),0,VLOOKUP(P$1,'offpeak-old'!$A$3:$DQ$20,$D571,FALSE))</f>
        <v>0</v>
      </c>
      <c r="Q571" s="15">
        <f>IF(ISNA(VLOOKUP(Q$1,'offpeak-old'!$A$3:$DQ$20,$D571,FALSE)),0,VLOOKUP(Q$1,'offpeak-old'!$A$3:$DQ$20,$D571,FALSE))</f>
        <v>0</v>
      </c>
      <c r="R571" s="14">
        <f>IF(ISNA(VLOOKUP(R$1,'offpeak-old'!$A$3:$DQ$20,$D571,FALSE)),0,VLOOKUP(R$1,'offpeak-old'!$A$3:$DQ$20,$D571,FALSE))</f>
        <v>0</v>
      </c>
      <c r="S571" s="10"/>
    </row>
    <row r="572" spans="1:19" s="8" customFormat="1" x14ac:dyDescent="0.2">
      <c r="A572" s="8">
        <f t="shared" si="156"/>
        <v>2007</v>
      </c>
      <c r="B572" s="8">
        <f t="shared" si="157"/>
        <v>9</v>
      </c>
      <c r="C572" s="9">
        <f t="shared" si="154"/>
        <v>39326</v>
      </c>
      <c r="D572" s="8">
        <f t="shared" si="155"/>
        <v>77</v>
      </c>
      <c r="E572" s="14">
        <f>IF(ISNA(VLOOKUP(E$1,'offpeak-old'!$A$3:$DQ$20,$D572,FALSE)),0,VLOOKUP(E$1,'offpeak-old'!$A$3:$DQ$20,$D572,FALSE))</f>
        <v>9568</v>
      </c>
      <c r="F572" s="14">
        <f>IF(ISNA(VLOOKUP(F$1,'offpeak-old'!$A$3:$DQ$20,$D572,FALSE)),0,VLOOKUP(F$1,'offpeak-old'!$A$3:$DQ$20,$D572,FALSE))</f>
        <v>0</v>
      </c>
      <c r="G572" s="14">
        <f>IF(ISNA(VLOOKUP(G$1,'offpeak-old'!$A$3:$DQ$20,$D572,FALSE)),0,VLOOKUP(G$1,'offpeak-old'!$A$3:$DQ$20,$D572,FALSE))</f>
        <v>0</v>
      </c>
      <c r="H572" s="14">
        <f>IF(ISNA(VLOOKUP(H$1,'offpeak-old'!$A$3:$DQ$20,$D572,FALSE)),0,VLOOKUP(H$1,'offpeak-old'!$A$3:$DQ$20,$D572,FALSE))</f>
        <v>-27040</v>
      </c>
      <c r="I572" s="14">
        <f>IF(ISNA(VLOOKUP(I$1,'offpeak-old'!$A$3:$DQ$20,$D572,FALSE)),0,VLOOKUP(I$1,'offpeak-old'!$A$3:$DQ$20,$D572,FALSE))</f>
        <v>0</v>
      </c>
      <c r="J572" s="14">
        <f>IF(ISNA(VLOOKUP(J$1,'offpeak-old'!$A$3:$DQ$20,$D572,FALSE)),0,VLOOKUP(J$1,'offpeak-old'!$A$3:$DQ$20,$D572,FALSE))</f>
        <v>0</v>
      </c>
      <c r="K572" s="14">
        <f>IF(ISNA(VLOOKUP(K$1,'offpeak-old'!$A$3:$DQ$20,$D572,FALSE)),0,VLOOKUP(K$1,'offpeak-old'!$A$3:$DQ$20,$D572,FALSE))</f>
        <v>0</v>
      </c>
      <c r="L572" s="14">
        <f>IF(ISNA(VLOOKUP(L$1,'offpeak-old'!$A$3:$DQ$20,$D572,FALSE)),0,VLOOKUP(L$1,'offpeak-old'!$A$3:$DQ$20,$D572,FALSE))</f>
        <v>0</v>
      </c>
      <c r="M572" s="14">
        <f>IF(ISNA(VLOOKUP(M$1,'offpeak-old'!$A$3:$DQ$20,$D572,FALSE)),0,VLOOKUP(M$1,'offpeak-old'!$A$3:$DQ$20,$D572,FALSE))</f>
        <v>0</v>
      </c>
      <c r="N572" s="14"/>
      <c r="O572" s="14">
        <f>IF(ISNA(VLOOKUP(O$1,'offpeak-old'!$A$3:$DQ$20,$D572,FALSE)),0,VLOOKUP(O$1,'offpeak-old'!$A$3:$DQ$20,$D572,FALSE))</f>
        <v>0</v>
      </c>
      <c r="P572" s="14">
        <f>IF(ISNA(VLOOKUP(P$1,'offpeak-old'!$A$3:$DQ$20,$D572,FALSE)),0,VLOOKUP(P$1,'offpeak-old'!$A$3:$DQ$20,$D572,FALSE))</f>
        <v>0</v>
      </c>
      <c r="Q572" s="15">
        <f>IF(ISNA(VLOOKUP(Q$1,'offpeak-old'!$A$3:$DQ$20,$D572,FALSE)),0,VLOOKUP(Q$1,'offpeak-old'!$A$3:$DQ$20,$D572,FALSE))</f>
        <v>0</v>
      </c>
      <c r="R572" s="14">
        <f>IF(ISNA(VLOOKUP(R$1,'offpeak-old'!$A$3:$DQ$20,$D572,FALSE)),0,VLOOKUP(R$1,'offpeak-old'!$A$3:$DQ$20,$D572,FALSE))</f>
        <v>0</v>
      </c>
      <c r="S572" s="10"/>
    </row>
    <row r="573" spans="1:19" s="8" customFormat="1" x14ac:dyDescent="0.2">
      <c r="A573" s="8">
        <f t="shared" si="156"/>
        <v>2007</v>
      </c>
      <c r="B573" s="8">
        <f t="shared" si="157"/>
        <v>10</v>
      </c>
      <c r="C573" s="9">
        <f t="shared" si="154"/>
        <v>39356</v>
      </c>
      <c r="D573" s="8">
        <f t="shared" si="155"/>
        <v>78</v>
      </c>
      <c r="E573" s="14">
        <f>IF(ISNA(VLOOKUP(E$1,'offpeak-old'!$A$3:$DQ$20,$D573,FALSE)),0,VLOOKUP(E$1,'offpeak-old'!$A$3:$DQ$20,$D573,FALSE))</f>
        <v>8671</v>
      </c>
      <c r="F573" s="14">
        <f>IF(ISNA(VLOOKUP(F$1,'offpeak-old'!$A$3:$DQ$20,$D573,FALSE)),0,VLOOKUP(F$1,'offpeak-old'!$A$3:$DQ$20,$D573,FALSE))</f>
        <v>0</v>
      </c>
      <c r="G573" s="14">
        <f>IF(ISNA(VLOOKUP(G$1,'offpeak-old'!$A$3:$DQ$20,$D573,FALSE)),0,VLOOKUP(G$1,'offpeak-old'!$A$3:$DQ$20,$D573,FALSE))</f>
        <v>0</v>
      </c>
      <c r="H573" s="14">
        <f>IF(ISNA(VLOOKUP(H$1,'offpeak-old'!$A$3:$DQ$20,$D573,FALSE)),0,VLOOKUP(H$1,'offpeak-old'!$A$3:$DQ$20,$D573,FALSE))</f>
        <v>-24866</v>
      </c>
      <c r="I573" s="14">
        <f>IF(ISNA(VLOOKUP(I$1,'offpeak-old'!$A$3:$DQ$20,$D573,FALSE)),0,VLOOKUP(I$1,'offpeak-old'!$A$3:$DQ$20,$D573,FALSE))</f>
        <v>0</v>
      </c>
      <c r="J573" s="14">
        <f>IF(ISNA(VLOOKUP(J$1,'offpeak-old'!$A$3:$DQ$20,$D573,FALSE)),0,VLOOKUP(J$1,'offpeak-old'!$A$3:$DQ$20,$D573,FALSE))</f>
        <v>0</v>
      </c>
      <c r="K573" s="14">
        <f>IF(ISNA(VLOOKUP(K$1,'offpeak-old'!$A$3:$DQ$20,$D573,FALSE)),0,VLOOKUP(K$1,'offpeak-old'!$A$3:$DQ$20,$D573,FALSE))</f>
        <v>0</v>
      </c>
      <c r="L573" s="14">
        <f>IF(ISNA(VLOOKUP(L$1,'offpeak-old'!$A$3:$DQ$20,$D573,FALSE)),0,VLOOKUP(L$1,'offpeak-old'!$A$3:$DQ$20,$D573,FALSE))</f>
        <v>0</v>
      </c>
      <c r="M573" s="14">
        <f>IF(ISNA(VLOOKUP(M$1,'offpeak-old'!$A$3:$DQ$20,$D573,FALSE)),0,VLOOKUP(M$1,'offpeak-old'!$A$3:$DQ$20,$D573,FALSE))</f>
        <v>0</v>
      </c>
      <c r="N573" s="14"/>
      <c r="O573" s="14">
        <f>IF(ISNA(VLOOKUP(O$1,'offpeak-old'!$A$3:$DQ$20,$D573,FALSE)),0,VLOOKUP(O$1,'offpeak-old'!$A$3:$DQ$20,$D573,FALSE))</f>
        <v>0</v>
      </c>
      <c r="P573" s="14">
        <f>IF(ISNA(VLOOKUP(P$1,'offpeak-old'!$A$3:$DQ$20,$D573,FALSE)),0,VLOOKUP(P$1,'offpeak-old'!$A$3:$DQ$20,$D573,FALSE))</f>
        <v>0</v>
      </c>
      <c r="Q573" s="15">
        <f>IF(ISNA(VLOOKUP(Q$1,'offpeak-old'!$A$3:$DQ$20,$D573,FALSE)),0,VLOOKUP(Q$1,'offpeak-old'!$A$3:$DQ$20,$D573,FALSE))</f>
        <v>0</v>
      </c>
      <c r="R573" s="14">
        <f>IF(ISNA(VLOOKUP(R$1,'offpeak-old'!$A$3:$DQ$20,$D573,FALSE)),0,VLOOKUP(R$1,'offpeak-old'!$A$3:$DQ$20,$D573,FALSE))</f>
        <v>0</v>
      </c>
      <c r="S573" s="10"/>
    </row>
    <row r="574" spans="1:19" s="8" customFormat="1" x14ac:dyDescent="0.2">
      <c r="A574" s="8">
        <f t="shared" si="156"/>
        <v>2007</v>
      </c>
      <c r="B574" s="8">
        <f t="shared" si="157"/>
        <v>11</v>
      </c>
      <c r="C574" s="9">
        <f t="shared" si="154"/>
        <v>39387</v>
      </c>
      <c r="D574" s="8">
        <f t="shared" si="155"/>
        <v>79</v>
      </c>
      <c r="E574" s="14">
        <f>IF(ISNA(VLOOKUP(E$1,'offpeak-old'!$A$3:$DQ$20,$D574,FALSE)),0,VLOOKUP(E$1,'offpeak-old'!$A$3:$DQ$20,$D574,FALSE))</f>
        <v>8832</v>
      </c>
      <c r="F574" s="14">
        <f>IF(ISNA(VLOOKUP(F$1,'offpeak-old'!$A$3:$DQ$20,$D574,FALSE)),0,VLOOKUP(F$1,'offpeak-old'!$A$3:$DQ$20,$D574,FALSE))</f>
        <v>0</v>
      </c>
      <c r="G574" s="14">
        <f>IF(ISNA(VLOOKUP(G$1,'offpeak-old'!$A$3:$DQ$20,$D574,FALSE)),0,VLOOKUP(G$1,'offpeak-old'!$A$3:$DQ$20,$D574,FALSE))</f>
        <v>0</v>
      </c>
      <c r="H574" s="14">
        <f>IF(ISNA(VLOOKUP(H$1,'offpeak-old'!$A$3:$DQ$20,$D574,FALSE)),0,VLOOKUP(H$1,'offpeak-old'!$A$3:$DQ$20,$D574,FALSE))</f>
        <v>-28416</v>
      </c>
      <c r="I574" s="14">
        <f>IF(ISNA(VLOOKUP(I$1,'offpeak-old'!$A$3:$DQ$20,$D574,FALSE)),0,VLOOKUP(I$1,'offpeak-old'!$A$3:$DQ$20,$D574,FALSE))</f>
        <v>0</v>
      </c>
      <c r="J574" s="14">
        <f>IF(ISNA(VLOOKUP(J$1,'offpeak-old'!$A$3:$DQ$20,$D574,FALSE)),0,VLOOKUP(J$1,'offpeak-old'!$A$3:$DQ$20,$D574,FALSE))</f>
        <v>0</v>
      </c>
      <c r="K574" s="14">
        <f>IF(ISNA(VLOOKUP(K$1,'offpeak-old'!$A$3:$DQ$20,$D574,FALSE)),0,VLOOKUP(K$1,'offpeak-old'!$A$3:$DQ$20,$D574,FALSE))</f>
        <v>0</v>
      </c>
      <c r="L574" s="14">
        <f>IF(ISNA(VLOOKUP(L$1,'offpeak-old'!$A$3:$DQ$20,$D574,FALSE)),0,VLOOKUP(L$1,'offpeak-old'!$A$3:$DQ$20,$D574,FALSE))</f>
        <v>0</v>
      </c>
      <c r="M574" s="14">
        <f>IF(ISNA(VLOOKUP(M$1,'offpeak-old'!$A$3:$DQ$20,$D574,FALSE)),0,VLOOKUP(M$1,'offpeak-old'!$A$3:$DQ$20,$D574,FALSE))</f>
        <v>0</v>
      </c>
      <c r="N574" s="14"/>
      <c r="O574" s="14">
        <f>IF(ISNA(VLOOKUP(O$1,'offpeak-old'!$A$3:$DQ$20,$D574,FALSE)),0,VLOOKUP(O$1,'offpeak-old'!$A$3:$DQ$20,$D574,FALSE))</f>
        <v>0</v>
      </c>
      <c r="P574" s="14">
        <f>IF(ISNA(VLOOKUP(P$1,'offpeak-old'!$A$3:$DQ$20,$D574,FALSE)),0,VLOOKUP(P$1,'offpeak-old'!$A$3:$DQ$20,$D574,FALSE))</f>
        <v>0</v>
      </c>
      <c r="Q574" s="15">
        <f>IF(ISNA(VLOOKUP(Q$1,'offpeak-old'!$A$3:$DQ$20,$D574,FALSE)),0,VLOOKUP(Q$1,'offpeak-old'!$A$3:$DQ$20,$D574,FALSE))</f>
        <v>0</v>
      </c>
      <c r="R574" s="14">
        <f>IF(ISNA(VLOOKUP(R$1,'offpeak-old'!$A$3:$DQ$20,$D574,FALSE)),0,VLOOKUP(R$1,'offpeak-old'!$A$3:$DQ$20,$D574,FALSE))</f>
        <v>0</v>
      </c>
      <c r="S574" s="10"/>
    </row>
    <row r="575" spans="1:19" s="8" customFormat="1" x14ac:dyDescent="0.2">
      <c r="A575" s="8">
        <f t="shared" si="156"/>
        <v>2007</v>
      </c>
      <c r="B575" s="8">
        <f t="shared" si="157"/>
        <v>12</v>
      </c>
      <c r="C575" s="9">
        <f t="shared" si="154"/>
        <v>39417</v>
      </c>
      <c r="D575" s="8">
        <f t="shared" si="155"/>
        <v>80</v>
      </c>
      <c r="E575" s="14">
        <f>IF(ISNA(VLOOKUP(E$1,'offpeak-old'!$A$3:$DQ$20,$D575,FALSE)),0,VLOOKUP(E$1,'offpeak-old'!$A$3:$DQ$20,$D575,FALSE))</f>
        <v>9752</v>
      </c>
      <c r="F575" s="14">
        <f>IF(ISNA(VLOOKUP(F$1,'offpeak-old'!$A$3:$DQ$20,$D575,FALSE)),0,VLOOKUP(F$1,'offpeak-old'!$A$3:$DQ$20,$D575,FALSE))</f>
        <v>0</v>
      </c>
      <c r="G575" s="14">
        <f>IF(ISNA(VLOOKUP(G$1,'offpeak-old'!$A$3:$DQ$20,$D575,FALSE)),0,VLOOKUP(G$1,'offpeak-old'!$A$3:$DQ$20,$D575,FALSE))</f>
        <v>0</v>
      </c>
      <c r="H575" s="14">
        <f>IF(ISNA(VLOOKUP(H$1,'offpeak-old'!$A$3:$DQ$20,$D575,FALSE)),0,VLOOKUP(H$1,'offpeak-old'!$A$3:$DQ$20,$D575,FALSE))</f>
        <v>-30952</v>
      </c>
      <c r="I575" s="14">
        <f>IF(ISNA(VLOOKUP(I$1,'offpeak-old'!$A$3:$DQ$20,$D575,FALSE)),0,VLOOKUP(I$1,'offpeak-old'!$A$3:$DQ$20,$D575,FALSE))</f>
        <v>0</v>
      </c>
      <c r="J575" s="14">
        <f>IF(ISNA(VLOOKUP(J$1,'offpeak-old'!$A$3:$DQ$20,$D575,FALSE)),0,VLOOKUP(J$1,'offpeak-old'!$A$3:$DQ$20,$D575,FALSE))</f>
        <v>0</v>
      </c>
      <c r="K575" s="14">
        <f>IF(ISNA(VLOOKUP(K$1,'offpeak-old'!$A$3:$DQ$20,$D575,FALSE)),0,VLOOKUP(K$1,'offpeak-old'!$A$3:$DQ$20,$D575,FALSE))</f>
        <v>0</v>
      </c>
      <c r="L575" s="14">
        <f>IF(ISNA(VLOOKUP(L$1,'offpeak-old'!$A$3:$DQ$20,$D575,FALSE)),0,VLOOKUP(L$1,'offpeak-old'!$A$3:$DQ$20,$D575,FALSE))</f>
        <v>0</v>
      </c>
      <c r="M575" s="14">
        <f>IF(ISNA(VLOOKUP(M$1,'offpeak-old'!$A$3:$DQ$20,$D575,FALSE)),0,VLOOKUP(M$1,'offpeak-old'!$A$3:$DQ$20,$D575,FALSE))</f>
        <v>0</v>
      </c>
      <c r="N575" s="14"/>
      <c r="O575" s="14">
        <f>IF(ISNA(VLOOKUP(O$1,'offpeak-old'!$A$3:$DQ$20,$D575,FALSE)),0,VLOOKUP(O$1,'offpeak-old'!$A$3:$DQ$20,$D575,FALSE))</f>
        <v>0</v>
      </c>
      <c r="P575" s="14">
        <f>IF(ISNA(VLOOKUP(P$1,'offpeak-old'!$A$3:$DQ$20,$D575,FALSE)),0,VLOOKUP(P$1,'offpeak-old'!$A$3:$DQ$20,$D575,FALSE))</f>
        <v>0</v>
      </c>
      <c r="Q575" s="15">
        <f>IF(ISNA(VLOOKUP(Q$1,'offpeak-old'!$A$3:$DQ$20,$D575,FALSE)),0,VLOOKUP(Q$1,'offpeak-old'!$A$3:$DQ$20,$D575,FALSE))</f>
        <v>0</v>
      </c>
      <c r="R575" s="14">
        <f>IF(ISNA(VLOOKUP(R$1,'offpeak-old'!$A$3:$DQ$20,$D575,FALSE)),0,VLOOKUP(R$1,'offpeak-old'!$A$3:$DQ$20,$D575,FALSE))</f>
        <v>0</v>
      </c>
      <c r="S575" s="10"/>
    </row>
    <row r="576" spans="1:19" s="8" customFormat="1" x14ac:dyDescent="0.2">
      <c r="A576" s="8">
        <f t="shared" si="156"/>
        <v>2008</v>
      </c>
      <c r="B576" s="8">
        <f t="shared" si="157"/>
        <v>1</v>
      </c>
      <c r="C576" s="9">
        <f t="shared" si="154"/>
        <v>39448</v>
      </c>
      <c r="D576" s="8">
        <f t="shared" si="155"/>
        <v>81</v>
      </c>
      <c r="E576" s="14">
        <f>IF(ISNA(VLOOKUP(E$1,'offpeak-old'!$A$3:$DQ$20,$D576,FALSE)),0,VLOOKUP(E$1,'offpeak-old'!$A$3:$DQ$20,$D576,FALSE))</f>
        <v>-10584</v>
      </c>
      <c r="F576" s="14">
        <f>IF(ISNA(VLOOKUP(F$1,'offpeak-old'!$A$3:$DQ$20,$D576,FALSE)),0,VLOOKUP(F$1,'offpeak-old'!$A$3:$DQ$20,$D576,FALSE))</f>
        <v>0</v>
      </c>
      <c r="G576" s="14">
        <f>IF(ISNA(VLOOKUP(G$1,'offpeak-old'!$A$3:$DQ$20,$D576,FALSE)),0,VLOOKUP(G$1,'offpeak-old'!$A$3:$DQ$20,$D576,FALSE))</f>
        <v>0</v>
      </c>
      <c r="H576" s="14">
        <f>IF(ISNA(VLOOKUP(H$1,'offpeak-old'!$A$3:$DQ$20,$D576,FALSE)),0,VLOOKUP(H$1,'offpeak-old'!$A$3:$DQ$20,$D576,FALSE))</f>
        <v>-29400</v>
      </c>
      <c r="I576" s="14">
        <f>IF(ISNA(VLOOKUP(I$1,'offpeak-old'!$A$3:$DQ$20,$D576,FALSE)),0,VLOOKUP(I$1,'offpeak-old'!$A$3:$DQ$20,$D576,FALSE))</f>
        <v>0</v>
      </c>
      <c r="J576" s="14">
        <f>IF(ISNA(VLOOKUP(J$1,'offpeak-old'!$A$3:$DQ$20,$D576,FALSE)),0,VLOOKUP(J$1,'offpeak-old'!$A$3:$DQ$20,$D576,FALSE))</f>
        <v>0</v>
      </c>
      <c r="K576" s="14">
        <f>IF(ISNA(VLOOKUP(K$1,'offpeak-old'!$A$3:$DQ$20,$D576,FALSE)),0,VLOOKUP(K$1,'offpeak-old'!$A$3:$DQ$20,$D576,FALSE))</f>
        <v>0</v>
      </c>
      <c r="L576" s="14">
        <f>IF(ISNA(VLOOKUP(L$1,'offpeak-old'!$A$3:$DQ$20,$D576,FALSE)),0,VLOOKUP(L$1,'offpeak-old'!$A$3:$DQ$20,$D576,FALSE))</f>
        <v>0</v>
      </c>
      <c r="M576" s="14">
        <f>IF(ISNA(VLOOKUP(M$1,'offpeak-old'!$A$3:$DQ$20,$D576,FALSE)),0,VLOOKUP(M$1,'offpeak-old'!$A$3:$DQ$20,$D576,FALSE))</f>
        <v>0</v>
      </c>
      <c r="N576" s="14"/>
      <c r="O576" s="14">
        <f>IF(ISNA(VLOOKUP(O$1,'offpeak-old'!$A$3:$DQ$20,$D576,FALSE)),0,VLOOKUP(O$1,'offpeak-old'!$A$3:$DQ$20,$D576,FALSE))</f>
        <v>0</v>
      </c>
      <c r="P576" s="14">
        <f>IF(ISNA(VLOOKUP(P$1,'offpeak-old'!$A$3:$DQ$20,$D576,FALSE)),0,VLOOKUP(P$1,'offpeak-old'!$A$3:$DQ$20,$D576,FALSE))</f>
        <v>0</v>
      </c>
      <c r="Q576" s="15">
        <f>IF(ISNA(VLOOKUP(Q$1,'offpeak-old'!$A$3:$DQ$20,$D576,FALSE)),0,VLOOKUP(Q$1,'offpeak-old'!$A$3:$DQ$20,$D576,FALSE))</f>
        <v>0</v>
      </c>
      <c r="R576" s="14">
        <f>IF(ISNA(VLOOKUP(R$1,'offpeak-old'!$A$3:$DQ$20,$D576,FALSE)),0,VLOOKUP(R$1,'offpeak-old'!$A$3:$DQ$20,$D576,FALSE))</f>
        <v>0</v>
      </c>
      <c r="S576" s="10"/>
    </row>
    <row r="577" spans="1:19" s="8" customFormat="1" x14ac:dyDescent="0.2">
      <c r="A577" s="8">
        <f t="shared" si="156"/>
        <v>2008</v>
      </c>
      <c r="B577" s="8">
        <f t="shared" si="157"/>
        <v>2</v>
      </c>
      <c r="C577" s="9">
        <f t="shared" si="154"/>
        <v>39479</v>
      </c>
      <c r="D577" s="8">
        <f t="shared" si="155"/>
        <v>82</v>
      </c>
      <c r="E577" s="14">
        <f>IF(ISNA(VLOOKUP(E$1,'offpeak-old'!$A$3:$DQ$20,$D577,FALSE)),0,VLOOKUP(E$1,'offpeak-old'!$A$3:$DQ$20,$D577,FALSE))</f>
        <v>-9720</v>
      </c>
      <c r="F577" s="14">
        <f>IF(ISNA(VLOOKUP(F$1,'offpeak-old'!$A$3:$DQ$20,$D577,FALSE)),0,VLOOKUP(F$1,'offpeak-old'!$A$3:$DQ$20,$D577,FALSE))</f>
        <v>0</v>
      </c>
      <c r="G577" s="14">
        <f>IF(ISNA(VLOOKUP(G$1,'offpeak-old'!$A$3:$DQ$20,$D577,FALSE)),0,VLOOKUP(G$1,'offpeak-old'!$A$3:$DQ$20,$D577,FALSE))</f>
        <v>0</v>
      </c>
      <c r="H577" s="14">
        <f>IF(ISNA(VLOOKUP(H$1,'offpeak-old'!$A$3:$DQ$20,$D577,FALSE)),0,VLOOKUP(H$1,'offpeak-old'!$A$3:$DQ$20,$D577,FALSE))</f>
        <v>-26280</v>
      </c>
      <c r="I577" s="14">
        <f>IF(ISNA(VLOOKUP(I$1,'offpeak-old'!$A$3:$DQ$20,$D577,FALSE)),0,VLOOKUP(I$1,'offpeak-old'!$A$3:$DQ$20,$D577,FALSE))</f>
        <v>0</v>
      </c>
      <c r="J577" s="14">
        <f>IF(ISNA(VLOOKUP(J$1,'offpeak-old'!$A$3:$DQ$20,$D577,FALSE)),0,VLOOKUP(J$1,'offpeak-old'!$A$3:$DQ$20,$D577,FALSE))</f>
        <v>0</v>
      </c>
      <c r="K577" s="14">
        <f>IF(ISNA(VLOOKUP(K$1,'offpeak-old'!$A$3:$DQ$20,$D577,FALSE)),0,VLOOKUP(K$1,'offpeak-old'!$A$3:$DQ$20,$D577,FALSE))</f>
        <v>0</v>
      </c>
      <c r="L577" s="14">
        <f>IF(ISNA(VLOOKUP(L$1,'offpeak-old'!$A$3:$DQ$20,$D577,FALSE)),0,VLOOKUP(L$1,'offpeak-old'!$A$3:$DQ$20,$D577,FALSE))</f>
        <v>0</v>
      </c>
      <c r="M577" s="14">
        <f>IF(ISNA(VLOOKUP(M$1,'offpeak-old'!$A$3:$DQ$20,$D577,FALSE)),0,VLOOKUP(M$1,'offpeak-old'!$A$3:$DQ$20,$D577,FALSE))</f>
        <v>0</v>
      </c>
      <c r="N577" s="14"/>
      <c r="O577" s="14">
        <f>IF(ISNA(VLOOKUP(O$1,'offpeak-old'!$A$3:$DQ$20,$D577,FALSE)),0,VLOOKUP(O$1,'offpeak-old'!$A$3:$DQ$20,$D577,FALSE))</f>
        <v>0</v>
      </c>
      <c r="P577" s="14">
        <f>IF(ISNA(VLOOKUP(P$1,'offpeak-old'!$A$3:$DQ$20,$D577,FALSE)),0,VLOOKUP(P$1,'offpeak-old'!$A$3:$DQ$20,$D577,FALSE))</f>
        <v>0</v>
      </c>
      <c r="Q577" s="15">
        <f>IF(ISNA(VLOOKUP(Q$1,'offpeak-old'!$A$3:$DQ$20,$D577,FALSE)),0,VLOOKUP(Q$1,'offpeak-old'!$A$3:$DQ$20,$D577,FALSE))</f>
        <v>0</v>
      </c>
      <c r="R577" s="14">
        <f>IF(ISNA(VLOOKUP(R$1,'offpeak-old'!$A$3:$DQ$20,$D577,FALSE)),0,VLOOKUP(R$1,'offpeak-old'!$A$3:$DQ$20,$D577,FALSE))</f>
        <v>0</v>
      </c>
      <c r="S577" s="10"/>
    </row>
    <row r="578" spans="1:19" s="8" customFormat="1" x14ac:dyDescent="0.2">
      <c r="A578" s="8">
        <f t="shared" si="156"/>
        <v>2008</v>
      </c>
      <c r="B578" s="8">
        <f t="shared" si="157"/>
        <v>3</v>
      </c>
      <c r="C578" s="9">
        <f t="shared" si="154"/>
        <v>39508</v>
      </c>
      <c r="D578" s="8">
        <f t="shared" si="155"/>
        <v>83</v>
      </c>
      <c r="E578" s="14">
        <f>IF(ISNA(VLOOKUP(E$1,'offpeak-old'!$A$3:$DQ$20,$D578,FALSE)),0,VLOOKUP(E$1,'offpeak-old'!$A$3:$DQ$20,$D578,FALSE))</f>
        <v>-11016</v>
      </c>
      <c r="F578" s="14">
        <f>IF(ISNA(VLOOKUP(F$1,'offpeak-old'!$A$3:$DQ$20,$D578,FALSE)),0,VLOOKUP(F$1,'offpeak-old'!$A$3:$DQ$20,$D578,FALSE))</f>
        <v>0</v>
      </c>
      <c r="G578" s="14">
        <f>IF(ISNA(VLOOKUP(G$1,'offpeak-old'!$A$3:$DQ$20,$D578,FALSE)),0,VLOOKUP(G$1,'offpeak-old'!$A$3:$DQ$20,$D578,FALSE))</f>
        <v>0</v>
      </c>
      <c r="H578" s="14">
        <f>IF(ISNA(VLOOKUP(H$1,'offpeak-old'!$A$3:$DQ$20,$D578,FALSE)),0,VLOOKUP(H$1,'offpeak-old'!$A$3:$DQ$20,$D578,FALSE))</f>
        <v>-30600</v>
      </c>
      <c r="I578" s="14">
        <f>IF(ISNA(VLOOKUP(I$1,'offpeak-old'!$A$3:$DQ$20,$D578,FALSE)),0,VLOOKUP(I$1,'offpeak-old'!$A$3:$DQ$20,$D578,FALSE))</f>
        <v>0</v>
      </c>
      <c r="J578" s="14">
        <f>IF(ISNA(VLOOKUP(J$1,'offpeak-old'!$A$3:$DQ$20,$D578,FALSE)),0,VLOOKUP(J$1,'offpeak-old'!$A$3:$DQ$20,$D578,FALSE))</f>
        <v>0</v>
      </c>
      <c r="K578" s="14">
        <f>IF(ISNA(VLOOKUP(K$1,'offpeak-old'!$A$3:$DQ$20,$D578,FALSE)),0,VLOOKUP(K$1,'offpeak-old'!$A$3:$DQ$20,$D578,FALSE))</f>
        <v>0</v>
      </c>
      <c r="L578" s="14">
        <f>IF(ISNA(VLOOKUP(L$1,'offpeak-old'!$A$3:$DQ$20,$D578,FALSE)),0,VLOOKUP(L$1,'offpeak-old'!$A$3:$DQ$20,$D578,FALSE))</f>
        <v>0</v>
      </c>
      <c r="M578" s="14">
        <f>IF(ISNA(VLOOKUP(M$1,'offpeak-old'!$A$3:$DQ$20,$D578,FALSE)),0,VLOOKUP(M$1,'offpeak-old'!$A$3:$DQ$20,$D578,FALSE))</f>
        <v>0</v>
      </c>
      <c r="N578" s="14"/>
      <c r="O578" s="14">
        <f>IF(ISNA(VLOOKUP(O$1,'offpeak-old'!$A$3:$DQ$20,$D578,FALSE)),0,VLOOKUP(O$1,'offpeak-old'!$A$3:$DQ$20,$D578,FALSE))</f>
        <v>0</v>
      </c>
      <c r="P578" s="14">
        <f>IF(ISNA(VLOOKUP(P$1,'offpeak-old'!$A$3:$DQ$20,$D578,FALSE)),0,VLOOKUP(P$1,'offpeak-old'!$A$3:$DQ$20,$D578,FALSE))</f>
        <v>0</v>
      </c>
      <c r="Q578" s="15">
        <f>IF(ISNA(VLOOKUP(Q$1,'offpeak-old'!$A$3:$DQ$20,$D578,FALSE)),0,VLOOKUP(Q$1,'offpeak-old'!$A$3:$DQ$20,$D578,FALSE))</f>
        <v>0</v>
      </c>
      <c r="R578" s="14">
        <f>IF(ISNA(VLOOKUP(R$1,'offpeak-old'!$A$3:$DQ$20,$D578,FALSE)),0,VLOOKUP(R$1,'offpeak-old'!$A$3:$DQ$20,$D578,FALSE))</f>
        <v>0</v>
      </c>
      <c r="S578" s="10"/>
    </row>
    <row r="579" spans="1:19" s="8" customFormat="1" x14ac:dyDescent="0.2">
      <c r="A579" s="8">
        <f t="shared" si="156"/>
        <v>2008</v>
      </c>
      <c r="B579" s="8">
        <f t="shared" si="157"/>
        <v>4</v>
      </c>
      <c r="C579" s="9">
        <f t="shared" si="154"/>
        <v>39539</v>
      </c>
      <c r="D579" s="8">
        <f t="shared" si="155"/>
        <v>84</v>
      </c>
      <c r="E579" s="14">
        <f>IF(ISNA(VLOOKUP(E$1,'offpeak-old'!$A$3:$DQ$20,$D579,FALSE)),0,VLOOKUP(E$1,'offpeak-old'!$A$3:$DQ$20,$D579,FALSE))</f>
        <v>-9909</v>
      </c>
      <c r="F579" s="14">
        <f>IF(ISNA(VLOOKUP(F$1,'offpeak-old'!$A$3:$DQ$20,$D579,FALSE)),0,VLOOKUP(F$1,'offpeak-old'!$A$3:$DQ$20,$D579,FALSE))</f>
        <v>0</v>
      </c>
      <c r="G579" s="14">
        <f>IF(ISNA(VLOOKUP(G$1,'offpeak-old'!$A$3:$DQ$20,$D579,FALSE)),0,VLOOKUP(G$1,'offpeak-old'!$A$3:$DQ$20,$D579,FALSE))</f>
        <v>0</v>
      </c>
      <c r="H579" s="14">
        <f>IF(ISNA(VLOOKUP(H$1,'offpeak-old'!$A$3:$DQ$20,$D579,FALSE)),0,VLOOKUP(H$1,'offpeak-old'!$A$3:$DQ$20,$D579,FALSE))</f>
        <v>-27182</v>
      </c>
      <c r="I579" s="14">
        <f>IF(ISNA(VLOOKUP(I$1,'offpeak-old'!$A$3:$DQ$20,$D579,FALSE)),0,VLOOKUP(I$1,'offpeak-old'!$A$3:$DQ$20,$D579,FALSE))</f>
        <v>0</v>
      </c>
      <c r="J579" s="14">
        <f>IF(ISNA(VLOOKUP(J$1,'offpeak-old'!$A$3:$DQ$20,$D579,FALSE)),0,VLOOKUP(J$1,'offpeak-old'!$A$3:$DQ$20,$D579,FALSE))</f>
        <v>0</v>
      </c>
      <c r="K579" s="14">
        <f>IF(ISNA(VLOOKUP(K$1,'offpeak-old'!$A$3:$DQ$20,$D579,FALSE)),0,VLOOKUP(K$1,'offpeak-old'!$A$3:$DQ$20,$D579,FALSE))</f>
        <v>0</v>
      </c>
      <c r="L579" s="14">
        <f>IF(ISNA(VLOOKUP(L$1,'offpeak-old'!$A$3:$DQ$20,$D579,FALSE)),0,VLOOKUP(L$1,'offpeak-old'!$A$3:$DQ$20,$D579,FALSE))</f>
        <v>0</v>
      </c>
      <c r="M579" s="14">
        <f>IF(ISNA(VLOOKUP(M$1,'offpeak-old'!$A$3:$DQ$20,$D579,FALSE)),0,VLOOKUP(M$1,'offpeak-old'!$A$3:$DQ$20,$D579,FALSE))</f>
        <v>0</v>
      </c>
      <c r="N579" s="14"/>
      <c r="O579" s="14">
        <f>IF(ISNA(VLOOKUP(O$1,'offpeak-old'!$A$3:$DQ$20,$D579,FALSE)),0,VLOOKUP(O$1,'offpeak-old'!$A$3:$DQ$20,$D579,FALSE))</f>
        <v>0</v>
      </c>
      <c r="P579" s="14">
        <f>IF(ISNA(VLOOKUP(P$1,'offpeak-old'!$A$3:$DQ$20,$D579,FALSE)),0,VLOOKUP(P$1,'offpeak-old'!$A$3:$DQ$20,$D579,FALSE))</f>
        <v>0</v>
      </c>
      <c r="Q579" s="15">
        <f>IF(ISNA(VLOOKUP(Q$1,'offpeak-old'!$A$3:$DQ$20,$D579,FALSE)),0,VLOOKUP(Q$1,'offpeak-old'!$A$3:$DQ$20,$D579,FALSE))</f>
        <v>0</v>
      </c>
      <c r="R579" s="14">
        <f>IF(ISNA(VLOOKUP(R$1,'offpeak-old'!$A$3:$DQ$20,$D579,FALSE)),0,VLOOKUP(R$1,'offpeak-old'!$A$3:$DQ$20,$D579,FALSE))</f>
        <v>0</v>
      </c>
      <c r="S579" s="10"/>
    </row>
    <row r="580" spans="1:19" s="8" customFormat="1" x14ac:dyDescent="0.2">
      <c r="A580" s="8">
        <f t="shared" si="156"/>
        <v>2008</v>
      </c>
      <c r="B580" s="8">
        <f t="shared" si="157"/>
        <v>5</v>
      </c>
      <c r="C580" s="9">
        <f t="shared" si="154"/>
        <v>39569</v>
      </c>
      <c r="D580" s="8">
        <f t="shared" si="155"/>
        <v>85</v>
      </c>
      <c r="E580" s="14">
        <f>IF(ISNA(VLOOKUP(E$1,'offpeak-old'!$A$3:$DQ$20,$D580,FALSE)),0,VLOOKUP(E$1,'offpeak-old'!$A$3:$DQ$20,$D580,FALSE))</f>
        <v>-11016</v>
      </c>
      <c r="F580" s="14">
        <f>IF(ISNA(VLOOKUP(F$1,'offpeak-old'!$A$3:$DQ$20,$D580,FALSE)),0,VLOOKUP(F$1,'offpeak-old'!$A$3:$DQ$20,$D580,FALSE))</f>
        <v>0</v>
      </c>
      <c r="G580" s="14">
        <f>IF(ISNA(VLOOKUP(G$1,'offpeak-old'!$A$3:$DQ$20,$D580,FALSE)),0,VLOOKUP(G$1,'offpeak-old'!$A$3:$DQ$20,$D580,FALSE))</f>
        <v>0</v>
      </c>
      <c r="H580" s="14">
        <f>IF(ISNA(VLOOKUP(H$1,'offpeak-old'!$A$3:$DQ$20,$D580,FALSE)),0,VLOOKUP(H$1,'offpeak-old'!$A$3:$DQ$20,$D580,FALSE))</f>
        <v>-26520</v>
      </c>
      <c r="I580" s="14">
        <f>IF(ISNA(VLOOKUP(I$1,'offpeak-old'!$A$3:$DQ$20,$D580,FALSE)),0,VLOOKUP(I$1,'offpeak-old'!$A$3:$DQ$20,$D580,FALSE))</f>
        <v>0</v>
      </c>
      <c r="J580" s="14">
        <f>IF(ISNA(VLOOKUP(J$1,'offpeak-old'!$A$3:$DQ$20,$D580,FALSE)),0,VLOOKUP(J$1,'offpeak-old'!$A$3:$DQ$20,$D580,FALSE))</f>
        <v>0</v>
      </c>
      <c r="K580" s="14">
        <f>IF(ISNA(VLOOKUP(K$1,'offpeak-old'!$A$3:$DQ$20,$D580,FALSE)),0,VLOOKUP(K$1,'offpeak-old'!$A$3:$DQ$20,$D580,FALSE))</f>
        <v>0</v>
      </c>
      <c r="L580" s="14">
        <f>IF(ISNA(VLOOKUP(L$1,'offpeak-old'!$A$3:$DQ$20,$D580,FALSE)),0,VLOOKUP(L$1,'offpeak-old'!$A$3:$DQ$20,$D580,FALSE))</f>
        <v>0</v>
      </c>
      <c r="M580" s="14">
        <f>IF(ISNA(VLOOKUP(M$1,'offpeak-old'!$A$3:$DQ$20,$D580,FALSE)),0,VLOOKUP(M$1,'offpeak-old'!$A$3:$DQ$20,$D580,FALSE))</f>
        <v>0</v>
      </c>
      <c r="N580" s="14"/>
      <c r="O580" s="14">
        <f>IF(ISNA(VLOOKUP(O$1,'offpeak-old'!$A$3:$DQ$20,$D580,FALSE)),0,VLOOKUP(O$1,'offpeak-old'!$A$3:$DQ$20,$D580,FALSE))</f>
        <v>0</v>
      </c>
      <c r="P580" s="14">
        <f>IF(ISNA(VLOOKUP(P$1,'offpeak-old'!$A$3:$DQ$20,$D580,FALSE)),0,VLOOKUP(P$1,'offpeak-old'!$A$3:$DQ$20,$D580,FALSE))</f>
        <v>0</v>
      </c>
      <c r="Q580" s="15">
        <f>IF(ISNA(VLOOKUP(Q$1,'offpeak-old'!$A$3:$DQ$20,$D580,FALSE)),0,VLOOKUP(Q$1,'offpeak-old'!$A$3:$DQ$20,$D580,FALSE))</f>
        <v>0</v>
      </c>
      <c r="R580" s="14">
        <f>IF(ISNA(VLOOKUP(R$1,'offpeak-old'!$A$3:$DQ$20,$D580,FALSE)),0,VLOOKUP(R$1,'offpeak-old'!$A$3:$DQ$20,$D580,FALSE))</f>
        <v>0</v>
      </c>
      <c r="S580" s="10"/>
    </row>
    <row r="581" spans="1:19" s="8" customFormat="1" x14ac:dyDescent="0.2">
      <c r="A581" s="8">
        <f t="shared" si="156"/>
        <v>2008</v>
      </c>
      <c r="B581" s="8">
        <f t="shared" si="157"/>
        <v>6</v>
      </c>
      <c r="C581" s="9">
        <f t="shared" si="154"/>
        <v>39600</v>
      </c>
      <c r="D581" s="8">
        <f t="shared" si="155"/>
        <v>86</v>
      </c>
      <c r="E581" s="14">
        <f>IF(ISNA(VLOOKUP(E$1,'offpeak-old'!$A$3:$DQ$20,$D581,FALSE)),0,VLOOKUP(E$1,'offpeak-old'!$A$3:$DQ$20,$D581,FALSE))</f>
        <v>-10368</v>
      </c>
      <c r="F581" s="14">
        <f>IF(ISNA(VLOOKUP(F$1,'offpeak-old'!$A$3:$DQ$20,$D581,FALSE)),0,VLOOKUP(F$1,'offpeak-old'!$A$3:$DQ$20,$D581,FALSE))</f>
        <v>0</v>
      </c>
      <c r="G581" s="14">
        <f>IF(ISNA(VLOOKUP(G$1,'offpeak-old'!$A$3:$DQ$20,$D581,FALSE)),0,VLOOKUP(G$1,'offpeak-old'!$A$3:$DQ$20,$D581,FALSE))</f>
        <v>0</v>
      </c>
      <c r="H581" s="14">
        <f>IF(ISNA(VLOOKUP(H$1,'offpeak-old'!$A$3:$DQ$20,$D581,FALSE)),0,VLOOKUP(H$1,'offpeak-old'!$A$3:$DQ$20,$D581,FALSE))</f>
        <v>-23808</v>
      </c>
      <c r="I581" s="14">
        <f>IF(ISNA(VLOOKUP(I$1,'offpeak-old'!$A$3:$DQ$20,$D581,FALSE)),0,VLOOKUP(I$1,'offpeak-old'!$A$3:$DQ$20,$D581,FALSE))</f>
        <v>0</v>
      </c>
      <c r="J581" s="14">
        <f>IF(ISNA(VLOOKUP(J$1,'offpeak-old'!$A$3:$DQ$20,$D581,FALSE)),0,VLOOKUP(J$1,'offpeak-old'!$A$3:$DQ$20,$D581,FALSE))</f>
        <v>0</v>
      </c>
      <c r="K581" s="14">
        <f>IF(ISNA(VLOOKUP(K$1,'offpeak-old'!$A$3:$DQ$20,$D581,FALSE)),0,VLOOKUP(K$1,'offpeak-old'!$A$3:$DQ$20,$D581,FALSE))</f>
        <v>0</v>
      </c>
      <c r="L581" s="14">
        <f>IF(ISNA(VLOOKUP(L$1,'offpeak-old'!$A$3:$DQ$20,$D581,FALSE)),0,VLOOKUP(L$1,'offpeak-old'!$A$3:$DQ$20,$D581,FALSE))</f>
        <v>0</v>
      </c>
      <c r="M581" s="14">
        <f>IF(ISNA(VLOOKUP(M$1,'offpeak-old'!$A$3:$DQ$20,$D581,FALSE)),0,VLOOKUP(M$1,'offpeak-old'!$A$3:$DQ$20,$D581,FALSE))</f>
        <v>0</v>
      </c>
      <c r="N581" s="14"/>
      <c r="O581" s="14">
        <f>IF(ISNA(VLOOKUP(O$1,'offpeak-old'!$A$3:$DQ$20,$D581,FALSE)),0,VLOOKUP(O$1,'offpeak-old'!$A$3:$DQ$20,$D581,FALSE))</f>
        <v>0</v>
      </c>
      <c r="P581" s="14">
        <f>IF(ISNA(VLOOKUP(P$1,'offpeak-old'!$A$3:$DQ$20,$D581,FALSE)),0,VLOOKUP(P$1,'offpeak-old'!$A$3:$DQ$20,$D581,FALSE))</f>
        <v>0</v>
      </c>
      <c r="Q581" s="15">
        <f>IF(ISNA(VLOOKUP(Q$1,'offpeak-old'!$A$3:$DQ$20,$D581,FALSE)),0,VLOOKUP(Q$1,'offpeak-old'!$A$3:$DQ$20,$D581,FALSE))</f>
        <v>0</v>
      </c>
      <c r="R581" s="14">
        <f>IF(ISNA(VLOOKUP(R$1,'offpeak-old'!$A$3:$DQ$20,$D581,FALSE)),0,VLOOKUP(R$1,'offpeak-old'!$A$3:$DQ$20,$D581,FALSE))</f>
        <v>0</v>
      </c>
      <c r="S581" s="10"/>
    </row>
    <row r="582" spans="1:19" s="8" customFormat="1" x14ac:dyDescent="0.2">
      <c r="A582" s="8">
        <f t="shared" si="156"/>
        <v>2008</v>
      </c>
      <c r="B582" s="8">
        <f t="shared" si="157"/>
        <v>7</v>
      </c>
      <c r="C582" s="9">
        <f t="shared" si="154"/>
        <v>39630</v>
      </c>
      <c r="D582" s="8">
        <f t="shared" si="155"/>
        <v>87</v>
      </c>
      <c r="E582" s="14">
        <f>IF(ISNA(VLOOKUP(E$1,'offpeak-old'!$A$3:$DQ$20,$D582,FALSE)),0,VLOOKUP(E$1,'offpeak-old'!$A$3:$DQ$20,$D582,FALSE))</f>
        <v>-10584</v>
      </c>
      <c r="F582" s="14">
        <f>IF(ISNA(VLOOKUP(F$1,'offpeak-old'!$A$3:$DQ$20,$D582,FALSE)),0,VLOOKUP(F$1,'offpeak-old'!$A$3:$DQ$20,$D582,FALSE))</f>
        <v>0</v>
      </c>
      <c r="G582" s="14">
        <f>IF(ISNA(VLOOKUP(G$1,'offpeak-old'!$A$3:$DQ$20,$D582,FALSE)),0,VLOOKUP(G$1,'offpeak-old'!$A$3:$DQ$20,$D582,FALSE))</f>
        <v>0</v>
      </c>
      <c r="H582" s="14">
        <f>IF(ISNA(VLOOKUP(H$1,'offpeak-old'!$A$3:$DQ$20,$D582,FALSE)),0,VLOOKUP(H$1,'offpeak-old'!$A$3:$DQ$20,$D582,FALSE))</f>
        <v>-23128</v>
      </c>
      <c r="I582" s="14">
        <f>IF(ISNA(VLOOKUP(I$1,'offpeak-old'!$A$3:$DQ$20,$D582,FALSE)),0,VLOOKUP(I$1,'offpeak-old'!$A$3:$DQ$20,$D582,FALSE))</f>
        <v>0</v>
      </c>
      <c r="J582" s="14">
        <f>IF(ISNA(VLOOKUP(J$1,'offpeak-old'!$A$3:$DQ$20,$D582,FALSE)),0,VLOOKUP(J$1,'offpeak-old'!$A$3:$DQ$20,$D582,FALSE))</f>
        <v>0</v>
      </c>
      <c r="K582" s="14">
        <f>IF(ISNA(VLOOKUP(K$1,'offpeak-old'!$A$3:$DQ$20,$D582,FALSE)),0,VLOOKUP(K$1,'offpeak-old'!$A$3:$DQ$20,$D582,FALSE))</f>
        <v>0</v>
      </c>
      <c r="L582" s="14">
        <f>IF(ISNA(VLOOKUP(L$1,'offpeak-old'!$A$3:$DQ$20,$D582,FALSE)),0,VLOOKUP(L$1,'offpeak-old'!$A$3:$DQ$20,$D582,FALSE))</f>
        <v>0</v>
      </c>
      <c r="M582" s="14">
        <f>IF(ISNA(VLOOKUP(M$1,'offpeak-old'!$A$3:$DQ$20,$D582,FALSE)),0,VLOOKUP(M$1,'offpeak-old'!$A$3:$DQ$20,$D582,FALSE))</f>
        <v>0</v>
      </c>
      <c r="N582" s="14"/>
      <c r="O582" s="14">
        <f>IF(ISNA(VLOOKUP(O$1,'offpeak-old'!$A$3:$DQ$20,$D582,FALSE)),0,VLOOKUP(O$1,'offpeak-old'!$A$3:$DQ$20,$D582,FALSE))</f>
        <v>0</v>
      </c>
      <c r="P582" s="14">
        <f>IF(ISNA(VLOOKUP(P$1,'offpeak-old'!$A$3:$DQ$20,$D582,FALSE)),0,VLOOKUP(P$1,'offpeak-old'!$A$3:$DQ$20,$D582,FALSE))</f>
        <v>0</v>
      </c>
      <c r="Q582" s="15">
        <f>IF(ISNA(VLOOKUP(Q$1,'offpeak-old'!$A$3:$DQ$20,$D582,FALSE)),0,VLOOKUP(Q$1,'offpeak-old'!$A$3:$DQ$20,$D582,FALSE))</f>
        <v>0</v>
      </c>
      <c r="R582" s="14">
        <f>IF(ISNA(VLOOKUP(R$1,'offpeak-old'!$A$3:$DQ$20,$D582,FALSE)),0,VLOOKUP(R$1,'offpeak-old'!$A$3:$DQ$20,$D582,FALSE))</f>
        <v>0</v>
      </c>
      <c r="S582" s="10"/>
    </row>
    <row r="583" spans="1:19" s="8" customFormat="1" x14ac:dyDescent="0.2">
      <c r="A583" s="8">
        <f t="shared" si="156"/>
        <v>2008</v>
      </c>
      <c r="B583" s="8">
        <f t="shared" si="157"/>
        <v>8</v>
      </c>
      <c r="C583" s="9">
        <f t="shared" si="154"/>
        <v>39661</v>
      </c>
      <c r="D583" s="8">
        <f t="shared" si="155"/>
        <v>88</v>
      </c>
      <c r="E583" s="14">
        <f>IF(ISNA(VLOOKUP(E$1,'offpeak-old'!$A$3:$DQ$20,$D583,FALSE)),0,VLOOKUP(E$1,'offpeak-old'!$A$3:$DQ$20,$D583,FALSE))</f>
        <v>-11016</v>
      </c>
      <c r="F583" s="14">
        <f>IF(ISNA(VLOOKUP(F$1,'offpeak-old'!$A$3:$DQ$20,$D583,FALSE)),0,VLOOKUP(F$1,'offpeak-old'!$A$3:$DQ$20,$D583,FALSE))</f>
        <v>0</v>
      </c>
      <c r="G583" s="14">
        <f>IF(ISNA(VLOOKUP(G$1,'offpeak-old'!$A$3:$DQ$20,$D583,FALSE)),0,VLOOKUP(G$1,'offpeak-old'!$A$3:$DQ$20,$D583,FALSE))</f>
        <v>0</v>
      </c>
      <c r="H583" s="14">
        <f>IF(ISNA(VLOOKUP(H$1,'offpeak-old'!$A$3:$DQ$20,$D583,FALSE)),0,VLOOKUP(H$1,'offpeak-old'!$A$3:$DQ$20,$D583,FALSE))</f>
        <v>-24072</v>
      </c>
      <c r="I583" s="14">
        <f>IF(ISNA(VLOOKUP(I$1,'offpeak-old'!$A$3:$DQ$20,$D583,FALSE)),0,VLOOKUP(I$1,'offpeak-old'!$A$3:$DQ$20,$D583,FALSE))</f>
        <v>0</v>
      </c>
      <c r="J583" s="14">
        <f>IF(ISNA(VLOOKUP(J$1,'offpeak-old'!$A$3:$DQ$20,$D583,FALSE)),0,VLOOKUP(J$1,'offpeak-old'!$A$3:$DQ$20,$D583,FALSE))</f>
        <v>0</v>
      </c>
      <c r="K583" s="14">
        <f>IF(ISNA(VLOOKUP(K$1,'offpeak-old'!$A$3:$DQ$20,$D583,FALSE)),0,VLOOKUP(K$1,'offpeak-old'!$A$3:$DQ$20,$D583,FALSE))</f>
        <v>0</v>
      </c>
      <c r="L583" s="14">
        <f>IF(ISNA(VLOOKUP(L$1,'offpeak-old'!$A$3:$DQ$20,$D583,FALSE)),0,VLOOKUP(L$1,'offpeak-old'!$A$3:$DQ$20,$D583,FALSE))</f>
        <v>0</v>
      </c>
      <c r="M583" s="14">
        <f>IF(ISNA(VLOOKUP(M$1,'offpeak-old'!$A$3:$DQ$20,$D583,FALSE)),0,VLOOKUP(M$1,'offpeak-old'!$A$3:$DQ$20,$D583,FALSE))</f>
        <v>0</v>
      </c>
      <c r="N583" s="14"/>
      <c r="O583" s="14">
        <f>IF(ISNA(VLOOKUP(O$1,'offpeak-old'!$A$3:$DQ$20,$D583,FALSE)),0,VLOOKUP(O$1,'offpeak-old'!$A$3:$DQ$20,$D583,FALSE))</f>
        <v>0</v>
      </c>
      <c r="P583" s="14">
        <f>IF(ISNA(VLOOKUP(P$1,'offpeak-old'!$A$3:$DQ$20,$D583,FALSE)),0,VLOOKUP(P$1,'offpeak-old'!$A$3:$DQ$20,$D583,FALSE))</f>
        <v>0</v>
      </c>
      <c r="Q583" s="15">
        <f>IF(ISNA(VLOOKUP(Q$1,'offpeak-old'!$A$3:$DQ$20,$D583,FALSE)),0,VLOOKUP(Q$1,'offpeak-old'!$A$3:$DQ$20,$D583,FALSE))</f>
        <v>0</v>
      </c>
      <c r="R583" s="14">
        <f>IF(ISNA(VLOOKUP(R$1,'offpeak-old'!$A$3:$DQ$20,$D583,FALSE)),0,VLOOKUP(R$1,'offpeak-old'!$A$3:$DQ$20,$D583,FALSE))</f>
        <v>0</v>
      </c>
      <c r="S583" s="10"/>
    </row>
    <row r="584" spans="1:19" s="8" customFormat="1" x14ac:dyDescent="0.2">
      <c r="A584" s="8">
        <f t="shared" si="156"/>
        <v>2008</v>
      </c>
      <c r="B584" s="8">
        <f t="shared" si="157"/>
        <v>9</v>
      </c>
      <c r="C584" s="9">
        <f t="shared" si="154"/>
        <v>39692</v>
      </c>
      <c r="D584" s="8">
        <f t="shared" si="155"/>
        <v>89</v>
      </c>
      <c r="E584" s="14">
        <f>IF(ISNA(VLOOKUP(E$1,'offpeak-old'!$A$3:$DQ$20,$D584,FALSE)),0,VLOOKUP(E$1,'offpeak-old'!$A$3:$DQ$20,$D584,FALSE))</f>
        <v>-10368</v>
      </c>
      <c r="F584" s="14">
        <f>IF(ISNA(VLOOKUP(F$1,'offpeak-old'!$A$3:$DQ$20,$D584,FALSE)),0,VLOOKUP(F$1,'offpeak-old'!$A$3:$DQ$20,$D584,FALSE))</f>
        <v>0</v>
      </c>
      <c r="G584" s="14">
        <f>IF(ISNA(VLOOKUP(G$1,'offpeak-old'!$A$3:$DQ$20,$D584,FALSE)),0,VLOOKUP(G$1,'offpeak-old'!$A$3:$DQ$20,$D584,FALSE))</f>
        <v>0</v>
      </c>
      <c r="H584" s="14">
        <f>IF(ISNA(VLOOKUP(H$1,'offpeak-old'!$A$3:$DQ$20,$D584,FALSE)),0,VLOOKUP(H$1,'offpeak-old'!$A$3:$DQ$20,$D584,FALSE))</f>
        <v>-19200</v>
      </c>
      <c r="I584" s="14">
        <f>IF(ISNA(VLOOKUP(I$1,'offpeak-old'!$A$3:$DQ$20,$D584,FALSE)),0,VLOOKUP(I$1,'offpeak-old'!$A$3:$DQ$20,$D584,FALSE))</f>
        <v>0</v>
      </c>
      <c r="J584" s="14">
        <f>IF(ISNA(VLOOKUP(J$1,'offpeak-old'!$A$3:$DQ$20,$D584,FALSE)),0,VLOOKUP(J$1,'offpeak-old'!$A$3:$DQ$20,$D584,FALSE))</f>
        <v>0</v>
      </c>
      <c r="K584" s="14">
        <f>IF(ISNA(VLOOKUP(K$1,'offpeak-old'!$A$3:$DQ$20,$D584,FALSE)),0,VLOOKUP(K$1,'offpeak-old'!$A$3:$DQ$20,$D584,FALSE))</f>
        <v>0</v>
      </c>
      <c r="L584" s="14">
        <f>IF(ISNA(VLOOKUP(L$1,'offpeak-old'!$A$3:$DQ$20,$D584,FALSE)),0,VLOOKUP(L$1,'offpeak-old'!$A$3:$DQ$20,$D584,FALSE))</f>
        <v>0</v>
      </c>
      <c r="M584" s="14">
        <f>IF(ISNA(VLOOKUP(M$1,'offpeak-old'!$A$3:$DQ$20,$D584,FALSE)),0,VLOOKUP(M$1,'offpeak-old'!$A$3:$DQ$20,$D584,FALSE))</f>
        <v>0</v>
      </c>
      <c r="N584" s="14"/>
      <c r="O584" s="14">
        <f>IF(ISNA(VLOOKUP(O$1,'offpeak-old'!$A$3:$DQ$20,$D584,FALSE)),0,VLOOKUP(O$1,'offpeak-old'!$A$3:$DQ$20,$D584,FALSE))</f>
        <v>0</v>
      </c>
      <c r="P584" s="14">
        <f>IF(ISNA(VLOOKUP(P$1,'offpeak-old'!$A$3:$DQ$20,$D584,FALSE)),0,VLOOKUP(P$1,'offpeak-old'!$A$3:$DQ$20,$D584,FALSE))</f>
        <v>0</v>
      </c>
      <c r="Q584" s="15">
        <f>IF(ISNA(VLOOKUP(Q$1,'offpeak-old'!$A$3:$DQ$20,$D584,FALSE)),0,VLOOKUP(Q$1,'offpeak-old'!$A$3:$DQ$20,$D584,FALSE))</f>
        <v>0</v>
      </c>
      <c r="R584" s="14">
        <f>IF(ISNA(VLOOKUP(R$1,'offpeak-old'!$A$3:$DQ$20,$D584,FALSE)),0,VLOOKUP(R$1,'offpeak-old'!$A$3:$DQ$20,$D584,FALSE))</f>
        <v>0</v>
      </c>
      <c r="S584" s="10"/>
    </row>
    <row r="585" spans="1:19" s="8" customFormat="1" x14ac:dyDescent="0.2">
      <c r="A585" s="8">
        <f t="shared" si="156"/>
        <v>2008</v>
      </c>
      <c r="B585" s="8">
        <f t="shared" si="157"/>
        <v>10</v>
      </c>
      <c r="C585" s="9">
        <f t="shared" si="154"/>
        <v>39722</v>
      </c>
      <c r="D585" s="8">
        <f t="shared" si="155"/>
        <v>90</v>
      </c>
      <c r="E585" s="14">
        <f>IF(ISNA(VLOOKUP(E$1,'offpeak-old'!$A$3:$DQ$20,$D585,FALSE)),0,VLOOKUP(E$1,'offpeak-old'!$A$3:$DQ$20,$D585,FALSE))</f>
        <v>-10179</v>
      </c>
      <c r="F585" s="14">
        <f>IF(ISNA(VLOOKUP(F$1,'offpeak-old'!$A$3:$DQ$20,$D585,FALSE)),0,VLOOKUP(F$1,'offpeak-old'!$A$3:$DQ$20,$D585,FALSE))</f>
        <v>0</v>
      </c>
      <c r="G585" s="14">
        <f>IF(ISNA(VLOOKUP(G$1,'offpeak-old'!$A$3:$DQ$20,$D585,FALSE)),0,VLOOKUP(G$1,'offpeak-old'!$A$3:$DQ$20,$D585,FALSE))</f>
        <v>0</v>
      </c>
      <c r="H585" s="14">
        <f>IF(ISNA(VLOOKUP(H$1,'offpeak-old'!$A$3:$DQ$20,$D585,FALSE)),0,VLOOKUP(H$1,'offpeak-old'!$A$3:$DQ$20,$D585,FALSE))</f>
        <v>-18850</v>
      </c>
      <c r="I585" s="14">
        <f>IF(ISNA(VLOOKUP(I$1,'offpeak-old'!$A$3:$DQ$20,$D585,FALSE)),0,VLOOKUP(I$1,'offpeak-old'!$A$3:$DQ$20,$D585,FALSE))</f>
        <v>0</v>
      </c>
      <c r="J585" s="14">
        <f>IF(ISNA(VLOOKUP(J$1,'offpeak-old'!$A$3:$DQ$20,$D585,FALSE)),0,VLOOKUP(J$1,'offpeak-old'!$A$3:$DQ$20,$D585,FALSE))</f>
        <v>0</v>
      </c>
      <c r="K585" s="14">
        <f>IF(ISNA(VLOOKUP(K$1,'offpeak-old'!$A$3:$DQ$20,$D585,FALSE)),0,VLOOKUP(K$1,'offpeak-old'!$A$3:$DQ$20,$D585,FALSE))</f>
        <v>0</v>
      </c>
      <c r="L585" s="14">
        <f>IF(ISNA(VLOOKUP(L$1,'offpeak-old'!$A$3:$DQ$20,$D585,FALSE)),0,VLOOKUP(L$1,'offpeak-old'!$A$3:$DQ$20,$D585,FALSE))</f>
        <v>0</v>
      </c>
      <c r="M585" s="14">
        <f>IF(ISNA(VLOOKUP(M$1,'offpeak-old'!$A$3:$DQ$20,$D585,FALSE)),0,VLOOKUP(M$1,'offpeak-old'!$A$3:$DQ$20,$D585,FALSE))</f>
        <v>0</v>
      </c>
      <c r="N585" s="14"/>
      <c r="O585" s="14">
        <f>IF(ISNA(VLOOKUP(O$1,'offpeak-old'!$A$3:$DQ$20,$D585,FALSE)),0,VLOOKUP(O$1,'offpeak-old'!$A$3:$DQ$20,$D585,FALSE))</f>
        <v>0</v>
      </c>
      <c r="P585" s="14">
        <f>IF(ISNA(VLOOKUP(P$1,'offpeak-old'!$A$3:$DQ$20,$D585,FALSE)),0,VLOOKUP(P$1,'offpeak-old'!$A$3:$DQ$20,$D585,FALSE))</f>
        <v>0</v>
      </c>
      <c r="Q585" s="15">
        <f>IF(ISNA(VLOOKUP(Q$1,'offpeak-old'!$A$3:$DQ$20,$D585,FALSE)),0,VLOOKUP(Q$1,'offpeak-old'!$A$3:$DQ$20,$D585,FALSE))</f>
        <v>0</v>
      </c>
      <c r="R585" s="14">
        <f>IF(ISNA(VLOOKUP(R$1,'offpeak-old'!$A$3:$DQ$20,$D585,FALSE)),0,VLOOKUP(R$1,'offpeak-old'!$A$3:$DQ$20,$D585,FALSE))</f>
        <v>0</v>
      </c>
      <c r="S585" s="10"/>
    </row>
    <row r="586" spans="1:19" s="8" customFormat="1" x14ac:dyDescent="0.2">
      <c r="A586" s="8">
        <f t="shared" si="156"/>
        <v>2008</v>
      </c>
      <c r="B586" s="8">
        <f t="shared" si="157"/>
        <v>11</v>
      </c>
      <c r="C586" s="9">
        <f t="shared" si="154"/>
        <v>39753</v>
      </c>
      <c r="D586" s="8">
        <f t="shared" si="155"/>
        <v>91</v>
      </c>
      <c r="E586" s="14">
        <f>IF(ISNA(VLOOKUP(E$1,'offpeak-old'!$A$3:$DQ$20,$D586,FALSE)),0,VLOOKUP(E$1,'offpeak-old'!$A$3:$DQ$20,$D586,FALSE))</f>
        <v>-11232</v>
      </c>
      <c r="F586" s="14">
        <f>IF(ISNA(VLOOKUP(F$1,'offpeak-old'!$A$3:$DQ$20,$D586,FALSE)),0,VLOOKUP(F$1,'offpeak-old'!$A$3:$DQ$20,$D586,FALSE))</f>
        <v>0</v>
      </c>
      <c r="G586" s="14">
        <f>IF(ISNA(VLOOKUP(G$1,'offpeak-old'!$A$3:$DQ$20,$D586,FALSE)),0,VLOOKUP(G$1,'offpeak-old'!$A$3:$DQ$20,$D586,FALSE))</f>
        <v>0</v>
      </c>
      <c r="H586" s="14">
        <f>IF(ISNA(VLOOKUP(H$1,'offpeak-old'!$A$3:$DQ$20,$D586,FALSE)),0,VLOOKUP(H$1,'offpeak-old'!$A$3:$DQ$20,$D586,FALSE))</f>
        <v>-20800</v>
      </c>
      <c r="I586" s="14">
        <f>IF(ISNA(VLOOKUP(I$1,'offpeak-old'!$A$3:$DQ$20,$D586,FALSE)),0,VLOOKUP(I$1,'offpeak-old'!$A$3:$DQ$20,$D586,FALSE))</f>
        <v>0</v>
      </c>
      <c r="J586" s="14">
        <f>IF(ISNA(VLOOKUP(J$1,'offpeak-old'!$A$3:$DQ$20,$D586,FALSE)),0,VLOOKUP(J$1,'offpeak-old'!$A$3:$DQ$20,$D586,FALSE))</f>
        <v>0</v>
      </c>
      <c r="K586" s="14">
        <f>IF(ISNA(VLOOKUP(K$1,'offpeak-old'!$A$3:$DQ$20,$D586,FALSE)),0,VLOOKUP(K$1,'offpeak-old'!$A$3:$DQ$20,$D586,FALSE))</f>
        <v>0</v>
      </c>
      <c r="L586" s="14">
        <f>IF(ISNA(VLOOKUP(L$1,'offpeak-old'!$A$3:$DQ$20,$D586,FALSE)),0,VLOOKUP(L$1,'offpeak-old'!$A$3:$DQ$20,$D586,FALSE))</f>
        <v>0</v>
      </c>
      <c r="M586" s="14">
        <f>IF(ISNA(VLOOKUP(M$1,'offpeak-old'!$A$3:$DQ$20,$D586,FALSE)),0,VLOOKUP(M$1,'offpeak-old'!$A$3:$DQ$20,$D586,FALSE))</f>
        <v>0</v>
      </c>
      <c r="N586" s="14"/>
      <c r="O586" s="14">
        <f>IF(ISNA(VLOOKUP(O$1,'offpeak-old'!$A$3:$DQ$20,$D586,FALSE)),0,VLOOKUP(O$1,'offpeak-old'!$A$3:$DQ$20,$D586,FALSE))</f>
        <v>0</v>
      </c>
      <c r="P586" s="14">
        <f>IF(ISNA(VLOOKUP(P$1,'offpeak-old'!$A$3:$DQ$20,$D586,FALSE)),0,VLOOKUP(P$1,'offpeak-old'!$A$3:$DQ$20,$D586,FALSE))</f>
        <v>0</v>
      </c>
      <c r="Q586" s="15">
        <f>IF(ISNA(VLOOKUP(Q$1,'offpeak-old'!$A$3:$DQ$20,$D586,FALSE)),0,VLOOKUP(Q$1,'offpeak-old'!$A$3:$DQ$20,$D586,FALSE))</f>
        <v>0</v>
      </c>
      <c r="R586" s="14">
        <f>IF(ISNA(VLOOKUP(R$1,'offpeak-old'!$A$3:$DQ$20,$D586,FALSE)),0,VLOOKUP(R$1,'offpeak-old'!$A$3:$DQ$20,$D586,FALSE))</f>
        <v>0</v>
      </c>
      <c r="S586" s="10"/>
    </row>
    <row r="587" spans="1:19" s="8" customFormat="1" x14ac:dyDescent="0.2">
      <c r="A587" s="8">
        <f t="shared" si="156"/>
        <v>2008</v>
      </c>
      <c r="B587" s="8">
        <f t="shared" si="157"/>
        <v>12</v>
      </c>
      <c r="C587" s="9">
        <f t="shared" si="154"/>
        <v>39783</v>
      </c>
      <c r="D587" s="8">
        <f t="shared" si="155"/>
        <v>92</v>
      </c>
      <c r="E587" s="14">
        <f>IF(ISNA(VLOOKUP(E$1,'offpeak-old'!$A$3:$DQ$20,$D587,FALSE)),0,VLOOKUP(E$1,'offpeak-old'!$A$3:$DQ$20,$D587,FALSE))</f>
        <v>-10584</v>
      </c>
      <c r="F587" s="14">
        <f>IF(ISNA(VLOOKUP(F$1,'offpeak-old'!$A$3:$DQ$20,$D587,FALSE)),0,VLOOKUP(F$1,'offpeak-old'!$A$3:$DQ$20,$D587,FALSE))</f>
        <v>0</v>
      </c>
      <c r="G587" s="14">
        <f>IF(ISNA(VLOOKUP(G$1,'offpeak-old'!$A$3:$DQ$20,$D587,FALSE)),0,VLOOKUP(G$1,'offpeak-old'!$A$3:$DQ$20,$D587,FALSE))</f>
        <v>0</v>
      </c>
      <c r="H587" s="14">
        <f>IF(ISNA(VLOOKUP(H$1,'offpeak-old'!$A$3:$DQ$20,$D587,FALSE)),0,VLOOKUP(H$1,'offpeak-old'!$A$3:$DQ$20,$D587,FALSE))</f>
        <v>-19600</v>
      </c>
      <c r="I587" s="14">
        <f>IF(ISNA(VLOOKUP(I$1,'offpeak-old'!$A$3:$DQ$20,$D587,FALSE)),0,VLOOKUP(I$1,'offpeak-old'!$A$3:$DQ$20,$D587,FALSE))</f>
        <v>0</v>
      </c>
      <c r="J587" s="14">
        <f>IF(ISNA(VLOOKUP(J$1,'offpeak-old'!$A$3:$DQ$20,$D587,FALSE)),0,VLOOKUP(J$1,'offpeak-old'!$A$3:$DQ$20,$D587,FALSE))</f>
        <v>0</v>
      </c>
      <c r="K587" s="14">
        <f>IF(ISNA(VLOOKUP(K$1,'offpeak-old'!$A$3:$DQ$20,$D587,FALSE)),0,VLOOKUP(K$1,'offpeak-old'!$A$3:$DQ$20,$D587,FALSE))</f>
        <v>0</v>
      </c>
      <c r="L587" s="14">
        <f>IF(ISNA(VLOOKUP(L$1,'offpeak-old'!$A$3:$DQ$20,$D587,FALSE)),0,VLOOKUP(L$1,'offpeak-old'!$A$3:$DQ$20,$D587,FALSE))</f>
        <v>0</v>
      </c>
      <c r="M587" s="14">
        <f>IF(ISNA(VLOOKUP(M$1,'offpeak-old'!$A$3:$DQ$20,$D587,FALSE)),0,VLOOKUP(M$1,'offpeak-old'!$A$3:$DQ$20,$D587,FALSE))</f>
        <v>0</v>
      </c>
      <c r="N587" s="14"/>
      <c r="O587" s="14">
        <f>IF(ISNA(VLOOKUP(O$1,'offpeak-old'!$A$3:$DQ$20,$D587,FALSE)),0,VLOOKUP(O$1,'offpeak-old'!$A$3:$DQ$20,$D587,FALSE))</f>
        <v>0</v>
      </c>
      <c r="P587" s="14">
        <f>IF(ISNA(VLOOKUP(P$1,'offpeak-old'!$A$3:$DQ$20,$D587,FALSE)),0,VLOOKUP(P$1,'offpeak-old'!$A$3:$DQ$20,$D587,FALSE))</f>
        <v>0</v>
      </c>
      <c r="Q587" s="15">
        <f>IF(ISNA(VLOOKUP(Q$1,'offpeak-old'!$A$3:$DQ$20,$D587,FALSE)),0,VLOOKUP(Q$1,'offpeak-old'!$A$3:$DQ$20,$D587,FALSE))</f>
        <v>0</v>
      </c>
      <c r="R587" s="14">
        <f>IF(ISNA(VLOOKUP(R$1,'offpeak-old'!$A$3:$DQ$20,$D587,FALSE)),0,VLOOKUP(R$1,'offpeak-old'!$A$3:$DQ$20,$D587,FALSE))</f>
        <v>0</v>
      </c>
      <c r="S587" s="10"/>
    </row>
    <row r="588" spans="1:19" s="8" customFormat="1" x14ac:dyDescent="0.2">
      <c r="A588" s="8">
        <f t="shared" si="156"/>
        <v>2009</v>
      </c>
      <c r="B588" s="8">
        <f t="shared" si="157"/>
        <v>1</v>
      </c>
      <c r="C588" s="9">
        <f t="shared" si="154"/>
        <v>39814</v>
      </c>
      <c r="D588" s="8">
        <f t="shared" si="155"/>
        <v>93</v>
      </c>
      <c r="E588" s="14">
        <f>IF(ISNA(VLOOKUP(E$1,'offpeak-old'!$A$3:$DQ$20,$D588,FALSE)),0,VLOOKUP(E$1,'offpeak-old'!$A$3:$DQ$20,$D588,FALSE))</f>
        <v>0</v>
      </c>
      <c r="F588" s="14">
        <f>IF(ISNA(VLOOKUP(F$1,'offpeak-old'!$A$3:$DQ$20,$D588,FALSE)),0,VLOOKUP(F$1,'offpeak-old'!$A$3:$DQ$20,$D588,FALSE))</f>
        <v>0</v>
      </c>
      <c r="G588" s="14">
        <f>IF(ISNA(VLOOKUP(G$1,'offpeak-old'!$A$3:$DQ$20,$D588,FALSE)),0,VLOOKUP(G$1,'offpeak-old'!$A$3:$DQ$20,$D588,FALSE))</f>
        <v>0</v>
      </c>
      <c r="H588" s="14">
        <f>IF(ISNA(VLOOKUP(H$1,'offpeak-old'!$A$3:$DQ$20,$D588,FALSE)),0,VLOOKUP(H$1,'offpeak-old'!$A$3:$DQ$20,$D588,FALSE))</f>
        <v>-20400</v>
      </c>
      <c r="I588" s="14">
        <f>IF(ISNA(VLOOKUP(I$1,'offpeak-old'!$A$3:$DQ$20,$D588,FALSE)),0,VLOOKUP(I$1,'offpeak-old'!$A$3:$DQ$20,$D588,FALSE))</f>
        <v>0</v>
      </c>
      <c r="J588" s="14">
        <f>IF(ISNA(VLOOKUP(J$1,'offpeak-old'!$A$3:$DQ$20,$D588,FALSE)),0,VLOOKUP(J$1,'offpeak-old'!$A$3:$DQ$20,$D588,FALSE))</f>
        <v>0</v>
      </c>
      <c r="K588" s="14">
        <f>IF(ISNA(VLOOKUP(K$1,'offpeak-old'!$A$3:$DQ$20,$D588,FALSE)),0,VLOOKUP(K$1,'offpeak-old'!$A$3:$DQ$20,$D588,FALSE))</f>
        <v>0</v>
      </c>
      <c r="L588" s="14">
        <f>IF(ISNA(VLOOKUP(L$1,'offpeak-old'!$A$3:$DQ$20,$D588,FALSE)),0,VLOOKUP(L$1,'offpeak-old'!$A$3:$DQ$20,$D588,FALSE))</f>
        <v>0</v>
      </c>
      <c r="M588" s="14">
        <f>IF(ISNA(VLOOKUP(M$1,'offpeak-old'!$A$3:$DQ$20,$D588,FALSE)),0,VLOOKUP(M$1,'offpeak-old'!$A$3:$DQ$20,$D588,FALSE))</f>
        <v>0</v>
      </c>
      <c r="N588" s="14"/>
      <c r="O588" s="14">
        <f>IF(ISNA(VLOOKUP(O$1,'offpeak-old'!$A$3:$DQ$20,$D588,FALSE)),0,VLOOKUP(O$1,'offpeak-old'!$A$3:$DQ$20,$D588,FALSE))</f>
        <v>0</v>
      </c>
      <c r="P588" s="14">
        <f>IF(ISNA(VLOOKUP(P$1,'offpeak-old'!$A$3:$DQ$20,$D588,FALSE)),0,VLOOKUP(P$1,'offpeak-old'!$A$3:$DQ$20,$D588,FALSE))</f>
        <v>0</v>
      </c>
      <c r="Q588" s="15">
        <f>IF(ISNA(VLOOKUP(Q$1,'offpeak-old'!$A$3:$DQ$20,$D588,FALSE)),0,VLOOKUP(Q$1,'offpeak-old'!$A$3:$DQ$20,$D588,FALSE))</f>
        <v>0</v>
      </c>
      <c r="R588" s="14">
        <f>IF(ISNA(VLOOKUP(R$1,'offpeak-old'!$A$3:$DQ$20,$D588,FALSE)),0,VLOOKUP(R$1,'offpeak-old'!$A$3:$DQ$20,$D588,FALSE))</f>
        <v>0</v>
      </c>
      <c r="S588" s="10"/>
    </row>
    <row r="589" spans="1:19" s="8" customFormat="1" x14ac:dyDescent="0.2">
      <c r="A589" s="8">
        <f t="shared" si="156"/>
        <v>2009</v>
      </c>
      <c r="B589" s="8">
        <f t="shared" si="157"/>
        <v>2</v>
      </c>
      <c r="C589" s="9">
        <f t="shared" si="154"/>
        <v>39845</v>
      </c>
      <c r="D589" s="8">
        <f t="shared" si="155"/>
        <v>94</v>
      </c>
      <c r="E589" s="14">
        <f>IF(ISNA(VLOOKUP(E$1,'offpeak-old'!$A$3:$DQ$20,$D589,FALSE)),0,VLOOKUP(E$1,'offpeak-old'!$A$3:$DQ$20,$D589,FALSE))</f>
        <v>0</v>
      </c>
      <c r="F589" s="14">
        <f>IF(ISNA(VLOOKUP(F$1,'offpeak-old'!$A$3:$DQ$20,$D589,FALSE)),0,VLOOKUP(F$1,'offpeak-old'!$A$3:$DQ$20,$D589,FALSE))</f>
        <v>0</v>
      </c>
      <c r="G589" s="14">
        <f>IF(ISNA(VLOOKUP(G$1,'offpeak-old'!$A$3:$DQ$20,$D589,FALSE)),0,VLOOKUP(G$1,'offpeak-old'!$A$3:$DQ$20,$D589,FALSE))</f>
        <v>0</v>
      </c>
      <c r="H589" s="14">
        <f>IF(ISNA(VLOOKUP(H$1,'offpeak-old'!$A$3:$DQ$20,$D589,FALSE)),0,VLOOKUP(H$1,'offpeak-old'!$A$3:$DQ$20,$D589,FALSE))</f>
        <v>-17600</v>
      </c>
      <c r="I589" s="14">
        <f>IF(ISNA(VLOOKUP(I$1,'offpeak-old'!$A$3:$DQ$20,$D589,FALSE)),0,VLOOKUP(I$1,'offpeak-old'!$A$3:$DQ$20,$D589,FALSE))</f>
        <v>0</v>
      </c>
      <c r="J589" s="14">
        <f>IF(ISNA(VLOOKUP(J$1,'offpeak-old'!$A$3:$DQ$20,$D589,FALSE)),0,VLOOKUP(J$1,'offpeak-old'!$A$3:$DQ$20,$D589,FALSE))</f>
        <v>0</v>
      </c>
      <c r="K589" s="14">
        <f>IF(ISNA(VLOOKUP(K$1,'offpeak-old'!$A$3:$DQ$20,$D589,FALSE)),0,VLOOKUP(K$1,'offpeak-old'!$A$3:$DQ$20,$D589,FALSE))</f>
        <v>0</v>
      </c>
      <c r="L589" s="14">
        <f>IF(ISNA(VLOOKUP(L$1,'offpeak-old'!$A$3:$DQ$20,$D589,FALSE)),0,VLOOKUP(L$1,'offpeak-old'!$A$3:$DQ$20,$D589,FALSE))</f>
        <v>0</v>
      </c>
      <c r="M589" s="14">
        <f>IF(ISNA(VLOOKUP(M$1,'offpeak-old'!$A$3:$DQ$20,$D589,FALSE)),0,VLOOKUP(M$1,'offpeak-old'!$A$3:$DQ$20,$D589,FALSE))</f>
        <v>0</v>
      </c>
      <c r="N589" s="14"/>
      <c r="O589" s="14">
        <f>IF(ISNA(VLOOKUP(O$1,'offpeak-old'!$A$3:$DQ$20,$D589,FALSE)),0,VLOOKUP(O$1,'offpeak-old'!$A$3:$DQ$20,$D589,FALSE))</f>
        <v>0</v>
      </c>
      <c r="P589" s="14">
        <f>IF(ISNA(VLOOKUP(P$1,'offpeak-old'!$A$3:$DQ$20,$D589,FALSE)),0,VLOOKUP(P$1,'offpeak-old'!$A$3:$DQ$20,$D589,FALSE))</f>
        <v>0</v>
      </c>
      <c r="Q589" s="15">
        <f>IF(ISNA(VLOOKUP(Q$1,'offpeak-old'!$A$3:$DQ$20,$D589,FALSE)),0,VLOOKUP(Q$1,'offpeak-old'!$A$3:$DQ$20,$D589,FALSE))</f>
        <v>0</v>
      </c>
      <c r="R589" s="14">
        <f>IF(ISNA(VLOOKUP(R$1,'offpeak-old'!$A$3:$DQ$20,$D589,FALSE)),0,VLOOKUP(R$1,'offpeak-old'!$A$3:$DQ$20,$D589,FALSE))</f>
        <v>0</v>
      </c>
      <c r="S589" s="10"/>
    </row>
    <row r="590" spans="1:19" s="8" customFormat="1" x14ac:dyDescent="0.2">
      <c r="A590" s="8">
        <f t="shared" si="156"/>
        <v>2009</v>
      </c>
      <c r="B590" s="8">
        <f t="shared" si="157"/>
        <v>3</v>
      </c>
      <c r="C590" s="9">
        <f t="shared" si="154"/>
        <v>39873</v>
      </c>
      <c r="D590" s="8">
        <f t="shared" si="155"/>
        <v>95</v>
      </c>
      <c r="E590" s="14">
        <f>IF(ISNA(VLOOKUP(E$1,'offpeak-old'!$A$3:$DQ$20,$D590,FALSE)),0,VLOOKUP(E$1,'offpeak-old'!$A$3:$DQ$20,$D590,FALSE))</f>
        <v>0</v>
      </c>
      <c r="F590" s="14">
        <f>IF(ISNA(VLOOKUP(F$1,'offpeak-old'!$A$3:$DQ$20,$D590,FALSE)),0,VLOOKUP(F$1,'offpeak-old'!$A$3:$DQ$20,$D590,FALSE))</f>
        <v>0</v>
      </c>
      <c r="G590" s="14">
        <f>IF(ISNA(VLOOKUP(G$1,'offpeak-old'!$A$3:$DQ$20,$D590,FALSE)),0,VLOOKUP(G$1,'offpeak-old'!$A$3:$DQ$20,$D590,FALSE))</f>
        <v>0</v>
      </c>
      <c r="H590" s="14">
        <f>IF(ISNA(VLOOKUP(H$1,'offpeak-old'!$A$3:$DQ$20,$D590,FALSE)),0,VLOOKUP(H$1,'offpeak-old'!$A$3:$DQ$20,$D590,FALSE))</f>
        <v>-19600</v>
      </c>
      <c r="I590" s="14">
        <f>IF(ISNA(VLOOKUP(I$1,'offpeak-old'!$A$3:$DQ$20,$D590,FALSE)),0,VLOOKUP(I$1,'offpeak-old'!$A$3:$DQ$20,$D590,FALSE))</f>
        <v>0</v>
      </c>
      <c r="J590" s="14">
        <f>IF(ISNA(VLOOKUP(J$1,'offpeak-old'!$A$3:$DQ$20,$D590,FALSE)),0,VLOOKUP(J$1,'offpeak-old'!$A$3:$DQ$20,$D590,FALSE))</f>
        <v>0</v>
      </c>
      <c r="K590" s="14">
        <f>IF(ISNA(VLOOKUP(K$1,'offpeak-old'!$A$3:$DQ$20,$D590,FALSE)),0,VLOOKUP(K$1,'offpeak-old'!$A$3:$DQ$20,$D590,FALSE))</f>
        <v>0</v>
      </c>
      <c r="L590" s="14">
        <f>IF(ISNA(VLOOKUP(L$1,'offpeak-old'!$A$3:$DQ$20,$D590,FALSE)),0,VLOOKUP(L$1,'offpeak-old'!$A$3:$DQ$20,$D590,FALSE))</f>
        <v>0</v>
      </c>
      <c r="M590" s="14">
        <f>IF(ISNA(VLOOKUP(M$1,'offpeak-old'!$A$3:$DQ$20,$D590,FALSE)),0,VLOOKUP(M$1,'offpeak-old'!$A$3:$DQ$20,$D590,FALSE))</f>
        <v>0</v>
      </c>
      <c r="N590" s="14"/>
      <c r="O590" s="14">
        <f>IF(ISNA(VLOOKUP(O$1,'offpeak-old'!$A$3:$DQ$20,$D590,FALSE)),0,VLOOKUP(O$1,'offpeak-old'!$A$3:$DQ$20,$D590,FALSE))</f>
        <v>0</v>
      </c>
      <c r="P590" s="14">
        <f>IF(ISNA(VLOOKUP(P$1,'offpeak-old'!$A$3:$DQ$20,$D590,FALSE)),0,VLOOKUP(P$1,'offpeak-old'!$A$3:$DQ$20,$D590,FALSE))</f>
        <v>0</v>
      </c>
      <c r="Q590" s="15">
        <f>IF(ISNA(VLOOKUP(Q$1,'offpeak-old'!$A$3:$DQ$20,$D590,FALSE)),0,VLOOKUP(Q$1,'offpeak-old'!$A$3:$DQ$20,$D590,FALSE))</f>
        <v>0</v>
      </c>
      <c r="R590" s="14">
        <f>IF(ISNA(VLOOKUP(R$1,'offpeak-old'!$A$3:$DQ$20,$D590,FALSE)),0,VLOOKUP(R$1,'offpeak-old'!$A$3:$DQ$20,$D590,FALSE))</f>
        <v>0</v>
      </c>
      <c r="S590" s="10"/>
    </row>
    <row r="591" spans="1:19" s="8" customFormat="1" x14ac:dyDescent="0.2">
      <c r="A591" s="8">
        <f t="shared" si="156"/>
        <v>2009</v>
      </c>
      <c r="B591" s="8">
        <f t="shared" si="157"/>
        <v>4</v>
      </c>
      <c r="C591" s="9">
        <f t="shared" si="154"/>
        <v>39904</v>
      </c>
      <c r="D591" s="8">
        <f t="shared" si="155"/>
        <v>96</v>
      </c>
      <c r="E591" s="14">
        <f>IF(ISNA(VLOOKUP(E$1,'offpeak-old'!$A$3:$DQ$20,$D591,FALSE)),0,VLOOKUP(E$1,'offpeak-old'!$A$3:$DQ$20,$D591,FALSE))</f>
        <v>0</v>
      </c>
      <c r="F591" s="14">
        <f>IF(ISNA(VLOOKUP(F$1,'offpeak-old'!$A$3:$DQ$20,$D591,FALSE)),0,VLOOKUP(F$1,'offpeak-old'!$A$3:$DQ$20,$D591,FALSE))</f>
        <v>0</v>
      </c>
      <c r="G591" s="14">
        <f>IF(ISNA(VLOOKUP(G$1,'offpeak-old'!$A$3:$DQ$20,$D591,FALSE)),0,VLOOKUP(G$1,'offpeak-old'!$A$3:$DQ$20,$D591,FALSE))</f>
        <v>0</v>
      </c>
      <c r="H591" s="14">
        <f>IF(ISNA(VLOOKUP(H$1,'offpeak-old'!$A$3:$DQ$20,$D591,FALSE)),0,VLOOKUP(H$1,'offpeak-old'!$A$3:$DQ$20,$D591,FALSE))</f>
        <v>-18350</v>
      </c>
      <c r="I591" s="14">
        <f>IF(ISNA(VLOOKUP(I$1,'offpeak-old'!$A$3:$DQ$20,$D591,FALSE)),0,VLOOKUP(I$1,'offpeak-old'!$A$3:$DQ$20,$D591,FALSE))</f>
        <v>0</v>
      </c>
      <c r="J591" s="14">
        <f>IF(ISNA(VLOOKUP(J$1,'offpeak-old'!$A$3:$DQ$20,$D591,FALSE)),0,VLOOKUP(J$1,'offpeak-old'!$A$3:$DQ$20,$D591,FALSE))</f>
        <v>0</v>
      </c>
      <c r="K591" s="14">
        <f>IF(ISNA(VLOOKUP(K$1,'offpeak-old'!$A$3:$DQ$20,$D591,FALSE)),0,VLOOKUP(K$1,'offpeak-old'!$A$3:$DQ$20,$D591,FALSE))</f>
        <v>0</v>
      </c>
      <c r="L591" s="14">
        <f>IF(ISNA(VLOOKUP(L$1,'offpeak-old'!$A$3:$DQ$20,$D591,FALSE)),0,VLOOKUP(L$1,'offpeak-old'!$A$3:$DQ$20,$D591,FALSE))</f>
        <v>0</v>
      </c>
      <c r="M591" s="14">
        <f>IF(ISNA(VLOOKUP(M$1,'offpeak-old'!$A$3:$DQ$20,$D591,FALSE)),0,VLOOKUP(M$1,'offpeak-old'!$A$3:$DQ$20,$D591,FALSE))</f>
        <v>0</v>
      </c>
      <c r="N591" s="14"/>
      <c r="O591" s="14">
        <f>IF(ISNA(VLOOKUP(O$1,'offpeak-old'!$A$3:$DQ$20,$D591,FALSE)),0,VLOOKUP(O$1,'offpeak-old'!$A$3:$DQ$20,$D591,FALSE))</f>
        <v>0</v>
      </c>
      <c r="P591" s="14">
        <f>IF(ISNA(VLOOKUP(P$1,'offpeak-old'!$A$3:$DQ$20,$D591,FALSE)),0,VLOOKUP(P$1,'offpeak-old'!$A$3:$DQ$20,$D591,FALSE))</f>
        <v>0</v>
      </c>
      <c r="Q591" s="15">
        <f>IF(ISNA(VLOOKUP(Q$1,'offpeak-old'!$A$3:$DQ$20,$D591,FALSE)),0,VLOOKUP(Q$1,'offpeak-old'!$A$3:$DQ$20,$D591,FALSE))</f>
        <v>0</v>
      </c>
      <c r="R591" s="14">
        <f>IF(ISNA(VLOOKUP(R$1,'offpeak-old'!$A$3:$DQ$20,$D591,FALSE)),0,VLOOKUP(R$1,'offpeak-old'!$A$3:$DQ$20,$D591,FALSE))</f>
        <v>0</v>
      </c>
      <c r="S591" s="10"/>
    </row>
    <row r="592" spans="1:19" s="8" customFormat="1" x14ac:dyDescent="0.2">
      <c r="A592" s="8">
        <f t="shared" si="156"/>
        <v>2009</v>
      </c>
      <c r="B592" s="8">
        <f t="shared" si="157"/>
        <v>5</v>
      </c>
      <c r="C592" s="9">
        <f>DATE(A592,B592,1)</f>
        <v>39934</v>
      </c>
      <c r="D592" s="8">
        <f t="shared" si="155"/>
        <v>97</v>
      </c>
      <c r="E592" s="14">
        <f>IF(ISNA(VLOOKUP(E$1,'offpeak-old'!$A$3:$DQ$20,$D592,FALSE)),0,VLOOKUP(E$1,'offpeak-old'!$A$3:$DQ$20,$D592,FALSE))</f>
        <v>0</v>
      </c>
      <c r="F592" s="14">
        <f>IF(ISNA(VLOOKUP(F$1,'offpeak-old'!$A$3:$DQ$20,$D592,FALSE)),0,VLOOKUP(F$1,'offpeak-old'!$A$3:$DQ$20,$D592,FALSE))</f>
        <v>0</v>
      </c>
      <c r="G592" s="14">
        <f>IF(ISNA(VLOOKUP(G$1,'offpeak-old'!$A$3:$DQ$20,$D592,FALSE)),0,VLOOKUP(G$1,'offpeak-old'!$A$3:$DQ$20,$D592,FALSE))</f>
        <v>0</v>
      </c>
      <c r="H592" s="14">
        <f>IF(ISNA(VLOOKUP(H$1,'offpeak-old'!$A$3:$DQ$20,$D592,FALSE)),0,VLOOKUP(H$1,'offpeak-old'!$A$3:$DQ$20,$D592,FALSE))</f>
        <v>-21200</v>
      </c>
      <c r="I592" s="14">
        <f>IF(ISNA(VLOOKUP(I$1,'offpeak-old'!$A$3:$DQ$20,$D592,FALSE)),0,VLOOKUP(I$1,'offpeak-old'!$A$3:$DQ$20,$D592,FALSE))</f>
        <v>0</v>
      </c>
      <c r="J592" s="14">
        <f>IF(ISNA(VLOOKUP(J$1,'offpeak-old'!$A$3:$DQ$20,$D592,FALSE)),0,VLOOKUP(J$1,'offpeak-old'!$A$3:$DQ$20,$D592,FALSE))</f>
        <v>0</v>
      </c>
      <c r="K592" s="14">
        <f>IF(ISNA(VLOOKUP(K$1,'offpeak-old'!$A$3:$DQ$20,$D592,FALSE)),0,VLOOKUP(K$1,'offpeak-old'!$A$3:$DQ$20,$D592,FALSE))</f>
        <v>0</v>
      </c>
      <c r="L592" s="14">
        <f>IF(ISNA(VLOOKUP(L$1,'offpeak-old'!$A$3:$DQ$20,$D592,FALSE)),0,VLOOKUP(L$1,'offpeak-old'!$A$3:$DQ$20,$D592,FALSE))</f>
        <v>0</v>
      </c>
      <c r="M592" s="14">
        <f>IF(ISNA(VLOOKUP(M$1,'offpeak-old'!$A$3:$DQ$20,$D592,FALSE)),0,VLOOKUP(M$1,'offpeak-old'!$A$3:$DQ$20,$D592,FALSE))</f>
        <v>0</v>
      </c>
      <c r="N592" s="14"/>
      <c r="O592" s="14">
        <f>IF(ISNA(VLOOKUP(O$1,'offpeak-old'!$A$3:$DQ$20,$D592,FALSE)),0,VLOOKUP(O$1,'offpeak-old'!$A$3:$DQ$20,$D592,FALSE))</f>
        <v>0</v>
      </c>
      <c r="P592" s="14">
        <f>IF(ISNA(VLOOKUP(P$1,'offpeak-old'!$A$3:$DQ$20,$D592,FALSE)),0,VLOOKUP(P$1,'offpeak-old'!$A$3:$DQ$20,$D592,FALSE))</f>
        <v>0</v>
      </c>
      <c r="Q592" s="15">
        <f>IF(ISNA(VLOOKUP(Q$1,'offpeak-old'!$A$3:$DQ$20,$D592,FALSE)),0,VLOOKUP(Q$1,'offpeak-old'!$A$3:$DQ$20,$D592,FALSE))</f>
        <v>0</v>
      </c>
      <c r="R592" s="14">
        <f>IF(ISNA(VLOOKUP(R$1,'offpeak-old'!$A$3:$DQ$20,$D592,FALSE)),0,VLOOKUP(R$1,'offpeak-old'!$A$3:$DQ$20,$D592,FALSE))</f>
        <v>0</v>
      </c>
      <c r="S592" s="10"/>
    </row>
    <row r="593" spans="1:19" s="8" customFormat="1" x14ac:dyDescent="0.2">
      <c r="A593" s="8">
        <f t="shared" ref="A593:A598" si="158">IF(B592=12,A592+1,A592)</f>
        <v>2009</v>
      </c>
      <c r="B593" s="8">
        <f t="shared" si="157"/>
        <v>6</v>
      </c>
      <c r="C593" s="9">
        <f t="shared" ref="C593:C598" si="159">DATE(A593,B593,1)</f>
        <v>39965</v>
      </c>
      <c r="D593" s="8">
        <f t="shared" ref="D593:D598" si="160">D592+1</f>
        <v>98</v>
      </c>
      <c r="E593" s="14">
        <f>IF(ISNA(VLOOKUP(E$1,'offpeak-old'!$A$3:$DQ$20,$D593,FALSE)),0,VLOOKUP(E$1,'offpeak-old'!$A$3:$DQ$20,$D593,FALSE))</f>
        <v>0</v>
      </c>
      <c r="F593" s="14">
        <f>IF(ISNA(VLOOKUP(F$1,'offpeak-old'!$A$3:$DQ$20,$D593,FALSE)),0,VLOOKUP(F$1,'offpeak-old'!$A$3:$DQ$20,$D593,FALSE))</f>
        <v>0</v>
      </c>
      <c r="G593" s="14">
        <f>IF(ISNA(VLOOKUP(G$1,'offpeak-old'!$A$3:$DQ$20,$D593,FALSE)),0,VLOOKUP(G$1,'offpeak-old'!$A$3:$DQ$20,$D593,FALSE))</f>
        <v>0</v>
      </c>
      <c r="H593" s="14">
        <f>IF(ISNA(VLOOKUP(H$1,'offpeak-old'!$A$3:$DQ$20,$D593,FALSE)),0,VLOOKUP(H$1,'offpeak-old'!$A$3:$DQ$20,$D593,FALSE))</f>
        <v>-18400</v>
      </c>
      <c r="I593" s="14">
        <f>IF(ISNA(VLOOKUP(I$1,'offpeak-old'!$A$3:$DQ$20,$D593,FALSE)),0,VLOOKUP(I$1,'offpeak-old'!$A$3:$DQ$20,$D593,FALSE))</f>
        <v>0</v>
      </c>
      <c r="J593" s="14">
        <f>IF(ISNA(VLOOKUP(J$1,'offpeak-old'!$A$3:$DQ$20,$D593,FALSE)),0,VLOOKUP(J$1,'offpeak-old'!$A$3:$DQ$20,$D593,FALSE))</f>
        <v>0</v>
      </c>
      <c r="K593" s="14">
        <f>IF(ISNA(VLOOKUP(K$1,'offpeak-old'!$A$3:$DQ$20,$D593,FALSE)),0,VLOOKUP(K$1,'offpeak-old'!$A$3:$DQ$20,$D593,FALSE))</f>
        <v>0</v>
      </c>
      <c r="L593" s="14">
        <f>IF(ISNA(VLOOKUP(L$1,'offpeak-old'!$A$3:$DQ$20,$D593,FALSE)),0,VLOOKUP(L$1,'offpeak-old'!$A$3:$DQ$20,$D593,FALSE))</f>
        <v>0</v>
      </c>
      <c r="M593" s="14">
        <f>IF(ISNA(VLOOKUP(M$1,'offpeak-old'!$A$3:$DQ$20,$D593,FALSE)),0,VLOOKUP(M$1,'offpeak-old'!$A$3:$DQ$20,$D593,FALSE))</f>
        <v>0</v>
      </c>
      <c r="N593" s="14"/>
      <c r="O593" s="14">
        <f>IF(ISNA(VLOOKUP(O$1,'offpeak-old'!$A$3:$DQ$20,$D593,FALSE)),0,VLOOKUP(O$1,'offpeak-old'!$A$3:$DQ$20,$D593,FALSE))</f>
        <v>0</v>
      </c>
      <c r="P593" s="14">
        <f>IF(ISNA(VLOOKUP(P$1,'offpeak-old'!$A$3:$DQ$20,$D593,FALSE)),0,VLOOKUP(P$1,'offpeak-old'!$A$3:$DQ$20,$D593,FALSE))</f>
        <v>0</v>
      </c>
      <c r="Q593" s="15">
        <f>IF(ISNA(VLOOKUP(Q$1,'offpeak-old'!$A$3:$DQ$20,$D593,FALSE)),0,VLOOKUP(Q$1,'offpeak-old'!$A$3:$DQ$20,$D593,FALSE))</f>
        <v>0</v>
      </c>
      <c r="R593" s="14">
        <f>IF(ISNA(VLOOKUP(R$1,'offpeak-old'!$A$3:$DQ$20,$D593,FALSE)),0,VLOOKUP(R$1,'offpeak-old'!$A$3:$DQ$20,$D593,FALSE))</f>
        <v>0</v>
      </c>
      <c r="S593" s="10"/>
    </row>
    <row r="594" spans="1:19" s="8" customFormat="1" x14ac:dyDescent="0.2">
      <c r="A594" s="8">
        <f t="shared" si="158"/>
        <v>2009</v>
      </c>
      <c r="B594" s="8">
        <f t="shared" si="157"/>
        <v>7</v>
      </c>
      <c r="C594" s="9">
        <f t="shared" si="159"/>
        <v>39995</v>
      </c>
      <c r="D594" s="8">
        <f t="shared" si="160"/>
        <v>99</v>
      </c>
      <c r="E594" s="14">
        <f>IF(ISNA(VLOOKUP(E$1,'offpeak-old'!$A$3:$DQ$20,$D594,FALSE)),0,VLOOKUP(E$1,'offpeak-old'!$A$3:$DQ$20,$D594,FALSE))</f>
        <v>0</v>
      </c>
      <c r="F594" s="14">
        <f>IF(ISNA(VLOOKUP(F$1,'offpeak-old'!$A$3:$DQ$20,$D594,FALSE)),0,VLOOKUP(F$1,'offpeak-old'!$A$3:$DQ$20,$D594,FALSE))</f>
        <v>0</v>
      </c>
      <c r="G594" s="14">
        <f>IF(ISNA(VLOOKUP(G$1,'offpeak-old'!$A$3:$DQ$20,$D594,FALSE)),0,VLOOKUP(G$1,'offpeak-old'!$A$3:$DQ$20,$D594,FALSE))</f>
        <v>0</v>
      </c>
      <c r="H594" s="14">
        <f>IF(ISNA(VLOOKUP(H$1,'offpeak-old'!$A$3:$DQ$20,$D594,FALSE)),0,VLOOKUP(H$1,'offpeak-old'!$A$3:$DQ$20,$D594,FALSE))</f>
        <v>-18800</v>
      </c>
      <c r="I594" s="14">
        <f>IF(ISNA(VLOOKUP(I$1,'offpeak-old'!$A$3:$DQ$20,$D594,FALSE)),0,VLOOKUP(I$1,'offpeak-old'!$A$3:$DQ$20,$D594,FALSE))</f>
        <v>0</v>
      </c>
      <c r="J594" s="14">
        <f>IF(ISNA(VLOOKUP(J$1,'offpeak-old'!$A$3:$DQ$20,$D594,FALSE)),0,VLOOKUP(J$1,'offpeak-old'!$A$3:$DQ$20,$D594,FALSE))</f>
        <v>0</v>
      </c>
      <c r="K594" s="14">
        <f>IF(ISNA(VLOOKUP(K$1,'offpeak-old'!$A$3:$DQ$20,$D594,FALSE)),0,VLOOKUP(K$1,'offpeak-old'!$A$3:$DQ$20,$D594,FALSE))</f>
        <v>0</v>
      </c>
      <c r="L594" s="14">
        <f>IF(ISNA(VLOOKUP(L$1,'offpeak-old'!$A$3:$DQ$20,$D594,FALSE)),0,VLOOKUP(L$1,'offpeak-old'!$A$3:$DQ$20,$D594,FALSE))</f>
        <v>0</v>
      </c>
      <c r="M594" s="14">
        <f>IF(ISNA(VLOOKUP(M$1,'offpeak-old'!$A$3:$DQ$20,$D594,FALSE)),0,VLOOKUP(M$1,'offpeak-old'!$A$3:$DQ$20,$D594,FALSE))</f>
        <v>0</v>
      </c>
      <c r="N594" s="14"/>
      <c r="O594" s="14">
        <f>IF(ISNA(VLOOKUP(O$1,'offpeak-old'!$A$3:$DQ$20,$D594,FALSE)),0,VLOOKUP(O$1,'offpeak-old'!$A$3:$DQ$20,$D594,FALSE))</f>
        <v>0</v>
      </c>
      <c r="P594" s="14">
        <f>IF(ISNA(VLOOKUP(P$1,'offpeak-old'!$A$3:$DQ$20,$D594,FALSE)),0,VLOOKUP(P$1,'offpeak-old'!$A$3:$DQ$20,$D594,FALSE))</f>
        <v>0</v>
      </c>
      <c r="Q594" s="15">
        <f>IF(ISNA(VLOOKUP(Q$1,'offpeak-old'!$A$3:$DQ$20,$D594,FALSE)),0,VLOOKUP(Q$1,'offpeak-old'!$A$3:$DQ$20,$D594,FALSE))</f>
        <v>0</v>
      </c>
      <c r="R594" s="14">
        <f>IF(ISNA(VLOOKUP(R$1,'offpeak-old'!$A$3:$DQ$20,$D594,FALSE)),0,VLOOKUP(R$1,'offpeak-old'!$A$3:$DQ$20,$D594,FALSE))</f>
        <v>0</v>
      </c>
      <c r="S594" s="10"/>
    </row>
    <row r="595" spans="1:19" s="8" customFormat="1" x14ac:dyDescent="0.2">
      <c r="A595" s="8">
        <f t="shared" si="158"/>
        <v>2009</v>
      </c>
      <c r="B595" s="8">
        <f t="shared" si="157"/>
        <v>8</v>
      </c>
      <c r="C595" s="9">
        <f t="shared" si="159"/>
        <v>40026</v>
      </c>
      <c r="D595" s="8">
        <f t="shared" si="160"/>
        <v>100</v>
      </c>
      <c r="E595" s="14">
        <f>IF(ISNA(VLOOKUP(E$1,'offpeak-old'!$A$3:$DQ$20,$D595,FALSE)),0,VLOOKUP(E$1,'offpeak-old'!$A$3:$DQ$20,$D595,FALSE))</f>
        <v>0</v>
      </c>
      <c r="F595" s="14">
        <f>IF(ISNA(VLOOKUP(F$1,'offpeak-old'!$A$3:$DQ$20,$D595,FALSE)),0,VLOOKUP(F$1,'offpeak-old'!$A$3:$DQ$20,$D595,FALSE))</f>
        <v>0</v>
      </c>
      <c r="G595" s="14">
        <f>IF(ISNA(VLOOKUP(G$1,'offpeak-old'!$A$3:$DQ$20,$D595,FALSE)),0,VLOOKUP(G$1,'offpeak-old'!$A$3:$DQ$20,$D595,FALSE))</f>
        <v>0</v>
      </c>
      <c r="H595" s="14">
        <f>IF(ISNA(VLOOKUP(H$1,'offpeak-old'!$A$3:$DQ$20,$D595,FALSE)),0,VLOOKUP(H$1,'offpeak-old'!$A$3:$DQ$20,$D595,FALSE))</f>
        <v>-20400</v>
      </c>
      <c r="I595" s="14">
        <f>IF(ISNA(VLOOKUP(I$1,'offpeak-old'!$A$3:$DQ$20,$D595,FALSE)),0,VLOOKUP(I$1,'offpeak-old'!$A$3:$DQ$20,$D595,FALSE))</f>
        <v>0</v>
      </c>
      <c r="J595" s="14">
        <f>IF(ISNA(VLOOKUP(J$1,'offpeak-old'!$A$3:$DQ$20,$D595,FALSE)),0,VLOOKUP(J$1,'offpeak-old'!$A$3:$DQ$20,$D595,FALSE))</f>
        <v>0</v>
      </c>
      <c r="K595" s="14">
        <f>IF(ISNA(VLOOKUP(K$1,'offpeak-old'!$A$3:$DQ$20,$D595,FALSE)),0,VLOOKUP(K$1,'offpeak-old'!$A$3:$DQ$20,$D595,FALSE))</f>
        <v>0</v>
      </c>
      <c r="L595" s="14">
        <f>IF(ISNA(VLOOKUP(L$1,'offpeak-old'!$A$3:$DQ$20,$D595,FALSE)),0,VLOOKUP(L$1,'offpeak-old'!$A$3:$DQ$20,$D595,FALSE))</f>
        <v>0</v>
      </c>
      <c r="M595" s="14">
        <f>IF(ISNA(VLOOKUP(M$1,'offpeak-old'!$A$3:$DQ$20,$D595,FALSE)),0,VLOOKUP(M$1,'offpeak-old'!$A$3:$DQ$20,$D595,FALSE))</f>
        <v>0</v>
      </c>
      <c r="N595" s="14"/>
      <c r="O595" s="14">
        <f>IF(ISNA(VLOOKUP(O$1,'offpeak-old'!$A$3:$DQ$20,$D595,FALSE)),0,VLOOKUP(O$1,'offpeak-old'!$A$3:$DQ$20,$D595,FALSE))</f>
        <v>0</v>
      </c>
      <c r="P595" s="14">
        <f>IF(ISNA(VLOOKUP(P$1,'offpeak-old'!$A$3:$DQ$20,$D595,FALSE)),0,VLOOKUP(P$1,'offpeak-old'!$A$3:$DQ$20,$D595,FALSE))</f>
        <v>0</v>
      </c>
      <c r="Q595" s="15">
        <f>IF(ISNA(VLOOKUP(Q$1,'offpeak-old'!$A$3:$DQ$20,$D595,FALSE)),0,VLOOKUP(Q$1,'offpeak-old'!$A$3:$DQ$20,$D595,FALSE))</f>
        <v>0</v>
      </c>
      <c r="R595" s="14">
        <f>IF(ISNA(VLOOKUP(R$1,'offpeak-old'!$A$3:$DQ$20,$D595,FALSE)),0,VLOOKUP(R$1,'offpeak-old'!$A$3:$DQ$20,$D595,FALSE))</f>
        <v>0</v>
      </c>
      <c r="S595" s="10"/>
    </row>
    <row r="596" spans="1:19" s="8" customFormat="1" x14ac:dyDescent="0.2">
      <c r="A596" s="8">
        <f t="shared" si="158"/>
        <v>2009</v>
      </c>
      <c r="B596" s="8">
        <f t="shared" si="157"/>
        <v>9</v>
      </c>
      <c r="C596" s="9">
        <f t="shared" si="159"/>
        <v>40057</v>
      </c>
      <c r="D596" s="8">
        <f t="shared" si="160"/>
        <v>101</v>
      </c>
      <c r="E596" s="14">
        <f>IF(ISNA(VLOOKUP(E$1,'offpeak-old'!$A$3:$DQ$20,$D596,FALSE)),0,VLOOKUP(E$1,'offpeak-old'!$A$3:$DQ$20,$D596,FALSE))</f>
        <v>0</v>
      </c>
      <c r="F596" s="14">
        <f>IF(ISNA(VLOOKUP(F$1,'offpeak-old'!$A$3:$DQ$20,$D596,FALSE)),0,VLOOKUP(F$1,'offpeak-old'!$A$3:$DQ$20,$D596,FALSE))</f>
        <v>0</v>
      </c>
      <c r="G596" s="14">
        <f>IF(ISNA(VLOOKUP(G$1,'offpeak-old'!$A$3:$DQ$20,$D596,FALSE)),0,VLOOKUP(G$1,'offpeak-old'!$A$3:$DQ$20,$D596,FALSE))</f>
        <v>0</v>
      </c>
      <c r="H596" s="14">
        <f>IF(ISNA(VLOOKUP(H$1,'offpeak-old'!$A$3:$DQ$20,$D596,FALSE)),0,VLOOKUP(H$1,'offpeak-old'!$A$3:$DQ$20,$D596,FALSE))</f>
        <v>-19200</v>
      </c>
      <c r="I596" s="14">
        <f>IF(ISNA(VLOOKUP(I$1,'offpeak-old'!$A$3:$DQ$20,$D596,FALSE)),0,VLOOKUP(I$1,'offpeak-old'!$A$3:$DQ$20,$D596,FALSE))</f>
        <v>0</v>
      </c>
      <c r="J596" s="14">
        <f>IF(ISNA(VLOOKUP(J$1,'offpeak-old'!$A$3:$DQ$20,$D596,FALSE)),0,VLOOKUP(J$1,'offpeak-old'!$A$3:$DQ$20,$D596,FALSE))</f>
        <v>0</v>
      </c>
      <c r="K596" s="14">
        <f>IF(ISNA(VLOOKUP(K$1,'offpeak-old'!$A$3:$DQ$20,$D596,FALSE)),0,VLOOKUP(K$1,'offpeak-old'!$A$3:$DQ$20,$D596,FALSE))</f>
        <v>0</v>
      </c>
      <c r="L596" s="14">
        <f>IF(ISNA(VLOOKUP(L$1,'offpeak-old'!$A$3:$DQ$20,$D596,FALSE)),0,VLOOKUP(L$1,'offpeak-old'!$A$3:$DQ$20,$D596,FALSE))</f>
        <v>0</v>
      </c>
      <c r="M596" s="14">
        <f>IF(ISNA(VLOOKUP(M$1,'offpeak-old'!$A$3:$DQ$20,$D596,FALSE)),0,VLOOKUP(M$1,'offpeak-old'!$A$3:$DQ$20,$D596,FALSE))</f>
        <v>0</v>
      </c>
      <c r="N596" s="14"/>
      <c r="O596" s="14">
        <f>IF(ISNA(VLOOKUP(O$1,'offpeak-old'!$A$3:$DQ$20,$D596,FALSE)),0,VLOOKUP(O$1,'offpeak-old'!$A$3:$DQ$20,$D596,FALSE))</f>
        <v>0</v>
      </c>
      <c r="P596" s="14">
        <f>IF(ISNA(VLOOKUP(P$1,'offpeak-old'!$A$3:$DQ$20,$D596,FALSE)),0,VLOOKUP(P$1,'offpeak-old'!$A$3:$DQ$20,$D596,FALSE))</f>
        <v>0</v>
      </c>
      <c r="Q596" s="15">
        <f>IF(ISNA(VLOOKUP(Q$1,'offpeak-old'!$A$3:$DQ$20,$D596,FALSE)),0,VLOOKUP(Q$1,'offpeak-old'!$A$3:$DQ$20,$D596,FALSE))</f>
        <v>0</v>
      </c>
      <c r="R596" s="14">
        <f>IF(ISNA(VLOOKUP(R$1,'offpeak-old'!$A$3:$DQ$20,$D596,FALSE)),0,VLOOKUP(R$1,'offpeak-old'!$A$3:$DQ$20,$D596,FALSE))</f>
        <v>0</v>
      </c>
      <c r="S596" s="10"/>
    </row>
    <row r="597" spans="1:19" s="8" customFormat="1" x14ac:dyDescent="0.2">
      <c r="A597" s="8">
        <f t="shared" si="158"/>
        <v>2009</v>
      </c>
      <c r="B597" s="8">
        <f t="shared" si="157"/>
        <v>10</v>
      </c>
      <c r="C597" s="9">
        <f t="shared" si="159"/>
        <v>40087</v>
      </c>
      <c r="D597" s="8">
        <f t="shared" si="160"/>
        <v>102</v>
      </c>
      <c r="E597" s="14">
        <f>IF(ISNA(VLOOKUP(E$1,'offpeak-old'!$A$3:$DQ$20,$D597,FALSE)),0,VLOOKUP(E$1,'offpeak-old'!$A$3:$DQ$20,$D597,FALSE))</f>
        <v>0</v>
      </c>
      <c r="F597" s="14">
        <f>IF(ISNA(VLOOKUP(F$1,'offpeak-old'!$A$3:$DQ$20,$D597,FALSE)),0,VLOOKUP(F$1,'offpeak-old'!$A$3:$DQ$20,$D597,FALSE))</f>
        <v>0</v>
      </c>
      <c r="G597" s="14">
        <f>IF(ISNA(VLOOKUP(G$1,'offpeak-old'!$A$3:$DQ$20,$D597,FALSE)),0,VLOOKUP(G$1,'offpeak-old'!$A$3:$DQ$20,$D597,FALSE))</f>
        <v>0</v>
      </c>
      <c r="H597" s="14">
        <f>IF(ISNA(VLOOKUP(H$1,'offpeak-old'!$A$3:$DQ$20,$D597,FALSE)),0,VLOOKUP(H$1,'offpeak-old'!$A$3:$DQ$20,$D597,FALSE))</f>
        <v>-19650</v>
      </c>
      <c r="I597" s="14">
        <f>IF(ISNA(VLOOKUP(I$1,'offpeak-old'!$A$3:$DQ$20,$D597,FALSE)),0,VLOOKUP(I$1,'offpeak-old'!$A$3:$DQ$20,$D597,FALSE))</f>
        <v>0</v>
      </c>
      <c r="J597" s="14">
        <f>IF(ISNA(VLOOKUP(J$1,'offpeak-old'!$A$3:$DQ$20,$D597,FALSE)),0,VLOOKUP(J$1,'offpeak-old'!$A$3:$DQ$20,$D597,FALSE))</f>
        <v>0</v>
      </c>
      <c r="K597" s="14">
        <f>IF(ISNA(VLOOKUP(K$1,'offpeak-old'!$A$3:$DQ$20,$D597,FALSE)),0,VLOOKUP(K$1,'offpeak-old'!$A$3:$DQ$20,$D597,FALSE))</f>
        <v>0</v>
      </c>
      <c r="L597" s="14">
        <f>IF(ISNA(VLOOKUP(L$1,'offpeak-old'!$A$3:$DQ$20,$D597,FALSE)),0,VLOOKUP(L$1,'offpeak-old'!$A$3:$DQ$20,$D597,FALSE))</f>
        <v>0</v>
      </c>
      <c r="M597" s="14">
        <f>IF(ISNA(VLOOKUP(M$1,'offpeak-old'!$A$3:$DQ$20,$D597,FALSE)),0,VLOOKUP(M$1,'offpeak-old'!$A$3:$DQ$20,$D597,FALSE))</f>
        <v>0</v>
      </c>
      <c r="N597" s="14"/>
      <c r="O597" s="14">
        <f>IF(ISNA(VLOOKUP(O$1,'offpeak-old'!$A$3:$DQ$20,$D597,FALSE)),0,VLOOKUP(O$1,'offpeak-old'!$A$3:$DQ$20,$D597,FALSE))</f>
        <v>0</v>
      </c>
      <c r="P597" s="14">
        <f>IF(ISNA(VLOOKUP(P$1,'offpeak-old'!$A$3:$DQ$20,$D597,FALSE)),0,VLOOKUP(P$1,'offpeak-old'!$A$3:$DQ$20,$D597,FALSE))</f>
        <v>0</v>
      </c>
      <c r="Q597" s="15">
        <f>IF(ISNA(VLOOKUP(Q$1,'offpeak-old'!$A$3:$DQ$20,$D597,FALSE)),0,VLOOKUP(Q$1,'offpeak-old'!$A$3:$DQ$20,$D597,FALSE))</f>
        <v>0</v>
      </c>
      <c r="R597" s="14">
        <f>IF(ISNA(VLOOKUP(R$1,'offpeak-old'!$A$3:$DQ$20,$D597,FALSE)),0,VLOOKUP(R$1,'offpeak-old'!$A$3:$DQ$20,$D597,FALSE))</f>
        <v>0</v>
      </c>
      <c r="S597" s="10"/>
    </row>
    <row r="598" spans="1:19" s="8" customFormat="1" x14ac:dyDescent="0.2">
      <c r="A598" s="8">
        <f t="shared" si="158"/>
        <v>2009</v>
      </c>
      <c r="B598" s="8">
        <f t="shared" si="157"/>
        <v>11</v>
      </c>
      <c r="C598" s="9">
        <f t="shared" si="159"/>
        <v>40118</v>
      </c>
      <c r="D598" s="8">
        <f t="shared" si="160"/>
        <v>103</v>
      </c>
      <c r="E598" s="14">
        <f>IF(ISNA(VLOOKUP(E$1,'offpeak-old'!$A$3:$DQ$20,$D598,FALSE)),0,VLOOKUP(E$1,'offpeak-old'!$A$3:$DQ$20,$D598,FALSE))</f>
        <v>0</v>
      </c>
      <c r="F598" s="14">
        <f>IF(ISNA(VLOOKUP(F$1,'offpeak-old'!$A$3:$DQ$20,$D598,FALSE)),0,VLOOKUP(F$1,'offpeak-old'!$A$3:$DQ$20,$D598,FALSE))</f>
        <v>0</v>
      </c>
      <c r="G598" s="14">
        <f>IF(ISNA(VLOOKUP(G$1,'offpeak-old'!$A$3:$DQ$20,$D598,FALSE)),0,VLOOKUP(G$1,'offpeak-old'!$A$3:$DQ$20,$D598,FALSE))</f>
        <v>0</v>
      </c>
      <c r="H598" s="14">
        <f>IF(ISNA(VLOOKUP(H$1,'offpeak-old'!$A$3:$DQ$20,$D598,FALSE)),0,VLOOKUP(H$1,'offpeak-old'!$A$3:$DQ$20,$D598,FALSE))</f>
        <v>-20000</v>
      </c>
      <c r="I598" s="14">
        <f>IF(ISNA(VLOOKUP(I$1,'offpeak-old'!$A$3:$DQ$20,$D598,FALSE)),0,VLOOKUP(I$1,'offpeak-old'!$A$3:$DQ$20,$D598,FALSE))</f>
        <v>0</v>
      </c>
      <c r="J598" s="14">
        <f>IF(ISNA(VLOOKUP(J$1,'offpeak-old'!$A$3:$DQ$20,$D598,FALSE)),0,VLOOKUP(J$1,'offpeak-old'!$A$3:$DQ$20,$D598,FALSE))</f>
        <v>0</v>
      </c>
      <c r="K598" s="14">
        <f>IF(ISNA(VLOOKUP(K$1,'offpeak-old'!$A$3:$DQ$20,$D598,FALSE)),0,VLOOKUP(K$1,'offpeak-old'!$A$3:$DQ$20,$D598,FALSE))</f>
        <v>0</v>
      </c>
      <c r="L598" s="14">
        <f>IF(ISNA(VLOOKUP(L$1,'offpeak-old'!$A$3:$DQ$20,$D598,FALSE)),0,VLOOKUP(L$1,'offpeak-old'!$A$3:$DQ$20,$D598,FALSE))</f>
        <v>0</v>
      </c>
      <c r="M598" s="14">
        <f>IF(ISNA(VLOOKUP(M$1,'offpeak-old'!$A$3:$DQ$20,$D598,FALSE)),0,VLOOKUP(M$1,'offpeak-old'!$A$3:$DQ$20,$D598,FALSE))</f>
        <v>0</v>
      </c>
      <c r="N598" s="14"/>
      <c r="O598" s="14">
        <f>IF(ISNA(VLOOKUP(O$1,'offpeak-old'!$A$3:$DQ$20,$D598,FALSE)),0,VLOOKUP(O$1,'offpeak-old'!$A$3:$DQ$20,$D598,FALSE))</f>
        <v>0</v>
      </c>
      <c r="P598" s="14">
        <f>IF(ISNA(VLOOKUP(P$1,'offpeak-old'!$A$3:$DQ$20,$D598,FALSE)),0,VLOOKUP(P$1,'offpeak-old'!$A$3:$DQ$20,$D598,FALSE))</f>
        <v>0</v>
      </c>
      <c r="Q598" s="15">
        <f>IF(ISNA(VLOOKUP(Q$1,'offpeak-old'!$A$3:$DQ$20,$D598,FALSE)),0,VLOOKUP(Q$1,'offpeak-old'!$A$3:$DQ$20,$D598,FALSE))</f>
        <v>0</v>
      </c>
      <c r="R598" s="14">
        <f>IF(ISNA(VLOOKUP(R$1,'offpeak-old'!$A$3:$DQ$20,$D598,FALSE)),0,VLOOKUP(R$1,'offpeak-old'!$A$3:$DQ$20,$D598,FALSE))</f>
        <v>0</v>
      </c>
      <c r="S598" s="10"/>
    </row>
    <row r="599" spans="1:19" s="8" customFormat="1" x14ac:dyDescent="0.2">
      <c r="A599" s="8">
        <f>IF(B598=12,A598+1,A598)</f>
        <v>2009</v>
      </c>
      <c r="B599" s="8">
        <f>IF(B598=12,1,B598+1)</f>
        <v>12</v>
      </c>
      <c r="C599" s="9">
        <f>DATE(A599,B599,1)</f>
        <v>40148</v>
      </c>
      <c r="D599" s="8">
        <f>D598+1</f>
        <v>104</v>
      </c>
      <c r="E599" s="14">
        <f>IF(ISNA(VLOOKUP(E$1,'offpeak-old'!$A$3:$DQ$20,$D599,FALSE)),0,VLOOKUP(E$1,'offpeak-old'!$A$3:$DQ$20,$D599,FALSE))</f>
        <v>0</v>
      </c>
      <c r="F599" s="14">
        <f>IF(ISNA(VLOOKUP(F$1,'offpeak-old'!$A$3:$DQ$20,$D599,FALSE)),0,VLOOKUP(F$1,'offpeak-old'!$A$3:$DQ$20,$D599,FALSE))</f>
        <v>0</v>
      </c>
      <c r="G599" s="14">
        <f>IF(ISNA(VLOOKUP(G$1,'offpeak-old'!$A$3:$DQ$20,$D599,FALSE)),0,VLOOKUP(G$1,'offpeak-old'!$A$3:$DQ$20,$D599,FALSE))</f>
        <v>0</v>
      </c>
      <c r="H599" s="14">
        <f>IF(ISNA(VLOOKUP(H$1,'offpeak-old'!$A$3:$DQ$20,$D599,FALSE)),0,VLOOKUP(H$1,'offpeak-old'!$A$3:$DQ$20,$D599,FALSE))</f>
        <v>-19600</v>
      </c>
      <c r="I599" s="14">
        <f>IF(ISNA(VLOOKUP(I$1,'offpeak-old'!$A$3:$DQ$20,$D599,FALSE)),0,VLOOKUP(I$1,'offpeak-old'!$A$3:$DQ$20,$D599,FALSE))</f>
        <v>0</v>
      </c>
      <c r="J599" s="14">
        <f>IF(ISNA(VLOOKUP(J$1,'offpeak-old'!$A$3:$DQ$20,$D599,FALSE)),0,VLOOKUP(J$1,'offpeak-old'!$A$3:$DQ$20,$D599,FALSE))</f>
        <v>0</v>
      </c>
      <c r="K599" s="14">
        <f>IF(ISNA(VLOOKUP(K$1,'offpeak-old'!$A$3:$DQ$20,$D599,FALSE)),0,VLOOKUP(K$1,'offpeak-old'!$A$3:$DQ$20,$D599,FALSE))</f>
        <v>0</v>
      </c>
      <c r="L599" s="14">
        <f>IF(ISNA(VLOOKUP(L$1,'offpeak-old'!$A$3:$DQ$20,$D599,FALSE)),0,VLOOKUP(L$1,'offpeak-old'!$A$3:$DQ$20,$D599,FALSE))</f>
        <v>0</v>
      </c>
      <c r="M599" s="14">
        <f>IF(ISNA(VLOOKUP(M$1,'offpeak-old'!$A$3:$DQ$20,$D599,FALSE)),0,VLOOKUP(M$1,'offpeak-old'!$A$3:$DQ$20,$D599,FALSE))</f>
        <v>0</v>
      </c>
      <c r="N599" s="14"/>
      <c r="O599" s="14">
        <f>IF(ISNA(VLOOKUP(O$1,'offpeak-old'!$A$3:$DQ$20,$D599,FALSE)),0,VLOOKUP(O$1,'offpeak-old'!$A$3:$DQ$20,$D599,FALSE))</f>
        <v>0</v>
      </c>
      <c r="P599" s="14">
        <f>IF(ISNA(VLOOKUP(P$1,'offpeak-old'!$A$3:$DQ$20,$D599,FALSE)),0,VLOOKUP(P$1,'offpeak-old'!$A$3:$DQ$20,$D599,FALSE))</f>
        <v>0</v>
      </c>
      <c r="Q599" s="15">
        <f>IF(ISNA(VLOOKUP(Q$1,'offpeak-old'!$A$3:$DQ$20,$D599,FALSE)),0,VLOOKUP(Q$1,'offpeak-old'!$A$3:$DQ$20,$D599,FALSE))</f>
        <v>0</v>
      </c>
      <c r="R599" s="14">
        <f>IF(ISNA(VLOOKUP(R$1,'offpeak-old'!$A$3:$DQ$20,$D599,FALSE)),0,VLOOKUP(R$1,'offpeak-old'!$A$3:$DQ$20,$D599,FALSE))</f>
        <v>0</v>
      </c>
      <c r="S599" s="10"/>
    </row>
    <row r="600" spans="1:19" s="8" customFormat="1" x14ac:dyDescent="0.2">
      <c r="A600" s="8">
        <f t="shared" ref="A600:A611" si="161">IF(B599=12,A599+1,A599)</f>
        <v>2010</v>
      </c>
      <c r="B600" s="8">
        <f t="shared" ref="B600:B611" si="162">IF(B599=12,1,B599+1)</f>
        <v>1</v>
      </c>
      <c r="C600" s="9">
        <f t="shared" ref="C600:C611" si="163">DATE(A600,B600,1)</f>
        <v>40179</v>
      </c>
      <c r="D600" s="8">
        <f t="shared" ref="D600:D611" si="164">D599+1</f>
        <v>105</v>
      </c>
      <c r="E600" s="14">
        <f>IF(ISNA(VLOOKUP(E$1,'offpeak-old'!$A$3:$DQ$20,$D600,FALSE)),0,VLOOKUP(E$1,'offpeak-old'!$A$3:$DQ$20,$D600,FALSE))</f>
        <v>0</v>
      </c>
      <c r="F600" s="14">
        <f>IF(ISNA(VLOOKUP(F$1,'offpeak-old'!$A$3:$DQ$20,$D600,FALSE)),0,VLOOKUP(F$1,'offpeak-old'!$A$3:$DQ$20,$D600,FALSE))</f>
        <v>0</v>
      </c>
      <c r="G600" s="14">
        <f>IF(ISNA(VLOOKUP(G$1,'offpeak-old'!$A$3:$DQ$20,$D600,FALSE)),0,VLOOKUP(G$1,'offpeak-old'!$A$3:$DQ$20,$D600,FALSE))</f>
        <v>0</v>
      </c>
      <c r="H600" s="14">
        <f>IF(ISNA(VLOOKUP(H$1,'offpeak-old'!$A$3:$DQ$20,$D600,FALSE)),0,VLOOKUP(H$1,'offpeak-old'!$A$3:$DQ$20,$D600,FALSE))</f>
        <v>-21200</v>
      </c>
      <c r="I600" s="14">
        <f>IF(ISNA(VLOOKUP(I$1,'offpeak-old'!$A$3:$DQ$20,$D600,FALSE)),0,VLOOKUP(I$1,'offpeak-old'!$A$3:$DQ$20,$D600,FALSE))</f>
        <v>0</v>
      </c>
      <c r="J600" s="14">
        <f>IF(ISNA(VLOOKUP(J$1,'offpeak-old'!$A$3:$DQ$20,$D600,FALSE)),0,VLOOKUP(J$1,'offpeak-old'!$A$3:$DQ$20,$D600,FALSE))</f>
        <v>0</v>
      </c>
      <c r="K600" s="14">
        <f>IF(ISNA(VLOOKUP(K$1,'offpeak-old'!$A$3:$DQ$20,$D600,FALSE)),0,VLOOKUP(K$1,'offpeak-old'!$A$3:$DQ$20,$D600,FALSE))</f>
        <v>0</v>
      </c>
      <c r="L600" s="14">
        <f>IF(ISNA(VLOOKUP(L$1,'offpeak-old'!$A$3:$DQ$20,$D600,FALSE)),0,VLOOKUP(L$1,'offpeak-old'!$A$3:$DQ$20,$D600,FALSE))</f>
        <v>0</v>
      </c>
      <c r="M600" s="14">
        <f>IF(ISNA(VLOOKUP(M$1,'offpeak-old'!$A$3:$DQ$20,$D600,FALSE)),0,VLOOKUP(M$1,'offpeak-old'!$A$3:$DQ$20,$D600,FALSE))</f>
        <v>0</v>
      </c>
      <c r="N600" s="14"/>
      <c r="O600" s="14">
        <f>IF(ISNA(VLOOKUP(O$1,'offpeak-old'!$A$3:$DQ$20,$D600,FALSE)),0,VLOOKUP(O$1,'offpeak-old'!$A$3:$DQ$20,$D600,FALSE))</f>
        <v>0</v>
      </c>
      <c r="P600" s="14">
        <f>IF(ISNA(VLOOKUP(P$1,'offpeak-old'!$A$3:$DQ$20,$D600,FALSE)),0,VLOOKUP(P$1,'offpeak-old'!$A$3:$DQ$20,$D600,FALSE))</f>
        <v>0</v>
      </c>
      <c r="Q600" s="15">
        <f>IF(ISNA(VLOOKUP(Q$1,'offpeak-old'!$A$3:$DQ$20,$D600,FALSE)),0,VLOOKUP(Q$1,'offpeak-old'!$A$3:$DQ$20,$D600,FALSE))</f>
        <v>0</v>
      </c>
      <c r="R600" s="14">
        <f>IF(ISNA(VLOOKUP(R$1,'offpeak-old'!$A$3:$DQ$20,$D600,FALSE)),0,VLOOKUP(R$1,'offpeak-old'!$A$3:$DQ$20,$D600,FALSE))</f>
        <v>0</v>
      </c>
      <c r="S600" s="10"/>
    </row>
    <row r="601" spans="1:19" s="8" customFormat="1" x14ac:dyDescent="0.2">
      <c r="A601" s="8">
        <f t="shared" si="161"/>
        <v>2010</v>
      </c>
      <c r="B601" s="8">
        <f t="shared" si="162"/>
        <v>2</v>
      </c>
      <c r="C601" s="9">
        <f t="shared" si="163"/>
        <v>40210</v>
      </c>
      <c r="D601" s="8">
        <f t="shared" si="164"/>
        <v>106</v>
      </c>
      <c r="E601" s="14">
        <f>IF(ISNA(VLOOKUP(E$1,'offpeak-old'!$A$3:$DQ$20,$D601,FALSE)),0,VLOOKUP(E$1,'offpeak-old'!$A$3:$DQ$20,$D601,FALSE))</f>
        <v>0</v>
      </c>
      <c r="F601" s="14">
        <f>IF(ISNA(VLOOKUP(F$1,'offpeak-old'!$A$3:$DQ$20,$D601,FALSE)),0,VLOOKUP(F$1,'offpeak-old'!$A$3:$DQ$20,$D601,FALSE))</f>
        <v>0</v>
      </c>
      <c r="G601" s="14">
        <f>IF(ISNA(VLOOKUP(G$1,'offpeak-old'!$A$3:$DQ$20,$D601,FALSE)),0,VLOOKUP(G$1,'offpeak-old'!$A$3:$DQ$20,$D601,FALSE))</f>
        <v>0</v>
      </c>
      <c r="H601" s="14">
        <f>IF(ISNA(VLOOKUP(H$1,'offpeak-old'!$A$3:$DQ$20,$D601,FALSE)),0,VLOOKUP(H$1,'offpeak-old'!$A$3:$DQ$20,$D601,FALSE))</f>
        <v>-17600</v>
      </c>
      <c r="I601" s="14">
        <f>IF(ISNA(VLOOKUP(I$1,'offpeak-old'!$A$3:$DQ$20,$D601,FALSE)),0,VLOOKUP(I$1,'offpeak-old'!$A$3:$DQ$20,$D601,FALSE))</f>
        <v>0</v>
      </c>
      <c r="J601" s="14">
        <f>IF(ISNA(VLOOKUP(J$1,'offpeak-old'!$A$3:$DQ$20,$D601,FALSE)),0,VLOOKUP(J$1,'offpeak-old'!$A$3:$DQ$20,$D601,FALSE))</f>
        <v>0</v>
      </c>
      <c r="K601" s="14">
        <f>IF(ISNA(VLOOKUP(K$1,'offpeak-old'!$A$3:$DQ$20,$D601,FALSE)),0,VLOOKUP(K$1,'offpeak-old'!$A$3:$DQ$20,$D601,FALSE))</f>
        <v>0</v>
      </c>
      <c r="L601" s="14">
        <f>IF(ISNA(VLOOKUP(L$1,'offpeak-old'!$A$3:$DQ$20,$D601,FALSE)),0,VLOOKUP(L$1,'offpeak-old'!$A$3:$DQ$20,$D601,FALSE))</f>
        <v>0</v>
      </c>
      <c r="M601" s="14">
        <f>IF(ISNA(VLOOKUP(M$1,'offpeak-old'!$A$3:$DQ$20,$D601,FALSE)),0,VLOOKUP(M$1,'offpeak-old'!$A$3:$DQ$20,$D601,FALSE))</f>
        <v>0</v>
      </c>
      <c r="N601" s="14"/>
      <c r="O601" s="14">
        <f>IF(ISNA(VLOOKUP(O$1,'offpeak-old'!$A$3:$DQ$20,$D601,FALSE)),0,VLOOKUP(O$1,'offpeak-old'!$A$3:$DQ$20,$D601,FALSE))</f>
        <v>0</v>
      </c>
      <c r="P601" s="14">
        <f>IF(ISNA(VLOOKUP(P$1,'offpeak-old'!$A$3:$DQ$20,$D601,FALSE)),0,VLOOKUP(P$1,'offpeak-old'!$A$3:$DQ$20,$D601,FALSE))</f>
        <v>0</v>
      </c>
      <c r="Q601" s="15">
        <f>IF(ISNA(VLOOKUP(Q$1,'offpeak-old'!$A$3:$DQ$20,$D601,FALSE)),0,VLOOKUP(Q$1,'offpeak-old'!$A$3:$DQ$20,$D601,FALSE))</f>
        <v>0</v>
      </c>
      <c r="R601" s="14">
        <f>IF(ISNA(VLOOKUP(R$1,'offpeak-old'!$A$3:$DQ$20,$D601,FALSE)),0,VLOOKUP(R$1,'offpeak-old'!$A$3:$DQ$20,$D601,FALSE))</f>
        <v>0</v>
      </c>
      <c r="S601" s="10"/>
    </row>
    <row r="602" spans="1:19" s="8" customFormat="1" x14ac:dyDescent="0.2">
      <c r="A602" s="8">
        <f t="shared" si="161"/>
        <v>2010</v>
      </c>
      <c r="B602" s="8">
        <f t="shared" si="162"/>
        <v>3</v>
      </c>
      <c r="C602" s="9">
        <f t="shared" si="163"/>
        <v>40238</v>
      </c>
      <c r="D602" s="8">
        <f t="shared" si="164"/>
        <v>107</v>
      </c>
      <c r="E602" s="14">
        <f>IF(ISNA(VLOOKUP(E$1,'offpeak-old'!$A$3:$DQ$20,$D602,FALSE)),0,VLOOKUP(E$1,'offpeak-old'!$A$3:$DQ$20,$D602,FALSE))</f>
        <v>0</v>
      </c>
      <c r="F602" s="14">
        <f>IF(ISNA(VLOOKUP(F$1,'offpeak-old'!$A$3:$DQ$20,$D602,FALSE)),0,VLOOKUP(F$1,'offpeak-old'!$A$3:$DQ$20,$D602,FALSE))</f>
        <v>0</v>
      </c>
      <c r="G602" s="14">
        <f>IF(ISNA(VLOOKUP(G$1,'offpeak-old'!$A$3:$DQ$20,$D602,FALSE)),0,VLOOKUP(G$1,'offpeak-old'!$A$3:$DQ$20,$D602,FALSE))</f>
        <v>0</v>
      </c>
      <c r="H602" s="14">
        <f>IF(ISNA(VLOOKUP(H$1,'offpeak-old'!$A$3:$DQ$20,$D602,FALSE)),0,VLOOKUP(H$1,'offpeak-old'!$A$3:$DQ$20,$D602,FALSE))</f>
        <v>-18800</v>
      </c>
      <c r="I602" s="14">
        <f>IF(ISNA(VLOOKUP(I$1,'offpeak-old'!$A$3:$DQ$20,$D602,FALSE)),0,VLOOKUP(I$1,'offpeak-old'!$A$3:$DQ$20,$D602,FALSE))</f>
        <v>0</v>
      </c>
      <c r="J602" s="14">
        <f>IF(ISNA(VLOOKUP(J$1,'offpeak-old'!$A$3:$DQ$20,$D602,FALSE)),0,VLOOKUP(J$1,'offpeak-old'!$A$3:$DQ$20,$D602,FALSE))</f>
        <v>0</v>
      </c>
      <c r="K602" s="14">
        <f>IF(ISNA(VLOOKUP(K$1,'offpeak-old'!$A$3:$DQ$20,$D602,FALSE)),0,VLOOKUP(K$1,'offpeak-old'!$A$3:$DQ$20,$D602,FALSE))</f>
        <v>0</v>
      </c>
      <c r="L602" s="14">
        <f>IF(ISNA(VLOOKUP(L$1,'offpeak-old'!$A$3:$DQ$20,$D602,FALSE)),0,VLOOKUP(L$1,'offpeak-old'!$A$3:$DQ$20,$D602,FALSE))</f>
        <v>0</v>
      </c>
      <c r="M602" s="14">
        <f>IF(ISNA(VLOOKUP(M$1,'offpeak-old'!$A$3:$DQ$20,$D602,FALSE)),0,VLOOKUP(M$1,'offpeak-old'!$A$3:$DQ$20,$D602,FALSE))</f>
        <v>0</v>
      </c>
      <c r="N602" s="14"/>
      <c r="O602" s="14">
        <f>IF(ISNA(VLOOKUP(O$1,'offpeak-old'!$A$3:$DQ$20,$D602,FALSE)),0,VLOOKUP(O$1,'offpeak-old'!$A$3:$DQ$20,$D602,FALSE))</f>
        <v>0</v>
      </c>
      <c r="P602" s="14">
        <f>IF(ISNA(VLOOKUP(P$1,'offpeak-old'!$A$3:$DQ$20,$D602,FALSE)),0,VLOOKUP(P$1,'offpeak-old'!$A$3:$DQ$20,$D602,FALSE))</f>
        <v>0</v>
      </c>
      <c r="Q602" s="15">
        <f>IF(ISNA(VLOOKUP(Q$1,'offpeak-old'!$A$3:$DQ$20,$D602,FALSE)),0,VLOOKUP(Q$1,'offpeak-old'!$A$3:$DQ$20,$D602,FALSE))</f>
        <v>0</v>
      </c>
      <c r="R602" s="14">
        <f>IF(ISNA(VLOOKUP(R$1,'offpeak-old'!$A$3:$DQ$20,$D602,FALSE)),0,VLOOKUP(R$1,'offpeak-old'!$A$3:$DQ$20,$D602,FALSE))</f>
        <v>0</v>
      </c>
      <c r="S602" s="10"/>
    </row>
    <row r="603" spans="1:19" s="8" customFormat="1" x14ac:dyDescent="0.2">
      <c r="A603" s="8">
        <f t="shared" si="161"/>
        <v>2010</v>
      </c>
      <c r="B603" s="8">
        <f t="shared" si="162"/>
        <v>4</v>
      </c>
      <c r="C603" s="9">
        <f t="shared" si="163"/>
        <v>40269</v>
      </c>
      <c r="D603" s="8">
        <f t="shared" si="164"/>
        <v>108</v>
      </c>
      <c r="E603" s="14">
        <f>IF(ISNA(VLOOKUP(E$1,'offpeak-old'!$A$3:$DQ$20,$D603,FALSE)),0,VLOOKUP(E$1,'offpeak-old'!$A$3:$DQ$20,$D603,FALSE))</f>
        <v>0</v>
      </c>
      <c r="F603" s="14">
        <f>IF(ISNA(VLOOKUP(F$1,'offpeak-old'!$A$3:$DQ$20,$D603,FALSE)),0,VLOOKUP(F$1,'offpeak-old'!$A$3:$DQ$20,$D603,FALSE))</f>
        <v>0</v>
      </c>
      <c r="G603" s="14">
        <f>IF(ISNA(VLOOKUP(G$1,'offpeak-old'!$A$3:$DQ$20,$D603,FALSE)),0,VLOOKUP(G$1,'offpeak-old'!$A$3:$DQ$20,$D603,FALSE))</f>
        <v>0</v>
      </c>
      <c r="H603" s="14">
        <f>IF(ISNA(VLOOKUP(H$1,'offpeak-old'!$A$3:$DQ$20,$D603,FALSE)),0,VLOOKUP(H$1,'offpeak-old'!$A$3:$DQ$20,$D603,FALSE))</f>
        <v>-18350</v>
      </c>
      <c r="I603" s="14">
        <f>IF(ISNA(VLOOKUP(I$1,'offpeak-old'!$A$3:$DQ$20,$D603,FALSE)),0,VLOOKUP(I$1,'offpeak-old'!$A$3:$DQ$20,$D603,FALSE))</f>
        <v>0</v>
      </c>
      <c r="J603" s="14">
        <f>IF(ISNA(VLOOKUP(J$1,'offpeak-old'!$A$3:$DQ$20,$D603,FALSE)),0,VLOOKUP(J$1,'offpeak-old'!$A$3:$DQ$20,$D603,FALSE))</f>
        <v>0</v>
      </c>
      <c r="K603" s="14">
        <f>IF(ISNA(VLOOKUP(K$1,'offpeak-old'!$A$3:$DQ$20,$D603,FALSE)),0,VLOOKUP(K$1,'offpeak-old'!$A$3:$DQ$20,$D603,FALSE))</f>
        <v>0</v>
      </c>
      <c r="L603" s="14">
        <f>IF(ISNA(VLOOKUP(L$1,'offpeak-old'!$A$3:$DQ$20,$D603,FALSE)),0,VLOOKUP(L$1,'offpeak-old'!$A$3:$DQ$20,$D603,FALSE))</f>
        <v>0</v>
      </c>
      <c r="M603" s="14">
        <f>IF(ISNA(VLOOKUP(M$1,'offpeak-old'!$A$3:$DQ$20,$D603,FALSE)),0,VLOOKUP(M$1,'offpeak-old'!$A$3:$DQ$20,$D603,FALSE))</f>
        <v>0</v>
      </c>
      <c r="N603" s="14"/>
      <c r="O603" s="14">
        <f>IF(ISNA(VLOOKUP(O$1,'offpeak-old'!$A$3:$DQ$20,$D603,FALSE)),0,VLOOKUP(O$1,'offpeak-old'!$A$3:$DQ$20,$D603,FALSE))</f>
        <v>0</v>
      </c>
      <c r="P603" s="14">
        <f>IF(ISNA(VLOOKUP(P$1,'offpeak-old'!$A$3:$DQ$20,$D603,FALSE)),0,VLOOKUP(P$1,'offpeak-old'!$A$3:$DQ$20,$D603,FALSE))</f>
        <v>0</v>
      </c>
      <c r="Q603" s="15">
        <f>IF(ISNA(VLOOKUP(Q$1,'offpeak-old'!$A$3:$DQ$20,$D603,FALSE)),0,VLOOKUP(Q$1,'offpeak-old'!$A$3:$DQ$20,$D603,FALSE))</f>
        <v>0</v>
      </c>
      <c r="R603" s="14">
        <f>IF(ISNA(VLOOKUP(R$1,'offpeak-old'!$A$3:$DQ$20,$D603,FALSE)),0,VLOOKUP(R$1,'offpeak-old'!$A$3:$DQ$20,$D603,FALSE))</f>
        <v>0</v>
      </c>
      <c r="S603" s="10"/>
    </row>
    <row r="604" spans="1:19" s="8" customFormat="1" x14ac:dyDescent="0.2">
      <c r="A604" s="8">
        <f t="shared" si="161"/>
        <v>2010</v>
      </c>
      <c r="B604" s="8">
        <f t="shared" si="162"/>
        <v>5</v>
      </c>
      <c r="C604" s="9">
        <f t="shared" si="163"/>
        <v>40299</v>
      </c>
      <c r="D604" s="8">
        <f t="shared" si="164"/>
        <v>109</v>
      </c>
      <c r="E604" s="14">
        <f>IF(ISNA(VLOOKUP(E$1,'offpeak-old'!$A$3:$DQ$20,$D604,FALSE)),0,VLOOKUP(E$1,'offpeak-old'!$A$3:$DQ$20,$D604,FALSE))</f>
        <v>0</v>
      </c>
      <c r="F604" s="14">
        <f>IF(ISNA(VLOOKUP(F$1,'offpeak-old'!$A$3:$DQ$20,$D604,FALSE)),0,VLOOKUP(F$1,'offpeak-old'!$A$3:$DQ$20,$D604,FALSE))</f>
        <v>0</v>
      </c>
      <c r="G604" s="14">
        <f>IF(ISNA(VLOOKUP(G$1,'offpeak-old'!$A$3:$DQ$20,$D604,FALSE)),0,VLOOKUP(G$1,'offpeak-old'!$A$3:$DQ$20,$D604,FALSE))</f>
        <v>0</v>
      </c>
      <c r="H604" s="14">
        <f>IF(ISNA(VLOOKUP(H$1,'offpeak-old'!$A$3:$DQ$20,$D604,FALSE)),0,VLOOKUP(H$1,'offpeak-old'!$A$3:$DQ$20,$D604,FALSE))</f>
        <v>-21200</v>
      </c>
      <c r="I604" s="14">
        <f>IF(ISNA(VLOOKUP(I$1,'offpeak-old'!$A$3:$DQ$20,$D604,FALSE)),0,VLOOKUP(I$1,'offpeak-old'!$A$3:$DQ$20,$D604,FALSE))</f>
        <v>0</v>
      </c>
      <c r="J604" s="14">
        <f>IF(ISNA(VLOOKUP(J$1,'offpeak-old'!$A$3:$DQ$20,$D604,FALSE)),0,VLOOKUP(J$1,'offpeak-old'!$A$3:$DQ$20,$D604,FALSE))</f>
        <v>0</v>
      </c>
      <c r="K604" s="14">
        <f>IF(ISNA(VLOOKUP(K$1,'offpeak-old'!$A$3:$DQ$20,$D604,FALSE)),0,VLOOKUP(K$1,'offpeak-old'!$A$3:$DQ$20,$D604,FALSE))</f>
        <v>0</v>
      </c>
      <c r="L604" s="14">
        <f>IF(ISNA(VLOOKUP(L$1,'offpeak-old'!$A$3:$DQ$20,$D604,FALSE)),0,VLOOKUP(L$1,'offpeak-old'!$A$3:$DQ$20,$D604,FALSE))</f>
        <v>0</v>
      </c>
      <c r="M604" s="14">
        <f>IF(ISNA(VLOOKUP(M$1,'offpeak-old'!$A$3:$DQ$20,$D604,FALSE)),0,VLOOKUP(M$1,'offpeak-old'!$A$3:$DQ$20,$D604,FALSE))</f>
        <v>0</v>
      </c>
      <c r="N604" s="14"/>
      <c r="O604" s="14">
        <f>IF(ISNA(VLOOKUP(O$1,'offpeak-old'!$A$3:$DQ$20,$D604,FALSE)),0,VLOOKUP(O$1,'offpeak-old'!$A$3:$DQ$20,$D604,FALSE))</f>
        <v>0</v>
      </c>
      <c r="P604" s="14">
        <f>IF(ISNA(VLOOKUP(P$1,'offpeak-old'!$A$3:$DQ$20,$D604,FALSE)),0,VLOOKUP(P$1,'offpeak-old'!$A$3:$DQ$20,$D604,FALSE))</f>
        <v>0</v>
      </c>
      <c r="Q604" s="15">
        <f>IF(ISNA(VLOOKUP(Q$1,'offpeak-old'!$A$3:$DQ$20,$D604,FALSE)),0,VLOOKUP(Q$1,'offpeak-old'!$A$3:$DQ$20,$D604,FALSE))</f>
        <v>0</v>
      </c>
      <c r="R604" s="14">
        <f>IF(ISNA(VLOOKUP(R$1,'offpeak-old'!$A$3:$DQ$20,$D604,FALSE)),0,VLOOKUP(R$1,'offpeak-old'!$A$3:$DQ$20,$D604,FALSE))</f>
        <v>0</v>
      </c>
      <c r="S604" s="10"/>
    </row>
    <row r="605" spans="1:19" s="8" customFormat="1" x14ac:dyDescent="0.2">
      <c r="A605" s="8">
        <f t="shared" si="161"/>
        <v>2010</v>
      </c>
      <c r="B605" s="8">
        <f t="shared" si="162"/>
        <v>6</v>
      </c>
      <c r="C605" s="9">
        <f t="shared" si="163"/>
        <v>40330</v>
      </c>
      <c r="D605" s="8">
        <f t="shared" si="164"/>
        <v>110</v>
      </c>
      <c r="E605" s="14">
        <f>IF(ISNA(VLOOKUP(E$1,'offpeak-old'!$A$3:$DQ$20,$D605,FALSE)),0,VLOOKUP(E$1,'offpeak-old'!$A$3:$DQ$20,$D605,FALSE))</f>
        <v>0</v>
      </c>
      <c r="F605" s="14">
        <f>IF(ISNA(VLOOKUP(F$1,'offpeak-old'!$A$3:$DQ$20,$D605,FALSE)),0,VLOOKUP(F$1,'offpeak-old'!$A$3:$DQ$20,$D605,FALSE))</f>
        <v>0</v>
      </c>
      <c r="G605" s="14">
        <f>IF(ISNA(VLOOKUP(G$1,'offpeak-old'!$A$3:$DQ$20,$D605,FALSE)),0,VLOOKUP(G$1,'offpeak-old'!$A$3:$DQ$20,$D605,FALSE))</f>
        <v>0</v>
      </c>
      <c r="H605" s="14">
        <f>IF(ISNA(VLOOKUP(H$1,'offpeak-old'!$A$3:$DQ$20,$D605,FALSE)),0,VLOOKUP(H$1,'offpeak-old'!$A$3:$DQ$20,$D605,FALSE))</f>
        <v>-18400</v>
      </c>
      <c r="I605" s="14">
        <f>IF(ISNA(VLOOKUP(I$1,'offpeak-old'!$A$3:$DQ$20,$D605,FALSE)),0,VLOOKUP(I$1,'offpeak-old'!$A$3:$DQ$20,$D605,FALSE))</f>
        <v>0</v>
      </c>
      <c r="J605" s="14">
        <f>IF(ISNA(VLOOKUP(J$1,'offpeak-old'!$A$3:$DQ$20,$D605,FALSE)),0,VLOOKUP(J$1,'offpeak-old'!$A$3:$DQ$20,$D605,FALSE))</f>
        <v>0</v>
      </c>
      <c r="K605" s="14">
        <f>IF(ISNA(VLOOKUP(K$1,'offpeak-old'!$A$3:$DQ$20,$D605,FALSE)),0,VLOOKUP(K$1,'offpeak-old'!$A$3:$DQ$20,$D605,FALSE))</f>
        <v>0</v>
      </c>
      <c r="L605" s="14">
        <f>IF(ISNA(VLOOKUP(L$1,'offpeak-old'!$A$3:$DQ$20,$D605,FALSE)),0,VLOOKUP(L$1,'offpeak-old'!$A$3:$DQ$20,$D605,FALSE))</f>
        <v>0</v>
      </c>
      <c r="M605" s="14">
        <f>IF(ISNA(VLOOKUP(M$1,'offpeak-old'!$A$3:$DQ$20,$D605,FALSE)),0,VLOOKUP(M$1,'offpeak-old'!$A$3:$DQ$20,$D605,FALSE))</f>
        <v>0</v>
      </c>
      <c r="N605" s="14"/>
      <c r="O605" s="14">
        <f>IF(ISNA(VLOOKUP(O$1,'offpeak-old'!$A$3:$DQ$20,$D605,FALSE)),0,VLOOKUP(O$1,'offpeak-old'!$A$3:$DQ$20,$D605,FALSE))</f>
        <v>0</v>
      </c>
      <c r="P605" s="14">
        <f>IF(ISNA(VLOOKUP(P$1,'offpeak-old'!$A$3:$DQ$20,$D605,FALSE)),0,VLOOKUP(P$1,'offpeak-old'!$A$3:$DQ$20,$D605,FALSE))</f>
        <v>0</v>
      </c>
      <c r="Q605" s="15">
        <f>IF(ISNA(VLOOKUP(Q$1,'offpeak-old'!$A$3:$DQ$20,$D605,FALSE)),0,VLOOKUP(Q$1,'offpeak-old'!$A$3:$DQ$20,$D605,FALSE))</f>
        <v>0</v>
      </c>
      <c r="R605" s="14">
        <f>IF(ISNA(VLOOKUP(R$1,'offpeak-old'!$A$3:$DQ$20,$D605,FALSE)),0,VLOOKUP(R$1,'offpeak-old'!$A$3:$DQ$20,$D605,FALSE))</f>
        <v>0</v>
      </c>
      <c r="S605" s="10"/>
    </row>
    <row r="606" spans="1:19" s="8" customFormat="1" x14ac:dyDescent="0.2">
      <c r="A606" s="8">
        <f t="shared" si="161"/>
        <v>2010</v>
      </c>
      <c r="B606" s="8">
        <f t="shared" si="162"/>
        <v>7</v>
      </c>
      <c r="C606" s="9">
        <f t="shared" si="163"/>
        <v>40360</v>
      </c>
      <c r="D606" s="8">
        <f t="shared" si="164"/>
        <v>111</v>
      </c>
      <c r="E606" s="14">
        <f>IF(ISNA(VLOOKUP(E$1,'offpeak-old'!$A$3:$DQ$20,$D606,FALSE)),0,VLOOKUP(E$1,'offpeak-old'!$A$3:$DQ$20,$D606,FALSE))</f>
        <v>0</v>
      </c>
      <c r="F606" s="14">
        <f>IF(ISNA(VLOOKUP(F$1,'offpeak-old'!$A$3:$DQ$20,$D606,FALSE)),0,VLOOKUP(F$1,'offpeak-old'!$A$3:$DQ$20,$D606,FALSE))</f>
        <v>0</v>
      </c>
      <c r="G606" s="14">
        <f>IF(ISNA(VLOOKUP(G$1,'offpeak-old'!$A$3:$DQ$20,$D606,FALSE)),0,VLOOKUP(G$1,'offpeak-old'!$A$3:$DQ$20,$D606,FALSE))</f>
        <v>0</v>
      </c>
      <c r="H606" s="14">
        <f>IF(ISNA(VLOOKUP(H$1,'offpeak-old'!$A$3:$DQ$20,$D606,FALSE)),0,VLOOKUP(H$1,'offpeak-old'!$A$3:$DQ$20,$D606,FALSE))</f>
        <v>-20400</v>
      </c>
      <c r="I606" s="14">
        <f>IF(ISNA(VLOOKUP(I$1,'offpeak-old'!$A$3:$DQ$20,$D606,FALSE)),0,VLOOKUP(I$1,'offpeak-old'!$A$3:$DQ$20,$D606,FALSE))</f>
        <v>0</v>
      </c>
      <c r="J606" s="14">
        <f>IF(ISNA(VLOOKUP(J$1,'offpeak-old'!$A$3:$DQ$20,$D606,FALSE)),0,VLOOKUP(J$1,'offpeak-old'!$A$3:$DQ$20,$D606,FALSE))</f>
        <v>0</v>
      </c>
      <c r="K606" s="14">
        <f>IF(ISNA(VLOOKUP(K$1,'offpeak-old'!$A$3:$DQ$20,$D606,FALSE)),0,VLOOKUP(K$1,'offpeak-old'!$A$3:$DQ$20,$D606,FALSE))</f>
        <v>0</v>
      </c>
      <c r="L606" s="14">
        <f>IF(ISNA(VLOOKUP(L$1,'offpeak-old'!$A$3:$DQ$20,$D606,FALSE)),0,VLOOKUP(L$1,'offpeak-old'!$A$3:$DQ$20,$D606,FALSE))</f>
        <v>0</v>
      </c>
      <c r="M606" s="14">
        <f>IF(ISNA(VLOOKUP(M$1,'offpeak-old'!$A$3:$DQ$20,$D606,FALSE)),0,VLOOKUP(M$1,'offpeak-old'!$A$3:$DQ$20,$D606,FALSE))</f>
        <v>0</v>
      </c>
      <c r="N606" s="14"/>
      <c r="O606" s="14">
        <f>IF(ISNA(VLOOKUP(O$1,'offpeak-old'!$A$3:$DQ$20,$D606,FALSE)),0,VLOOKUP(O$1,'offpeak-old'!$A$3:$DQ$20,$D606,FALSE))</f>
        <v>0</v>
      </c>
      <c r="P606" s="14">
        <f>IF(ISNA(VLOOKUP(P$1,'offpeak-old'!$A$3:$DQ$20,$D606,FALSE)),0,VLOOKUP(P$1,'offpeak-old'!$A$3:$DQ$20,$D606,FALSE))</f>
        <v>0</v>
      </c>
      <c r="Q606" s="15">
        <f>IF(ISNA(VLOOKUP(Q$1,'offpeak-old'!$A$3:$DQ$20,$D606,FALSE)),0,VLOOKUP(Q$1,'offpeak-old'!$A$3:$DQ$20,$D606,FALSE))</f>
        <v>0</v>
      </c>
      <c r="R606" s="14">
        <f>IF(ISNA(VLOOKUP(R$1,'offpeak-old'!$A$3:$DQ$20,$D606,FALSE)),0,VLOOKUP(R$1,'offpeak-old'!$A$3:$DQ$20,$D606,FALSE))</f>
        <v>0</v>
      </c>
      <c r="S606" s="10"/>
    </row>
    <row r="607" spans="1:19" s="8" customFormat="1" x14ac:dyDescent="0.2">
      <c r="A607" s="8">
        <f t="shared" si="161"/>
        <v>2010</v>
      </c>
      <c r="B607" s="8">
        <f t="shared" si="162"/>
        <v>8</v>
      </c>
      <c r="C607" s="9">
        <f t="shared" si="163"/>
        <v>40391</v>
      </c>
      <c r="D607" s="8">
        <f t="shared" si="164"/>
        <v>112</v>
      </c>
      <c r="E607" s="14">
        <f>IF(ISNA(VLOOKUP(E$1,'offpeak-old'!$A$3:$DQ$20,$D607,FALSE)),0,VLOOKUP(E$1,'offpeak-old'!$A$3:$DQ$20,$D607,FALSE))</f>
        <v>0</v>
      </c>
      <c r="F607" s="14">
        <f>IF(ISNA(VLOOKUP(F$1,'offpeak-old'!$A$3:$DQ$20,$D607,FALSE)),0,VLOOKUP(F$1,'offpeak-old'!$A$3:$DQ$20,$D607,FALSE))</f>
        <v>0</v>
      </c>
      <c r="G607" s="14">
        <f>IF(ISNA(VLOOKUP(G$1,'offpeak-old'!$A$3:$DQ$20,$D607,FALSE)),0,VLOOKUP(G$1,'offpeak-old'!$A$3:$DQ$20,$D607,FALSE))</f>
        <v>0</v>
      </c>
      <c r="H607" s="14">
        <f>IF(ISNA(VLOOKUP(H$1,'offpeak-old'!$A$3:$DQ$20,$D607,FALSE)),0,VLOOKUP(H$1,'offpeak-old'!$A$3:$DQ$20,$D607,FALSE))</f>
        <v>-19600</v>
      </c>
      <c r="I607" s="14">
        <f>IF(ISNA(VLOOKUP(I$1,'offpeak-old'!$A$3:$DQ$20,$D607,FALSE)),0,VLOOKUP(I$1,'offpeak-old'!$A$3:$DQ$20,$D607,FALSE))</f>
        <v>0</v>
      </c>
      <c r="J607" s="14">
        <f>IF(ISNA(VLOOKUP(J$1,'offpeak-old'!$A$3:$DQ$20,$D607,FALSE)),0,VLOOKUP(J$1,'offpeak-old'!$A$3:$DQ$20,$D607,FALSE))</f>
        <v>0</v>
      </c>
      <c r="K607" s="14">
        <f>IF(ISNA(VLOOKUP(K$1,'offpeak-old'!$A$3:$DQ$20,$D607,FALSE)),0,VLOOKUP(K$1,'offpeak-old'!$A$3:$DQ$20,$D607,FALSE))</f>
        <v>0</v>
      </c>
      <c r="L607" s="14">
        <f>IF(ISNA(VLOOKUP(L$1,'offpeak-old'!$A$3:$DQ$20,$D607,FALSE)),0,VLOOKUP(L$1,'offpeak-old'!$A$3:$DQ$20,$D607,FALSE))</f>
        <v>0</v>
      </c>
      <c r="M607" s="14">
        <f>IF(ISNA(VLOOKUP(M$1,'offpeak-old'!$A$3:$DQ$20,$D607,FALSE)),0,VLOOKUP(M$1,'offpeak-old'!$A$3:$DQ$20,$D607,FALSE))</f>
        <v>0</v>
      </c>
      <c r="N607" s="14"/>
      <c r="O607" s="14">
        <f>IF(ISNA(VLOOKUP(O$1,'offpeak-old'!$A$3:$DQ$20,$D607,FALSE)),0,VLOOKUP(O$1,'offpeak-old'!$A$3:$DQ$20,$D607,FALSE))</f>
        <v>0</v>
      </c>
      <c r="P607" s="14">
        <f>IF(ISNA(VLOOKUP(P$1,'offpeak-old'!$A$3:$DQ$20,$D607,FALSE)),0,VLOOKUP(P$1,'offpeak-old'!$A$3:$DQ$20,$D607,FALSE))</f>
        <v>0</v>
      </c>
      <c r="Q607" s="15">
        <f>IF(ISNA(VLOOKUP(Q$1,'offpeak-old'!$A$3:$DQ$20,$D607,FALSE)),0,VLOOKUP(Q$1,'offpeak-old'!$A$3:$DQ$20,$D607,FALSE))</f>
        <v>0</v>
      </c>
      <c r="R607" s="14">
        <f>IF(ISNA(VLOOKUP(R$1,'offpeak-old'!$A$3:$DQ$20,$D607,FALSE)),0,VLOOKUP(R$1,'offpeak-old'!$A$3:$DQ$20,$D607,FALSE))</f>
        <v>0</v>
      </c>
      <c r="S607" s="10"/>
    </row>
    <row r="608" spans="1:19" s="8" customFormat="1" x14ac:dyDescent="0.2">
      <c r="A608" s="8">
        <f t="shared" si="161"/>
        <v>2010</v>
      </c>
      <c r="B608" s="8">
        <f t="shared" si="162"/>
        <v>9</v>
      </c>
      <c r="C608" s="9">
        <f t="shared" si="163"/>
        <v>40422</v>
      </c>
      <c r="D608" s="8">
        <f t="shared" si="164"/>
        <v>113</v>
      </c>
      <c r="E608" s="14">
        <f>IF(ISNA(VLOOKUP(E$1,'offpeak-old'!$A$3:$DQ$20,$D608,FALSE)),0,VLOOKUP(E$1,'offpeak-old'!$A$3:$DQ$20,$D608,FALSE))</f>
        <v>0</v>
      </c>
      <c r="F608" s="14">
        <f>IF(ISNA(VLOOKUP(F$1,'offpeak-old'!$A$3:$DQ$20,$D608,FALSE)),0,VLOOKUP(F$1,'offpeak-old'!$A$3:$DQ$20,$D608,FALSE))</f>
        <v>0</v>
      </c>
      <c r="G608" s="14">
        <f>IF(ISNA(VLOOKUP(G$1,'offpeak-old'!$A$3:$DQ$20,$D608,FALSE)),0,VLOOKUP(G$1,'offpeak-old'!$A$3:$DQ$20,$D608,FALSE))</f>
        <v>0</v>
      </c>
      <c r="H608" s="14">
        <f>IF(ISNA(VLOOKUP(H$1,'offpeak-old'!$A$3:$DQ$20,$D608,FALSE)),0,VLOOKUP(H$1,'offpeak-old'!$A$3:$DQ$20,$D608,FALSE))</f>
        <v>-19200</v>
      </c>
      <c r="I608" s="14">
        <f>IF(ISNA(VLOOKUP(I$1,'offpeak-old'!$A$3:$DQ$20,$D608,FALSE)),0,VLOOKUP(I$1,'offpeak-old'!$A$3:$DQ$20,$D608,FALSE))</f>
        <v>0</v>
      </c>
      <c r="J608" s="14">
        <f>IF(ISNA(VLOOKUP(J$1,'offpeak-old'!$A$3:$DQ$20,$D608,FALSE)),0,VLOOKUP(J$1,'offpeak-old'!$A$3:$DQ$20,$D608,FALSE))</f>
        <v>0</v>
      </c>
      <c r="K608" s="14">
        <f>IF(ISNA(VLOOKUP(K$1,'offpeak-old'!$A$3:$DQ$20,$D608,FALSE)),0,VLOOKUP(K$1,'offpeak-old'!$A$3:$DQ$20,$D608,FALSE))</f>
        <v>0</v>
      </c>
      <c r="L608" s="14">
        <f>IF(ISNA(VLOOKUP(L$1,'offpeak-old'!$A$3:$DQ$20,$D608,FALSE)),0,VLOOKUP(L$1,'offpeak-old'!$A$3:$DQ$20,$D608,FALSE))</f>
        <v>0</v>
      </c>
      <c r="M608" s="14">
        <f>IF(ISNA(VLOOKUP(M$1,'offpeak-old'!$A$3:$DQ$20,$D608,FALSE)),0,VLOOKUP(M$1,'offpeak-old'!$A$3:$DQ$20,$D608,FALSE))</f>
        <v>0</v>
      </c>
      <c r="N608" s="14"/>
      <c r="O608" s="14">
        <f>IF(ISNA(VLOOKUP(O$1,'offpeak-old'!$A$3:$DQ$20,$D608,FALSE)),0,VLOOKUP(O$1,'offpeak-old'!$A$3:$DQ$20,$D608,FALSE))</f>
        <v>0</v>
      </c>
      <c r="P608" s="14">
        <f>IF(ISNA(VLOOKUP(P$1,'offpeak-old'!$A$3:$DQ$20,$D608,FALSE)),0,VLOOKUP(P$1,'offpeak-old'!$A$3:$DQ$20,$D608,FALSE))</f>
        <v>0</v>
      </c>
      <c r="Q608" s="15">
        <f>IF(ISNA(VLOOKUP(Q$1,'offpeak-old'!$A$3:$DQ$20,$D608,FALSE)),0,VLOOKUP(Q$1,'offpeak-old'!$A$3:$DQ$20,$D608,FALSE))</f>
        <v>0</v>
      </c>
      <c r="R608" s="14">
        <f>IF(ISNA(VLOOKUP(R$1,'offpeak-old'!$A$3:$DQ$20,$D608,FALSE)),0,VLOOKUP(R$1,'offpeak-old'!$A$3:$DQ$20,$D608,FALSE))</f>
        <v>0</v>
      </c>
      <c r="S608" s="10"/>
    </row>
    <row r="609" spans="1:19" s="8" customFormat="1" x14ac:dyDescent="0.2">
      <c r="A609" s="8">
        <f t="shared" si="161"/>
        <v>2010</v>
      </c>
      <c r="B609" s="8">
        <f t="shared" si="162"/>
        <v>10</v>
      </c>
      <c r="C609" s="9">
        <f t="shared" si="163"/>
        <v>40452</v>
      </c>
      <c r="D609" s="8">
        <f t="shared" si="164"/>
        <v>114</v>
      </c>
      <c r="E609" s="14">
        <f>IF(ISNA(VLOOKUP(E$1,'offpeak-old'!$A$3:$DQ$20,$D609,FALSE)),0,VLOOKUP(E$1,'offpeak-old'!$A$3:$DQ$20,$D609,FALSE))</f>
        <v>0</v>
      </c>
      <c r="F609" s="14">
        <f>IF(ISNA(VLOOKUP(F$1,'offpeak-old'!$A$3:$DQ$20,$D609,FALSE)),0,VLOOKUP(F$1,'offpeak-old'!$A$3:$DQ$20,$D609,FALSE))</f>
        <v>0</v>
      </c>
      <c r="G609" s="14">
        <f>IF(ISNA(VLOOKUP(G$1,'offpeak-old'!$A$3:$DQ$20,$D609,FALSE)),0,VLOOKUP(G$1,'offpeak-old'!$A$3:$DQ$20,$D609,FALSE))</f>
        <v>0</v>
      </c>
      <c r="H609" s="14">
        <f>IF(ISNA(VLOOKUP(H$1,'offpeak-old'!$A$3:$DQ$20,$D609,FALSE)),0,VLOOKUP(H$1,'offpeak-old'!$A$3:$DQ$20,$D609,FALSE))</f>
        <v>-20450</v>
      </c>
      <c r="I609" s="14">
        <f>IF(ISNA(VLOOKUP(I$1,'offpeak-old'!$A$3:$DQ$20,$D609,FALSE)),0,VLOOKUP(I$1,'offpeak-old'!$A$3:$DQ$20,$D609,FALSE))</f>
        <v>0</v>
      </c>
      <c r="J609" s="14">
        <f>IF(ISNA(VLOOKUP(J$1,'offpeak-old'!$A$3:$DQ$20,$D609,FALSE)),0,VLOOKUP(J$1,'offpeak-old'!$A$3:$DQ$20,$D609,FALSE))</f>
        <v>0</v>
      </c>
      <c r="K609" s="14">
        <f>IF(ISNA(VLOOKUP(K$1,'offpeak-old'!$A$3:$DQ$20,$D609,FALSE)),0,VLOOKUP(K$1,'offpeak-old'!$A$3:$DQ$20,$D609,FALSE))</f>
        <v>0</v>
      </c>
      <c r="L609" s="14">
        <f>IF(ISNA(VLOOKUP(L$1,'offpeak-old'!$A$3:$DQ$20,$D609,FALSE)),0,VLOOKUP(L$1,'offpeak-old'!$A$3:$DQ$20,$D609,FALSE))</f>
        <v>0</v>
      </c>
      <c r="M609" s="14">
        <f>IF(ISNA(VLOOKUP(M$1,'offpeak-old'!$A$3:$DQ$20,$D609,FALSE)),0,VLOOKUP(M$1,'offpeak-old'!$A$3:$DQ$20,$D609,FALSE))</f>
        <v>0</v>
      </c>
      <c r="N609" s="14"/>
      <c r="O609" s="14">
        <f>IF(ISNA(VLOOKUP(O$1,'offpeak-old'!$A$3:$DQ$20,$D609,FALSE)),0,VLOOKUP(O$1,'offpeak-old'!$A$3:$DQ$20,$D609,FALSE))</f>
        <v>0</v>
      </c>
      <c r="P609" s="14">
        <f>IF(ISNA(VLOOKUP(P$1,'offpeak-old'!$A$3:$DQ$20,$D609,FALSE)),0,VLOOKUP(P$1,'offpeak-old'!$A$3:$DQ$20,$D609,FALSE))</f>
        <v>0</v>
      </c>
      <c r="Q609" s="15">
        <f>IF(ISNA(VLOOKUP(Q$1,'offpeak-old'!$A$3:$DQ$20,$D609,FALSE)),0,VLOOKUP(Q$1,'offpeak-old'!$A$3:$DQ$20,$D609,FALSE))</f>
        <v>0</v>
      </c>
      <c r="R609" s="14">
        <f>IF(ISNA(VLOOKUP(R$1,'offpeak-old'!$A$3:$DQ$20,$D609,FALSE)),0,VLOOKUP(R$1,'offpeak-old'!$A$3:$DQ$20,$D609,FALSE))</f>
        <v>0</v>
      </c>
      <c r="S609" s="10"/>
    </row>
    <row r="610" spans="1:19" s="8" customFormat="1" x14ac:dyDescent="0.2">
      <c r="A610" s="8">
        <f t="shared" si="161"/>
        <v>2010</v>
      </c>
      <c r="B610" s="8">
        <f t="shared" si="162"/>
        <v>11</v>
      </c>
      <c r="C610" s="9">
        <f t="shared" si="163"/>
        <v>40483</v>
      </c>
      <c r="D610" s="8">
        <f t="shared" si="164"/>
        <v>115</v>
      </c>
      <c r="E610" s="14">
        <f>IF(ISNA(VLOOKUP(E$1,'offpeak-old'!$A$3:$DQ$20,$D610,FALSE)),0,VLOOKUP(E$1,'offpeak-old'!$A$3:$DQ$20,$D610,FALSE))</f>
        <v>0</v>
      </c>
      <c r="F610" s="14">
        <f>IF(ISNA(VLOOKUP(F$1,'offpeak-old'!$A$3:$DQ$20,$D610,FALSE)),0,VLOOKUP(F$1,'offpeak-old'!$A$3:$DQ$20,$D610,FALSE))</f>
        <v>0</v>
      </c>
      <c r="G610" s="14">
        <f>IF(ISNA(VLOOKUP(G$1,'offpeak-old'!$A$3:$DQ$20,$D610,FALSE)),0,VLOOKUP(G$1,'offpeak-old'!$A$3:$DQ$20,$D610,FALSE))</f>
        <v>0</v>
      </c>
      <c r="H610" s="14">
        <f>IF(ISNA(VLOOKUP(H$1,'offpeak-old'!$A$3:$DQ$20,$D610,FALSE)),0,VLOOKUP(H$1,'offpeak-old'!$A$3:$DQ$20,$D610,FALSE))</f>
        <v>-19200</v>
      </c>
      <c r="I610" s="14">
        <f>IF(ISNA(VLOOKUP(I$1,'offpeak-old'!$A$3:$DQ$20,$D610,FALSE)),0,VLOOKUP(I$1,'offpeak-old'!$A$3:$DQ$20,$D610,FALSE))</f>
        <v>0</v>
      </c>
      <c r="J610" s="14">
        <f>IF(ISNA(VLOOKUP(J$1,'offpeak-old'!$A$3:$DQ$20,$D610,FALSE)),0,VLOOKUP(J$1,'offpeak-old'!$A$3:$DQ$20,$D610,FALSE))</f>
        <v>0</v>
      </c>
      <c r="K610" s="14">
        <f>IF(ISNA(VLOOKUP(K$1,'offpeak-old'!$A$3:$DQ$20,$D610,FALSE)),0,VLOOKUP(K$1,'offpeak-old'!$A$3:$DQ$20,$D610,FALSE))</f>
        <v>0</v>
      </c>
      <c r="L610" s="14">
        <f>IF(ISNA(VLOOKUP(L$1,'offpeak-old'!$A$3:$DQ$20,$D610,FALSE)),0,VLOOKUP(L$1,'offpeak-old'!$A$3:$DQ$20,$D610,FALSE))</f>
        <v>0</v>
      </c>
      <c r="M610" s="14">
        <f>IF(ISNA(VLOOKUP(M$1,'offpeak-old'!$A$3:$DQ$20,$D610,FALSE)),0,VLOOKUP(M$1,'offpeak-old'!$A$3:$DQ$20,$D610,FALSE))</f>
        <v>0</v>
      </c>
      <c r="N610" s="14"/>
      <c r="O610" s="14">
        <f>IF(ISNA(VLOOKUP(O$1,'offpeak-old'!$A$3:$DQ$20,$D610,FALSE)),0,VLOOKUP(O$1,'offpeak-old'!$A$3:$DQ$20,$D610,FALSE))</f>
        <v>0</v>
      </c>
      <c r="P610" s="14">
        <f>IF(ISNA(VLOOKUP(P$1,'offpeak-old'!$A$3:$DQ$20,$D610,FALSE)),0,VLOOKUP(P$1,'offpeak-old'!$A$3:$DQ$20,$D610,FALSE))</f>
        <v>0</v>
      </c>
      <c r="Q610" s="15">
        <f>IF(ISNA(VLOOKUP(Q$1,'offpeak-old'!$A$3:$DQ$20,$D610,FALSE)),0,VLOOKUP(Q$1,'offpeak-old'!$A$3:$DQ$20,$D610,FALSE))</f>
        <v>0</v>
      </c>
      <c r="R610" s="14">
        <f>IF(ISNA(VLOOKUP(R$1,'offpeak-old'!$A$3:$DQ$20,$D610,FALSE)),0,VLOOKUP(R$1,'offpeak-old'!$A$3:$DQ$20,$D610,FALSE))</f>
        <v>0</v>
      </c>
      <c r="S610" s="10"/>
    </row>
    <row r="611" spans="1:19" s="8" customFormat="1" x14ac:dyDescent="0.2">
      <c r="A611" s="8">
        <f t="shared" si="161"/>
        <v>2010</v>
      </c>
      <c r="B611" s="8">
        <f t="shared" si="162"/>
        <v>12</v>
      </c>
      <c r="C611" s="9">
        <f t="shared" si="163"/>
        <v>40513</v>
      </c>
      <c r="D611" s="8">
        <f t="shared" si="164"/>
        <v>116</v>
      </c>
      <c r="E611" s="14">
        <f>IF(ISNA(VLOOKUP(E$1,'offpeak-old'!$A$3:$DQ$20,$D611,FALSE)),0,VLOOKUP(E$1,'offpeak-old'!$A$3:$DQ$20,$D611,FALSE))</f>
        <v>0</v>
      </c>
      <c r="F611" s="14">
        <f>IF(ISNA(VLOOKUP(F$1,'offpeak-old'!$A$3:$DQ$20,$D611,FALSE)),0,VLOOKUP(F$1,'offpeak-old'!$A$3:$DQ$20,$D611,FALSE))</f>
        <v>0</v>
      </c>
      <c r="G611" s="14">
        <f>IF(ISNA(VLOOKUP(G$1,'offpeak-old'!$A$3:$DQ$20,$D611,FALSE)),0,VLOOKUP(G$1,'offpeak-old'!$A$3:$DQ$20,$D611,FALSE))</f>
        <v>0</v>
      </c>
      <c r="H611" s="14">
        <f>IF(ISNA(VLOOKUP(H$1,'offpeak-old'!$A$3:$DQ$20,$D611,FALSE)),0,VLOOKUP(H$1,'offpeak-old'!$A$3:$DQ$20,$D611,FALSE))</f>
        <v>-18800</v>
      </c>
      <c r="I611" s="14">
        <f>IF(ISNA(VLOOKUP(I$1,'offpeak-old'!$A$3:$DQ$20,$D611,FALSE)),0,VLOOKUP(I$1,'offpeak-old'!$A$3:$DQ$20,$D611,FALSE))</f>
        <v>0</v>
      </c>
      <c r="J611" s="14">
        <f>IF(ISNA(VLOOKUP(J$1,'offpeak-old'!$A$3:$DQ$20,$D611,FALSE)),0,VLOOKUP(J$1,'offpeak-old'!$A$3:$DQ$20,$D611,FALSE))</f>
        <v>0</v>
      </c>
      <c r="K611" s="14">
        <f>IF(ISNA(VLOOKUP(K$1,'offpeak-old'!$A$3:$DQ$20,$D611,FALSE)),0,VLOOKUP(K$1,'offpeak-old'!$A$3:$DQ$20,$D611,FALSE))</f>
        <v>0</v>
      </c>
      <c r="L611" s="14">
        <f>IF(ISNA(VLOOKUP(L$1,'offpeak-old'!$A$3:$DQ$20,$D611,FALSE)),0,VLOOKUP(L$1,'offpeak-old'!$A$3:$DQ$20,$D611,FALSE))</f>
        <v>0</v>
      </c>
      <c r="M611" s="14">
        <f>IF(ISNA(VLOOKUP(M$1,'offpeak-old'!$A$3:$DQ$20,$D611,FALSE)),0,VLOOKUP(M$1,'offpeak-old'!$A$3:$DQ$20,$D611,FALSE))</f>
        <v>0</v>
      </c>
      <c r="N611" s="14"/>
      <c r="O611" s="14">
        <f>IF(ISNA(VLOOKUP(O$1,'offpeak-old'!$A$3:$DQ$20,$D611,FALSE)),0,VLOOKUP(O$1,'offpeak-old'!$A$3:$DQ$20,$D611,FALSE))</f>
        <v>0</v>
      </c>
      <c r="P611" s="14">
        <f>IF(ISNA(VLOOKUP(P$1,'offpeak-old'!$A$3:$DQ$20,$D611,FALSE)),0,VLOOKUP(P$1,'offpeak-old'!$A$3:$DQ$20,$D611,FALSE))</f>
        <v>0</v>
      </c>
      <c r="Q611" s="15">
        <f>IF(ISNA(VLOOKUP(Q$1,'offpeak-old'!$A$3:$DQ$20,$D611,FALSE)),0,VLOOKUP(Q$1,'offpeak-old'!$A$3:$DQ$20,$D611,FALSE))</f>
        <v>0</v>
      </c>
      <c r="R611" s="14">
        <f>IF(ISNA(VLOOKUP(R$1,'offpeak-old'!$A$3:$DQ$20,$D611,FALSE)),0,VLOOKUP(R$1,'offpeak-old'!$A$3:$DQ$20,$D611,FALSE))</f>
        <v>0</v>
      </c>
      <c r="S611" s="10"/>
    </row>
    <row r="612" spans="1:19" s="8" customFormat="1" x14ac:dyDescent="0.2">
      <c r="C612" s="9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5"/>
      <c r="R612" s="14"/>
      <c r="S612" s="10"/>
    </row>
    <row r="613" spans="1:19" s="5" customFormat="1" x14ac:dyDescent="0.2">
      <c r="A613" s="5" t="s">
        <v>45</v>
      </c>
      <c r="E613" s="13" t="str">
        <f t="shared" ref="E613:R613" si="165">E$1</f>
        <v>CINERGY</v>
      </c>
      <c r="F613" s="13" t="str">
        <f t="shared" si="165"/>
        <v>Manitoba</v>
      </c>
      <c r="G613" s="13" t="str">
        <f t="shared" si="165"/>
        <v>ERCOT</v>
      </c>
      <c r="H613" s="13" t="str">
        <f t="shared" si="165"/>
        <v>INTO COMED</v>
      </c>
      <c r="I613" s="13" t="str">
        <f t="shared" si="165"/>
        <v>INTO TVA</v>
      </c>
      <c r="J613" s="13" t="str">
        <f t="shared" si="165"/>
        <v>MAPP</v>
      </c>
      <c r="K613" s="13" t="str">
        <f t="shared" si="165"/>
        <v>NEPOOL</v>
      </c>
      <c r="L613" s="13" t="str">
        <f t="shared" si="165"/>
        <v>INTO AEP</v>
      </c>
      <c r="M613" s="13" t="str">
        <f t="shared" si="165"/>
        <v>NY Zone A</v>
      </c>
      <c r="N613" s="13"/>
      <c r="O613" s="13" t="str">
        <f t="shared" si="165"/>
        <v>SOCO</v>
      </c>
      <c r="P613" s="13" t="str">
        <f t="shared" si="165"/>
        <v>NSP</v>
      </c>
      <c r="Q613" s="13" t="str">
        <f t="shared" si="165"/>
        <v>SPP</v>
      </c>
      <c r="R613" s="13" t="str">
        <f t="shared" si="165"/>
        <v>WESTERN HUB</v>
      </c>
    </row>
    <row r="614" spans="1:19" s="8" customFormat="1" x14ac:dyDescent="0.2">
      <c r="C614" s="9">
        <f>C492</f>
        <v>36892</v>
      </c>
      <c r="E614" s="20" t="e">
        <f>E492/VLOOKUP($C614,calendar!$A$2:$D$121,3,FALSE)</f>
        <v>#DIV/0!</v>
      </c>
      <c r="F614" s="14" t="e">
        <f>F492/VLOOKUP($C614,calendar!$A$2:$D$121,3,FALSE)</f>
        <v>#DIV/0!</v>
      </c>
      <c r="G614" s="14" t="e">
        <f>G492/VLOOKUP($C614,calendar!$A$2:$D$121,3,FALSE)</f>
        <v>#DIV/0!</v>
      </c>
      <c r="H614" s="14" t="e">
        <f>H492/VLOOKUP($C614,calendar!$A$2:$D$121,3,FALSE)</f>
        <v>#DIV/0!</v>
      </c>
      <c r="I614" s="14" t="e">
        <f>I492/VLOOKUP($C614,calendar!$A$2:$D$121,3,FALSE)</f>
        <v>#DIV/0!</v>
      </c>
      <c r="J614" s="14" t="e">
        <f>J492/VLOOKUP($C614,calendar!$A$2:$D$121,3,FALSE)</f>
        <v>#DIV/0!</v>
      </c>
      <c r="K614" s="14" t="e">
        <f>K492/VLOOKUP($C614,calendar!$A$2:$D$121,3,FALSE)</f>
        <v>#DIV/0!</v>
      </c>
      <c r="L614" s="14" t="e">
        <f>L492/VLOOKUP($C614,calendar!$A$2:$D$121,3,FALSE)</f>
        <v>#DIV/0!</v>
      </c>
      <c r="M614" s="14" t="e">
        <f>M492/VLOOKUP($C614,calendar!$A$2:$D$121,3,FALSE)</f>
        <v>#DIV/0!</v>
      </c>
      <c r="N614" s="14"/>
      <c r="O614" s="14" t="e">
        <f>O492/VLOOKUP($C614,calendar!$A$2:$D$121,3,FALSE)</f>
        <v>#DIV/0!</v>
      </c>
      <c r="P614" s="14" t="e">
        <f>P492/VLOOKUP($C614,calendar!$A$2:$D$121,3,FALSE)</f>
        <v>#DIV/0!</v>
      </c>
      <c r="Q614" s="14" t="e">
        <f>Q492/VLOOKUP($C614,calendar!$A$2:$D$121,3,FALSE)</f>
        <v>#DIV/0!</v>
      </c>
      <c r="R614" s="14" t="e">
        <f>R492/VLOOKUP($C614,calendar!$A$2:$D$121,3,FALSE)</f>
        <v>#DIV/0!</v>
      </c>
    </row>
    <row r="615" spans="1:19" s="8" customFormat="1" x14ac:dyDescent="0.2">
      <c r="C615" s="9">
        <f t="shared" ref="C615:C678" si="166">C493</f>
        <v>36923</v>
      </c>
      <c r="E615" s="14" t="e">
        <f>E493/VLOOKUP($C615,calendar!$A$2:$D$121,3,FALSE)</f>
        <v>#DIV/0!</v>
      </c>
      <c r="F615" s="14" t="e">
        <f>F493/VLOOKUP($C615,calendar!$A$2:$D$121,3,FALSE)</f>
        <v>#DIV/0!</v>
      </c>
      <c r="G615" s="14" t="e">
        <f>G493/VLOOKUP($C615,calendar!$A$2:$D$121,3,FALSE)</f>
        <v>#DIV/0!</v>
      </c>
      <c r="H615" s="14" t="e">
        <f>H493/VLOOKUP($C615,calendar!$A$2:$D$121,3,FALSE)</f>
        <v>#DIV/0!</v>
      </c>
      <c r="I615" s="14" t="e">
        <f>I493/VLOOKUP($C615,calendar!$A$2:$D$121,3,FALSE)</f>
        <v>#DIV/0!</v>
      </c>
      <c r="J615" s="14" t="e">
        <f>J493/VLOOKUP($C615,calendar!$A$2:$D$121,3,FALSE)</f>
        <v>#DIV/0!</v>
      </c>
      <c r="K615" s="14" t="e">
        <f>K493/VLOOKUP($C615,calendar!$A$2:$D$121,3,FALSE)</f>
        <v>#DIV/0!</v>
      </c>
      <c r="L615" s="14" t="e">
        <f>L493/VLOOKUP($C615,calendar!$A$2:$D$121,3,FALSE)</f>
        <v>#DIV/0!</v>
      </c>
      <c r="M615" s="14" t="e">
        <f>M493/VLOOKUP($C615,calendar!$A$2:$D$121,3,FALSE)</f>
        <v>#DIV/0!</v>
      </c>
      <c r="N615" s="14"/>
      <c r="O615" s="14" t="e">
        <f>O493/VLOOKUP($C615,calendar!$A$2:$D$121,3,FALSE)</f>
        <v>#DIV/0!</v>
      </c>
      <c r="P615" s="14" t="e">
        <f>P493/VLOOKUP($C615,calendar!$A$2:$D$121,3,FALSE)</f>
        <v>#DIV/0!</v>
      </c>
      <c r="Q615" s="14" t="e">
        <f>Q493/VLOOKUP($C615,calendar!$A$2:$D$121,3,FALSE)</f>
        <v>#DIV/0!</v>
      </c>
      <c r="R615" s="14" t="e">
        <f>R493/VLOOKUP($C615,calendar!$A$2:$D$121,3,FALSE)</f>
        <v>#DIV/0!</v>
      </c>
    </row>
    <row r="616" spans="1:19" s="8" customFormat="1" x14ac:dyDescent="0.2">
      <c r="C616" s="9">
        <f t="shared" si="166"/>
        <v>36951</v>
      </c>
      <c r="E616" s="14">
        <f>E494/VLOOKUP($C616,calendar!$A$2:$D$121,3,FALSE)</f>
        <v>0</v>
      </c>
      <c r="F616" s="14">
        <f>F494/VLOOKUP($C616,calendar!$A$2:$D$121,3,FALSE)</f>
        <v>0</v>
      </c>
      <c r="G616" s="14">
        <f>G494/VLOOKUP($C616,calendar!$A$2:$D$121,3,FALSE)</f>
        <v>0</v>
      </c>
      <c r="H616" s="14">
        <f>H494/VLOOKUP($C616,calendar!$A$2:$D$121,3,FALSE)</f>
        <v>0</v>
      </c>
      <c r="I616" s="14">
        <f>I494/VLOOKUP($C616,calendar!$A$2:$D$121,3,FALSE)</f>
        <v>0</v>
      </c>
      <c r="J616" s="14">
        <f>J494/VLOOKUP($C616,calendar!$A$2:$D$121,3,FALSE)</f>
        <v>0</v>
      </c>
      <c r="K616" s="14">
        <f>K494/VLOOKUP($C616,calendar!$A$2:$D$121,3,FALSE)</f>
        <v>0</v>
      </c>
      <c r="L616" s="14">
        <f>L494/VLOOKUP($C616,calendar!$A$2:$D$121,3,FALSE)</f>
        <v>0</v>
      </c>
      <c r="M616" s="14">
        <f>M494/VLOOKUP($C616,calendar!$A$2:$D$121,3,FALSE)</f>
        <v>0</v>
      </c>
      <c r="N616" s="14"/>
      <c r="O616" s="14">
        <f>O494/VLOOKUP($C616,calendar!$A$2:$D$121,3,FALSE)</f>
        <v>0</v>
      </c>
      <c r="P616" s="14">
        <f>P494/VLOOKUP($C616,calendar!$A$2:$D$121,3,FALSE)</f>
        <v>0</v>
      </c>
      <c r="Q616" s="14">
        <f>Q494/VLOOKUP($C616,calendar!$A$2:$D$121,3,FALSE)</f>
        <v>0</v>
      </c>
      <c r="R616" s="14">
        <f>R494/VLOOKUP($C616,calendar!$A$2:$D$121,3,FALSE)</f>
        <v>0</v>
      </c>
    </row>
    <row r="617" spans="1:19" s="8" customFormat="1" x14ac:dyDescent="0.2">
      <c r="C617" s="9">
        <f t="shared" si="166"/>
        <v>36982</v>
      </c>
      <c r="E617" s="14">
        <f>E495/VLOOKUP($C617,calendar!$A$2:$D$121,3,FALSE)</f>
        <v>0</v>
      </c>
      <c r="F617" s="14">
        <f>F495/VLOOKUP($C617,calendar!$A$2:$D$121,3,FALSE)</f>
        <v>0</v>
      </c>
      <c r="G617" s="14">
        <f>G495/VLOOKUP($C617,calendar!$A$2:$D$121,3,FALSE)</f>
        <v>0</v>
      </c>
      <c r="H617" s="14">
        <f>H495/VLOOKUP($C617,calendar!$A$2:$D$121,3,FALSE)</f>
        <v>0</v>
      </c>
      <c r="I617" s="14">
        <f>I495/VLOOKUP($C617,calendar!$A$2:$D$121,3,FALSE)</f>
        <v>0</v>
      </c>
      <c r="J617" s="14">
        <f>J495/VLOOKUP($C617,calendar!$A$2:$D$121,3,FALSE)</f>
        <v>0</v>
      </c>
      <c r="K617" s="14">
        <f>K495/VLOOKUP($C617,calendar!$A$2:$D$121,3,FALSE)</f>
        <v>0</v>
      </c>
      <c r="L617" s="14">
        <f>L495/VLOOKUP($C617,calendar!$A$2:$D$121,3,FALSE)</f>
        <v>0</v>
      </c>
      <c r="M617" s="14">
        <f>M495/VLOOKUP($C617,calendar!$A$2:$D$121,3,FALSE)</f>
        <v>0</v>
      </c>
      <c r="N617" s="14"/>
      <c r="O617" s="14">
        <f>O495/VLOOKUP($C617,calendar!$A$2:$D$121,3,FALSE)</f>
        <v>0</v>
      </c>
      <c r="P617" s="14">
        <f>P495/VLOOKUP($C617,calendar!$A$2:$D$121,3,FALSE)</f>
        <v>0</v>
      </c>
      <c r="Q617" s="14">
        <f>Q495/VLOOKUP($C617,calendar!$A$2:$D$121,3,FALSE)</f>
        <v>0</v>
      </c>
      <c r="R617" s="14">
        <f>R495/VLOOKUP($C617,calendar!$A$2:$D$121,3,FALSE)</f>
        <v>0</v>
      </c>
    </row>
    <row r="618" spans="1:19" s="8" customFormat="1" x14ac:dyDescent="0.2">
      <c r="C618" s="9">
        <f t="shared" si="166"/>
        <v>37012</v>
      </c>
      <c r="E618" s="14">
        <f>E496/VLOOKUP($C618,calendar!$A$2:$D$121,3,FALSE)</f>
        <v>0</v>
      </c>
      <c r="F618" s="14">
        <f>F496/VLOOKUP($C618,calendar!$A$2:$D$121,3,FALSE)</f>
        <v>0</v>
      </c>
      <c r="G618" s="14">
        <f>G496/VLOOKUP($C618,calendar!$A$2:$D$121,3,FALSE)</f>
        <v>0</v>
      </c>
      <c r="H618" s="14">
        <f>H496/VLOOKUP($C618,calendar!$A$2:$D$121,3,FALSE)</f>
        <v>0</v>
      </c>
      <c r="I618" s="14">
        <f>I496/VLOOKUP($C618,calendar!$A$2:$D$121,3,FALSE)</f>
        <v>0</v>
      </c>
      <c r="J618" s="14">
        <f>J496/VLOOKUP($C618,calendar!$A$2:$D$121,3,FALSE)</f>
        <v>0</v>
      </c>
      <c r="K618" s="14">
        <f>K496/VLOOKUP($C618,calendar!$A$2:$D$121,3,FALSE)</f>
        <v>0</v>
      </c>
      <c r="L618" s="14">
        <f>L496/VLOOKUP($C618,calendar!$A$2:$D$121,3,FALSE)</f>
        <v>0</v>
      </c>
      <c r="M618" s="14">
        <f>M496/VLOOKUP($C618,calendar!$A$2:$D$121,3,FALSE)</f>
        <v>0</v>
      </c>
      <c r="N618" s="14"/>
      <c r="O618" s="14">
        <f>O496/VLOOKUP($C618,calendar!$A$2:$D$121,3,FALSE)</f>
        <v>0</v>
      </c>
      <c r="P618" s="14">
        <f>P496/VLOOKUP($C618,calendar!$A$2:$D$121,3,FALSE)</f>
        <v>0</v>
      </c>
      <c r="Q618" s="14">
        <f>Q496/VLOOKUP($C618,calendar!$A$2:$D$121,3,FALSE)</f>
        <v>0</v>
      </c>
      <c r="R618" s="14">
        <f>R496/VLOOKUP($C618,calendar!$A$2:$D$121,3,FALSE)</f>
        <v>0</v>
      </c>
    </row>
    <row r="619" spans="1:19" s="8" customFormat="1" x14ac:dyDescent="0.2">
      <c r="C619" s="9">
        <f t="shared" si="166"/>
        <v>37043</v>
      </c>
      <c r="E619" s="14">
        <f>E497/VLOOKUP($C619,calendar!$A$2:$D$121,3,FALSE)</f>
        <v>302.08333333333331</v>
      </c>
      <c r="F619" s="14">
        <f>F497/VLOOKUP($C619,calendar!$A$2:$D$121,3,FALSE)</f>
        <v>0</v>
      </c>
      <c r="G619" s="14">
        <f>G497/VLOOKUP($C619,calendar!$A$2:$D$121,3,FALSE)</f>
        <v>0</v>
      </c>
      <c r="H619" s="14">
        <f>H497/VLOOKUP($C619,calendar!$A$2:$D$121,3,FALSE)</f>
        <v>-25</v>
      </c>
      <c r="I619" s="14">
        <f>I497/VLOOKUP($C619,calendar!$A$2:$D$121,3,FALSE)</f>
        <v>0</v>
      </c>
      <c r="J619" s="14">
        <f>J497/VLOOKUP($C619,calendar!$A$2:$D$121,3,FALSE)</f>
        <v>29.166666666666668</v>
      </c>
      <c r="K619" s="14">
        <f>K497/VLOOKUP($C619,calendar!$A$2:$D$121,3,FALSE)</f>
        <v>0</v>
      </c>
      <c r="L619" s="14">
        <f>L497/VLOOKUP($C619,calendar!$A$2:$D$121,3,FALSE)</f>
        <v>-43.75</v>
      </c>
      <c r="M619" s="14">
        <f>M497/VLOOKUP($C619,calendar!$A$2:$D$121,3,FALSE)</f>
        <v>0</v>
      </c>
      <c r="N619" s="14"/>
      <c r="O619" s="14">
        <f>O497/VLOOKUP($C619,calendar!$A$2:$D$121,3,FALSE)</f>
        <v>0</v>
      </c>
      <c r="P619" s="14">
        <f>P497/VLOOKUP($C619,calendar!$A$2:$D$121,3,FALSE)</f>
        <v>0</v>
      </c>
      <c r="Q619" s="14">
        <f>Q497/VLOOKUP($C619,calendar!$A$2:$D$121,3,FALSE)</f>
        <v>39.583333333333336</v>
      </c>
      <c r="R619" s="14">
        <f>R497/VLOOKUP($C619,calendar!$A$2:$D$121,3,FALSE)</f>
        <v>-121.875</v>
      </c>
    </row>
    <row r="620" spans="1:19" s="8" customFormat="1" x14ac:dyDescent="0.2">
      <c r="C620" s="9">
        <f t="shared" si="166"/>
        <v>37073</v>
      </c>
      <c r="E620" s="14">
        <f>E498/VLOOKUP($C620,calendar!$A$2:$D$121,3,FALSE)</f>
        <v>430.39215686274508</v>
      </c>
      <c r="F620" s="14">
        <f>F498/VLOOKUP($C620,calendar!$A$2:$D$121,3,FALSE)</f>
        <v>0</v>
      </c>
      <c r="G620" s="14">
        <f>G498/VLOOKUP($C620,calendar!$A$2:$D$121,3,FALSE)</f>
        <v>0</v>
      </c>
      <c r="H620" s="14">
        <f>H498/VLOOKUP($C620,calendar!$A$2:$D$121,3,FALSE)</f>
        <v>-30.392156862745097</v>
      </c>
      <c r="I620" s="14">
        <f>I498/VLOOKUP($C620,calendar!$A$2:$D$121,3,FALSE)</f>
        <v>0</v>
      </c>
      <c r="J620" s="14">
        <f>J498/VLOOKUP($C620,calendar!$A$2:$D$121,3,FALSE)</f>
        <v>52.941176470588232</v>
      </c>
      <c r="K620" s="14">
        <f>K498/VLOOKUP($C620,calendar!$A$2:$D$121,3,FALSE)</f>
        <v>0</v>
      </c>
      <c r="L620" s="14">
        <f>L498/VLOOKUP($C620,calendar!$A$2:$D$121,3,FALSE)</f>
        <v>-52.941176470588232</v>
      </c>
      <c r="M620" s="14">
        <f>M498/VLOOKUP($C620,calendar!$A$2:$D$121,3,FALSE)</f>
        <v>0</v>
      </c>
      <c r="N620" s="14"/>
      <c r="O620" s="14">
        <f>O498/VLOOKUP($C620,calendar!$A$2:$D$121,3,FALSE)</f>
        <v>0</v>
      </c>
      <c r="P620" s="14">
        <f>P498/VLOOKUP($C620,calendar!$A$2:$D$121,3,FALSE)</f>
        <v>0</v>
      </c>
      <c r="Q620" s="14">
        <f>Q498/VLOOKUP($C620,calendar!$A$2:$D$121,3,FALSE)</f>
        <v>50</v>
      </c>
      <c r="R620" s="14">
        <f>R498/VLOOKUP($C620,calendar!$A$2:$D$121,3,FALSE)</f>
        <v>50</v>
      </c>
    </row>
    <row r="621" spans="1:19" s="8" customFormat="1" x14ac:dyDescent="0.2">
      <c r="C621" s="9">
        <f t="shared" si="166"/>
        <v>37104</v>
      </c>
      <c r="E621" s="14">
        <f>E499/VLOOKUP($C621,calendar!$A$2:$D$121,3,FALSE)</f>
        <v>432.97872340425533</v>
      </c>
      <c r="F621" s="14">
        <f>F499/VLOOKUP($C621,calendar!$A$2:$D$121,3,FALSE)</f>
        <v>0</v>
      </c>
      <c r="G621" s="14">
        <f>G499/VLOOKUP($C621,calendar!$A$2:$D$121,3,FALSE)</f>
        <v>0</v>
      </c>
      <c r="H621" s="14">
        <f>H499/VLOOKUP($C621,calendar!$A$2:$D$121,3,FALSE)</f>
        <v>-32.978723404255319</v>
      </c>
      <c r="I621" s="14">
        <f>I499/VLOOKUP($C621,calendar!$A$2:$D$121,3,FALSE)</f>
        <v>0</v>
      </c>
      <c r="J621" s="14">
        <f>J499/VLOOKUP($C621,calendar!$A$2:$D$121,3,FALSE)</f>
        <v>51.063829787234042</v>
      </c>
      <c r="K621" s="14">
        <f>K499/VLOOKUP($C621,calendar!$A$2:$D$121,3,FALSE)</f>
        <v>0</v>
      </c>
      <c r="L621" s="14">
        <f>L499/VLOOKUP($C621,calendar!$A$2:$D$121,3,FALSE)</f>
        <v>-51.063829787234042</v>
      </c>
      <c r="M621" s="14">
        <f>M499/VLOOKUP($C621,calendar!$A$2:$D$121,3,FALSE)</f>
        <v>0</v>
      </c>
      <c r="N621" s="14"/>
      <c r="O621" s="14">
        <f>O499/VLOOKUP($C621,calendar!$A$2:$D$121,3,FALSE)</f>
        <v>0</v>
      </c>
      <c r="P621" s="14">
        <f>P499/VLOOKUP($C621,calendar!$A$2:$D$121,3,FALSE)</f>
        <v>0</v>
      </c>
      <c r="Q621" s="14">
        <f>Q499/VLOOKUP($C621,calendar!$A$2:$D$121,3,FALSE)</f>
        <v>50</v>
      </c>
      <c r="R621" s="14">
        <f>R499/VLOOKUP($C621,calendar!$A$2:$D$121,3,FALSE)</f>
        <v>50</v>
      </c>
    </row>
    <row r="622" spans="1:19" s="8" customFormat="1" x14ac:dyDescent="0.2">
      <c r="C622" s="9">
        <f t="shared" si="166"/>
        <v>37135</v>
      </c>
      <c r="E622" s="14">
        <f>E500/VLOOKUP($C622,calendar!$A$2:$D$121,3,FALSE)</f>
        <v>178.84615384615384</v>
      </c>
      <c r="F622" s="14">
        <f>F500/VLOOKUP($C622,calendar!$A$2:$D$121,3,FALSE)</f>
        <v>0</v>
      </c>
      <c r="G622" s="14">
        <f>G500/VLOOKUP($C622,calendar!$A$2:$D$121,3,FALSE)</f>
        <v>0</v>
      </c>
      <c r="H622" s="14">
        <f>H500/VLOOKUP($C622,calendar!$A$2:$D$121,3,FALSE)</f>
        <v>-50.96153846153846</v>
      </c>
      <c r="I622" s="14">
        <f>I500/VLOOKUP($C622,calendar!$A$2:$D$121,3,FALSE)</f>
        <v>0</v>
      </c>
      <c r="J622" s="14">
        <f>J500/VLOOKUP($C622,calendar!$A$2:$D$121,3,FALSE)</f>
        <v>38.46153846153846</v>
      </c>
      <c r="K622" s="14">
        <f>K500/VLOOKUP($C622,calendar!$A$2:$D$121,3,FALSE)</f>
        <v>0</v>
      </c>
      <c r="L622" s="14">
        <f>L500/VLOOKUP($C622,calendar!$A$2:$D$121,3,FALSE)</f>
        <v>0</v>
      </c>
      <c r="M622" s="14">
        <f>M500/VLOOKUP($C622,calendar!$A$2:$D$121,3,FALSE)</f>
        <v>0</v>
      </c>
      <c r="N622" s="14"/>
      <c r="O622" s="14">
        <f>O500/VLOOKUP($C622,calendar!$A$2:$D$121,3,FALSE)</f>
        <v>0</v>
      </c>
      <c r="P622" s="14">
        <f>P500/VLOOKUP($C622,calendar!$A$2:$D$121,3,FALSE)</f>
        <v>0</v>
      </c>
      <c r="Q622" s="14">
        <f>Q500/VLOOKUP($C622,calendar!$A$2:$D$121,3,FALSE)</f>
        <v>50</v>
      </c>
      <c r="R622" s="14">
        <f>R500/VLOOKUP($C622,calendar!$A$2:$D$121,3,FALSE)</f>
        <v>50</v>
      </c>
    </row>
    <row r="623" spans="1:19" s="8" customFormat="1" x14ac:dyDescent="0.2">
      <c r="C623" s="9">
        <f t="shared" si="166"/>
        <v>37165</v>
      </c>
      <c r="E623" s="14">
        <f>E501/VLOOKUP($C623,calendar!$A$2:$D$121,3,FALSE)</f>
        <v>283.84840425531917</v>
      </c>
      <c r="F623" s="14">
        <f>F501/VLOOKUP($C623,calendar!$A$2:$D$121,3,FALSE)</f>
        <v>0</v>
      </c>
      <c r="G623" s="14">
        <f>G501/VLOOKUP($C623,calendar!$A$2:$D$121,3,FALSE)</f>
        <v>0</v>
      </c>
      <c r="H623" s="14">
        <f>H501/VLOOKUP($C623,calendar!$A$2:$D$121,3,FALSE)</f>
        <v>-50.132978723404257</v>
      </c>
      <c r="I623" s="14">
        <f>I501/VLOOKUP($C623,calendar!$A$2:$D$121,3,FALSE)</f>
        <v>0</v>
      </c>
      <c r="J623" s="14">
        <f>J501/VLOOKUP($C623,calendar!$A$2:$D$121,3,FALSE)</f>
        <v>34.042553191489361</v>
      </c>
      <c r="K623" s="14">
        <f>K501/VLOOKUP($C623,calendar!$A$2:$D$121,3,FALSE)</f>
        <v>0</v>
      </c>
      <c r="L623" s="14">
        <f>L501/VLOOKUP($C623,calendar!$A$2:$D$121,3,FALSE)</f>
        <v>0</v>
      </c>
      <c r="M623" s="14">
        <f>M501/VLOOKUP($C623,calendar!$A$2:$D$121,3,FALSE)</f>
        <v>0</v>
      </c>
      <c r="N623" s="14"/>
      <c r="O623" s="14">
        <f>O501/VLOOKUP($C623,calendar!$A$2:$D$121,3,FALSE)</f>
        <v>0</v>
      </c>
      <c r="P623" s="14">
        <f>P501/VLOOKUP($C623,calendar!$A$2:$D$121,3,FALSE)</f>
        <v>0</v>
      </c>
      <c r="Q623" s="14">
        <f>Q501/VLOOKUP($C623,calendar!$A$2:$D$121,3,FALSE)</f>
        <v>50.132978723404257</v>
      </c>
      <c r="R623" s="14">
        <f>R501/VLOOKUP($C623,calendar!$A$2:$D$121,3,FALSE)</f>
        <v>-50.132978723404257</v>
      </c>
    </row>
    <row r="624" spans="1:19" s="8" customFormat="1" x14ac:dyDescent="0.2">
      <c r="C624" s="9">
        <f t="shared" si="166"/>
        <v>37196</v>
      </c>
      <c r="E624" s="14">
        <f>E502/VLOOKUP($C624,calendar!$A$2:$D$121,3,FALSE)</f>
        <v>281.25</v>
      </c>
      <c r="F624" s="14">
        <f>F502/VLOOKUP($C624,calendar!$A$2:$D$121,3,FALSE)</f>
        <v>0</v>
      </c>
      <c r="G624" s="14">
        <f>G502/VLOOKUP($C624,calendar!$A$2:$D$121,3,FALSE)</f>
        <v>0</v>
      </c>
      <c r="H624" s="14">
        <f>H502/VLOOKUP($C624,calendar!$A$2:$D$121,3,FALSE)</f>
        <v>-51.041666666666664</v>
      </c>
      <c r="I624" s="14">
        <f>I502/VLOOKUP($C624,calendar!$A$2:$D$121,3,FALSE)</f>
        <v>0</v>
      </c>
      <c r="J624" s="14">
        <f>J502/VLOOKUP($C624,calendar!$A$2:$D$121,3,FALSE)</f>
        <v>0</v>
      </c>
      <c r="K624" s="14">
        <f>K502/VLOOKUP($C624,calendar!$A$2:$D$121,3,FALSE)</f>
        <v>0</v>
      </c>
      <c r="L624" s="14">
        <f>L502/VLOOKUP($C624,calendar!$A$2:$D$121,3,FALSE)</f>
        <v>0</v>
      </c>
      <c r="M624" s="14">
        <f>M502/VLOOKUP($C624,calendar!$A$2:$D$121,3,FALSE)</f>
        <v>0</v>
      </c>
      <c r="N624" s="14"/>
      <c r="O624" s="14">
        <f>O502/VLOOKUP($C624,calendar!$A$2:$D$121,3,FALSE)</f>
        <v>0</v>
      </c>
      <c r="P624" s="14">
        <f>P502/VLOOKUP($C624,calendar!$A$2:$D$121,3,FALSE)</f>
        <v>0</v>
      </c>
      <c r="Q624" s="14">
        <f>Q502/VLOOKUP($C624,calendar!$A$2:$D$121,3,FALSE)</f>
        <v>50</v>
      </c>
      <c r="R624" s="14">
        <f>R502/VLOOKUP($C624,calendar!$A$2:$D$121,3,FALSE)</f>
        <v>-50</v>
      </c>
    </row>
    <row r="625" spans="3:18" s="8" customFormat="1" x14ac:dyDescent="0.2">
      <c r="C625" s="9">
        <f t="shared" si="166"/>
        <v>37226</v>
      </c>
      <c r="E625" s="14">
        <f>E503/VLOOKUP($C625,calendar!$A$2:$D$121,3,FALSE)</f>
        <v>279.24528301886795</v>
      </c>
      <c r="F625" s="14">
        <f>F503/VLOOKUP($C625,calendar!$A$2:$D$121,3,FALSE)</f>
        <v>0</v>
      </c>
      <c r="G625" s="14">
        <f>G503/VLOOKUP($C625,calendar!$A$2:$D$121,3,FALSE)</f>
        <v>0</v>
      </c>
      <c r="H625" s="14">
        <f>H503/VLOOKUP($C625,calendar!$A$2:$D$121,3,FALSE)</f>
        <v>-50.943396226415096</v>
      </c>
      <c r="I625" s="14">
        <f>I503/VLOOKUP($C625,calendar!$A$2:$D$121,3,FALSE)</f>
        <v>0</v>
      </c>
      <c r="J625" s="14">
        <f>J503/VLOOKUP($C625,calendar!$A$2:$D$121,3,FALSE)</f>
        <v>0</v>
      </c>
      <c r="K625" s="14">
        <f>K503/VLOOKUP($C625,calendar!$A$2:$D$121,3,FALSE)</f>
        <v>0</v>
      </c>
      <c r="L625" s="14">
        <f>L503/VLOOKUP($C625,calendar!$A$2:$D$121,3,FALSE)</f>
        <v>0</v>
      </c>
      <c r="M625" s="14">
        <f>M503/VLOOKUP($C625,calendar!$A$2:$D$121,3,FALSE)</f>
        <v>0</v>
      </c>
      <c r="N625" s="14"/>
      <c r="O625" s="14">
        <f>O503/VLOOKUP($C625,calendar!$A$2:$D$121,3,FALSE)</f>
        <v>0</v>
      </c>
      <c r="P625" s="14">
        <f>P503/VLOOKUP($C625,calendar!$A$2:$D$121,3,FALSE)</f>
        <v>0</v>
      </c>
      <c r="Q625" s="14">
        <f>Q503/VLOOKUP($C625,calendar!$A$2:$D$121,3,FALSE)</f>
        <v>50</v>
      </c>
      <c r="R625" s="14">
        <f>R503/VLOOKUP($C625,calendar!$A$2:$D$121,3,FALSE)</f>
        <v>-50</v>
      </c>
    </row>
    <row r="626" spans="3:18" s="8" customFormat="1" x14ac:dyDescent="0.2">
      <c r="C626" s="9">
        <f t="shared" si="166"/>
        <v>37257</v>
      </c>
      <c r="E626" s="14">
        <f>E504/VLOOKUP($C626,calendar!$A$2:$D$121,3,FALSE)</f>
        <v>-77</v>
      </c>
      <c r="F626" s="14">
        <f>F504/VLOOKUP($C626,calendar!$A$2:$D$121,3,FALSE)</f>
        <v>0</v>
      </c>
      <c r="G626" s="14">
        <f>G504/VLOOKUP($C626,calendar!$A$2:$D$121,3,FALSE)</f>
        <v>0</v>
      </c>
      <c r="H626" s="14">
        <f>H504/VLOOKUP($C626,calendar!$A$2:$D$121,3,FALSE)</f>
        <v>-201.0204081632653</v>
      </c>
      <c r="I626" s="14">
        <f>I504/VLOOKUP($C626,calendar!$A$2:$D$121,3,FALSE)</f>
        <v>0</v>
      </c>
      <c r="J626" s="14">
        <f>J504/VLOOKUP($C626,calendar!$A$2:$D$121,3,FALSE)</f>
        <v>0</v>
      </c>
      <c r="K626" s="14">
        <f>K504/VLOOKUP($C626,calendar!$A$2:$D$121,3,FALSE)</f>
        <v>0</v>
      </c>
      <c r="L626" s="14">
        <f>L504/VLOOKUP($C626,calendar!$A$2:$D$121,3,FALSE)</f>
        <v>0</v>
      </c>
      <c r="M626" s="14">
        <f>M504/VLOOKUP($C626,calendar!$A$2:$D$121,3,FALSE)</f>
        <v>0</v>
      </c>
      <c r="N626" s="14"/>
      <c r="O626" s="14">
        <f>O504/VLOOKUP($C626,calendar!$A$2:$D$121,3,FALSE)</f>
        <v>0</v>
      </c>
      <c r="P626" s="14">
        <f>P504/VLOOKUP($C626,calendar!$A$2:$D$121,3,FALSE)</f>
        <v>0</v>
      </c>
      <c r="Q626" s="14">
        <f>Q504/VLOOKUP($C626,calendar!$A$2:$D$121,3,FALSE)</f>
        <v>0</v>
      </c>
      <c r="R626" s="14">
        <f>R504/VLOOKUP($C626,calendar!$A$2:$D$121,3,FALSE)</f>
        <v>-100</v>
      </c>
    </row>
    <row r="627" spans="3:18" s="8" customFormat="1" x14ac:dyDescent="0.2">
      <c r="C627" s="9">
        <f t="shared" si="166"/>
        <v>37288</v>
      </c>
      <c r="E627" s="14">
        <f>E505/VLOOKUP($C627,calendar!$A$2:$D$121,3,FALSE)</f>
        <v>-77</v>
      </c>
      <c r="F627" s="14">
        <f>F505/VLOOKUP($C627,calendar!$A$2:$D$121,3,FALSE)</f>
        <v>0</v>
      </c>
      <c r="G627" s="14">
        <f>G505/VLOOKUP($C627,calendar!$A$2:$D$121,3,FALSE)</f>
        <v>0</v>
      </c>
      <c r="H627" s="14">
        <f>H505/VLOOKUP($C627,calendar!$A$2:$D$121,3,FALSE)</f>
        <v>-200</v>
      </c>
      <c r="I627" s="14">
        <f>I505/VLOOKUP($C627,calendar!$A$2:$D$121,3,FALSE)</f>
        <v>0</v>
      </c>
      <c r="J627" s="14">
        <f>J505/VLOOKUP($C627,calendar!$A$2:$D$121,3,FALSE)</f>
        <v>0</v>
      </c>
      <c r="K627" s="14">
        <f>K505/VLOOKUP($C627,calendar!$A$2:$D$121,3,FALSE)</f>
        <v>0</v>
      </c>
      <c r="L627" s="14">
        <f>L505/VLOOKUP($C627,calendar!$A$2:$D$121,3,FALSE)</f>
        <v>0</v>
      </c>
      <c r="M627" s="14">
        <f>M505/VLOOKUP($C627,calendar!$A$2:$D$121,3,FALSE)</f>
        <v>0</v>
      </c>
      <c r="N627" s="14"/>
      <c r="O627" s="14">
        <f>O505/VLOOKUP($C627,calendar!$A$2:$D$121,3,FALSE)</f>
        <v>0</v>
      </c>
      <c r="P627" s="14">
        <f>P505/VLOOKUP($C627,calendar!$A$2:$D$121,3,FALSE)</f>
        <v>0</v>
      </c>
      <c r="Q627" s="14">
        <f>Q505/VLOOKUP($C627,calendar!$A$2:$D$121,3,FALSE)</f>
        <v>0</v>
      </c>
      <c r="R627" s="14">
        <f>R505/VLOOKUP($C627,calendar!$A$2:$D$121,3,FALSE)</f>
        <v>-100</v>
      </c>
    </row>
    <row r="628" spans="3:18" s="8" customFormat="1" x14ac:dyDescent="0.2">
      <c r="C628" s="9">
        <f t="shared" si="166"/>
        <v>37316</v>
      </c>
      <c r="E628" s="14">
        <f>E506/VLOOKUP($C628,calendar!$A$2:$D$121,3,FALSE)</f>
        <v>-77</v>
      </c>
      <c r="F628" s="14">
        <f>F506/VLOOKUP($C628,calendar!$A$2:$D$121,3,FALSE)</f>
        <v>0</v>
      </c>
      <c r="G628" s="14">
        <f>G506/VLOOKUP($C628,calendar!$A$2:$D$121,3,FALSE)</f>
        <v>0</v>
      </c>
      <c r="H628" s="14">
        <f>H506/VLOOKUP($C628,calendar!$A$2:$D$121,3,FALSE)</f>
        <v>-200</v>
      </c>
      <c r="I628" s="14">
        <f>I506/VLOOKUP($C628,calendar!$A$2:$D$121,3,FALSE)</f>
        <v>0</v>
      </c>
      <c r="J628" s="14">
        <f>J506/VLOOKUP($C628,calendar!$A$2:$D$121,3,FALSE)</f>
        <v>0</v>
      </c>
      <c r="K628" s="14">
        <f>K506/VLOOKUP($C628,calendar!$A$2:$D$121,3,FALSE)</f>
        <v>0</v>
      </c>
      <c r="L628" s="14">
        <f>L506/VLOOKUP($C628,calendar!$A$2:$D$121,3,FALSE)</f>
        <v>0</v>
      </c>
      <c r="M628" s="14">
        <f>M506/VLOOKUP($C628,calendar!$A$2:$D$121,3,FALSE)</f>
        <v>0</v>
      </c>
      <c r="N628" s="14"/>
      <c r="O628" s="14">
        <f>O506/VLOOKUP($C628,calendar!$A$2:$D$121,3,FALSE)</f>
        <v>0</v>
      </c>
      <c r="P628" s="14">
        <f>P506/VLOOKUP($C628,calendar!$A$2:$D$121,3,FALSE)</f>
        <v>0</v>
      </c>
      <c r="Q628" s="14">
        <f>Q506/VLOOKUP($C628,calendar!$A$2:$D$121,3,FALSE)</f>
        <v>0</v>
      </c>
      <c r="R628" s="14">
        <f>R506/VLOOKUP($C628,calendar!$A$2:$D$121,3,FALSE)</f>
        <v>-100</v>
      </c>
    </row>
    <row r="629" spans="3:18" s="8" customFormat="1" x14ac:dyDescent="0.2">
      <c r="C629" s="9">
        <f t="shared" si="166"/>
        <v>37347</v>
      </c>
      <c r="E629" s="14">
        <f>E507/VLOOKUP($C629,calendar!$A$2:$D$121,3,FALSE)</f>
        <v>-76.790760869565219</v>
      </c>
      <c r="F629" s="14">
        <f>F507/VLOOKUP($C629,calendar!$A$2:$D$121,3,FALSE)</f>
        <v>0</v>
      </c>
      <c r="G629" s="14">
        <f>G507/VLOOKUP($C629,calendar!$A$2:$D$121,3,FALSE)</f>
        <v>0</v>
      </c>
      <c r="H629" s="14">
        <f>H507/VLOOKUP($C629,calendar!$A$2:$D$121,3,FALSE)</f>
        <v>-199.45652173913044</v>
      </c>
      <c r="I629" s="14">
        <f>I507/VLOOKUP($C629,calendar!$A$2:$D$121,3,FALSE)</f>
        <v>0</v>
      </c>
      <c r="J629" s="14">
        <f>J507/VLOOKUP($C629,calendar!$A$2:$D$121,3,FALSE)</f>
        <v>0</v>
      </c>
      <c r="K629" s="14">
        <f>K507/VLOOKUP($C629,calendar!$A$2:$D$121,3,FALSE)</f>
        <v>0</v>
      </c>
      <c r="L629" s="14">
        <f>L507/VLOOKUP($C629,calendar!$A$2:$D$121,3,FALSE)</f>
        <v>0</v>
      </c>
      <c r="M629" s="14">
        <f>M507/VLOOKUP($C629,calendar!$A$2:$D$121,3,FALSE)</f>
        <v>0</v>
      </c>
      <c r="N629" s="14"/>
      <c r="O629" s="14">
        <f>O507/VLOOKUP($C629,calendar!$A$2:$D$121,3,FALSE)</f>
        <v>0</v>
      </c>
      <c r="P629" s="14">
        <f>P507/VLOOKUP($C629,calendar!$A$2:$D$121,3,FALSE)</f>
        <v>0</v>
      </c>
      <c r="Q629" s="14">
        <f>Q507/VLOOKUP($C629,calendar!$A$2:$D$121,3,FALSE)</f>
        <v>0</v>
      </c>
      <c r="R629" s="14">
        <f>R507/VLOOKUP($C629,calendar!$A$2:$D$121,3,FALSE)</f>
        <v>-99.728260869565219</v>
      </c>
    </row>
    <row r="630" spans="3:18" s="8" customFormat="1" x14ac:dyDescent="0.2">
      <c r="C630" s="9">
        <f t="shared" si="166"/>
        <v>37377</v>
      </c>
      <c r="E630" s="14">
        <f>E508/VLOOKUP($C630,calendar!$A$2:$D$121,3,FALSE)</f>
        <v>-77</v>
      </c>
      <c r="F630" s="14">
        <f>F508/VLOOKUP($C630,calendar!$A$2:$D$121,3,FALSE)</f>
        <v>0</v>
      </c>
      <c r="G630" s="14">
        <f>G508/VLOOKUP($C630,calendar!$A$2:$D$121,3,FALSE)</f>
        <v>0</v>
      </c>
      <c r="H630" s="14">
        <f>H508/VLOOKUP($C630,calendar!$A$2:$D$121,3,FALSE)</f>
        <v>-201.0204081632653</v>
      </c>
      <c r="I630" s="14">
        <f>I508/VLOOKUP($C630,calendar!$A$2:$D$121,3,FALSE)</f>
        <v>0</v>
      </c>
      <c r="J630" s="14">
        <f>J508/VLOOKUP($C630,calendar!$A$2:$D$121,3,FALSE)</f>
        <v>0</v>
      </c>
      <c r="K630" s="14">
        <f>K508/VLOOKUP($C630,calendar!$A$2:$D$121,3,FALSE)</f>
        <v>0</v>
      </c>
      <c r="L630" s="14">
        <f>L508/VLOOKUP($C630,calendar!$A$2:$D$121,3,FALSE)</f>
        <v>0</v>
      </c>
      <c r="M630" s="14">
        <f>M508/VLOOKUP($C630,calendar!$A$2:$D$121,3,FALSE)</f>
        <v>0</v>
      </c>
      <c r="N630" s="14"/>
      <c r="O630" s="14">
        <f>O508/VLOOKUP($C630,calendar!$A$2:$D$121,3,FALSE)</f>
        <v>0</v>
      </c>
      <c r="P630" s="14">
        <f>P508/VLOOKUP($C630,calendar!$A$2:$D$121,3,FALSE)</f>
        <v>0</v>
      </c>
      <c r="Q630" s="14">
        <f>Q508/VLOOKUP($C630,calendar!$A$2:$D$121,3,FALSE)</f>
        <v>0</v>
      </c>
      <c r="R630" s="14">
        <f>R508/VLOOKUP($C630,calendar!$A$2:$D$121,3,FALSE)</f>
        <v>-100</v>
      </c>
    </row>
    <row r="631" spans="3:18" s="8" customFormat="1" x14ac:dyDescent="0.2">
      <c r="C631" s="9">
        <f t="shared" si="166"/>
        <v>37408</v>
      </c>
      <c r="E631" s="14">
        <f>E509/VLOOKUP($C631,calendar!$A$2:$D$121,3,FALSE)</f>
        <v>-77</v>
      </c>
      <c r="F631" s="14">
        <f>F509/VLOOKUP($C631,calendar!$A$2:$D$121,3,FALSE)</f>
        <v>0</v>
      </c>
      <c r="G631" s="14">
        <f>G509/VLOOKUP($C631,calendar!$A$2:$D$121,3,FALSE)</f>
        <v>0</v>
      </c>
      <c r="H631" s="14">
        <f>H509/VLOOKUP($C631,calendar!$A$2:$D$121,3,FALSE)</f>
        <v>-200</v>
      </c>
      <c r="I631" s="14">
        <f>I509/VLOOKUP($C631,calendar!$A$2:$D$121,3,FALSE)</f>
        <v>0</v>
      </c>
      <c r="J631" s="14">
        <f>J509/VLOOKUP($C631,calendar!$A$2:$D$121,3,FALSE)</f>
        <v>0</v>
      </c>
      <c r="K631" s="14">
        <f>K509/VLOOKUP($C631,calendar!$A$2:$D$121,3,FALSE)</f>
        <v>0</v>
      </c>
      <c r="L631" s="14">
        <f>L509/VLOOKUP($C631,calendar!$A$2:$D$121,3,FALSE)</f>
        <v>0</v>
      </c>
      <c r="M631" s="14">
        <f>M509/VLOOKUP($C631,calendar!$A$2:$D$121,3,FALSE)</f>
        <v>0</v>
      </c>
      <c r="N631" s="14"/>
      <c r="O631" s="14">
        <f>O509/VLOOKUP($C631,calendar!$A$2:$D$121,3,FALSE)</f>
        <v>0</v>
      </c>
      <c r="P631" s="14">
        <f>P509/VLOOKUP($C631,calendar!$A$2:$D$121,3,FALSE)</f>
        <v>0</v>
      </c>
      <c r="Q631" s="14">
        <f>Q509/VLOOKUP($C631,calendar!$A$2:$D$121,3,FALSE)</f>
        <v>0</v>
      </c>
      <c r="R631" s="14">
        <f>R509/VLOOKUP($C631,calendar!$A$2:$D$121,3,FALSE)</f>
        <v>-100</v>
      </c>
    </row>
    <row r="632" spans="3:18" s="8" customFormat="1" x14ac:dyDescent="0.2">
      <c r="C632" s="9">
        <f t="shared" si="166"/>
        <v>37438</v>
      </c>
      <c r="E632" s="14">
        <f>E510/VLOOKUP($C632,calendar!$A$2:$D$121,3,FALSE)</f>
        <v>-77</v>
      </c>
      <c r="F632" s="14">
        <f>F510/VLOOKUP($C632,calendar!$A$2:$D$121,3,FALSE)</f>
        <v>0</v>
      </c>
      <c r="G632" s="14">
        <f>G510/VLOOKUP($C632,calendar!$A$2:$D$121,3,FALSE)</f>
        <v>0</v>
      </c>
      <c r="H632" s="14">
        <f>H510/VLOOKUP($C632,calendar!$A$2:$D$121,3,FALSE)</f>
        <v>-201.0204081632653</v>
      </c>
      <c r="I632" s="14">
        <f>I510/VLOOKUP($C632,calendar!$A$2:$D$121,3,FALSE)</f>
        <v>0</v>
      </c>
      <c r="J632" s="14">
        <f>J510/VLOOKUP($C632,calendar!$A$2:$D$121,3,FALSE)</f>
        <v>0</v>
      </c>
      <c r="K632" s="14">
        <f>K510/VLOOKUP($C632,calendar!$A$2:$D$121,3,FALSE)</f>
        <v>0</v>
      </c>
      <c r="L632" s="14">
        <f>L510/VLOOKUP($C632,calendar!$A$2:$D$121,3,FALSE)</f>
        <v>0</v>
      </c>
      <c r="M632" s="14">
        <f>M510/VLOOKUP($C632,calendar!$A$2:$D$121,3,FALSE)</f>
        <v>0</v>
      </c>
      <c r="N632" s="14"/>
      <c r="O632" s="14">
        <f>O510/VLOOKUP($C632,calendar!$A$2:$D$121,3,FALSE)</f>
        <v>0</v>
      </c>
      <c r="P632" s="14">
        <f>P510/VLOOKUP($C632,calendar!$A$2:$D$121,3,FALSE)</f>
        <v>0</v>
      </c>
      <c r="Q632" s="14">
        <f>Q510/VLOOKUP($C632,calendar!$A$2:$D$121,3,FALSE)</f>
        <v>0</v>
      </c>
      <c r="R632" s="14">
        <f>R510/VLOOKUP($C632,calendar!$A$2:$D$121,3,FALSE)</f>
        <v>-100</v>
      </c>
    </row>
    <row r="633" spans="3:18" s="8" customFormat="1" x14ac:dyDescent="0.2">
      <c r="C633" s="9">
        <f t="shared" si="166"/>
        <v>37469</v>
      </c>
      <c r="E633" s="14">
        <f>E511/VLOOKUP($C633,calendar!$A$2:$D$121,3,FALSE)</f>
        <v>-77</v>
      </c>
      <c r="F633" s="14">
        <f>F511/VLOOKUP($C633,calendar!$A$2:$D$121,3,FALSE)</f>
        <v>0</v>
      </c>
      <c r="G633" s="14">
        <f>G511/VLOOKUP($C633,calendar!$A$2:$D$121,3,FALSE)</f>
        <v>0</v>
      </c>
      <c r="H633" s="14">
        <f>H511/VLOOKUP($C633,calendar!$A$2:$D$121,3,FALSE)</f>
        <v>-200</v>
      </c>
      <c r="I633" s="14">
        <f>I511/VLOOKUP($C633,calendar!$A$2:$D$121,3,FALSE)</f>
        <v>0</v>
      </c>
      <c r="J633" s="14">
        <f>J511/VLOOKUP($C633,calendar!$A$2:$D$121,3,FALSE)</f>
        <v>0</v>
      </c>
      <c r="K633" s="14">
        <f>K511/VLOOKUP($C633,calendar!$A$2:$D$121,3,FALSE)</f>
        <v>0</v>
      </c>
      <c r="L633" s="14">
        <f>L511/VLOOKUP($C633,calendar!$A$2:$D$121,3,FALSE)</f>
        <v>0</v>
      </c>
      <c r="M633" s="14">
        <f>M511/VLOOKUP($C633,calendar!$A$2:$D$121,3,FALSE)</f>
        <v>0</v>
      </c>
      <c r="N633" s="14"/>
      <c r="O633" s="14">
        <f>O511/VLOOKUP($C633,calendar!$A$2:$D$121,3,FALSE)</f>
        <v>0</v>
      </c>
      <c r="P633" s="14">
        <f>P511/VLOOKUP($C633,calendar!$A$2:$D$121,3,FALSE)</f>
        <v>0</v>
      </c>
      <c r="Q633" s="14">
        <f>Q511/VLOOKUP($C633,calendar!$A$2:$D$121,3,FALSE)</f>
        <v>0</v>
      </c>
      <c r="R633" s="14">
        <f>R511/VLOOKUP($C633,calendar!$A$2:$D$121,3,FALSE)</f>
        <v>-100</v>
      </c>
    </row>
    <row r="634" spans="3:18" s="8" customFormat="1" x14ac:dyDescent="0.2">
      <c r="C634" s="9">
        <f t="shared" si="166"/>
        <v>37500</v>
      </c>
      <c r="E634" s="14">
        <f>E512/VLOOKUP($C634,calendar!$A$2:$D$121,3,FALSE)</f>
        <v>-77</v>
      </c>
      <c r="F634" s="14">
        <f>F512/VLOOKUP($C634,calendar!$A$2:$D$121,3,FALSE)</f>
        <v>0</v>
      </c>
      <c r="G634" s="14">
        <f>G512/VLOOKUP($C634,calendar!$A$2:$D$121,3,FALSE)</f>
        <v>0</v>
      </c>
      <c r="H634" s="14">
        <f>H512/VLOOKUP($C634,calendar!$A$2:$D$121,3,FALSE)</f>
        <v>-201</v>
      </c>
      <c r="I634" s="14">
        <f>I512/VLOOKUP($C634,calendar!$A$2:$D$121,3,FALSE)</f>
        <v>0</v>
      </c>
      <c r="J634" s="14">
        <f>J512/VLOOKUP($C634,calendar!$A$2:$D$121,3,FALSE)</f>
        <v>0</v>
      </c>
      <c r="K634" s="14">
        <f>K512/VLOOKUP($C634,calendar!$A$2:$D$121,3,FALSE)</f>
        <v>0</v>
      </c>
      <c r="L634" s="14">
        <f>L512/VLOOKUP($C634,calendar!$A$2:$D$121,3,FALSE)</f>
        <v>0</v>
      </c>
      <c r="M634" s="14">
        <f>M512/VLOOKUP($C634,calendar!$A$2:$D$121,3,FALSE)</f>
        <v>0</v>
      </c>
      <c r="N634" s="14"/>
      <c r="O634" s="14">
        <f>O512/VLOOKUP($C634,calendar!$A$2:$D$121,3,FALSE)</f>
        <v>0</v>
      </c>
      <c r="P634" s="14">
        <f>P512/VLOOKUP($C634,calendar!$A$2:$D$121,3,FALSE)</f>
        <v>0</v>
      </c>
      <c r="Q634" s="14">
        <f>Q512/VLOOKUP($C634,calendar!$A$2:$D$121,3,FALSE)</f>
        <v>0</v>
      </c>
      <c r="R634" s="14">
        <f>R512/VLOOKUP($C634,calendar!$A$2:$D$121,3,FALSE)</f>
        <v>-100</v>
      </c>
    </row>
    <row r="635" spans="3:18" s="8" customFormat="1" x14ac:dyDescent="0.2">
      <c r="C635" s="9">
        <f t="shared" si="166"/>
        <v>37530</v>
      </c>
      <c r="E635" s="14">
        <f>E513/VLOOKUP($C635,calendar!$A$2:$D$121,3,FALSE)</f>
        <v>-77.204787234042556</v>
      </c>
      <c r="F635" s="14">
        <f>F513/VLOOKUP($C635,calendar!$A$2:$D$121,3,FALSE)</f>
        <v>0</v>
      </c>
      <c r="G635" s="14">
        <f>G513/VLOOKUP($C635,calendar!$A$2:$D$121,3,FALSE)</f>
        <v>0</v>
      </c>
      <c r="H635" s="14">
        <f>H513/VLOOKUP($C635,calendar!$A$2:$D$121,3,FALSE)</f>
        <v>-200.53191489361703</v>
      </c>
      <c r="I635" s="14">
        <f>I513/VLOOKUP($C635,calendar!$A$2:$D$121,3,FALSE)</f>
        <v>0</v>
      </c>
      <c r="J635" s="14">
        <f>J513/VLOOKUP($C635,calendar!$A$2:$D$121,3,FALSE)</f>
        <v>0</v>
      </c>
      <c r="K635" s="14">
        <f>K513/VLOOKUP($C635,calendar!$A$2:$D$121,3,FALSE)</f>
        <v>0</v>
      </c>
      <c r="L635" s="14">
        <f>L513/VLOOKUP($C635,calendar!$A$2:$D$121,3,FALSE)</f>
        <v>0</v>
      </c>
      <c r="M635" s="14">
        <f>M513/VLOOKUP($C635,calendar!$A$2:$D$121,3,FALSE)</f>
        <v>0</v>
      </c>
      <c r="N635" s="14"/>
      <c r="O635" s="14">
        <f>O513/VLOOKUP($C635,calendar!$A$2:$D$121,3,FALSE)</f>
        <v>0</v>
      </c>
      <c r="P635" s="14">
        <f>P513/VLOOKUP($C635,calendar!$A$2:$D$121,3,FALSE)</f>
        <v>0</v>
      </c>
      <c r="Q635" s="14">
        <f>Q513/VLOOKUP($C635,calendar!$A$2:$D$121,3,FALSE)</f>
        <v>0</v>
      </c>
      <c r="R635" s="14">
        <f>R513/VLOOKUP($C635,calendar!$A$2:$D$121,3,FALSE)</f>
        <v>-100.26595744680851</v>
      </c>
    </row>
    <row r="636" spans="3:18" s="8" customFormat="1" x14ac:dyDescent="0.2">
      <c r="C636" s="9">
        <f t="shared" si="166"/>
        <v>37561</v>
      </c>
      <c r="E636" s="14">
        <f>E514/VLOOKUP($C636,calendar!$A$2:$D$121,3,FALSE)</f>
        <v>-77</v>
      </c>
      <c r="F636" s="14">
        <f>F514/VLOOKUP($C636,calendar!$A$2:$D$121,3,FALSE)</f>
        <v>0</v>
      </c>
      <c r="G636" s="14">
        <f>G514/VLOOKUP($C636,calendar!$A$2:$D$121,3,FALSE)</f>
        <v>0</v>
      </c>
      <c r="H636" s="14">
        <f>H514/VLOOKUP($C636,calendar!$A$2:$D$121,3,FALSE)</f>
        <v>-201</v>
      </c>
      <c r="I636" s="14">
        <f>I514/VLOOKUP($C636,calendar!$A$2:$D$121,3,FALSE)</f>
        <v>0</v>
      </c>
      <c r="J636" s="14">
        <f>J514/VLOOKUP($C636,calendar!$A$2:$D$121,3,FALSE)</f>
        <v>0</v>
      </c>
      <c r="K636" s="14">
        <f>K514/VLOOKUP($C636,calendar!$A$2:$D$121,3,FALSE)</f>
        <v>0</v>
      </c>
      <c r="L636" s="14">
        <f>L514/VLOOKUP($C636,calendar!$A$2:$D$121,3,FALSE)</f>
        <v>0</v>
      </c>
      <c r="M636" s="14">
        <f>M514/VLOOKUP($C636,calendar!$A$2:$D$121,3,FALSE)</f>
        <v>0</v>
      </c>
      <c r="N636" s="14"/>
      <c r="O636" s="14">
        <f>O514/VLOOKUP($C636,calendar!$A$2:$D$121,3,FALSE)</f>
        <v>0</v>
      </c>
      <c r="P636" s="14">
        <f>P514/VLOOKUP($C636,calendar!$A$2:$D$121,3,FALSE)</f>
        <v>0</v>
      </c>
      <c r="Q636" s="14">
        <f>Q514/VLOOKUP($C636,calendar!$A$2:$D$121,3,FALSE)</f>
        <v>0</v>
      </c>
      <c r="R636" s="14">
        <f>R514/VLOOKUP($C636,calendar!$A$2:$D$121,3,FALSE)</f>
        <v>-100</v>
      </c>
    </row>
    <row r="637" spans="3:18" s="8" customFormat="1" x14ac:dyDescent="0.2">
      <c r="C637" s="9">
        <f t="shared" si="166"/>
        <v>37591</v>
      </c>
      <c r="E637" s="14">
        <f>E515/VLOOKUP($C637,calendar!$A$2:$D$121,3,FALSE)</f>
        <v>-77</v>
      </c>
      <c r="F637" s="14">
        <f>F515/VLOOKUP($C637,calendar!$A$2:$D$121,3,FALSE)</f>
        <v>0</v>
      </c>
      <c r="G637" s="14">
        <f>G515/VLOOKUP($C637,calendar!$A$2:$D$121,3,FALSE)</f>
        <v>0</v>
      </c>
      <c r="H637" s="14">
        <f>H515/VLOOKUP($C637,calendar!$A$2:$D$121,3,FALSE)</f>
        <v>-200.98039215686273</v>
      </c>
      <c r="I637" s="14">
        <f>I515/VLOOKUP($C637,calendar!$A$2:$D$121,3,FALSE)</f>
        <v>0</v>
      </c>
      <c r="J637" s="14">
        <f>J515/VLOOKUP($C637,calendar!$A$2:$D$121,3,FALSE)</f>
        <v>0</v>
      </c>
      <c r="K637" s="14">
        <f>K515/VLOOKUP($C637,calendar!$A$2:$D$121,3,FALSE)</f>
        <v>0</v>
      </c>
      <c r="L637" s="14">
        <f>L515/VLOOKUP($C637,calendar!$A$2:$D$121,3,FALSE)</f>
        <v>0</v>
      </c>
      <c r="M637" s="14">
        <f>M515/VLOOKUP($C637,calendar!$A$2:$D$121,3,FALSE)</f>
        <v>0</v>
      </c>
      <c r="N637" s="14"/>
      <c r="O637" s="14">
        <f>O515/VLOOKUP($C637,calendar!$A$2:$D$121,3,FALSE)</f>
        <v>0</v>
      </c>
      <c r="P637" s="14">
        <f>P515/VLOOKUP($C637,calendar!$A$2:$D$121,3,FALSE)</f>
        <v>0</v>
      </c>
      <c r="Q637" s="14">
        <f>Q515/VLOOKUP($C637,calendar!$A$2:$D$121,3,FALSE)</f>
        <v>0</v>
      </c>
      <c r="R637" s="14">
        <f>R515/VLOOKUP($C637,calendar!$A$2:$D$121,3,FALSE)</f>
        <v>-100</v>
      </c>
    </row>
    <row r="638" spans="3:18" s="8" customFormat="1" x14ac:dyDescent="0.2">
      <c r="C638" s="9">
        <f t="shared" si="166"/>
        <v>37622</v>
      </c>
      <c r="E638" s="14">
        <f>E516/VLOOKUP($C638,calendar!$A$2:$D$121,3,FALSE)</f>
        <v>-277</v>
      </c>
      <c r="F638" s="14">
        <f>F516/VLOOKUP($C638,calendar!$A$2:$D$121,3,FALSE)</f>
        <v>0</v>
      </c>
      <c r="G638" s="14">
        <f>G516/VLOOKUP($C638,calendar!$A$2:$D$121,3,FALSE)</f>
        <v>0</v>
      </c>
      <c r="H638" s="14">
        <f>H516/VLOOKUP($C638,calendar!$A$2:$D$121,3,FALSE)</f>
        <v>-51.020408163265309</v>
      </c>
      <c r="I638" s="14">
        <f>I516/VLOOKUP($C638,calendar!$A$2:$D$121,3,FALSE)</f>
        <v>0</v>
      </c>
      <c r="J638" s="14">
        <f>J516/VLOOKUP($C638,calendar!$A$2:$D$121,3,FALSE)</f>
        <v>0</v>
      </c>
      <c r="K638" s="14">
        <f>K516/VLOOKUP($C638,calendar!$A$2:$D$121,3,FALSE)</f>
        <v>0</v>
      </c>
      <c r="L638" s="14">
        <f>L516/VLOOKUP($C638,calendar!$A$2:$D$121,3,FALSE)</f>
        <v>0</v>
      </c>
      <c r="M638" s="14">
        <f>M516/VLOOKUP($C638,calendar!$A$2:$D$121,3,FALSE)</f>
        <v>0</v>
      </c>
      <c r="N638" s="14"/>
      <c r="O638" s="14">
        <f>O516/VLOOKUP($C638,calendar!$A$2:$D$121,3,FALSE)</f>
        <v>0</v>
      </c>
      <c r="P638" s="14">
        <f>P516/VLOOKUP($C638,calendar!$A$2:$D$121,3,FALSE)</f>
        <v>0</v>
      </c>
      <c r="Q638" s="14">
        <f>Q516/VLOOKUP($C638,calendar!$A$2:$D$121,3,FALSE)</f>
        <v>25</v>
      </c>
      <c r="R638" s="14">
        <f>R516/VLOOKUP($C638,calendar!$A$2:$D$121,3,FALSE)</f>
        <v>0</v>
      </c>
    </row>
    <row r="639" spans="3:18" s="8" customFormat="1" x14ac:dyDescent="0.2">
      <c r="C639" s="9">
        <f t="shared" si="166"/>
        <v>37653</v>
      </c>
      <c r="E639" s="14">
        <f>E517/VLOOKUP($C639,calendar!$A$2:$D$121,3,FALSE)</f>
        <v>-277</v>
      </c>
      <c r="F639" s="14">
        <f>F517/VLOOKUP($C639,calendar!$A$2:$D$121,3,FALSE)</f>
        <v>0</v>
      </c>
      <c r="G639" s="14">
        <f>G517/VLOOKUP($C639,calendar!$A$2:$D$121,3,FALSE)</f>
        <v>0</v>
      </c>
      <c r="H639" s="14">
        <f>H517/VLOOKUP($C639,calendar!$A$2:$D$121,3,FALSE)</f>
        <v>-50</v>
      </c>
      <c r="I639" s="14">
        <f>I517/VLOOKUP($C639,calendar!$A$2:$D$121,3,FALSE)</f>
        <v>0</v>
      </c>
      <c r="J639" s="14">
        <f>J517/VLOOKUP($C639,calendar!$A$2:$D$121,3,FALSE)</f>
        <v>0</v>
      </c>
      <c r="K639" s="14">
        <f>K517/VLOOKUP($C639,calendar!$A$2:$D$121,3,FALSE)</f>
        <v>0</v>
      </c>
      <c r="L639" s="14">
        <f>L517/VLOOKUP($C639,calendar!$A$2:$D$121,3,FALSE)</f>
        <v>0</v>
      </c>
      <c r="M639" s="14">
        <f>M517/VLOOKUP($C639,calendar!$A$2:$D$121,3,FALSE)</f>
        <v>0</v>
      </c>
      <c r="N639" s="14"/>
      <c r="O639" s="14">
        <f>O517/VLOOKUP($C639,calendar!$A$2:$D$121,3,FALSE)</f>
        <v>0</v>
      </c>
      <c r="P639" s="14">
        <f>P517/VLOOKUP($C639,calendar!$A$2:$D$121,3,FALSE)</f>
        <v>0</v>
      </c>
      <c r="Q639" s="14">
        <f>Q517/VLOOKUP($C639,calendar!$A$2:$D$121,3,FALSE)</f>
        <v>25</v>
      </c>
      <c r="R639" s="14">
        <f>R517/VLOOKUP($C639,calendar!$A$2:$D$121,3,FALSE)</f>
        <v>0</v>
      </c>
    </row>
    <row r="640" spans="3:18" s="8" customFormat="1" x14ac:dyDescent="0.2">
      <c r="C640" s="9">
        <f t="shared" si="166"/>
        <v>37681</v>
      </c>
      <c r="E640" s="14">
        <f>E518/VLOOKUP($C640,calendar!$A$2:$D$121,3,FALSE)</f>
        <v>-277</v>
      </c>
      <c r="F640" s="14">
        <f>F518/VLOOKUP($C640,calendar!$A$2:$D$121,3,FALSE)</f>
        <v>0</v>
      </c>
      <c r="G640" s="14">
        <f>G518/VLOOKUP($C640,calendar!$A$2:$D$121,3,FALSE)</f>
        <v>0</v>
      </c>
      <c r="H640" s="14">
        <f>H518/VLOOKUP($C640,calendar!$A$2:$D$121,3,FALSE)</f>
        <v>-50</v>
      </c>
      <c r="I640" s="14">
        <f>I518/VLOOKUP($C640,calendar!$A$2:$D$121,3,FALSE)</f>
        <v>0</v>
      </c>
      <c r="J640" s="14">
        <f>J518/VLOOKUP($C640,calendar!$A$2:$D$121,3,FALSE)</f>
        <v>0</v>
      </c>
      <c r="K640" s="14">
        <f>K518/VLOOKUP($C640,calendar!$A$2:$D$121,3,FALSE)</f>
        <v>0</v>
      </c>
      <c r="L640" s="14">
        <f>L518/VLOOKUP($C640,calendar!$A$2:$D$121,3,FALSE)</f>
        <v>0</v>
      </c>
      <c r="M640" s="14">
        <f>M518/VLOOKUP($C640,calendar!$A$2:$D$121,3,FALSE)</f>
        <v>0</v>
      </c>
      <c r="N640" s="14"/>
      <c r="O640" s="14">
        <f>O518/VLOOKUP($C640,calendar!$A$2:$D$121,3,FALSE)</f>
        <v>0</v>
      </c>
      <c r="P640" s="14">
        <f>P518/VLOOKUP($C640,calendar!$A$2:$D$121,3,FALSE)</f>
        <v>0</v>
      </c>
      <c r="Q640" s="14">
        <f>Q518/VLOOKUP($C640,calendar!$A$2:$D$121,3,FALSE)</f>
        <v>25</v>
      </c>
      <c r="R640" s="14">
        <f>R518/VLOOKUP($C640,calendar!$A$2:$D$121,3,FALSE)</f>
        <v>0</v>
      </c>
    </row>
    <row r="641" spans="3:18" s="8" customFormat="1" x14ac:dyDescent="0.2">
      <c r="C641" s="9">
        <f t="shared" si="166"/>
        <v>37712</v>
      </c>
      <c r="E641" s="14">
        <f>E519/VLOOKUP($C641,calendar!$A$2:$D$121,3,FALSE)</f>
        <v>-276.24728260869563</v>
      </c>
      <c r="F641" s="14">
        <f>F519/VLOOKUP($C641,calendar!$A$2:$D$121,3,FALSE)</f>
        <v>0</v>
      </c>
      <c r="G641" s="14">
        <f>G519/VLOOKUP($C641,calendar!$A$2:$D$121,3,FALSE)</f>
        <v>0</v>
      </c>
      <c r="H641" s="14">
        <f>H519/VLOOKUP($C641,calendar!$A$2:$D$121,3,FALSE)</f>
        <v>-49.864130434782609</v>
      </c>
      <c r="I641" s="14">
        <f>I519/VLOOKUP($C641,calendar!$A$2:$D$121,3,FALSE)</f>
        <v>0</v>
      </c>
      <c r="J641" s="14">
        <f>J519/VLOOKUP($C641,calendar!$A$2:$D$121,3,FALSE)</f>
        <v>0</v>
      </c>
      <c r="K641" s="14">
        <f>K519/VLOOKUP($C641,calendar!$A$2:$D$121,3,FALSE)</f>
        <v>0</v>
      </c>
      <c r="L641" s="14">
        <f>L519/VLOOKUP($C641,calendar!$A$2:$D$121,3,FALSE)</f>
        <v>0</v>
      </c>
      <c r="M641" s="14">
        <f>M519/VLOOKUP($C641,calendar!$A$2:$D$121,3,FALSE)</f>
        <v>0</v>
      </c>
      <c r="N641" s="14"/>
      <c r="O641" s="14">
        <f>O519/VLOOKUP($C641,calendar!$A$2:$D$121,3,FALSE)</f>
        <v>0</v>
      </c>
      <c r="P641" s="14">
        <f>P519/VLOOKUP($C641,calendar!$A$2:$D$121,3,FALSE)</f>
        <v>0</v>
      </c>
      <c r="Q641" s="14">
        <f>Q519/VLOOKUP($C641,calendar!$A$2:$D$121,3,FALSE)</f>
        <v>24.932065217391305</v>
      </c>
      <c r="R641" s="14">
        <f>R519/VLOOKUP($C641,calendar!$A$2:$D$121,3,FALSE)</f>
        <v>0</v>
      </c>
    </row>
    <row r="642" spans="3:18" s="8" customFormat="1" x14ac:dyDescent="0.2">
      <c r="C642" s="9">
        <f t="shared" si="166"/>
        <v>37742</v>
      </c>
      <c r="E642" s="14">
        <f>E520/VLOOKUP($C642,calendar!$A$2:$D$121,3,FALSE)</f>
        <v>-277</v>
      </c>
      <c r="F642" s="14">
        <f>F520/VLOOKUP($C642,calendar!$A$2:$D$121,3,FALSE)</f>
        <v>0</v>
      </c>
      <c r="G642" s="14">
        <f>G520/VLOOKUP($C642,calendar!$A$2:$D$121,3,FALSE)</f>
        <v>0</v>
      </c>
      <c r="H642" s="14">
        <f>H520/VLOOKUP($C642,calendar!$A$2:$D$121,3,FALSE)</f>
        <v>-50.980392156862742</v>
      </c>
      <c r="I642" s="14">
        <f>I520/VLOOKUP($C642,calendar!$A$2:$D$121,3,FALSE)</f>
        <v>0</v>
      </c>
      <c r="J642" s="14">
        <f>J520/VLOOKUP($C642,calendar!$A$2:$D$121,3,FALSE)</f>
        <v>0</v>
      </c>
      <c r="K642" s="14">
        <f>K520/VLOOKUP($C642,calendar!$A$2:$D$121,3,FALSE)</f>
        <v>0</v>
      </c>
      <c r="L642" s="14">
        <f>L520/VLOOKUP($C642,calendar!$A$2:$D$121,3,FALSE)</f>
        <v>0</v>
      </c>
      <c r="M642" s="14">
        <f>M520/VLOOKUP($C642,calendar!$A$2:$D$121,3,FALSE)</f>
        <v>0</v>
      </c>
      <c r="N642" s="14"/>
      <c r="O642" s="14">
        <f>O520/VLOOKUP($C642,calendar!$A$2:$D$121,3,FALSE)</f>
        <v>0</v>
      </c>
      <c r="P642" s="14">
        <f>P520/VLOOKUP($C642,calendar!$A$2:$D$121,3,FALSE)</f>
        <v>0</v>
      </c>
      <c r="Q642" s="14">
        <f>Q520/VLOOKUP($C642,calendar!$A$2:$D$121,3,FALSE)</f>
        <v>25</v>
      </c>
      <c r="R642" s="14">
        <f>R520/VLOOKUP($C642,calendar!$A$2:$D$121,3,FALSE)</f>
        <v>0</v>
      </c>
    </row>
    <row r="643" spans="3:18" s="8" customFormat="1" x14ac:dyDescent="0.2">
      <c r="C643" s="9">
        <f t="shared" si="166"/>
        <v>37773</v>
      </c>
      <c r="E643" s="14">
        <f>E521/VLOOKUP($C643,calendar!$A$2:$D$121,3,FALSE)</f>
        <v>-277</v>
      </c>
      <c r="F643" s="14">
        <f>F521/VLOOKUP($C643,calendar!$A$2:$D$121,3,FALSE)</f>
        <v>0</v>
      </c>
      <c r="G643" s="14">
        <f>G521/VLOOKUP($C643,calendar!$A$2:$D$121,3,FALSE)</f>
        <v>0</v>
      </c>
      <c r="H643" s="14">
        <f>H521/VLOOKUP($C643,calendar!$A$2:$D$121,3,FALSE)</f>
        <v>-50</v>
      </c>
      <c r="I643" s="14">
        <f>I521/VLOOKUP($C643,calendar!$A$2:$D$121,3,FALSE)</f>
        <v>0</v>
      </c>
      <c r="J643" s="14">
        <f>J521/VLOOKUP($C643,calendar!$A$2:$D$121,3,FALSE)</f>
        <v>0</v>
      </c>
      <c r="K643" s="14">
        <f>K521/VLOOKUP($C643,calendar!$A$2:$D$121,3,FALSE)</f>
        <v>0</v>
      </c>
      <c r="L643" s="14">
        <f>L521/VLOOKUP($C643,calendar!$A$2:$D$121,3,FALSE)</f>
        <v>0</v>
      </c>
      <c r="M643" s="14">
        <f>M521/VLOOKUP($C643,calendar!$A$2:$D$121,3,FALSE)</f>
        <v>0</v>
      </c>
      <c r="N643" s="14"/>
      <c r="O643" s="14">
        <f>O521/VLOOKUP($C643,calendar!$A$2:$D$121,3,FALSE)</f>
        <v>0</v>
      </c>
      <c r="P643" s="14">
        <f>P521/VLOOKUP($C643,calendar!$A$2:$D$121,3,FALSE)</f>
        <v>0</v>
      </c>
      <c r="Q643" s="14">
        <f>Q521/VLOOKUP($C643,calendar!$A$2:$D$121,3,FALSE)</f>
        <v>25</v>
      </c>
      <c r="R643" s="14">
        <f>R521/VLOOKUP($C643,calendar!$A$2:$D$121,3,FALSE)</f>
        <v>0</v>
      </c>
    </row>
    <row r="644" spans="3:18" s="8" customFormat="1" x14ac:dyDescent="0.2">
      <c r="C644" s="9">
        <f t="shared" si="166"/>
        <v>37803</v>
      </c>
      <c r="E644" s="14">
        <f>E522/VLOOKUP($C644,calendar!$A$2:$D$121,3,FALSE)</f>
        <v>-277</v>
      </c>
      <c r="F644" s="14">
        <f>F522/VLOOKUP($C644,calendar!$A$2:$D$121,3,FALSE)</f>
        <v>0</v>
      </c>
      <c r="G644" s="14">
        <f>G522/VLOOKUP($C644,calendar!$A$2:$D$121,3,FALSE)</f>
        <v>0</v>
      </c>
      <c r="H644" s="14">
        <f>H522/VLOOKUP($C644,calendar!$A$2:$D$121,3,FALSE)</f>
        <v>-51.020408163265309</v>
      </c>
      <c r="I644" s="14">
        <f>I522/VLOOKUP($C644,calendar!$A$2:$D$121,3,FALSE)</f>
        <v>0</v>
      </c>
      <c r="J644" s="14">
        <f>J522/VLOOKUP($C644,calendar!$A$2:$D$121,3,FALSE)</f>
        <v>0</v>
      </c>
      <c r="K644" s="14">
        <f>K522/VLOOKUP($C644,calendar!$A$2:$D$121,3,FALSE)</f>
        <v>0</v>
      </c>
      <c r="L644" s="14">
        <f>L522/VLOOKUP($C644,calendar!$A$2:$D$121,3,FALSE)</f>
        <v>0</v>
      </c>
      <c r="M644" s="14">
        <f>M522/VLOOKUP($C644,calendar!$A$2:$D$121,3,FALSE)</f>
        <v>0</v>
      </c>
      <c r="N644" s="14"/>
      <c r="O644" s="14">
        <f>O522/VLOOKUP($C644,calendar!$A$2:$D$121,3,FALSE)</f>
        <v>0</v>
      </c>
      <c r="P644" s="14">
        <f>P522/VLOOKUP($C644,calendar!$A$2:$D$121,3,FALSE)</f>
        <v>0</v>
      </c>
      <c r="Q644" s="14">
        <f>Q522/VLOOKUP($C644,calendar!$A$2:$D$121,3,FALSE)</f>
        <v>25</v>
      </c>
      <c r="R644" s="14">
        <f>R522/VLOOKUP($C644,calendar!$A$2:$D$121,3,FALSE)</f>
        <v>0</v>
      </c>
    </row>
    <row r="645" spans="3:18" s="8" customFormat="1" x14ac:dyDescent="0.2">
      <c r="C645" s="9">
        <f t="shared" si="166"/>
        <v>37834</v>
      </c>
      <c r="E645" s="14">
        <f>E523/VLOOKUP($C645,calendar!$A$2:$D$121,3,FALSE)</f>
        <v>-277</v>
      </c>
      <c r="F645" s="14">
        <f>F523/VLOOKUP($C645,calendar!$A$2:$D$121,3,FALSE)</f>
        <v>0</v>
      </c>
      <c r="G645" s="14">
        <f>G523/VLOOKUP($C645,calendar!$A$2:$D$121,3,FALSE)</f>
        <v>0</v>
      </c>
      <c r="H645" s="14">
        <f>H523/VLOOKUP($C645,calendar!$A$2:$D$121,3,FALSE)</f>
        <v>-50</v>
      </c>
      <c r="I645" s="14">
        <f>I523/VLOOKUP($C645,calendar!$A$2:$D$121,3,FALSE)</f>
        <v>0</v>
      </c>
      <c r="J645" s="14">
        <f>J523/VLOOKUP($C645,calendar!$A$2:$D$121,3,FALSE)</f>
        <v>0</v>
      </c>
      <c r="K645" s="14">
        <f>K523/VLOOKUP($C645,calendar!$A$2:$D$121,3,FALSE)</f>
        <v>0</v>
      </c>
      <c r="L645" s="14">
        <f>L523/VLOOKUP($C645,calendar!$A$2:$D$121,3,FALSE)</f>
        <v>0</v>
      </c>
      <c r="M645" s="14">
        <f>M523/VLOOKUP($C645,calendar!$A$2:$D$121,3,FALSE)</f>
        <v>0</v>
      </c>
      <c r="N645" s="14"/>
      <c r="O645" s="14">
        <f>O523/VLOOKUP($C645,calendar!$A$2:$D$121,3,FALSE)</f>
        <v>0</v>
      </c>
      <c r="P645" s="14">
        <f>P523/VLOOKUP($C645,calendar!$A$2:$D$121,3,FALSE)</f>
        <v>0</v>
      </c>
      <c r="Q645" s="14">
        <f>Q523/VLOOKUP($C645,calendar!$A$2:$D$121,3,FALSE)</f>
        <v>25</v>
      </c>
      <c r="R645" s="14">
        <f>R523/VLOOKUP($C645,calendar!$A$2:$D$121,3,FALSE)</f>
        <v>0</v>
      </c>
    </row>
    <row r="646" spans="3:18" s="8" customFormat="1" x14ac:dyDescent="0.2">
      <c r="C646" s="9">
        <f t="shared" si="166"/>
        <v>37865</v>
      </c>
      <c r="E646" s="14">
        <f>E524/VLOOKUP($C646,calendar!$A$2:$D$121,3,FALSE)</f>
        <v>-277</v>
      </c>
      <c r="F646" s="14">
        <f>F524/VLOOKUP($C646,calendar!$A$2:$D$121,3,FALSE)</f>
        <v>0</v>
      </c>
      <c r="G646" s="14">
        <f>G524/VLOOKUP($C646,calendar!$A$2:$D$121,3,FALSE)</f>
        <v>0</v>
      </c>
      <c r="H646" s="14">
        <f>H524/VLOOKUP($C646,calendar!$A$2:$D$121,3,FALSE)</f>
        <v>-51.041666666666664</v>
      </c>
      <c r="I646" s="14">
        <f>I524/VLOOKUP($C646,calendar!$A$2:$D$121,3,FALSE)</f>
        <v>0</v>
      </c>
      <c r="J646" s="14">
        <f>J524/VLOOKUP($C646,calendar!$A$2:$D$121,3,FALSE)</f>
        <v>0</v>
      </c>
      <c r="K646" s="14">
        <f>K524/VLOOKUP($C646,calendar!$A$2:$D$121,3,FALSE)</f>
        <v>0</v>
      </c>
      <c r="L646" s="14">
        <f>L524/VLOOKUP($C646,calendar!$A$2:$D$121,3,FALSE)</f>
        <v>0</v>
      </c>
      <c r="M646" s="14">
        <f>M524/VLOOKUP($C646,calendar!$A$2:$D$121,3,FALSE)</f>
        <v>0</v>
      </c>
      <c r="N646" s="14"/>
      <c r="O646" s="14">
        <f>O524/VLOOKUP($C646,calendar!$A$2:$D$121,3,FALSE)</f>
        <v>0</v>
      </c>
      <c r="P646" s="14">
        <f>P524/VLOOKUP($C646,calendar!$A$2:$D$121,3,FALSE)</f>
        <v>0</v>
      </c>
      <c r="Q646" s="14">
        <f>Q524/VLOOKUP($C646,calendar!$A$2:$D$121,3,FALSE)</f>
        <v>25</v>
      </c>
      <c r="R646" s="14">
        <f>R524/VLOOKUP($C646,calendar!$A$2:$D$121,3,FALSE)</f>
        <v>0</v>
      </c>
    </row>
    <row r="647" spans="3:18" s="8" customFormat="1" x14ac:dyDescent="0.2">
      <c r="C647" s="9">
        <f t="shared" si="166"/>
        <v>37895</v>
      </c>
      <c r="E647" s="14">
        <f>E525/VLOOKUP($C647,calendar!$A$2:$D$121,3,FALSE)</f>
        <v>-277.73670212765956</v>
      </c>
      <c r="F647" s="14">
        <f>F525/VLOOKUP($C647,calendar!$A$2:$D$121,3,FALSE)</f>
        <v>0</v>
      </c>
      <c r="G647" s="14">
        <f>G525/VLOOKUP($C647,calendar!$A$2:$D$121,3,FALSE)</f>
        <v>0</v>
      </c>
      <c r="H647" s="14">
        <f>H525/VLOOKUP($C647,calendar!$A$2:$D$121,3,FALSE)</f>
        <v>-50.132978723404257</v>
      </c>
      <c r="I647" s="14">
        <f>I525/VLOOKUP($C647,calendar!$A$2:$D$121,3,FALSE)</f>
        <v>0</v>
      </c>
      <c r="J647" s="14">
        <f>J525/VLOOKUP($C647,calendar!$A$2:$D$121,3,FALSE)</f>
        <v>0</v>
      </c>
      <c r="K647" s="14">
        <f>K525/VLOOKUP($C647,calendar!$A$2:$D$121,3,FALSE)</f>
        <v>0</v>
      </c>
      <c r="L647" s="14">
        <f>L525/VLOOKUP($C647,calendar!$A$2:$D$121,3,FALSE)</f>
        <v>0</v>
      </c>
      <c r="M647" s="14">
        <f>M525/VLOOKUP($C647,calendar!$A$2:$D$121,3,FALSE)</f>
        <v>0</v>
      </c>
      <c r="N647" s="14"/>
      <c r="O647" s="14">
        <f>O525/VLOOKUP($C647,calendar!$A$2:$D$121,3,FALSE)</f>
        <v>0</v>
      </c>
      <c r="P647" s="14">
        <f>P525/VLOOKUP($C647,calendar!$A$2:$D$121,3,FALSE)</f>
        <v>0</v>
      </c>
      <c r="Q647" s="14">
        <f>Q525/VLOOKUP($C647,calendar!$A$2:$D$121,3,FALSE)</f>
        <v>25.066489361702128</v>
      </c>
      <c r="R647" s="14">
        <f>R525/VLOOKUP($C647,calendar!$A$2:$D$121,3,FALSE)</f>
        <v>0</v>
      </c>
    </row>
    <row r="648" spans="3:18" s="8" customFormat="1" x14ac:dyDescent="0.2">
      <c r="C648" s="9">
        <f t="shared" si="166"/>
        <v>37926</v>
      </c>
      <c r="E648" s="14">
        <f>E526/VLOOKUP($C648,calendar!$A$2:$D$121,3,FALSE)</f>
        <v>-277</v>
      </c>
      <c r="F648" s="14">
        <f>F526/VLOOKUP($C648,calendar!$A$2:$D$121,3,FALSE)</f>
        <v>0</v>
      </c>
      <c r="G648" s="14">
        <f>G526/VLOOKUP($C648,calendar!$A$2:$D$121,3,FALSE)</f>
        <v>0</v>
      </c>
      <c r="H648" s="14">
        <f>H526/VLOOKUP($C648,calendar!$A$2:$D$121,3,FALSE)</f>
        <v>-50.96153846153846</v>
      </c>
      <c r="I648" s="14">
        <f>I526/VLOOKUP($C648,calendar!$A$2:$D$121,3,FALSE)</f>
        <v>0</v>
      </c>
      <c r="J648" s="14">
        <f>J526/VLOOKUP($C648,calendar!$A$2:$D$121,3,FALSE)</f>
        <v>0</v>
      </c>
      <c r="K648" s="14">
        <f>K526/VLOOKUP($C648,calendar!$A$2:$D$121,3,FALSE)</f>
        <v>0</v>
      </c>
      <c r="L648" s="14">
        <f>L526/VLOOKUP($C648,calendar!$A$2:$D$121,3,FALSE)</f>
        <v>0</v>
      </c>
      <c r="M648" s="14">
        <f>M526/VLOOKUP($C648,calendar!$A$2:$D$121,3,FALSE)</f>
        <v>0</v>
      </c>
      <c r="N648" s="14"/>
      <c r="O648" s="14">
        <f>O526/VLOOKUP($C648,calendar!$A$2:$D$121,3,FALSE)</f>
        <v>0</v>
      </c>
      <c r="P648" s="14">
        <f>P526/VLOOKUP($C648,calendar!$A$2:$D$121,3,FALSE)</f>
        <v>0</v>
      </c>
      <c r="Q648" s="14">
        <f>Q526/VLOOKUP($C648,calendar!$A$2:$D$121,3,FALSE)</f>
        <v>25</v>
      </c>
      <c r="R648" s="14">
        <f>R526/VLOOKUP($C648,calendar!$A$2:$D$121,3,FALSE)</f>
        <v>0</v>
      </c>
    </row>
    <row r="649" spans="3:18" s="8" customFormat="1" x14ac:dyDescent="0.2">
      <c r="C649" s="9">
        <f t="shared" si="166"/>
        <v>37956</v>
      </c>
      <c r="E649" s="14">
        <f>E527/VLOOKUP($C649,calendar!$A$2:$D$121,3,FALSE)</f>
        <v>-277</v>
      </c>
      <c r="F649" s="14">
        <f>F527/VLOOKUP($C649,calendar!$A$2:$D$121,3,FALSE)</f>
        <v>0</v>
      </c>
      <c r="G649" s="14">
        <f>G527/VLOOKUP($C649,calendar!$A$2:$D$121,3,FALSE)</f>
        <v>0</v>
      </c>
      <c r="H649" s="14">
        <f>H527/VLOOKUP($C649,calendar!$A$2:$D$121,3,FALSE)</f>
        <v>-51.020408163265309</v>
      </c>
      <c r="I649" s="14">
        <f>I527/VLOOKUP($C649,calendar!$A$2:$D$121,3,FALSE)</f>
        <v>0</v>
      </c>
      <c r="J649" s="14">
        <f>J527/VLOOKUP($C649,calendar!$A$2:$D$121,3,FALSE)</f>
        <v>0</v>
      </c>
      <c r="K649" s="14">
        <f>K527/VLOOKUP($C649,calendar!$A$2:$D$121,3,FALSE)</f>
        <v>0</v>
      </c>
      <c r="L649" s="14">
        <f>L527/VLOOKUP($C649,calendar!$A$2:$D$121,3,FALSE)</f>
        <v>0</v>
      </c>
      <c r="M649" s="14">
        <f>M527/VLOOKUP($C649,calendar!$A$2:$D$121,3,FALSE)</f>
        <v>0</v>
      </c>
      <c r="N649" s="14"/>
      <c r="O649" s="14">
        <f>O527/VLOOKUP($C649,calendar!$A$2:$D$121,3,FALSE)</f>
        <v>0</v>
      </c>
      <c r="P649" s="14">
        <f>P527/VLOOKUP($C649,calendar!$A$2:$D$121,3,FALSE)</f>
        <v>0</v>
      </c>
      <c r="Q649" s="14">
        <f>Q527/VLOOKUP($C649,calendar!$A$2:$D$121,3,FALSE)</f>
        <v>25</v>
      </c>
      <c r="R649" s="14">
        <f>R527/VLOOKUP($C649,calendar!$A$2:$D$121,3,FALSE)</f>
        <v>0</v>
      </c>
    </row>
    <row r="650" spans="3:18" s="8" customFormat="1" x14ac:dyDescent="0.2">
      <c r="C650" s="9">
        <f t="shared" si="166"/>
        <v>37987</v>
      </c>
      <c r="E650" s="14">
        <f>E528/VLOOKUP($C650,calendar!$A$2:$D$121,3,FALSE)</f>
        <v>73</v>
      </c>
      <c r="F650" s="14">
        <f>F528/VLOOKUP($C650,calendar!$A$2:$D$121,3,FALSE)</f>
        <v>0</v>
      </c>
      <c r="G650" s="14">
        <f>G528/VLOOKUP($C650,calendar!$A$2:$D$121,3,FALSE)</f>
        <v>0</v>
      </c>
      <c r="H650" s="14">
        <f>H528/VLOOKUP($C650,calendar!$A$2:$D$121,3,FALSE)</f>
        <v>0</v>
      </c>
      <c r="I650" s="14">
        <f>I528/VLOOKUP($C650,calendar!$A$2:$D$121,3,FALSE)</f>
        <v>0</v>
      </c>
      <c r="J650" s="14">
        <f>J528/VLOOKUP($C650,calendar!$A$2:$D$121,3,FALSE)</f>
        <v>0</v>
      </c>
      <c r="K650" s="14">
        <f>K528/VLOOKUP($C650,calendar!$A$2:$D$121,3,FALSE)</f>
        <v>0</v>
      </c>
      <c r="L650" s="14">
        <f>L528/VLOOKUP($C650,calendar!$A$2:$D$121,3,FALSE)</f>
        <v>0</v>
      </c>
      <c r="M650" s="14">
        <f>M528/VLOOKUP($C650,calendar!$A$2:$D$121,3,FALSE)</f>
        <v>0</v>
      </c>
      <c r="N650" s="14"/>
      <c r="O650" s="14">
        <f>O528/VLOOKUP($C650,calendar!$A$2:$D$121,3,FALSE)</f>
        <v>0</v>
      </c>
      <c r="P650" s="14">
        <f>P528/VLOOKUP($C650,calendar!$A$2:$D$121,3,FALSE)</f>
        <v>0</v>
      </c>
      <c r="Q650" s="14">
        <f>Q528/VLOOKUP($C650,calendar!$A$2:$D$121,3,FALSE)</f>
        <v>0</v>
      </c>
      <c r="R650" s="14">
        <f>R528/VLOOKUP($C650,calendar!$A$2:$D$121,3,FALSE)</f>
        <v>0</v>
      </c>
    </row>
    <row r="651" spans="3:18" s="8" customFormat="1" x14ac:dyDescent="0.2">
      <c r="C651" s="9">
        <f t="shared" si="166"/>
        <v>38018</v>
      </c>
      <c r="E651" s="14">
        <f>E529/VLOOKUP($C651,calendar!$A$2:$D$121,3,FALSE)</f>
        <v>73</v>
      </c>
      <c r="F651" s="14">
        <f>F529/VLOOKUP($C651,calendar!$A$2:$D$121,3,FALSE)</f>
        <v>0</v>
      </c>
      <c r="G651" s="14">
        <f>G529/VLOOKUP($C651,calendar!$A$2:$D$121,3,FALSE)</f>
        <v>0</v>
      </c>
      <c r="H651" s="14">
        <f>H529/VLOOKUP($C651,calendar!$A$2:$D$121,3,FALSE)</f>
        <v>0</v>
      </c>
      <c r="I651" s="14">
        <f>I529/VLOOKUP($C651,calendar!$A$2:$D$121,3,FALSE)</f>
        <v>0</v>
      </c>
      <c r="J651" s="14">
        <f>J529/VLOOKUP($C651,calendar!$A$2:$D$121,3,FALSE)</f>
        <v>0</v>
      </c>
      <c r="K651" s="14">
        <f>K529/VLOOKUP($C651,calendar!$A$2:$D$121,3,FALSE)</f>
        <v>0</v>
      </c>
      <c r="L651" s="14">
        <f>L529/VLOOKUP($C651,calendar!$A$2:$D$121,3,FALSE)</f>
        <v>0</v>
      </c>
      <c r="M651" s="14">
        <f>M529/VLOOKUP($C651,calendar!$A$2:$D$121,3,FALSE)</f>
        <v>0</v>
      </c>
      <c r="N651" s="14"/>
      <c r="O651" s="14">
        <f>O529/VLOOKUP($C651,calendar!$A$2:$D$121,3,FALSE)</f>
        <v>0</v>
      </c>
      <c r="P651" s="14">
        <f>P529/VLOOKUP($C651,calendar!$A$2:$D$121,3,FALSE)</f>
        <v>0</v>
      </c>
      <c r="Q651" s="14">
        <f>Q529/VLOOKUP($C651,calendar!$A$2:$D$121,3,FALSE)</f>
        <v>0</v>
      </c>
      <c r="R651" s="14">
        <f>R529/VLOOKUP($C651,calendar!$A$2:$D$121,3,FALSE)</f>
        <v>0</v>
      </c>
    </row>
    <row r="652" spans="3:18" s="8" customFormat="1" x14ac:dyDescent="0.2">
      <c r="C652" s="9">
        <f t="shared" si="166"/>
        <v>38047</v>
      </c>
      <c r="E652" s="14">
        <f>E530/VLOOKUP($C652,calendar!$A$2:$D$121,3,FALSE)</f>
        <v>73</v>
      </c>
      <c r="F652" s="14">
        <f>F530/VLOOKUP($C652,calendar!$A$2:$D$121,3,FALSE)</f>
        <v>0</v>
      </c>
      <c r="G652" s="14">
        <f>G530/VLOOKUP($C652,calendar!$A$2:$D$121,3,FALSE)</f>
        <v>0</v>
      </c>
      <c r="H652" s="14">
        <f>H530/VLOOKUP($C652,calendar!$A$2:$D$121,3,FALSE)</f>
        <v>0</v>
      </c>
      <c r="I652" s="14">
        <f>I530/VLOOKUP($C652,calendar!$A$2:$D$121,3,FALSE)</f>
        <v>0</v>
      </c>
      <c r="J652" s="14">
        <f>J530/VLOOKUP($C652,calendar!$A$2:$D$121,3,FALSE)</f>
        <v>0</v>
      </c>
      <c r="K652" s="14">
        <f>K530/VLOOKUP($C652,calendar!$A$2:$D$121,3,FALSE)</f>
        <v>0</v>
      </c>
      <c r="L652" s="14">
        <f>L530/VLOOKUP($C652,calendar!$A$2:$D$121,3,FALSE)</f>
        <v>0</v>
      </c>
      <c r="M652" s="14">
        <f>M530/VLOOKUP($C652,calendar!$A$2:$D$121,3,FALSE)</f>
        <v>0</v>
      </c>
      <c r="N652" s="14"/>
      <c r="O652" s="14">
        <f>O530/VLOOKUP($C652,calendar!$A$2:$D$121,3,FALSE)</f>
        <v>0</v>
      </c>
      <c r="P652" s="14">
        <f>P530/VLOOKUP($C652,calendar!$A$2:$D$121,3,FALSE)</f>
        <v>0</v>
      </c>
      <c r="Q652" s="14">
        <f>Q530/VLOOKUP($C652,calendar!$A$2:$D$121,3,FALSE)</f>
        <v>0</v>
      </c>
      <c r="R652" s="14">
        <f>R530/VLOOKUP($C652,calendar!$A$2:$D$121,3,FALSE)</f>
        <v>0</v>
      </c>
    </row>
    <row r="653" spans="3:18" s="8" customFormat="1" x14ac:dyDescent="0.2">
      <c r="C653" s="9">
        <f t="shared" si="166"/>
        <v>38078</v>
      </c>
      <c r="E653" s="14">
        <f>E531/VLOOKUP($C653,calendar!$A$2:$D$121,3,FALSE)</f>
        <v>72.801630434782609</v>
      </c>
      <c r="F653" s="14">
        <f>F531/VLOOKUP($C653,calendar!$A$2:$D$121,3,FALSE)</f>
        <v>0</v>
      </c>
      <c r="G653" s="14">
        <f>G531/VLOOKUP($C653,calendar!$A$2:$D$121,3,FALSE)</f>
        <v>0</v>
      </c>
      <c r="H653" s="14">
        <f>H531/VLOOKUP($C653,calendar!$A$2:$D$121,3,FALSE)</f>
        <v>0</v>
      </c>
      <c r="I653" s="14">
        <f>I531/VLOOKUP($C653,calendar!$A$2:$D$121,3,FALSE)</f>
        <v>0</v>
      </c>
      <c r="J653" s="14">
        <f>J531/VLOOKUP($C653,calendar!$A$2:$D$121,3,FALSE)</f>
        <v>0</v>
      </c>
      <c r="K653" s="14">
        <f>K531/VLOOKUP($C653,calendar!$A$2:$D$121,3,FALSE)</f>
        <v>0</v>
      </c>
      <c r="L653" s="14">
        <f>L531/VLOOKUP($C653,calendar!$A$2:$D$121,3,FALSE)</f>
        <v>0</v>
      </c>
      <c r="M653" s="14">
        <f>M531/VLOOKUP($C653,calendar!$A$2:$D$121,3,FALSE)</f>
        <v>0</v>
      </c>
      <c r="N653" s="14"/>
      <c r="O653" s="14">
        <f>O531/VLOOKUP($C653,calendar!$A$2:$D$121,3,FALSE)</f>
        <v>0</v>
      </c>
      <c r="P653" s="14">
        <f>P531/VLOOKUP($C653,calendar!$A$2:$D$121,3,FALSE)</f>
        <v>0</v>
      </c>
      <c r="Q653" s="14">
        <f>Q531/VLOOKUP($C653,calendar!$A$2:$D$121,3,FALSE)</f>
        <v>0</v>
      </c>
      <c r="R653" s="14">
        <f>R531/VLOOKUP($C653,calendar!$A$2:$D$121,3,FALSE)</f>
        <v>0</v>
      </c>
    </row>
    <row r="654" spans="3:18" s="8" customFormat="1" x14ac:dyDescent="0.2">
      <c r="C654" s="9">
        <f t="shared" si="166"/>
        <v>38108</v>
      </c>
      <c r="E654" s="14">
        <f>E532/VLOOKUP($C654,calendar!$A$2:$D$121,3,FALSE)</f>
        <v>73</v>
      </c>
      <c r="F654" s="14">
        <f>F532/VLOOKUP($C654,calendar!$A$2:$D$121,3,FALSE)</f>
        <v>0</v>
      </c>
      <c r="G654" s="14">
        <f>G532/VLOOKUP($C654,calendar!$A$2:$D$121,3,FALSE)</f>
        <v>0</v>
      </c>
      <c r="H654" s="14">
        <f>H532/VLOOKUP($C654,calendar!$A$2:$D$121,3,FALSE)</f>
        <v>0</v>
      </c>
      <c r="I654" s="14">
        <f>I532/VLOOKUP($C654,calendar!$A$2:$D$121,3,FALSE)</f>
        <v>0</v>
      </c>
      <c r="J654" s="14">
        <f>J532/VLOOKUP($C654,calendar!$A$2:$D$121,3,FALSE)</f>
        <v>0</v>
      </c>
      <c r="K654" s="14">
        <f>K532/VLOOKUP($C654,calendar!$A$2:$D$121,3,FALSE)</f>
        <v>0</v>
      </c>
      <c r="L654" s="14">
        <f>L532/VLOOKUP($C654,calendar!$A$2:$D$121,3,FALSE)</f>
        <v>0</v>
      </c>
      <c r="M654" s="14">
        <f>M532/VLOOKUP($C654,calendar!$A$2:$D$121,3,FALSE)</f>
        <v>0</v>
      </c>
      <c r="N654" s="14"/>
      <c r="O654" s="14">
        <f>O532/VLOOKUP($C654,calendar!$A$2:$D$121,3,FALSE)</f>
        <v>0</v>
      </c>
      <c r="P654" s="14">
        <f>P532/VLOOKUP($C654,calendar!$A$2:$D$121,3,FALSE)</f>
        <v>0</v>
      </c>
      <c r="Q654" s="14">
        <f>Q532/VLOOKUP($C654,calendar!$A$2:$D$121,3,FALSE)</f>
        <v>0</v>
      </c>
      <c r="R654" s="14">
        <f>R532/VLOOKUP($C654,calendar!$A$2:$D$121,3,FALSE)</f>
        <v>0</v>
      </c>
    </row>
    <row r="655" spans="3:18" s="8" customFormat="1" x14ac:dyDescent="0.2">
      <c r="C655" s="9">
        <f t="shared" si="166"/>
        <v>38139</v>
      </c>
      <c r="E655" s="14">
        <f>E533/VLOOKUP($C655,calendar!$A$2:$D$121,3,FALSE)</f>
        <v>73</v>
      </c>
      <c r="F655" s="14">
        <f>F533/VLOOKUP($C655,calendar!$A$2:$D$121,3,FALSE)</f>
        <v>0</v>
      </c>
      <c r="G655" s="14">
        <f>G533/VLOOKUP($C655,calendar!$A$2:$D$121,3,FALSE)</f>
        <v>0</v>
      </c>
      <c r="H655" s="14">
        <f>H533/VLOOKUP($C655,calendar!$A$2:$D$121,3,FALSE)</f>
        <v>0</v>
      </c>
      <c r="I655" s="14">
        <f>I533/VLOOKUP($C655,calendar!$A$2:$D$121,3,FALSE)</f>
        <v>0</v>
      </c>
      <c r="J655" s="14">
        <f>J533/VLOOKUP($C655,calendar!$A$2:$D$121,3,FALSE)</f>
        <v>0</v>
      </c>
      <c r="K655" s="14">
        <f>K533/VLOOKUP($C655,calendar!$A$2:$D$121,3,FALSE)</f>
        <v>0</v>
      </c>
      <c r="L655" s="14">
        <f>L533/VLOOKUP($C655,calendar!$A$2:$D$121,3,FALSE)</f>
        <v>0</v>
      </c>
      <c r="M655" s="14">
        <f>M533/VLOOKUP($C655,calendar!$A$2:$D$121,3,FALSE)</f>
        <v>0</v>
      </c>
      <c r="N655" s="14"/>
      <c r="O655" s="14">
        <f>O533/VLOOKUP($C655,calendar!$A$2:$D$121,3,FALSE)</f>
        <v>0</v>
      </c>
      <c r="P655" s="14">
        <f>P533/VLOOKUP($C655,calendar!$A$2:$D$121,3,FALSE)</f>
        <v>0</v>
      </c>
      <c r="Q655" s="14">
        <f>Q533/VLOOKUP($C655,calendar!$A$2:$D$121,3,FALSE)</f>
        <v>0</v>
      </c>
      <c r="R655" s="14">
        <f>R533/VLOOKUP($C655,calendar!$A$2:$D$121,3,FALSE)</f>
        <v>0</v>
      </c>
    </row>
    <row r="656" spans="3:18" s="8" customFormat="1" x14ac:dyDescent="0.2">
      <c r="C656" s="9">
        <f t="shared" si="166"/>
        <v>38169</v>
      </c>
      <c r="E656" s="14">
        <f>E534/VLOOKUP($C656,calendar!$A$2:$D$121,3,FALSE)</f>
        <v>73</v>
      </c>
      <c r="F656" s="14">
        <f>F534/VLOOKUP($C656,calendar!$A$2:$D$121,3,FALSE)</f>
        <v>0</v>
      </c>
      <c r="G656" s="14">
        <f>G534/VLOOKUP($C656,calendar!$A$2:$D$121,3,FALSE)</f>
        <v>0</v>
      </c>
      <c r="H656" s="14">
        <f>H534/VLOOKUP($C656,calendar!$A$2:$D$121,3,FALSE)</f>
        <v>0</v>
      </c>
      <c r="I656" s="14">
        <f>I534/VLOOKUP($C656,calendar!$A$2:$D$121,3,FALSE)</f>
        <v>0</v>
      </c>
      <c r="J656" s="14">
        <f>J534/VLOOKUP($C656,calendar!$A$2:$D$121,3,FALSE)</f>
        <v>0</v>
      </c>
      <c r="K656" s="14">
        <f>K534/VLOOKUP($C656,calendar!$A$2:$D$121,3,FALSE)</f>
        <v>0</v>
      </c>
      <c r="L656" s="14">
        <f>L534/VLOOKUP($C656,calendar!$A$2:$D$121,3,FALSE)</f>
        <v>0</v>
      </c>
      <c r="M656" s="14">
        <f>M534/VLOOKUP($C656,calendar!$A$2:$D$121,3,FALSE)</f>
        <v>0</v>
      </c>
      <c r="N656" s="14"/>
      <c r="O656" s="14">
        <f>O534/VLOOKUP($C656,calendar!$A$2:$D$121,3,FALSE)</f>
        <v>0</v>
      </c>
      <c r="P656" s="14">
        <f>P534/VLOOKUP($C656,calendar!$A$2:$D$121,3,FALSE)</f>
        <v>0</v>
      </c>
      <c r="Q656" s="14">
        <f>Q534/VLOOKUP($C656,calendar!$A$2:$D$121,3,FALSE)</f>
        <v>0</v>
      </c>
      <c r="R656" s="14">
        <f>R534/VLOOKUP($C656,calendar!$A$2:$D$121,3,FALSE)</f>
        <v>0</v>
      </c>
    </row>
    <row r="657" spans="3:18" s="8" customFormat="1" x14ac:dyDescent="0.2">
      <c r="C657" s="9">
        <f t="shared" si="166"/>
        <v>38200</v>
      </c>
      <c r="E657" s="14">
        <f>E535/VLOOKUP($C657,calendar!$A$2:$D$121,3,FALSE)</f>
        <v>73</v>
      </c>
      <c r="F657" s="14">
        <f>F535/VLOOKUP($C657,calendar!$A$2:$D$121,3,FALSE)</f>
        <v>0</v>
      </c>
      <c r="G657" s="14">
        <f>G535/VLOOKUP($C657,calendar!$A$2:$D$121,3,FALSE)</f>
        <v>0</v>
      </c>
      <c r="H657" s="14">
        <f>H535/VLOOKUP($C657,calendar!$A$2:$D$121,3,FALSE)</f>
        <v>0</v>
      </c>
      <c r="I657" s="14">
        <f>I535/VLOOKUP($C657,calendar!$A$2:$D$121,3,FALSE)</f>
        <v>0</v>
      </c>
      <c r="J657" s="14">
        <f>J535/VLOOKUP($C657,calendar!$A$2:$D$121,3,FALSE)</f>
        <v>0</v>
      </c>
      <c r="K657" s="14">
        <f>K535/VLOOKUP($C657,calendar!$A$2:$D$121,3,FALSE)</f>
        <v>0</v>
      </c>
      <c r="L657" s="14">
        <f>L535/VLOOKUP($C657,calendar!$A$2:$D$121,3,FALSE)</f>
        <v>0</v>
      </c>
      <c r="M657" s="14">
        <f>M535/VLOOKUP($C657,calendar!$A$2:$D$121,3,FALSE)</f>
        <v>0</v>
      </c>
      <c r="N657" s="14"/>
      <c r="O657" s="14">
        <f>O535/VLOOKUP($C657,calendar!$A$2:$D$121,3,FALSE)</f>
        <v>0</v>
      </c>
      <c r="P657" s="14">
        <f>P535/VLOOKUP($C657,calendar!$A$2:$D$121,3,FALSE)</f>
        <v>0</v>
      </c>
      <c r="Q657" s="14">
        <f>Q535/VLOOKUP($C657,calendar!$A$2:$D$121,3,FALSE)</f>
        <v>0</v>
      </c>
      <c r="R657" s="14">
        <f>R535/VLOOKUP($C657,calendar!$A$2:$D$121,3,FALSE)</f>
        <v>0</v>
      </c>
    </row>
    <row r="658" spans="3:18" s="8" customFormat="1" x14ac:dyDescent="0.2">
      <c r="C658" s="9">
        <f t="shared" si="166"/>
        <v>38231</v>
      </c>
      <c r="E658" s="14">
        <f>E536/VLOOKUP($C658,calendar!$A$2:$D$121,3,FALSE)</f>
        <v>73</v>
      </c>
      <c r="F658" s="14">
        <f>F536/VLOOKUP($C658,calendar!$A$2:$D$121,3,FALSE)</f>
        <v>0</v>
      </c>
      <c r="G658" s="14">
        <f>G536/VLOOKUP($C658,calendar!$A$2:$D$121,3,FALSE)</f>
        <v>0</v>
      </c>
      <c r="H658" s="14">
        <f>H536/VLOOKUP($C658,calendar!$A$2:$D$121,3,FALSE)</f>
        <v>0</v>
      </c>
      <c r="I658" s="14">
        <f>I536/VLOOKUP($C658,calendar!$A$2:$D$121,3,FALSE)</f>
        <v>0</v>
      </c>
      <c r="J658" s="14">
        <f>J536/VLOOKUP($C658,calendar!$A$2:$D$121,3,FALSE)</f>
        <v>0</v>
      </c>
      <c r="K658" s="14">
        <f>K536/VLOOKUP($C658,calendar!$A$2:$D$121,3,FALSE)</f>
        <v>0</v>
      </c>
      <c r="L658" s="14">
        <f>L536/VLOOKUP($C658,calendar!$A$2:$D$121,3,FALSE)</f>
        <v>0</v>
      </c>
      <c r="M658" s="14">
        <f>M536/VLOOKUP($C658,calendar!$A$2:$D$121,3,FALSE)</f>
        <v>0</v>
      </c>
      <c r="N658" s="14"/>
      <c r="O658" s="14">
        <f>O536/VLOOKUP($C658,calendar!$A$2:$D$121,3,FALSE)</f>
        <v>0</v>
      </c>
      <c r="P658" s="14">
        <f>P536/VLOOKUP($C658,calendar!$A$2:$D$121,3,FALSE)</f>
        <v>0</v>
      </c>
      <c r="Q658" s="14">
        <f>Q536/VLOOKUP($C658,calendar!$A$2:$D$121,3,FALSE)</f>
        <v>0</v>
      </c>
      <c r="R658" s="14">
        <f>R536/VLOOKUP($C658,calendar!$A$2:$D$121,3,FALSE)</f>
        <v>0</v>
      </c>
    </row>
    <row r="659" spans="3:18" s="8" customFormat="1" x14ac:dyDescent="0.2">
      <c r="C659" s="9">
        <f t="shared" si="166"/>
        <v>38261</v>
      </c>
      <c r="E659" s="14">
        <f>E537/VLOOKUP($C659,calendar!$A$2:$D$121,3,FALSE)</f>
        <v>73.178921568627445</v>
      </c>
      <c r="F659" s="14">
        <f>F537/VLOOKUP($C659,calendar!$A$2:$D$121,3,FALSE)</f>
        <v>0</v>
      </c>
      <c r="G659" s="14">
        <f>G537/VLOOKUP($C659,calendar!$A$2:$D$121,3,FALSE)</f>
        <v>0</v>
      </c>
      <c r="H659" s="14">
        <f>H537/VLOOKUP($C659,calendar!$A$2:$D$121,3,FALSE)</f>
        <v>0</v>
      </c>
      <c r="I659" s="14">
        <f>I537/VLOOKUP($C659,calendar!$A$2:$D$121,3,FALSE)</f>
        <v>0</v>
      </c>
      <c r="J659" s="14">
        <f>J537/VLOOKUP($C659,calendar!$A$2:$D$121,3,FALSE)</f>
        <v>0</v>
      </c>
      <c r="K659" s="14">
        <f>K537/VLOOKUP($C659,calendar!$A$2:$D$121,3,FALSE)</f>
        <v>0</v>
      </c>
      <c r="L659" s="14">
        <f>L537/VLOOKUP($C659,calendar!$A$2:$D$121,3,FALSE)</f>
        <v>0</v>
      </c>
      <c r="M659" s="14">
        <f>M537/VLOOKUP($C659,calendar!$A$2:$D$121,3,FALSE)</f>
        <v>0</v>
      </c>
      <c r="N659" s="14"/>
      <c r="O659" s="14">
        <f>O537/VLOOKUP($C659,calendar!$A$2:$D$121,3,FALSE)</f>
        <v>0</v>
      </c>
      <c r="P659" s="14">
        <f>P537/VLOOKUP($C659,calendar!$A$2:$D$121,3,FALSE)</f>
        <v>0</v>
      </c>
      <c r="Q659" s="14">
        <f>Q537/VLOOKUP($C659,calendar!$A$2:$D$121,3,FALSE)</f>
        <v>0</v>
      </c>
      <c r="R659" s="14">
        <f>R537/VLOOKUP($C659,calendar!$A$2:$D$121,3,FALSE)</f>
        <v>0</v>
      </c>
    </row>
    <row r="660" spans="3:18" s="8" customFormat="1" x14ac:dyDescent="0.2">
      <c r="C660" s="9">
        <f t="shared" si="166"/>
        <v>38292</v>
      </c>
      <c r="E660" s="14">
        <f>E538/VLOOKUP($C660,calendar!$A$2:$D$121,3,FALSE)</f>
        <v>73</v>
      </c>
      <c r="F660" s="14">
        <f>F538/VLOOKUP($C660,calendar!$A$2:$D$121,3,FALSE)</f>
        <v>0</v>
      </c>
      <c r="G660" s="14">
        <f>G538/VLOOKUP($C660,calendar!$A$2:$D$121,3,FALSE)</f>
        <v>0</v>
      </c>
      <c r="H660" s="14">
        <f>H538/VLOOKUP($C660,calendar!$A$2:$D$121,3,FALSE)</f>
        <v>0</v>
      </c>
      <c r="I660" s="14">
        <f>I538/VLOOKUP($C660,calendar!$A$2:$D$121,3,FALSE)</f>
        <v>0</v>
      </c>
      <c r="J660" s="14">
        <f>J538/VLOOKUP($C660,calendar!$A$2:$D$121,3,FALSE)</f>
        <v>0</v>
      </c>
      <c r="K660" s="14">
        <f>K538/VLOOKUP($C660,calendar!$A$2:$D$121,3,FALSE)</f>
        <v>0</v>
      </c>
      <c r="L660" s="14">
        <f>L538/VLOOKUP($C660,calendar!$A$2:$D$121,3,FALSE)</f>
        <v>0</v>
      </c>
      <c r="M660" s="14">
        <f>M538/VLOOKUP($C660,calendar!$A$2:$D$121,3,FALSE)</f>
        <v>0</v>
      </c>
      <c r="N660" s="14"/>
      <c r="O660" s="14">
        <f>O538/VLOOKUP($C660,calendar!$A$2:$D$121,3,FALSE)</f>
        <v>0</v>
      </c>
      <c r="P660" s="14">
        <f>P538/VLOOKUP($C660,calendar!$A$2:$D$121,3,FALSE)</f>
        <v>0</v>
      </c>
      <c r="Q660" s="14">
        <f>Q538/VLOOKUP($C660,calendar!$A$2:$D$121,3,FALSE)</f>
        <v>0</v>
      </c>
      <c r="R660" s="14">
        <f>R538/VLOOKUP($C660,calendar!$A$2:$D$121,3,FALSE)</f>
        <v>0</v>
      </c>
    </row>
    <row r="661" spans="3:18" s="8" customFormat="1" x14ac:dyDescent="0.2">
      <c r="C661" s="9">
        <f t="shared" si="166"/>
        <v>38322</v>
      </c>
      <c r="E661" s="14">
        <f>E539/VLOOKUP($C661,calendar!$A$2:$D$121,3,FALSE)</f>
        <v>73</v>
      </c>
      <c r="F661" s="14">
        <f>F539/VLOOKUP($C661,calendar!$A$2:$D$121,3,FALSE)</f>
        <v>0</v>
      </c>
      <c r="G661" s="14">
        <f>G539/VLOOKUP($C661,calendar!$A$2:$D$121,3,FALSE)</f>
        <v>0</v>
      </c>
      <c r="H661" s="14">
        <f>H539/VLOOKUP($C661,calendar!$A$2:$D$121,3,FALSE)</f>
        <v>0</v>
      </c>
      <c r="I661" s="14">
        <f>I539/VLOOKUP($C661,calendar!$A$2:$D$121,3,FALSE)</f>
        <v>0</v>
      </c>
      <c r="J661" s="14">
        <f>J539/VLOOKUP($C661,calendar!$A$2:$D$121,3,FALSE)</f>
        <v>0</v>
      </c>
      <c r="K661" s="14">
        <f>K539/VLOOKUP($C661,calendar!$A$2:$D$121,3,FALSE)</f>
        <v>0</v>
      </c>
      <c r="L661" s="14">
        <f>L539/VLOOKUP($C661,calendar!$A$2:$D$121,3,FALSE)</f>
        <v>0</v>
      </c>
      <c r="M661" s="14">
        <f>M539/VLOOKUP($C661,calendar!$A$2:$D$121,3,FALSE)</f>
        <v>0</v>
      </c>
      <c r="N661" s="14"/>
      <c r="O661" s="14">
        <f>O539/VLOOKUP($C661,calendar!$A$2:$D$121,3,FALSE)</f>
        <v>0</v>
      </c>
      <c r="P661" s="14">
        <f>P539/VLOOKUP($C661,calendar!$A$2:$D$121,3,FALSE)</f>
        <v>0</v>
      </c>
      <c r="Q661" s="14">
        <f>Q539/VLOOKUP($C661,calendar!$A$2:$D$121,3,FALSE)</f>
        <v>0</v>
      </c>
      <c r="R661" s="14">
        <f>R539/VLOOKUP($C661,calendar!$A$2:$D$121,3,FALSE)</f>
        <v>0</v>
      </c>
    </row>
    <row r="662" spans="3:18" s="8" customFormat="1" x14ac:dyDescent="0.2">
      <c r="C662" s="9">
        <f t="shared" si="166"/>
        <v>38353</v>
      </c>
      <c r="E662" s="14">
        <f>E540/VLOOKUP($C662,calendar!$A$2:$D$121,3,FALSE)</f>
        <v>173</v>
      </c>
      <c r="F662" s="14">
        <f>F540/VLOOKUP($C662,calendar!$A$2:$D$121,3,FALSE)</f>
        <v>0</v>
      </c>
      <c r="G662" s="14">
        <f>G540/VLOOKUP($C662,calendar!$A$2:$D$121,3,FALSE)</f>
        <v>0</v>
      </c>
      <c r="H662" s="14">
        <f>H540/VLOOKUP($C662,calendar!$A$2:$D$121,3,FALSE)</f>
        <v>0</v>
      </c>
      <c r="I662" s="14">
        <f>I540/VLOOKUP($C662,calendar!$A$2:$D$121,3,FALSE)</f>
        <v>0</v>
      </c>
      <c r="J662" s="14">
        <f>J540/VLOOKUP($C662,calendar!$A$2:$D$121,3,FALSE)</f>
        <v>0</v>
      </c>
      <c r="K662" s="14">
        <f>K540/VLOOKUP($C662,calendar!$A$2:$D$121,3,FALSE)</f>
        <v>0</v>
      </c>
      <c r="L662" s="14">
        <f>L540/VLOOKUP($C662,calendar!$A$2:$D$121,3,FALSE)</f>
        <v>0</v>
      </c>
      <c r="M662" s="14">
        <f>M540/VLOOKUP($C662,calendar!$A$2:$D$121,3,FALSE)</f>
        <v>0</v>
      </c>
      <c r="N662" s="14"/>
      <c r="O662" s="14">
        <f>O540/VLOOKUP($C662,calendar!$A$2:$D$121,3,FALSE)</f>
        <v>0</v>
      </c>
      <c r="P662" s="14">
        <f>P540/VLOOKUP($C662,calendar!$A$2:$D$121,3,FALSE)</f>
        <v>0</v>
      </c>
      <c r="Q662" s="14">
        <f>Q540/VLOOKUP($C662,calendar!$A$2:$D$121,3,FALSE)</f>
        <v>0</v>
      </c>
      <c r="R662" s="14">
        <f>R540/VLOOKUP($C662,calendar!$A$2:$D$121,3,FALSE)</f>
        <v>0</v>
      </c>
    </row>
    <row r="663" spans="3:18" s="8" customFormat="1" x14ac:dyDescent="0.2">
      <c r="C663" s="9">
        <f t="shared" si="166"/>
        <v>38384</v>
      </c>
      <c r="E663" s="14">
        <f>E541/VLOOKUP($C663,calendar!$A$2:$D$121,3,FALSE)</f>
        <v>173</v>
      </c>
      <c r="F663" s="14">
        <f>F541/VLOOKUP($C663,calendar!$A$2:$D$121,3,FALSE)</f>
        <v>0</v>
      </c>
      <c r="G663" s="14">
        <f>G541/VLOOKUP($C663,calendar!$A$2:$D$121,3,FALSE)</f>
        <v>0</v>
      </c>
      <c r="H663" s="14">
        <f>H541/VLOOKUP($C663,calendar!$A$2:$D$121,3,FALSE)</f>
        <v>0</v>
      </c>
      <c r="I663" s="14">
        <f>I541/VLOOKUP($C663,calendar!$A$2:$D$121,3,FALSE)</f>
        <v>0</v>
      </c>
      <c r="J663" s="14">
        <f>J541/VLOOKUP($C663,calendar!$A$2:$D$121,3,FALSE)</f>
        <v>0</v>
      </c>
      <c r="K663" s="14">
        <f>K541/VLOOKUP($C663,calendar!$A$2:$D$121,3,FALSE)</f>
        <v>0</v>
      </c>
      <c r="L663" s="14">
        <f>L541/VLOOKUP($C663,calendar!$A$2:$D$121,3,FALSE)</f>
        <v>0</v>
      </c>
      <c r="M663" s="14">
        <f>M541/VLOOKUP($C663,calendar!$A$2:$D$121,3,FALSE)</f>
        <v>0</v>
      </c>
      <c r="N663" s="14"/>
      <c r="O663" s="14">
        <f>O541/VLOOKUP($C663,calendar!$A$2:$D$121,3,FALSE)</f>
        <v>0</v>
      </c>
      <c r="P663" s="14">
        <f>P541/VLOOKUP($C663,calendar!$A$2:$D$121,3,FALSE)</f>
        <v>0</v>
      </c>
      <c r="Q663" s="14">
        <f>Q541/VLOOKUP($C663,calendar!$A$2:$D$121,3,FALSE)</f>
        <v>0</v>
      </c>
      <c r="R663" s="14">
        <f>R541/VLOOKUP($C663,calendar!$A$2:$D$121,3,FALSE)</f>
        <v>0</v>
      </c>
    </row>
    <row r="664" spans="3:18" s="8" customFormat="1" x14ac:dyDescent="0.2">
      <c r="C664" s="9">
        <f t="shared" si="166"/>
        <v>38412</v>
      </c>
      <c r="E664" s="14">
        <f>E542/VLOOKUP($C664,calendar!$A$2:$D$121,3,FALSE)</f>
        <v>173</v>
      </c>
      <c r="F664" s="14">
        <f>F542/VLOOKUP($C664,calendar!$A$2:$D$121,3,FALSE)</f>
        <v>0</v>
      </c>
      <c r="G664" s="14">
        <f>G542/VLOOKUP($C664,calendar!$A$2:$D$121,3,FALSE)</f>
        <v>0</v>
      </c>
      <c r="H664" s="14">
        <f>H542/VLOOKUP($C664,calendar!$A$2:$D$121,3,FALSE)</f>
        <v>0</v>
      </c>
      <c r="I664" s="14">
        <f>I542/VLOOKUP($C664,calendar!$A$2:$D$121,3,FALSE)</f>
        <v>0</v>
      </c>
      <c r="J664" s="14">
        <f>J542/VLOOKUP($C664,calendar!$A$2:$D$121,3,FALSE)</f>
        <v>0</v>
      </c>
      <c r="K664" s="14">
        <f>K542/VLOOKUP($C664,calendar!$A$2:$D$121,3,FALSE)</f>
        <v>0</v>
      </c>
      <c r="L664" s="14">
        <f>L542/VLOOKUP($C664,calendar!$A$2:$D$121,3,FALSE)</f>
        <v>0</v>
      </c>
      <c r="M664" s="14">
        <f>M542/VLOOKUP($C664,calendar!$A$2:$D$121,3,FALSE)</f>
        <v>0</v>
      </c>
      <c r="N664" s="14"/>
      <c r="O664" s="14">
        <f>O542/VLOOKUP($C664,calendar!$A$2:$D$121,3,FALSE)</f>
        <v>0</v>
      </c>
      <c r="P664" s="14">
        <f>P542/VLOOKUP($C664,calendar!$A$2:$D$121,3,FALSE)</f>
        <v>0</v>
      </c>
      <c r="Q664" s="14">
        <f>Q542/VLOOKUP($C664,calendar!$A$2:$D$121,3,FALSE)</f>
        <v>0</v>
      </c>
      <c r="R664" s="14">
        <f>R542/VLOOKUP($C664,calendar!$A$2:$D$121,3,FALSE)</f>
        <v>0</v>
      </c>
    </row>
    <row r="665" spans="3:18" s="8" customFormat="1" x14ac:dyDescent="0.2">
      <c r="C665" s="9">
        <f t="shared" si="166"/>
        <v>38443</v>
      </c>
      <c r="E665" s="14">
        <f>E543/VLOOKUP($C665,calendar!$A$2:$D$121,3,FALSE)</f>
        <v>172.54947916666666</v>
      </c>
      <c r="F665" s="14">
        <f>F543/VLOOKUP($C665,calendar!$A$2:$D$121,3,FALSE)</f>
        <v>0</v>
      </c>
      <c r="G665" s="14">
        <f>G543/VLOOKUP($C665,calendar!$A$2:$D$121,3,FALSE)</f>
        <v>0</v>
      </c>
      <c r="H665" s="14">
        <f>H543/VLOOKUP($C665,calendar!$A$2:$D$121,3,FALSE)</f>
        <v>0</v>
      </c>
      <c r="I665" s="14">
        <f>I543/VLOOKUP($C665,calendar!$A$2:$D$121,3,FALSE)</f>
        <v>0</v>
      </c>
      <c r="J665" s="14">
        <f>J543/VLOOKUP($C665,calendar!$A$2:$D$121,3,FALSE)</f>
        <v>0</v>
      </c>
      <c r="K665" s="14">
        <f>K543/VLOOKUP($C665,calendar!$A$2:$D$121,3,FALSE)</f>
        <v>0</v>
      </c>
      <c r="L665" s="14">
        <f>L543/VLOOKUP($C665,calendar!$A$2:$D$121,3,FALSE)</f>
        <v>0</v>
      </c>
      <c r="M665" s="14">
        <f>M543/VLOOKUP($C665,calendar!$A$2:$D$121,3,FALSE)</f>
        <v>0</v>
      </c>
      <c r="N665" s="14"/>
      <c r="O665" s="14">
        <f>O543/VLOOKUP($C665,calendar!$A$2:$D$121,3,FALSE)</f>
        <v>0</v>
      </c>
      <c r="P665" s="14">
        <f>P543/VLOOKUP($C665,calendar!$A$2:$D$121,3,FALSE)</f>
        <v>0</v>
      </c>
      <c r="Q665" s="14">
        <f>Q543/VLOOKUP($C665,calendar!$A$2:$D$121,3,FALSE)</f>
        <v>0</v>
      </c>
      <c r="R665" s="14">
        <f>R543/VLOOKUP($C665,calendar!$A$2:$D$121,3,FALSE)</f>
        <v>0</v>
      </c>
    </row>
    <row r="666" spans="3:18" s="8" customFormat="1" x14ac:dyDescent="0.2">
      <c r="C666" s="9">
        <f t="shared" si="166"/>
        <v>38473</v>
      </c>
      <c r="E666" s="14">
        <f>E544/VLOOKUP($C666,calendar!$A$2:$D$121,3,FALSE)</f>
        <v>173</v>
      </c>
      <c r="F666" s="14">
        <f>F544/VLOOKUP($C666,calendar!$A$2:$D$121,3,FALSE)</f>
        <v>0</v>
      </c>
      <c r="G666" s="14">
        <f>G544/VLOOKUP($C666,calendar!$A$2:$D$121,3,FALSE)</f>
        <v>0</v>
      </c>
      <c r="H666" s="14">
        <f>H544/VLOOKUP($C666,calendar!$A$2:$D$121,3,FALSE)</f>
        <v>0</v>
      </c>
      <c r="I666" s="14">
        <f>I544/VLOOKUP($C666,calendar!$A$2:$D$121,3,FALSE)</f>
        <v>0</v>
      </c>
      <c r="J666" s="14">
        <f>J544/VLOOKUP($C666,calendar!$A$2:$D$121,3,FALSE)</f>
        <v>0</v>
      </c>
      <c r="K666" s="14">
        <f>K544/VLOOKUP($C666,calendar!$A$2:$D$121,3,FALSE)</f>
        <v>0</v>
      </c>
      <c r="L666" s="14">
        <f>L544/VLOOKUP($C666,calendar!$A$2:$D$121,3,FALSE)</f>
        <v>0</v>
      </c>
      <c r="M666" s="14">
        <f>M544/VLOOKUP($C666,calendar!$A$2:$D$121,3,FALSE)</f>
        <v>0</v>
      </c>
      <c r="N666" s="14"/>
      <c r="O666" s="14">
        <f>O544/VLOOKUP($C666,calendar!$A$2:$D$121,3,FALSE)</f>
        <v>0</v>
      </c>
      <c r="P666" s="14">
        <f>P544/VLOOKUP($C666,calendar!$A$2:$D$121,3,FALSE)</f>
        <v>0</v>
      </c>
      <c r="Q666" s="14">
        <f>Q544/VLOOKUP($C666,calendar!$A$2:$D$121,3,FALSE)</f>
        <v>0</v>
      </c>
      <c r="R666" s="14">
        <f>R544/VLOOKUP($C666,calendar!$A$2:$D$121,3,FALSE)</f>
        <v>0</v>
      </c>
    </row>
    <row r="667" spans="3:18" s="8" customFormat="1" x14ac:dyDescent="0.2">
      <c r="C667" s="9">
        <f t="shared" si="166"/>
        <v>38504</v>
      </c>
      <c r="E667" s="14">
        <f>E545/VLOOKUP($C667,calendar!$A$2:$D$121,3,FALSE)</f>
        <v>173</v>
      </c>
      <c r="F667" s="14">
        <f>F545/VLOOKUP($C667,calendar!$A$2:$D$121,3,FALSE)</f>
        <v>0</v>
      </c>
      <c r="G667" s="14">
        <f>G545/VLOOKUP($C667,calendar!$A$2:$D$121,3,FALSE)</f>
        <v>0</v>
      </c>
      <c r="H667" s="14">
        <f>H545/VLOOKUP($C667,calendar!$A$2:$D$121,3,FALSE)</f>
        <v>0</v>
      </c>
      <c r="I667" s="14">
        <f>I545/VLOOKUP($C667,calendar!$A$2:$D$121,3,FALSE)</f>
        <v>0</v>
      </c>
      <c r="J667" s="14">
        <f>J545/VLOOKUP($C667,calendar!$A$2:$D$121,3,FALSE)</f>
        <v>0</v>
      </c>
      <c r="K667" s="14">
        <f>K545/VLOOKUP($C667,calendar!$A$2:$D$121,3,FALSE)</f>
        <v>0</v>
      </c>
      <c r="L667" s="14">
        <f>L545/VLOOKUP($C667,calendar!$A$2:$D$121,3,FALSE)</f>
        <v>0</v>
      </c>
      <c r="M667" s="14">
        <f>M545/VLOOKUP($C667,calendar!$A$2:$D$121,3,FALSE)</f>
        <v>0</v>
      </c>
      <c r="N667" s="14"/>
      <c r="O667" s="14">
        <f>O545/VLOOKUP($C667,calendar!$A$2:$D$121,3,FALSE)</f>
        <v>0</v>
      </c>
      <c r="P667" s="14">
        <f>P545/VLOOKUP($C667,calendar!$A$2:$D$121,3,FALSE)</f>
        <v>0</v>
      </c>
      <c r="Q667" s="14">
        <f>Q545/VLOOKUP($C667,calendar!$A$2:$D$121,3,FALSE)</f>
        <v>0</v>
      </c>
      <c r="R667" s="14">
        <f>R545/VLOOKUP($C667,calendar!$A$2:$D$121,3,FALSE)</f>
        <v>0</v>
      </c>
    </row>
    <row r="668" spans="3:18" s="8" customFormat="1" x14ac:dyDescent="0.2">
      <c r="C668" s="9">
        <f t="shared" si="166"/>
        <v>38534</v>
      </c>
      <c r="E668" s="14">
        <f>E546/VLOOKUP($C668,calendar!$A$2:$D$121,3,FALSE)</f>
        <v>173</v>
      </c>
      <c r="F668" s="14">
        <f>F546/VLOOKUP($C668,calendar!$A$2:$D$121,3,FALSE)</f>
        <v>0</v>
      </c>
      <c r="G668" s="14">
        <f>G546/VLOOKUP($C668,calendar!$A$2:$D$121,3,FALSE)</f>
        <v>0</v>
      </c>
      <c r="H668" s="14">
        <f>H546/VLOOKUP($C668,calendar!$A$2:$D$121,3,FALSE)</f>
        <v>0</v>
      </c>
      <c r="I668" s="14">
        <f>I546/VLOOKUP($C668,calendar!$A$2:$D$121,3,FALSE)</f>
        <v>0</v>
      </c>
      <c r="J668" s="14">
        <f>J546/VLOOKUP($C668,calendar!$A$2:$D$121,3,FALSE)</f>
        <v>0</v>
      </c>
      <c r="K668" s="14">
        <f>K546/VLOOKUP($C668,calendar!$A$2:$D$121,3,FALSE)</f>
        <v>0</v>
      </c>
      <c r="L668" s="14">
        <f>L546/VLOOKUP($C668,calendar!$A$2:$D$121,3,FALSE)</f>
        <v>0</v>
      </c>
      <c r="M668" s="14">
        <f>M546/VLOOKUP($C668,calendar!$A$2:$D$121,3,FALSE)</f>
        <v>0</v>
      </c>
      <c r="N668" s="14"/>
      <c r="O668" s="14">
        <f>O546/VLOOKUP($C668,calendar!$A$2:$D$121,3,FALSE)</f>
        <v>0</v>
      </c>
      <c r="P668" s="14">
        <f>P546/VLOOKUP($C668,calendar!$A$2:$D$121,3,FALSE)</f>
        <v>0</v>
      </c>
      <c r="Q668" s="14">
        <f>Q546/VLOOKUP($C668,calendar!$A$2:$D$121,3,FALSE)</f>
        <v>0</v>
      </c>
      <c r="R668" s="14">
        <f>R546/VLOOKUP($C668,calendar!$A$2:$D$121,3,FALSE)</f>
        <v>0</v>
      </c>
    </row>
    <row r="669" spans="3:18" s="8" customFormat="1" x14ac:dyDescent="0.2">
      <c r="C669" s="9">
        <f t="shared" si="166"/>
        <v>38565</v>
      </c>
      <c r="E669" s="14">
        <f>E547/VLOOKUP($C669,calendar!$A$2:$D$121,3,FALSE)</f>
        <v>173</v>
      </c>
      <c r="F669" s="14">
        <f>F547/VLOOKUP($C669,calendar!$A$2:$D$121,3,FALSE)</f>
        <v>0</v>
      </c>
      <c r="G669" s="14">
        <f>G547/VLOOKUP($C669,calendar!$A$2:$D$121,3,FALSE)</f>
        <v>0</v>
      </c>
      <c r="H669" s="14">
        <f>H547/VLOOKUP($C669,calendar!$A$2:$D$121,3,FALSE)</f>
        <v>0</v>
      </c>
      <c r="I669" s="14">
        <f>I547/VLOOKUP($C669,calendar!$A$2:$D$121,3,FALSE)</f>
        <v>0</v>
      </c>
      <c r="J669" s="14">
        <f>J547/VLOOKUP($C669,calendar!$A$2:$D$121,3,FALSE)</f>
        <v>0</v>
      </c>
      <c r="K669" s="14">
        <f>K547/VLOOKUP($C669,calendar!$A$2:$D$121,3,FALSE)</f>
        <v>0</v>
      </c>
      <c r="L669" s="14">
        <f>L547/VLOOKUP($C669,calendar!$A$2:$D$121,3,FALSE)</f>
        <v>0</v>
      </c>
      <c r="M669" s="14">
        <f>M547/VLOOKUP($C669,calendar!$A$2:$D$121,3,FALSE)</f>
        <v>0</v>
      </c>
      <c r="N669" s="14"/>
      <c r="O669" s="14">
        <f>O547/VLOOKUP($C669,calendar!$A$2:$D$121,3,FALSE)</f>
        <v>0</v>
      </c>
      <c r="P669" s="14">
        <f>P547/VLOOKUP($C669,calendar!$A$2:$D$121,3,FALSE)</f>
        <v>0</v>
      </c>
      <c r="Q669" s="14">
        <f>Q547/VLOOKUP($C669,calendar!$A$2:$D$121,3,FALSE)</f>
        <v>0</v>
      </c>
      <c r="R669" s="14">
        <f>R547/VLOOKUP($C669,calendar!$A$2:$D$121,3,FALSE)</f>
        <v>0</v>
      </c>
    </row>
    <row r="670" spans="3:18" s="8" customFormat="1" x14ac:dyDescent="0.2">
      <c r="C670" s="9">
        <f t="shared" si="166"/>
        <v>38596</v>
      </c>
      <c r="E670" s="14">
        <f>E548/VLOOKUP($C670,calendar!$A$2:$D$121,3,FALSE)</f>
        <v>173</v>
      </c>
      <c r="F670" s="14">
        <f>F548/VLOOKUP($C670,calendar!$A$2:$D$121,3,FALSE)</f>
        <v>0</v>
      </c>
      <c r="G670" s="14">
        <f>G548/VLOOKUP($C670,calendar!$A$2:$D$121,3,FALSE)</f>
        <v>0</v>
      </c>
      <c r="H670" s="14">
        <f>H548/VLOOKUP($C670,calendar!$A$2:$D$121,3,FALSE)</f>
        <v>0</v>
      </c>
      <c r="I670" s="14">
        <f>I548/VLOOKUP($C670,calendar!$A$2:$D$121,3,FALSE)</f>
        <v>0</v>
      </c>
      <c r="J670" s="14">
        <f>J548/VLOOKUP($C670,calendar!$A$2:$D$121,3,FALSE)</f>
        <v>0</v>
      </c>
      <c r="K670" s="14">
        <f>K548/VLOOKUP($C670,calendar!$A$2:$D$121,3,FALSE)</f>
        <v>0</v>
      </c>
      <c r="L670" s="14">
        <f>L548/VLOOKUP($C670,calendar!$A$2:$D$121,3,FALSE)</f>
        <v>0</v>
      </c>
      <c r="M670" s="14">
        <f>M548/VLOOKUP($C670,calendar!$A$2:$D$121,3,FALSE)</f>
        <v>0</v>
      </c>
      <c r="N670" s="14"/>
      <c r="O670" s="14">
        <f>O548/VLOOKUP($C670,calendar!$A$2:$D$121,3,FALSE)</f>
        <v>0</v>
      </c>
      <c r="P670" s="14">
        <f>P548/VLOOKUP($C670,calendar!$A$2:$D$121,3,FALSE)</f>
        <v>0</v>
      </c>
      <c r="Q670" s="14">
        <f>Q548/VLOOKUP($C670,calendar!$A$2:$D$121,3,FALSE)</f>
        <v>0</v>
      </c>
      <c r="R670" s="14">
        <f>R548/VLOOKUP($C670,calendar!$A$2:$D$121,3,FALSE)</f>
        <v>0</v>
      </c>
    </row>
    <row r="671" spans="3:18" s="8" customFormat="1" x14ac:dyDescent="0.2">
      <c r="C671" s="9">
        <f t="shared" si="166"/>
        <v>38626</v>
      </c>
      <c r="E671" s="14">
        <f>E549/VLOOKUP($C671,calendar!$A$2:$D$121,3,FALSE)</f>
        <v>173.42401960784315</v>
      </c>
      <c r="F671" s="14">
        <f>F549/VLOOKUP($C671,calendar!$A$2:$D$121,3,FALSE)</f>
        <v>0</v>
      </c>
      <c r="G671" s="14">
        <f>G549/VLOOKUP($C671,calendar!$A$2:$D$121,3,FALSE)</f>
        <v>0</v>
      </c>
      <c r="H671" s="14">
        <f>H549/VLOOKUP($C671,calendar!$A$2:$D$121,3,FALSE)</f>
        <v>0</v>
      </c>
      <c r="I671" s="14">
        <f>I549/VLOOKUP($C671,calendar!$A$2:$D$121,3,FALSE)</f>
        <v>0</v>
      </c>
      <c r="J671" s="14">
        <f>J549/VLOOKUP($C671,calendar!$A$2:$D$121,3,FALSE)</f>
        <v>0</v>
      </c>
      <c r="K671" s="14">
        <f>K549/VLOOKUP($C671,calendar!$A$2:$D$121,3,FALSE)</f>
        <v>0</v>
      </c>
      <c r="L671" s="14">
        <f>L549/VLOOKUP($C671,calendar!$A$2:$D$121,3,FALSE)</f>
        <v>0</v>
      </c>
      <c r="M671" s="14">
        <f>M549/VLOOKUP($C671,calendar!$A$2:$D$121,3,FALSE)</f>
        <v>0</v>
      </c>
      <c r="N671" s="14"/>
      <c r="O671" s="14">
        <f>O549/VLOOKUP($C671,calendar!$A$2:$D$121,3,FALSE)</f>
        <v>0</v>
      </c>
      <c r="P671" s="14">
        <f>P549/VLOOKUP($C671,calendar!$A$2:$D$121,3,FALSE)</f>
        <v>0</v>
      </c>
      <c r="Q671" s="14">
        <f>Q549/VLOOKUP($C671,calendar!$A$2:$D$121,3,FALSE)</f>
        <v>0</v>
      </c>
      <c r="R671" s="14">
        <f>R549/VLOOKUP($C671,calendar!$A$2:$D$121,3,FALSE)</f>
        <v>0</v>
      </c>
    </row>
    <row r="672" spans="3:18" s="8" customFormat="1" x14ac:dyDescent="0.2">
      <c r="C672" s="9">
        <f t="shared" si="166"/>
        <v>38657</v>
      </c>
      <c r="E672" s="14">
        <f>E550/VLOOKUP($C672,calendar!$A$2:$D$121,3,FALSE)</f>
        <v>173</v>
      </c>
      <c r="F672" s="14">
        <f>F550/VLOOKUP($C672,calendar!$A$2:$D$121,3,FALSE)</f>
        <v>0</v>
      </c>
      <c r="G672" s="14">
        <f>G550/VLOOKUP($C672,calendar!$A$2:$D$121,3,FALSE)</f>
        <v>0</v>
      </c>
      <c r="H672" s="14">
        <f>H550/VLOOKUP($C672,calendar!$A$2:$D$121,3,FALSE)</f>
        <v>0</v>
      </c>
      <c r="I672" s="14">
        <f>I550/VLOOKUP($C672,calendar!$A$2:$D$121,3,FALSE)</f>
        <v>0</v>
      </c>
      <c r="J672" s="14">
        <f>J550/VLOOKUP($C672,calendar!$A$2:$D$121,3,FALSE)</f>
        <v>0</v>
      </c>
      <c r="K672" s="14">
        <f>K550/VLOOKUP($C672,calendar!$A$2:$D$121,3,FALSE)</f>
        <v>0</v>
      </c>
      <c r="L672" s="14">
        <f>L550/VLOOKUP($C672,calendar!$A$2:$D$121,3,FALSE)</f>
        <v>0</v>
      </c>
      <c r="M672" s="14">
        <f>M550/VLOOKUP($C672,calendar!$A$2:$D$121,3,FALSE)</f>
        <v>0</v>
      </c>
      <c r="N672" s="14"/>
      <c r="O672" s="14">
        <f>O550/VLOOKUP($C672,calendar!$A$2:$D$121,3,FALSE)</f>
        <v>0</v>
      </c>
      <c r="P672" s="14">
        <f>P550/VLOOKUP($C672,calendar!$A$2:$D$121,3,FALSE)</f>
        <v>0</v>
      </c>
      <c r="Q672" s="14">
        <f>Q550/VLOOKUP($C672,calendar!$A$2:$D$121,3,FALSE)</f>
        <v>0</v>
      </c>
      <c r="R672" s="14">
        <f>R550/VLOOKUP($C672,calendar!$A$2:$D$121,3,FALSE)</f>
        <v>0</v>
      </c>
    </row>
    <row r="673" spans="3:18" s="8" customFormat="1" x14ac:dyDescent="0.2">
      <c r="C673" s="9">
        <f t="shared" si="166"/>
        <v>38687</v>
      </c>
      <c r="E673" s="14">
        <f>E551/VLOOKUP($C673,calendar!$A$2:$D$121,3,FALSE)</f>
        <v>173</v>
      </c>
      <c r="F673" s="14">
        <f>F551/VLOOKUP($C673,calendar!$A$2:$D$121,3,FALSE)</f>
        <v>0</v>
      </c>
      <c r="G673" s="14">
        <f>G551/VLOOKUP($C673,calendar!$A$2:$D$121,3,FALSE)</f>
        <v>0</v>
      </c>
      <c r="H673" s="14">
        <f>H551/VLOOKUP($C673,calendar!$A$2:$D$121,3,FALSE)</f>
        <v>0</v>
      </c>
      <c r="I673" s="14">
        <f>I551/VLOOKUP($C673,calendar!$A$2:$D$121,3,FALSE)</f>
        <v>0</v>
      </c>
      <c r="J673" s="14">
        <f>J551/VLOOKUP($C673,calendar!$A$2:$D$121,3,FALSE)</f>
        <v>0</v>
      </c>
      <c r="K673" s="14">
        <f>K551/VLOOKUP($C673,calendar!$A$2:$D$121,3,FALSE)</f>
        <v>0</v>
      </c>
      <c r="L673" s="14">
        <f>L551/VLOOKUP($C673,calendar!$A$2:$D$121,3,FALSE)</f>
        <v>0</v>
      </c>
      <c r="M673" s="14">
        <f>M551/VLOOKUP($C673,calendar!$A$2:$D$121,3,FALSE)</f>
        <v>0</v>
      </c>
      <c r="N673" s="14"/>
      <c r="O673" s="14">
        <f>O551/VLOOKUP($C673,calendar!$A$2:$D$121,3,FALSE)</f>
        <v>0</v>
      </c>
      <c r="P673" s="14">
        <f>P551/VLOOKUP($C673,calendar!$A$2:$D$121,3,FALSE)</f>
        <v>0</v>
      </c>
      <c r="Q673" s="14">
        <f>Q551/VLOOKUP($C673,calendar!$A$2:$D$121,3,FALSE)</f>
        <v>0</v>
      </c>
      <c r="R673" s="14">
        <f>R551/VLOOKUP($C673,calendar!$A$2:$D$121,3,FALSE)</f>
        <v>0</v>
      </c>
    </row>
    <row r="674" spans="3:18" s="8" customFormat="1" x14ac:dyDescent="0.2">
      <c r="C674" s="9">
        <f t="shared" si="166"/>
        <v>38718</v>
      </c>
      <c r="E674" s="14">
        <f>E552/VLOOKUP($C674,calendar!$A$2:$D$121,3,FALSE)</f>
        <v>73</v>
      </c>
      <c r="F674" s="14">
        <f>F552/VLOOKUP($C674,calendar!$A$2:$D$121,3,FALSE)</f>
        <v>0</v>
      </c>
      <c r="G674" s="14">
        <f>G552/VLOOKUP($C674,calendar!$A$2:$D$121,3,FALSE)</f>
        <v>0</v>
      </c>
      <c r="H674" s="14">
        <f>H552/VLOOKUP($C674,calendar!$A$2:$D$121,3,FALSE)</f>
        <v>-75</v>
      </c>
      <c r="I674" s="14">
        <f>I552/VLOOKUP($C674,calendar!$A$2:$D$121,3,FALSE)</f>
        <v>0</v>
      </c>
      <c r="J674" s="14">
        <f>J552/VLOOKUP($C674,calendar!$A$2:$D$121,3,FALSE)</f>
        <v>0</v>
      </c>
      <c r="K674" s="14">
        <f>K552/VLOOKUP($C674,calendar!$A$2:$D$121,3,FALSE)</f>
        <v>0</v>
      </c>
      <c r="L674" s="14">
        <f>L552/VLOOKUP($C674,calendar!$A$2:$D$121,3,FALSE)</f>
        <v>0</v>
      </c>
      <c r="M674" s="14">
        <f>M552/VLOOKUP($C674,calendar!$A$2:$D$121,3,FALSE)</f>
        <v>0</v>
      </c>
      <c r="N674" s="14"/>
      <c r="O674" s="14">
        <f>O552/VLOOKUP($C674,calendar!$A$2:$D$121,3,FALSE)</f>
        <v>0</v>
      </c>
      <c r="P674" s="14">
        <f>P552/VLOOKUP($C674,calendar!$A$2:$D$121,3,FALSE)</f>
        <v>0</v>
      </c>
      <c r="Q674" s="14">
        <f>Q552/VLOOKUP($C674,calendar!$A$2:$D$121,3,FALSE)</f>
        <v>0</v>
      </c>
      <c r="R674" s="14">
        <f>R552/VLOOKUP($C674,calendar!$A$2:$D$121,3,FALSE)</f>
        <v>0</v>
      </c>
    </row>
    <row r="675" spans="3:18" s="8" customFormat="1" x14ac:dyDescent="0.2">
      <c r="C675" s="9">
        <f t="shared" si="166"/>
        <v>38749</v>
      </c>
      <c r="E675" s="14">
        <f>E553/VLOOKUP($C675,calendar!$A$2:$D$121,3,FALSE)</f>
        <v>73</v>
      </c>
      <c r="F675" s="14">
        <f>F553/VLOOKUP($C675,calendar!$A$2:$D$121,3,FALSE)</f>
        <v>0</v>
      </c>
      <c r="G675" s="14">
        <f>G553/VLOOKUP($C675,calendar!$A$2:$D$121,3,FALSE)</f>
        <v>0</v>
      </c>
      <c r="H675" s="14">
        <f>H553/VLOOKUP($C675,calendar!$A$2:$D$121,3,FALSE)</f>
        <v>-73</v>
      </c>
      <c r="I675" s="14">
        <f>I553/VLOOKUP($C675,calendar!$A$2:$D$121,3,FALSE)</f>
        <v>0</v>
      </c>
      <c r="J675" s="14">
        <f>J553/VLOOKUP($C675,calendar!$A$2:$D$121,3,FALSE)</f>
        <v>0</v>
      </c>
      <c r="K675" s="14">
        <f>K553/VLOOKUP($C675,calendar!$A$2:$D$121,3,FALSE)</f>
        <v>0</v>
      </c>
      <c r="L675" s="14">
        <f>L553/VLOOKUP($C675,calendar!$A$2:$D$121,3,FALSE)</f>
        <v>0</v>
      </c>
      <c r="M675" s="14">
        <f>M553/VLOOKUP($C675,calendar!$A$2:$D$121,3,FALSE)</f>
        <v>0</v>
      </c>
      <c r="N675" s="14"/>
      <c r="O675" s="14">
        <f>O553/VLOOKUP($C675,calendar!$A$2:$D$121,3,FALSE)</f>
        <v>0</v>
      </c>
      <c r="P675" s="14">
        <f>P553/VLOOKUP($C675,calendar!$A$2:$D$121,3,FALSE)</f>
        <v>0</v>
      </c>
      <c r="Q675" s="14">
        <f>Q553/VLOOKUP($C675,calendar!$A$2:$D$121,3,FALSE)</f>
        <v>0</v>
      </c>
      <c r="R675" s="14">
        <f>R553/VLOOKUP($C675,calendar!$A$2:$D$121,3,FALSE)</f>
        <v>0</v>
      </c>
    </row>
    <row r="676" spans="3:18" s="8" customFormat="1" x14ac:dyDescent="0.2">
      <c r="C676" s="9">
        <f t="shared" si="166"/>
        <v>38777</v>
      </c>
      <c r="E676" s="14">
        <f>E554/VLOOKUP($C676,calendar!$A$2:$D$121,3,FALSE)</f>
        <v>73</v>
      </c>
      <c r="F676" s="14">
        <f>F554/VLOOKUP($C676,calendar!$A$2:$D$121,3,FALSE)</f>
        <v>0</v>
      </c>
      <c r="G676" s="14">
        <f>G554/VLOOKUP($C676,calendar!$A$2:$D$121,3,FALSE)</f>
        <v>0</v>
      </c>
      <c r="H676" s="14">
        <f>H554/VLOOKUP($C676,calendar!$A$2:$D$121,3,FALSE)</f>
        <v>-75</v>
      </c>
      <c r="I676" s="14">
        <f>I554/VLOOKUP($C676,calendar!$A$2:$D$121,3,FALSE)</f>
        <v>0</v>
      </c>
      <c r="J676" s="14">
        <f>J554/VLOOKUP($C676,calendar!$A$2:$D$121,3,FALSE)</f>
        <v>0</v>
      </c>
      <c r="K676" s="14">
        <f>K554/VLOOKUP($C676,calendar!$A$2:$D$121,3,FALSE)</f>
        <v>0</v>
      </c>
      <c r="L676" s="14">
        <f>L554/VLOOKUP($C676,calendar!$A$2:$D$121,3,FALSE)</f>
        <v>0</v>
      </c>
      <c r="M676" s="14">
        <f>M554/VLOOKUP($C676,calendar!$A$2:$D$121,3,FALSE)</f>
        <v>0</v>
      </c>
      <c r="N676" s="14"/>
      <c r="O676" s="14">
        <f>O554/VLOOKUP($C676,calendar!$A$2:$D$121,3,FALSE)</f>
        <v>0</v>
      </c>
      <c r="P676" s="14">
        <f>P554/VLOOKUP($C676,calendar!$A$2:$D$121,3,FALSE)</f>
        <v>0</v>
      </c>
      <c r="Q676" s="14">
        <f>Q554/VLOOKUP($C676,calendar!$A$2:$D$121,3,FALSE)</f>
        <v>0</v>
      </c>
      <c r="R676" s="14">
        <f>R554/VLOOKUP($C676,calendar!$A$2:$D$121,3,FALSE)</f>
        <v>0</v>
      </c>
    </row>
    <row r="677" spans="3:18" s="8" customFormat="1" x14ac:dyDescent="0.2">
      <c r="C677" s="9">
        <f t="shared" si="166"/>
        <v>38808</v>
      </c>
      <c r="E677" s="14">
        <f>E555/VLOOKUP($C677,calendar!$A$2:$D$121,3,FALSE)</f>
        <v>72.817499999999995</v>
      </c>
      <c r="F677" s="14">
        <f>F555/VLOOKUP($C677,calendar!$A$2:$D$121,3,FALSE)</f>
        <v>0</v>
      </c>
      <c r="G677" s="14">
        <f>G555/VLOOKUP($C677,calendar!$A$2:$D$121,3,FALSE)</f>
        <v>0</v>
      </c>
      <c r="H677" s="14">
        <f>H555/VLOOKUP($C677,calendar!$A$2:$D$121,3,FALSE)</f>
        <v>-73.875</v>
      </c>
      <c r="I677" s="14">
        <f>I555/VLOOKUP($C677,calendar!$A$2:$D$121,3,FALSE)</f>
        <v>0</v>
      </c>
      <c r="J677" s="14">
        <f>J555/VLOOKUP($C677,calendar!$A$2:$D$121,3,FALSE)</f>
        <v>0</v>
      </c>
      <c r="K677" s="14">
        <f>K555/VLOOKUP($C677,calendar!$A$2:$D$121,3,FALSE)</f>
        <v>0</v>
      </c>
      <c r="L677" s="14">
        <f>L555/VLOOKUP($C677,calendar!$A$2:$D$121,3,FALSE)</f>
        <v>0</v>
      </c>
      <c r="M677" s="14">
        <f>M555/VLOOKUP($C677,calendar!$A$2:$D$121,3,FALSE)</f>
        <v>0</v>
      </c>
      <c r="N677" s="14"/>
      <c r="O677" s="14">
        <f>O555/VLOOKUP($C677,calendar!$A$2:$D$121,3,FALSE)</f>
        <v>0</v>
      </c>
      <c r="P677" s="14">
        <f>P555/VLOOKUP($C677,calendar!$A$2:$D$121,3,FALSE)</f>
        <v>0</v>
      </c>
      <c r="Q677" s="14">
        <f>Q555/VLOOKUP($C677,calendar!$A$2:$D$121,3,FALSE)</f>
        <v>0</v>
      </c>
      <c r="R677" s="14">
        <f>R555/VLOOKUP($C677,calendar!$A$2:$D$121,3,FALSE)</f>
        <v>0</v>
      </c>
    </row>
    <row r="678" spans="3:18" s="8" customFormat="1" x14ac:dyDescent="0.2">
      <c r="C678" s="9">
        <f t="shared" si="166"/>
        <v>38838</v>
      </c>
      <c r="E678" s="14">
        <f>E556/VLOOKUP($C678,calendar!$A$2:$D$121,3,FALSE)</f>
        <v>73</v>
      </c>
      <c r="F678" s="14">
        <f>F556/VLOOKUP($C678,calendar!$A$2:$D$121,3,FALSE)</f>
        <v>0</v>
      </c>
      <c r="G678" s="14">
        <f>G556/VLOOKUP($C678,calendar!$A$2:$D$121,3,FALSE)</f>
        <v>0</v>
      </c>
      <c r="H678" s="14">
        <f>H556/VLOOKUP($C678,calendar!$A$2:$D$121,3,FALSE)</f>
        <v>-65</v>
      </c>
      <c r="I678" s="14">
        <f>I556/VLOOKUP($C678,calendar!$A$2:$D$121,3,FALSE)</f>
        <v>0</v>
      </c>
      <c r="J678" s="14">
        <f>J556/VLOOKUP($C678,calendar!$A$2:$D$121,3,FALSE)</f>
        <v>0</v>
      </c>
      <c r="K678" s="14">
        <f>K556/VLOOKUP($C678,calendar!$A$2:$D$121,3,FALSE)</f>
        <v>0</v>
      </c>
      <c r="L678" s="14">
        <f>L556/VLOOKUP($C678,calendar!$A$2:$D$121,3,FALSE)</f>
        <v>0</v>
      </c>
      <c r="M678" s="14">
        <f>M556/VLOOKUP($C678,calendar!$A$2:$D$121,3,FALSE)</f>
        <v>0</v>
      </c>
      <c r="N678" s="14"/>
      <c r="O678" s="14">
        <f>O556/VLOOKUP($C678,calendar!$A$2:$D$121,3,FALSE)</f>
        <v>0</v>
      </c>
      <c r="P678" s="14">
        <f>P556/VLOOKUP($C678,calendar!$A$2:$D$121,3,FALSE)</f>
        <v>0</v>
      </c>
      <c r="Q678" s="14">
        <f>Q556/VLOOKUP($C678,calendar!$A$2:$D$121,3,FALSE)</f>
        <v>0</v>
      </c>
      <c r="R678" s="14">
        <f>R556/VLOOKUP($C678,calendar!$A$2:$D$121,3,FALSE)</f>
        <v>0</v>
      </c>
    </row>
    <row r="679" spans="3:18" s="8" customFormat="1" x14ac:dyDescent="0.2">
      <c r="C679" s="9">
        <f t="shared" ref="C679:C733" si="167">C557</f>
        <v>38869</v>
      </c>
      <c r="E679" s="14">
        <f>E557/VLOOKUP($C679,calendar!$A$2:$D$121,3,FALSE)</f>
        <v>73</v>
      </c>
      <c r="F679" s="14">
        <f>F557/VLOOKUP($C679,calendar!$A$2:$D$121,3,FALSE)</f>
        <v>0</v>
      </c>
      <c r="G679" s="14">
        <f>G557/VLOOKUP($C679,calendar!$A$2:$D$121,3,FALSE)</f>
        <v>0</v>
      </c>
      <c r="H679" s="14">
        <f>H557/VLOOKUP($C679,calendar!$A$2:$D$121,3,FALSE)</f>
        <v>-62</v>
      </c>
      <c r="I679" s="14">
        <f>I557/VLOOKUP($C679,calendar!$A$2:$D$121,3,FALSE)</f>
        <v>0</v>
      </c>
      <c r="J679" s="14">
        <f>J557/VLOOKUP($C679,calendar!$A$2:$D$121,3,FALSE)</f>
        <v>0</v>
      </c>
      <c r="K679" s="14">
        <f>K557/VLOOKUP($C679,calendar!$A$2:$D$121,3,FALSE)</f>
        <v>0</v>
      </c>
      <c r="L679" s="14">
        <f>L557/VLOOKUP($C679,calendar!$A$2:$D$121,3,FALSE)</f>
        <v>0</v>
      </c>
      <c r="M679" s="14">
        <f>M557/VLOOKUP($C679,calendar!$A$2:$D$121,3,FALSE)</f>
        <v>0</v>
      </c>
      <c r="N679" s="14"/>
      <c r="O679" s="14">
        <f>O557/VLOOKUP($C679,calendar!$A$2:$D$121,3,FALSE)</f>
        <v>0</v>
      </c>
      <c r="P679" s="14">
        <f>P557/VLOOKUP($C679,calendar!$A$2:$D$121,3,FALSE)</f>
        <v>0</v>
      </c>
      <c r="Q679" s="14">
        <f>Q557/VLOOKUP($C679,calendar!$A$2:$D$121,3,FALSE)</f>
        <v>0</v>
      </c>
      <c r="R679" s="14">
        <f>R557/VLOOKUP($C679,calendar!$A$2:$D$121,3,FALSE)</f>
        <v>0</v>
      </c>
    </row>
    <row r="680" spans="3:18" s="8" customFormat="1" x14ac:dyDescent="0.2">
      <c r="C680" s="9">
        <f t="shared" si="167"/>
        <v>38899</v>
      </c>
      <c r="E680" s="14">
        <f>E558/VLOOKUP($C680,calendar!$A$2:$D$121,3,FALSE)</f>
        <v>73</v>
      </c>
      <c r="F680" s="14">
        <f>F558/VLOOKUP($C680,calendar!$A$2:$D$121,3,FALSE)</f>
        <v>0</v>
      </c>
      <c r="G680" s="14">
        <f>G558/VLOOKUP($C680,calendar!$A$2:$D$121,3,FALSE)</f>
        <v>0</v>
      </c>
      <c r="H680" s="14">
        <f>H558/VLOOKUP($C680,calendar!$A$2:$D$121,3,FALSE)</f>
        <v>-59</v>
      </c>
      <c r="I680" s="14">
        <f>I558/VLOOKUP($C680,calendar!$A$2:$D$121,3,FALSE)</f>
        <v>0</v>
      </c>
      <c r="J680" s="14">
        <f>J558/VLOOKUP($C680,calendar!$A$2:$D$121,3,FALSE)</f>
        <v>0</v>
      </c>
      <c r="K680" s="14">
        <f>K558/VLOOKUP($C680,calendar!$A$2:$D$121,3,FALSE)</f>
        <v>0</v>
      </c>
      <c r="L680" s="14">
        <f>L558/VLOOKUP($C680,calendar!$A$2:$D$121,3,FALSE)</f>
        <v>0</v>
      </c>
      <c r="M680" s="14">
        <f>M558/VLOOKUP($C680,calendar!$A$2:$D$121,3,FALSE)</f>
        <v>0</v>
      </c>
      <c r="N680" s="14"/>
      <c r="O680" s="14">
        <f>O558/VLOOKUP($C680,calendar!$A$2:$D$121,3,FALSE)</f>
        <v>0</v>
      </c>
      <c r="P680" s="14">
        <f>P558/VLOOKUP($C680,calendar!$A$2:$D$121,3,FALSE)</f>
        <v>0</v>
      </c>
      <c r="Q680" s="14">
        <f>Q558/VLOOKUP($C680,calendar!$A$2:$D$121,3,FALSE)</f>
        <v>0</v>
      </c>
      <c r="R680" s="14">
        <f>R558/VLOOKUP($C680,calendar!$A$2:$D$121,3,FALSE)</f>
        <v>0</v>
      </c>
    </row>
    <row r="681" spans="3:18" s="8" customFormat="1" x14ac:dyDescent="0.2">
      <c r="C681" s="9">
        <f t="shared" si="167"/>
        <v>38930</v>
      </c>
      <c r="E681" s="14">
        <f>E559/VLOOKUP($C681,calendar!$A$2:$D$121,3,FALSE)</f>
        <v>73</v>
      </c>
      <c r="F681" s="14">
        <f>F559/VLOOKUP($C681,calendar!$A$2:$D$121,3,FALSE)</f>
        <v>0</v>
      </c>
      <c r="G681" s="14">
        <f>G559/VLOOKUP($C681,calendar!$A$2:$D$121,3,FALSE)</f>
        <v>0</v>
      </c>
      <c r="H681" s="14">
        <f>H559/VLOOKUP($C681,calendar!$A$2:$D$121,3,FALSE)</f>
        <v>-59</v>
      </c>
      <c r="I681" s="14">
        <f>I559/VLOOKUP($C681,calendar!$A$2:$D$121,3,FALSE)</f>
        <v>0</v>
      </c>
      <c r="J681" s="14">
        <f>J559/VLOOKUP($C681,calendar!$A$2:$D$121,3,FALSE)</f>
        <v>0</v>
      </c>
      <c r="K681" s="14">
        <f>K559/VLOOKUP($C681,calendar!$A$2:$D$121,3,FALSE)</f>
        <v>0</v>
      </c>
      <c r="L681" s="14">
        <f>L559/VLOOKUP($C681,calendar!$A$2:$D$121,3,FALSE)</f>
        <v>0</v>
      </c>
      <c r="M681" s="14">
        <f>M559/VLOOKUP($C681,calendar!$A$2:$D$121,3,FALSE)</f>
        <v>0</v>
      </c>
      <c r="N681" s="14"/>
      <c r="O681" s="14">
        <f>O559/VLOOKUP($C681,calendar!$A$2:$D$121,3,FALSE)</f>
        <v>0</v>
      </c>
      <c r="P681" s="14">
        <f>P559/VLOOKUP($C681,calendar!$A$2:$D$121,3,FALSE)</f>
        <v>0</v>
      </c>
      <c r="Q681" s="14">
        <f>Q559/VLOOKUP($C681,calendar!$A$2:$D$121,3,FALSE)</f>
        <v>0</v>
      </c>
      <c r="R681" s="14">
        <f>R559/VLOOKUP($C681,calendar!$A$2:$D$121,3,FALSE)</f>
        <v>0</v>
      </c>
    </row>
    <row r="682" spans="3:18" s="8" customFormat="1" x14ac:dyDescent="0.2">
      <c r="C682" s="9">
        <f t="shared" si="167"/>
        <v>38961</v>
      </c>
      <c r="E682" s="14">
        <f>E560/VLOOKUP($C682,calendar!$A$2:$D$121,3,FALSE)</f>
        <v>73</v>
      </c>
      <c r="F682" s="14">
        <f>F560/VLOOKUP($C682,calendar!$A$2:$D$121,3,FALSE)</f>
        <v>0</v>
      </c>
      <c r="G682" s="14">
        <f>G560/VLOOKUP($C682,calendar!$A$2:$D$121,3,FALSE)</f>
        <v>0</v>
      </c>
      <c r="H682" s="14">
        <f>H560/VLOOKUP($C682,calendar!$A$2:$D$121,3,FALSE)</f>
        <v>-65</v>
      </c>
      <c r="I682" s="14">
        <f>I560/VLOOKUP($C682,calendar!$A$2:$D$121,3,FALSE)</f>
        <v>0</v>
      </c>
      <c r="J682" s="14">
        <f>J560/VLOOKUP($C682,calendar!$A$2:$D$121,3,FALSE)</f>
        <v>0</v>
      </c>
      <c r="K682" s="14">
        <f>K560/VLOOKUP($C682,calendar!$A$2:$D$121,3,FALSE)</f>
        <v>0</v>
      </c>
      <c r="L682" s="14">
        <f>L560/VLOOKUP($C682,calendar!$A$2:$D$121,3,FALSE)</f>
        <v>0</v>
      </c>
      <c r="M682" s="14">
        <f>M560/VLOOKUP($C682,calendar!$A$2:$D$121,3,FALSE)</f>
        <v>0</v>
      </c>
      <c r="N682" s="14"/>
      <c r="O682" s="14">
        <f>O560/VLOOKUP($C682,calendar!$A$2:$D$121,3,FALSE)</f>
        <v>0</v>
      </c>
      <c r="P682" s="14">
        <f>P560/VLOOKUP($C682,calendar!$A$2:$D$121,3,FALSE)</f>
        <v>0</v>
      </c>
      <c r="Q682" s="14">
        <f>Q560/VLOOKUP($C682,calendar!$A$2:$D$121,3,FALSE)</f>
        <v>0</v>
      </c>
      <c r="R682" s="14">
        <f>R560/VLOOKUP($C682,calendar!$A$2:$D$121,3,FALSE)</f>
        <v>0</v>
      </c>
    </row>
    <row r="683" spans="3:18" s="8" customFormat="1" x14ac:dyDescent="0.2">
      <c r="C683" s="9">
        <f t="shared" si="167"/>
        <v>38991</v>
      </c>
      <c r="E683" s="14">
        <f>E561/VLOOKUP($C683,calendar!$A$2:$D$121,3,FALSE)</f>
        <v>73.186224489795919</v>
      </c>
      <c r="F683" s="14">
        <f>F561/VLOOKUP($C683,calendar!$A$2:$D$121,3,FALSE)</f>
        <v>0</v>
      </c>
      <c r="G683" s="14">
        <f>G561/VLOOKUP($C683,calendar!$A$2:$D$121,3,FALSE)</f>
        <v>0</v>
      </c>
      <c r="H683" s="14">
        <f>H561/VLOOKUP($C683,calendar!$A$2:$D$121,3,FALSE)</f>
        <v>-66.127551020408163</v>
      </c>
      <c r="I683" s="14">
        <f>I561/VLOOKUP($C683,calendar!$A$2:$D$121,3,FALSE)</f>
        <v>0</v>
      </c>
      <c r="J683" s="14">
        <f>J561/VLOOKUP($C683,calendar!$A$2:$D$121,3,FALSE)</f>
        <v>0</v>
      </c>
      <c r="K683" s="14">
        <f>K561/VLOOKUP($C683,calendar!$A$2:$D$121,3,FALSE)</f>
        <v>0</v>
      </c>
      <c r="L683" s="14">
        <f>L561/VLOOKUP($C683,calendar!$A$2:$D$121,3,FALSE)</f>
        <v>0</v>
      </c>
      <c r="M683" s="14">
        <f>M561/VLOOKUP($C683,calendar!$A$2:$D$121,3,FALSE)</f>
        <v>0</v>
      </c>
      <c r="N683" s="14"/>
      <c r="O683" s="14">
        <f>O561/VLOOKUP($C683,calendar!$A$2:$D$121,3,FALSE)</f>
        <v>0</v>
      </c>
      <c r="P683" s="14">
        <f>P561/VLOOKUP($C683,calendar!$A$2:$D$121,3,FALSE)</f>
        <v>0</v>
      </c>
      <c r="Q683" s="14">
        <f>Q561/VLOOKUP($C683,calendar!$A$2:$D$121,3,FALSE)</f>
        <v>0</v>
      </c>
      <c r="R683" s="14">
        <f>R561/VLOOKUP($C683,calendar!$A$2:$D$121,3,FALSE)</f>
        <v>0</v>
      </c>
    </row>
    <row r="684" spans="3:18" s="8" customFormat="1" x14ac:dyDescent="0.2">
      <c r="C684" s="9">
        <f t="shared" si="167"/>
        <v>39022</v>
      </c>
      <c r="E684" s="14">
        <f>E562/VLOOKUP($C684,calendar!$A$2:$D$121,3,FALSE)</f>
        <v>73</v>
      </c>
      <c r="F684" s="14">
        <f>F562/VLOOKUP($C684,calendar!$A$2:$D$121,3,FALSE)</f>
        <v>0</v>
      </c>
      <c r="G684" s="14">
        <f>G562/VLOOKUP($C684,calendar!$A$2:$D$121,3,FALSE)</f>
        <v>0</v>
      </c>
      <c r="H684" s="14">
        <f>H562/VLOOKUP($C684,calendar!$A$2:$D$121,3,FALSE)</f>
        <v>-74</v>
      </c>
      <c r="I684" s="14">
        <f>I562/VLOOKUP($C684,calendar!$A$2:$D$121,3,FALSE)</f>
        <v>0</v>
      </c>
      <c r="J684" s="14">
        <f>J562/VLOOKUP($C684,calendar!$A$2:$D$121,3,FALSE)</f>
        <v>0</v>
      </c>
      <c r="K684" s="14">
        <f>K562/VLOOKUP($C684,calendar!$A$2:$D$121,3,FALSE)</f>
        <v>0</v>
      </c>
      <c r="L684" s="14">
        <f>L562/VLOOKUP($C684,calendar!$A$2:$D$121,3,FALSE)</f>
        <v>0</v>
      </c>
      <c r="M684" s="14">
        <f>M562/VLOOKUP($C684,calendar!$A$2:$D$121,3,FALSE)</f>
        <v>0</v>
      </c>
      <c r="N684" s="14"/>
      <c r="O684" s="14">
        <f>O562/VLOOKUP($C684,calendar!$A$2:$D$121,3,FALSE)</f>
        <v>0</v>
      </c>
      <c r="P684" s="14">
        <f>P562/VLOOKUP($C684,calendar!$A$2:$D$121,3,FALSE)</f>
        <v>0</v>
      </c>
      <c r="Q684" s="14">
        <f>Q562/VLOOKUP($C684,calendar!$A$2:$D$121,3,FALSE)</f>
        <v>0</v>
      </c>
      <c r="R684" s="14">
        <f>R562/VLOOKUP($C684,calendar!$A$2:$D$121,3,FALSE)</f>
        <v>0</v>
      </c>
    </row>
    <row r="685" spans="3:18" s="8" customFormat="1" x14ac:dyDescent="0.2">
      <c r="C685" s="9">
        <f t="shared" si="167"/>
        <v>39052</v>
      </c>
      <c r="E685" s="14">
        <f>E563/VLOOKUP($C685,calendar!$A$2:$D$121,3,FALSE)</f>
        <v>73</v>
      </c>
      <c r="F685" s="14">
        <f>F563/VLOOKUP($C685,calendar!$A$2:$D$121,3,FALSE)</f>
        <v>0</v>
      </c>
      <c r="G685" s="14">
        <f>G563/VLOOKUP($C685,calendar!$A$2:$D$121,3,FALSE)</f>
        <v>0</v>
      </c>
      <c r="H685" s="14">
        <f>H563/VLOOKUP($C685,calendar!$A$2:$D$121,3,FALSE)</f>
        <v>-73</v>
      </c>
      <c r="I685" s="14">
        <f>I563/VLOOKUP($C685,calendar!$A$2:$D$121,3,FALSE)</f>
        <v>0</v>
      </c>
      <c r="J685" s="14">
        <f>J563/VLOOKUP($C685,calendar!$A$2:$D$121,3,FALSE)</f>
        <v>0</v>
      </c>
      <c r="K685" s="14">
        <f>K563/VLOOKUP($C685,calendar!$A$2:$D$121,3,FALSE)</f>
        <v>0</v>
      </c>
      <c r="L685" s="14">
        <f>L563/VLOOKUP($C685,calendar!$A$2:$D$121,3,FALSE)</f>
        <v>0</v>
      </c>
      <c r="M685" s="14">
        <f>M563/VLOOKUP($C685,calendar!$A$2:$D$121,3,FALSE)</f>
        <v>0</v>
      </c>
      <c r="N685" s="14"/>
      <c r="O685" s="14">
        <f>O563/VLOOKUP($C685,calendar!$A$2:$D$121,3,FALSE)</f>
        <v>0</v>
      </c>
      <c r="P685" s="14">
        <f>P563/VLOOKUP($C685,calendar!$A$2:$D$121,3,FALSE)</f>
        <v>0</v>
      </c>
      <c r="Q685" s="14">
        <f>Q563/VLOOKUP($C685,calendar!$A$2:$D$121,3,FALSE)</f>
        <v>0</v>
      </c>
      <c r="R685" s="14">
        <f>R563/VLOOKUP($C685,calendar!$A$2:$D$121,3,FALSE)</f>
        <v>0</v>
      </c>
    </row>
    <row r="686" spans="3:18" s="8" customFormat="1" x14ac:dyDescent="0.2">
      <c r="C686" s="9">
        <f t="shared" si="167"/>
        <v>39083</v>
      </c>
      <c r="E686" s="14">
        <f>E564/VLOOKUP($C686,calendar!$A$2:$D$121,3,FALSE)</f>
        <v>23</v>
      </c>
      <c r="F686" s="14">
        <f>F564/VLOOKUP($C686,calendar!$A$2:$D$121,3,FALSE)</f>
        <v>0</v>
      </c>
      <c r="G686" s="14">
        <f>G564/VLOOKUP($C686,calendar!$A$2:$D$121,3,FALSE)</f>
        <v>0</v>
      </c>
      <c r="H686" s="14">
        <f>H564/VLOOKUP($C686,calendar!$A$2:$D$121,3,FALSE)</f>
        <v>-75</v>
      </c>
      <c r="I686" s="14">
        <f>I564/VLOOKUP($C686,calendar!$A$2:$D$121,3,FALSE)</f>
        <v>0</v>
      </c>
      <c r="J686" s="14">
        <f>J564/VLOOKUP($C686,calendar!$A$2:$D$121,3,FALSE)</f>
        <v>0</v>
      </c>
      <c r="K686" s="14">
        <f>K564/VLOOKUP($C686,calendar!$A$2:$D$121,3,FALSE)</f>
        <v>0</v>
      </c>
      <c r="L686" s="14">
        <f>L564/VLOOKUP($C686,calendar!$A$2:$D$121,3,FALSE)</f>
        <v>0</v>
      </c>
      <c r="M686" s="14">
        <f>M564/VLOOKUP($C686,calendar!$A$2:$D$121,3,FALSE)</f>
        <v>0</v>
      </c>
      <c r="N686" s="14"/>
      <c r="O686" s="14">
        <f>O564/VLOOKUP($C686,calendar!$A$2:$D$121,3,FALSE)</f>
        <v>0</v>
      </c>
      <c r="P686" s="14">
        <f>P564/VLOOKUP($C686,calendar!$A$2:$D$121,3,FALSE)</f>
        <v>0</v>
      </c>
      <c r="Q686" s="14">
        <f>Q564/VLOOKUP($C686,calendar!$A$2:$D$121,3,FALSE)</f>
        <v>0</v>
      </c>
      <c r="R686" s="14">
        <f>R564/VLOOKUP($C686,calendar!$A$2:$D$121,3,FALSE)</f>
        <v>0</v>
      </c>
    </row>
    <row r="687" spans="3:18" s="8" customFormat="1" x14ac:dyDescent="0.2">
      <c r="C687" s="9">
        <f t="shared" si="167"/>
        <v>39114</v>
      </c>
      <c r="E687" s="14">
        <f>E565/VLOOKUP($C687,calendar!$A$2:$D$121,3,FALSE)</f>
        <v>23</v>
      </c>
      <c r="F687" s="14">
        <f>F565/VLOOKUP($C687,calendar!$A$2:$D$121,3,FALSE)</f>
        <v>0</v>
      </c>
      <c r="G687" s="14">
        <f>G565/VLOOKUP($C687,calendar!$A$2:$D$121,3,FALSE)</f>
        <v>0</v>
      </c>
      <c r="H687" s="14">
        <f>H565/VLOOKUP($C687,calendar!$A$2:$D$121,3,FALSE)</f>
        <v>-73</v>
      </c>
      <c r="I687" s="14">
        <f>I565/VLOOKUP($C687,calendar!$A$2:$D$121,3,FALSE)</f>
        <v>0</v>
      </c>
      <c r="J687" s="14">
        <f>J565/VLOOKUP($C687,calendar!$A$2:$D$121,3,FALSE)</f>
        <v>0</v>
      </c>
      <c r="K687" s="14">
        <f>K565/VLOOKUP($C687,calendar!$A$2:$D$121,3,FALSE)</f>
        <v>0</v>
      </c>
      <c r="L687" s="14">
        <f>L565/VLOOKUP($C687,calendar!$A$2:$D$121,3,FALSE)</f>
        <v>0</v>
      </c>
      <c r="M687" s="14">
        <f>M565/VLOOKUP($C687,calendar!$A$2:$D$121,3,FALSE)</f>
        <v>0</v>
      </c>
      <c r="N687" s="14"/>
      <c r="O687" s="14">
        <f>O565/VLOOKUP($C687,calendar!$A$2:$D$121,3,FALSE)</f>
        <v>0</v>
      </c>
      <c r="P687" s="14">
        <f>P565/VLOOKUP($C687,calendar!$A$2:$D$121,3,FALSE)</f>
        <v>0</v>
      </c>
      <c r="Q687" s="14">
        <f>Q565/VLOOKUP($C687,calendar!$A$2:$D$121,3,FALSE)</f>
        <v>0</v>
      </c>
      <c r="R687" s="14">
        <f>R565/VLOOKUP($C687,calendar!$A$2:$D$121,3,FALSE)</f>
        <v>0</v>
      </c>
    </row>
    <row r="688" spans="3:18" s="8" customFormat="1" x14ac:dyDescent="0.2">
      <c r="C688" s="9">
        <f t="shared" si="167"/>
        <v>39142</v>
      </c>
      <c r="E688" s="14">
        <f>E566/VLOOKUP($C688,calendar!$A$2:$D$121,3,FALSE)</f>
        <v>23</v>
      </c>
      <c r="F688" s="14">
        <f>F566/VLOOKUP($C688,calendar!$A$2:$D$121,3,FALSE)</f>
        <v>0</v>
      </c>
      <c r="G688" s="14">
        <f>G566/VLOOKUP($C688,calendar!$A$2:$D$121,3,FALSE)</f>
        <v>0</v>
      </c>
      <c r="H688" s="14">
        <f>H566/VLOOKUP($C688,calendar!$A$2:$D$121,3,FALSE)</f>
        <v>-75</v>
      </c>
      <c r="I688" s="14">
        <f>I566/VLOOKUP($C688,calendar!$A$2:$D$121,3,FALSE)</f>
        <v>0</v>
      </c>
      <c r="J688" s="14">
        <f>J566/VLOOKUP($C688,calendar!$A$2:$D$121,3,FALSE)</f>
        <v>0</v>
      </c>
      <c r="K688" s="14">
        <f>K566/VLOOKUP($C688,calendar!$A$2:$D$121,3,FALSE)</f>
        <v>0</v>
      </c>
      <c r="L688" s="14">
        <f>L566/VLOOKUP($C688,calendar!$A$2:$D$121,3,FALSE)</f>
        <v>0</v>
      </c>
      <c r="M688" s="14">
        <f>M566/VLOOKUP($C688,calendar!$A$2:$D$121,3,FALSE)</f>
        <v>0</v>
      </c>
      <c r="N688" s="14"/>
      <c r="O688" s="14">
        <f>O566/VLOOKUP($C688,calendar!$A$2:$D$121,3,FALSE)</f>
        <v>0</v>
      </c>
      <c r="P688" s="14">
        <f>P566/VLOOKUP($C688,calendar!$A$2:$D$121,3,FALSE)</f>
        <v>0</v>
      </c>
      <c r="Q688" s="14">
        <f>Q566/VLOOKUP($C688,calendar!$A$2:$D$121,3,FALSE)</f>
        <v>0</v>
      </c>
      <c r="R688" s="14">
        <f>R566/VLOOKUP($C688,calendar!$A$2:$D$121,3,FALSE)</f>
        <v>0</v>
      </c>
    </row>
    <row r="689" spans="3:18" s="8" customFormat="1" x14ac:dyDescent="0.2">
      <c r="C689" s="9">
        <f t="shared" si="167"/>
        <v>39173</v>
      </c>
      <c r="E689" s="14">
        <f>E567/VLOOKUP($C689,calendar!$A$2:$D$121,3,FALSE)</f>
        <v>22.940104166666668</v>
      </c>
      <c r="F689" s="14">
        <f>F567/VLOOKUP($C689,calendar!$A$2:$D$121,3,FALSE)</f>
        <v>0</v>
      </c>
      <c r="G689" s="14">
        <f>G567/VLOOKUP($C689,calendar!$A$2:$D$121,3,FALSE)</f>
        <v>0</v>
      </c>
      <c r="H689" s="14">
        <f>H567/VLOOKUP($C689,calendar!$A$2:$D$121,3,FALSE)</f>
        <v>-73.869791666666671</v>
      </c>
      <c r="I689" s="14">
        <f>I567/VLOOKUP($C689,calendar!$A$2:$D$121,3,FALSE)</f>
        <v>0</v>
      </c>
      <c r="J689" s="14">
        <f>J567/VLOOKUP($C689,calendar!$A$2:$D$121,3,FALSE)</f>
        <v>0</v>
      </c>
      <c r="K689" s="14">
        <f>K567/VLOOKUP($C689,calendar!$A$2:$D$121,3,FALSE)</f>
        <v>0</v>
      </c>
      <c r="L689" s="14">
        <f>L567/VLOOKUP($C689,calendar!$A$2:$D$121,3,FALSE)</f>
        <v>0</v>
      </c>
      <c r="M689" s="14">
        <f>M567/VLOOKUP($C689,calendar!$A$2:$D$121,3,FALSE)</f>
        <v>0</v>
      </c>
      <c r="N689" s="14"/>
      <c r="O689" s="14">
        <f>O567/VLOOKUP($C689,calendar!$A$2:$D$121,3,FALSE)</f>
        <v>0</v>
      </c>
      <c r="P689" s="14">
        <f>P567/VLOOKUP($C689,calendar!$A$2:$D$121,3,FALSE)</f>
        <v>0</v>
      </c>
      <c r="Q689" s="14">
        <f>Q567/VLOOKUP($C689,calendar!$A$2:$D$121,3,FALSE)</f>
        <v>0</v>
      </c>
      <c r="R689" s="14">
        <f>R567/VLOOKUP($C689,calendar!$A$2:$D$121,3,FALSE)</f>
        <v>0</v>
      </c>
    </row>
    <row r="690" spans="3:18" s="8" customFormat="1" x14ac:dyDescent="0.2">
      <c r="C690" s="9">
        <f t="shared" si="167"/>
        <v>39203</v>
      </c>
      <c r="E690" s="14">
        <f>E568/VLOOKUP($C690,calendar!$A$2:$D$121,3,FALSE)</f>
        <v>23</v>
      </c>
      <c r="F690" s="14">
        <f>F568/VLOOKUP($C690,calendar!$A$2:$D$121,3,FALSE)</f>
        <v>0</v>
      </c>
      <c r="G690" s="14">
        <f>G568/VLOOKUP($C690,calendar!$A$2:$D$121,3,FALSE)</f>
        <v>0</v>
      </c>
      <c r="H690" s="14">
        <f>H568/VLOOKUP($C690,calendar!$A$2:$D$121,3,FALSE)</f>
        <v>-65</v>
      </c>
      <c r="I690" s="14">
        <f>I568/VLOOKUP($C690,calendar!$A$2:$D$121,3,FALSE)</f>
        <v>0</v>
      </c>
      <c r="J690" s="14">
        <f>J568/VLOOKUP($C690,calendar!$A$2:$D$121,3,FALSE)</f>
        <v>0</v>
      </c>
      <c r="K690" s="14">
        <f>K568/VLOOKUP($C690,calendar!$A$2:$D$121,3,FALSE)</f>
        <v>0</v>
      </c>
      <c r="L690" s="14">
        <f>L568/VLOOKUP($C690,calendar!$A$2:$D$121,3,FALSE)</f>
        <v>0</v>
      </c>
      <c r="M690" s="14">
        <f>M568/VLOOKUP($C690,calendar!$A$2:$D$121,3,FALSE)</f>
        <v>0</v>
      </c>
      <c r="N690" s="14"/>
      <c r="O690" s="14">
        <f>O568/VLOOKUP($C690,calendar!$A$2:$D$121,3,FALSE)</f>
        <v>0</v>
      </c>
      <c r="P690" s="14">
        <f>P568/VLOOKUP($C690,calendar!$A$2:$D$121,3,FALSE)</f>
        <v>0</v>
      </c>
      <c r="Q690" s="14">
        <f>Q568/VLOOKUP($C690,calendar!$A$2:$D$121,3,FALSE)</f>
        <v>0</v>
      </c>
      <c r="R690" s="14">
        <f>R568/VLOOKUP($C690,calendar!$A$2:$D$121,3,FALSE)</f>
        <v>0</v>
      </c>
    </row>
    <row r="691" spans="3:18" s="8" customFormat="1" x14ac:dyDescent="0.2">
      <c r="C691" s="9">
        <f t="shared" si="167"/>
        <v>39234</v>
      </c>
      <c r="E691" s="14">
        <f>E569/VLOOKUP($C691,calendar!$A$2:$D$121,3,FALSE)</f>
        <v>23</v>
      </c>
      <c r="F691" s="14">
        <f>F569/VLOOKUP($C691,calendar!$A$2:$D$121,3,FALSE)</f>
        <v>0</v>
      </c>
      <c r="G691" s="14">
        <f>G569/VLOOKUP($C691,calendar!$A$2:$D$121,3,FALSE)</f>
        <v>0</v>
      </c>
      <c r="H691" s="14">
        <f>H569/VLOOKUP($C691,calendar!$A$2:$D$121,3,FALSE)</f>
        <v>-62</v>
      </c>
      <c r="I691" s="14">
        <f>I569/VLOOKUP($C691,calendar!$A$2:$D$121,3,FALSE)</f>
        <v>0</v>
      </c>
      <c r="J691" s="14">
        <f>J569/VLOOKUP($C691,calendar!$A$2:$D$121,3,FALSE)</f>
        <v>0</v>
      </c>
      <c r="K691" s="14">
        <f>K569/VLOOKUP($C691,calendar!$A$2:$D$121,3,FALSE)</f>
        <v>0</v>
      </c>
      <c r="L691" s="14">
        <f>L569/VLOOKUP($C691,calendar!$A$2:$D$121,3,FALSE)</f>
        <v>0</v>
      </c>
      <c r="M691" s="14">
        <f>M569/VLOOKUP($C691,calendar!$A$2:$D$121,3,FALSE)</f>
        <v>0</v>
      </c>
      <c r="N691" s="14"/>
      <c r="O691" s="14">
        <f>O569/VLOOKUP($C691,calendar!$A$2:$D$121,3,FALSE)</f>
        <v>0</v>
      </c>
      <c r="P691" s="14">
        <f>P569/VLOOKUP($C691,calendar!$A$2:$D$121,3,FALSE)</f>
        <v>0</v>
      </c>
      <c r="Q691" s="14">
        <f>Q569/VLOOKUP($C691,calendar!$A$2:$D$121,3,FALSE)</f>
        <v>0</v>
      </c>
      <c r="R691" s="14">
        <f>R569/VLOOKUP($C691,calendar!$A$2:$D$121,3,FALSE)</f>
        <v>0</v>
      </c>
    </row>
    <row r="692" spans="3:18" s="8" customFormat="1" x14ac:dyDescent="0.2">
      <c r="C692" s="9">
        <f t="shared" si="167"/>
        <v>39264</v>
      </c>
      <c r="E692" s="14">
        <f>E570/VLOOKUP($C692,calendar!$A$2:$D$121,3,FALSE)</f>
        <v>23</v>
      </c>
      <c r="F692" s="14">
        <f>F570/VLOOKUP($C692,calendar!$A$2:$D$121,3,FALSE)</f>
        <v>0</v>
      </c>
      <c r="G692" s="14">
        <f>G570/VLOOKUP($C692,calendar!$A$2:$D$121,3,FALSE)</f>
        <v>0</v>
      </c>
      <c r="H692" s="14">
        <f>H570/VLOOKUP($C692,calendar!$A$2:$D$121,3,FALSE)</f>
        <v>-59</v>
      </c>
      <c r="I692" s="14">
        <f>I570/VLOOKUP($C692,calendar!$A$2:$D$121,3,FALSE)</f>
        <v>0</v>
      </c>
      <c r="J692" s="14">
        <f>J570/VLOOKUP($C692,calendar!$A$2:$D$121,3,FALSE)</f>
        <v>0</v>
      </c>
      <c r="K692" s="14">
        <f>K570/VLOOKUP($C692,calendar!$A$2:$D$121,3,FALSE)</f>
        <v>0</v>
      </c>
      <c r="L692" s="14">
        <f>L570/VLOOKUP($C692,calendar!$A$2:$D$121,3,FALSE)</f>
        <v>0</v>
      </c>
      <c r="M692" s="14">
        <f>M570/VLOOKUP($C692,calendar!$A$2:$D$121,3,FALSE)</f>
        <v>0</v>
      </c>
      <c r="N692" s="14"/>
      <c r="O692" s="14">
        <f>O570/VLOOKUP($C692,calendar!$A$2:$D$121,3,FALSE)</f>
        <v>0</v>
      </c>
      <c r="P692" s="14">
        <f>P570/VLOOKUP($C692,calendar!$A$2:$D$121,3,FALSE)</f>
        <v>0</v>
      </c>
      <c r="Q692" s="14">
        <f>Q570/VLOOKUP($C692,calendar!$A$2:$D$121,3,FALSE)</f>
        <v>0</v>
      </c>
      <c r="R692" s="14">
        <f>R570/VLOOKUP($C692,calendar!$A$2:$D$121,3,FALSE)</f>
        <v>0</v>
      </c>
    </row>
    <row r="693" spans="3:18" s="8" customFormat="1" x14ac:dyDescent="0.2">
      <c r="C693" s="9">
        <f t="shared" si="167"/>
        <v>39295</v>
      </c>
      <c r="E693" s="14">
        <f>E571/VLOOKUP($C693,calendar!$A$2:$D$121,3,FALSE)</f>
        <v>23</v>
      </c>
      <c r="F693" s="14">
        <f>F571/VLOOKUP($C693,calendar!$A$2:$D$121,3,FALSE)</f>
        <v>0</v>
      </c>
      <c r="G693" s="14">
        <f>G571/VLOOKUP($C693,calendar!$A$2:$D$121,3,FALSE)</f>
        <v>0</v>
      </c>
      <c r="H693" s="14">
        <f>H571/VLOOKUP($C693,calendar!$A$2:$D$121,3,FALSE)</f>
        <v>-59</v>
      </c>
      <c r="I693" s="14">
        <f>I571/VLOOKUP($C693,calendar!$A$2:$D$121,3,FALSE)</f>
        <v>0</v>
      </c>
      <c r="J693" s="14">
        <f>J571/VLOOKUP($C693,calendar!$A$2:$D$121,3,FALSE)</f>
        <v>0</v>
      </c>
      <c r="K693" s="14">
        <f>K571/VLOOKUP($C693,calendar!$A$2:$D$121,3,FALSE)</f>
        <v>0</v>
      </c>
      <c r="L693" s="14">
        <f>L571/VLOOKUP($C693,calendar!$A$2:$D$121,3,FALSE)</f>
        <v>0</v>
      </c>
      <c r="M693" s="14">
        <f>M571/VLOOKUP($C693,calendar!$A$2:$D$121,3,FALSE)</f>
        <v>0</v>
      </c>
      <c r="N693" s="14"/>
      <c r="O693" s="14">
        <f>O571/VLOOKUP($C693,calendar!$A$2:$D$121,3,FALSE)</f>
        <v>0</v>
      </c>
      <c r="P693" s="14">
        <f>P571/VLOOKUP($C693,calendar!$A$2:$D$121,3,FALSE)</f>
        <v>0</v>
      </c>
      <c r="Q693" s="14">
        <f>Q571/VLOOKUP($C693,calendar!$A$2:$D$121,3,FALSE)</f>
        <v>0</v>
      </c>
      <c r="R693" s="14">
        <f>R571/VLOOKUP($C693,calendar!$A$2:$D$121,3,FALSE)</f>
        <v>0</v>
      </c>
    </row>
    <row r="694" spans="3:18" s="8" customFormat="1" x14ac:dyDescent="0.2">
      <c r="C694" s="9">
        <f t="shared" si="167"/>
        <v>39326</v>
      </c>
      <c r="E694" s="14">
        <f>E572/VLOOKUP($C694,calendar!$A$2:$D$121,3,FALSE)</f>
        <v>23</v>
      </c>
      <c r="F694" s="14">
        <f>F572/VLOOKUP($C694,calendar!$A$2:$D$121,3,FALSE)</f>
        <v>0</v>
      </c>
      <c r="G694" s="14">
        <f>G572/VLOOKUP($C694,calendar!$A$2:$D$121,3,FALSE)</f>
        <v>0</v>
      </c>
      <c r="H694" s="14">
        <f>H572/VLOOKUP($C694,calendar!$A$2:$D$121,3,FALSE)</f>
        <v>-65</v>
      </c>
      <c r="I694" s="14">
        <f>I572/VLOOKUP($C694,calendar!$A$2:$D$121,3,FALSE)</f>
        <v>0</v>
      </c>
      <c r="J694" s="14">
        <f>J572/VLOOKUP($C694,calendar!$A$2:$D$121,3,FALSE)</f>
        <v>0</v>
      </c>
      <c r="K694" s="14">
        <f>K572/VLOOKUP($C694,calendar!$A$2:$D$121,3,FALSE)</f>
        <v>0</v>
      </c>
      <c r="L694" s="14">
        <f>L572/VLOOKUP($C694,calendar!$A$2:$D$121,3,FALSE)</f>
        <v>0</v>
      </c>
      <c r="M694" s="14">
        <f>M572/VLOOKUP($C694,calendar!$A$2:$D$121,3,FALSE)</f>
        <v>0</v>
      </c>
      <c r="N694" s="14"/>
      <c r="O694" s="14">
        <f>O572/VLOOKUP($C694,calendar!$A$2:$D$121,3,FALSE)</f>
        <v>0</v>
      </c>
      <c r="P694" s="14">
        <f>P572/VLOOKUP($C694,calendar!$A$2:$D$121,3,FALSE)</f>
        <v>0</v>
      </c>
      <c r="Q694" s="14">
        <f>Q572/VLOOKUP($C694,calendar!$A$2:$D$121,3,FALSE)</f>
        <v>0</v>
      </c>
      <c r="R694" s="14">
        <f>R572/VLOOKUP($C694,calendar!$A$2:$D$121,3,FALSE)</f>
        <v>0</v>
      </c>
    </row>
    <row r="695" spans="3:18" s="8" customFormat="1" x14ac:dyDescent="0.2">
      <c r="C695" s="9">
        <f t="shared" si="167"/>
        <v>39356</v>
      </c>
      <c r="E695" s="14">
        <f>E573/VLOOKUP($C695,calendar!$A$2:$D$121,3,FALSE)</f>
        <v>23.061170212765958</v>
      </c>
      <c r="F695" s="14">
        <f>F573/VLOOKUP($C695,calendar!$A$2:$D$121,3,FALSE)</f>
        <v>0</v>
      </c>
      <c r="G695" s="14">
        <f>G573/VLOOKUP($C695,calendar!$A$2:$D$121,3,FALSE)</f>
        <v>0</v>
      </c>
      <c r="H695" s="14">
        <f>H573/VLOOKUP($C695,calendar!$A$2:$D$121,3,FALSE)</f>
        <v>-66.13297872340425</v>
      </c>
      <c r="I695" s="14">
        <f>I573/VLOOKUP($C695,calendar!$A$2:$D$121,3,FALSE)</f>
        <v>0</v>
      </c>
      <c r="J695" s="14">
        <f>J573/VLOOKUP($C695,calendar!$A$2:$D$121,3,FALSE)</f>
        <v>0</v>
      </c>
      <c r="K695" s="14">
        <f>K573/VLOOKUP($C695,calendar!$A$2:$D$121,3,FALSE)</f>
        <v>0</v>
      </c>
      <c r="L695" s="14">
        <f>L573/VLOOKUP($C695,calendar!$A$2:$D$121,3,FALSE)</f>
        <v>0</v>
      </c>
      <c r="M695" s="14">
        <f>M573/VLOOKUP($C695,calendar!$A$2:$D$121,3,FALSE)</f>
        <v>0</v>
      </c>
      <c r="N695" s="14"/>
      <c r="O695" s="14">
        <f>O573/VLOOKUP($C695,calendar!$A$2:$D$121,3,FALSE)</f>
        <v>0</v>
      </c>
      <c r="P695" s="14">
        <f>P573/VLOOKUP($C695,calendar!$A$2:$D$121,3,FALSE)</f>
        <v>0</v>
      </c>
      <c r="Q695" s="14">
        <f>Q573/VLOOKUP($C695,calendar!$A$2:$D$121,3,FALSE)</f>
        <v>0</v>
      </c>
      <c r="R695" s="14">
        <f>R573/VLOOKUP($C695,calendar!$A$2:$D$121,3,FALSE)</f>
        <v>0</v>
      </c>
    </row>
    <row r="696" spans="3:18" s="8" customFormat="1" x14ac:dyDescent="0.2">
      <c r="C696" s="9">
        <f t="shared" si="167"/>
        <v>39387</v>
      </c>
      <c r="E696" s="14">
        <f>E574/VLOOKUP($C696,calendar!$A$2:$D$121,3,FALSE)</f>
        <v>23</v>
      </c>
      <c r="F696" s="14">
        <f>F574/VLOOKUP($C696,calendar!$A$2:$D$121,3,FALSE)</f>
        <v>0</v>
      </c>
      <c r="G696" s="14">
        <f>G574/VLOOKUP($C696,calendar!$A$2:$D$121,3,FALSE)</f>
        <v>0</v>
      </c>
      <c r="H696" s="14">
        <f>H574/VLOOKUP($C696,calendar!$A$2:$D$121,3,FALSE)</f>
        <v>-74</v>
      </c>
      <c r="I696" s="14">
        <f>I574/VLOOKUP($C696,calendar!$A$2:$D$121,3,FALSE)</f>
        <v>0</v>
      </c>
      <c r="J696" s="14">
        <f>J574/VLOOKUP($C696,calendar!$A$2:$D$121,3,FALSE)</f>
        <v>0</v>
      </c>
      <c r="K696" s="14">
        <f>K574/VLOOKUP($C696,calendar!$A$2:$D$121,3,FALSE)</f>
        <v>0</v>
      </c>
      <c r="L696" s="14">
        <f>L574/VLOOKUP($C696,calendar!$A$2:$D$121,3,FALSE)</f>
        <v>0</v>
      </c>
      <c r="M696" s="14">
        <f>M574/VLOOKUP($C696,calendar!$A$2:$D$121,3,FALSE)</f>
        <v>0</v>
      </c>
      <c r="N696" s="14"/>
      <c r="O696" s="14">
        <f>O574/VLOOKUP($C696,calendar!$A$2:$D$121,3,FALSE)</f>
        <v>0</v>
      </c>
      <c r="P696" s="14">
        <f>P574/VLOOKUP($C696,calendar!$A$2:$D$121,3,FALSE)</f>
        <v>0</v>
      </c>
      <c r="Q696" s="14">
        <f>Q574/VLOOKUP($C696,calendar!$A$2:$D$121,3,FALSE)</f>
        <v>0</v>
      </c>
      <c r="R696" s="14">
        <f>R574/VLOOKUP($C696,calendar!$A$2:$D$121,3,FALSE)</f>
        <v>0</v>
      </c>
    </row>
    <row r="697" spans="3:18" s="8" customFormat="1" x14ac:dyDescent="0.2">
      <c r="C697" s="9">
        <f t="shared" si="167"/>
        <v>39417</v>
      </c>
      <c r="E697" s="14">
        <f>E575/VLOOKUP($C697,calendar!$A$2:$D$121,3,FALSE)</f>
        <v>23</v>
      </c>
      <c r="F697" s="14">
        <f>F575/VLOOKUP($C697,calendar!$A$2:$D$121,3,FALSE)</f>
        <v>0</v>
      </c>
      <c r="G697" s="14">
        <f>G575/VLOOKUP($C697,calendar!$A$2:$D$121,3,FALSE)</f>
        <v>0</v>
      </c>
      <c r="H697" s="14">
        <f>H575/VLOOKUP($C697,calendar!$A$2:$D$121,3,FALSE)</f>
        <v>-73</v>
      </c>
      <c r="I697" s="14">
        <f>I575/VLOOKUP($C697,calendar!$A$2:$D$121,3,FALSE)</f>
        <v>0</v>
      </c>
      <c r="J697" s="14">
        <f>J575/VLOOKUP($C697,calendar!$A$2:$D$121,3,FALSE)</f>
        <v>0</v>
      </c>
      <c r="K697" s="14">
        <f>K575/VLOOKUP($C697,calendar!$A$2:$D$121,3,FALSE)</f>
        <v>0</v>
      </c>
      <c r="L697" s="14">
        <f>L575/VLOOKUP($C697,calendar!$A$2:$D$121,3,FALSE)</f>
        <v>0</v>
      </c>
      <c r="M697" s="14">
        <f>M575/VLOOKUP($C697,calendar!$A$2:$D$121,3,FALSE)</f>
        <v>0</v>
      </c>
      <c r="N697" s="14"/>
      <c r="O697" s="14">
        <f>O575/VLOOKUP($C697,calendar!$A$2:$D$121,3,FALSE)</f>
        <v>0</v>
      </c>
      <c r="P697" s="14">
        <f>P575/VLOOKUP($C697,calendar!$A$2:$D$121,3,FALSE)</f>
        <v>0</v>
      </c>
      <c r="Q697" s="14">
        <f>Q575/VLOOKUP($C697,calendar!$A$2:$D$121,3,FALSE)</f>
        <v>0</v>
      </c>
      <c r="R697" s="14">
        <f>R575/VLOOKUP($C697,calendar!$A$2:$D$121,3,FALSE)</f>
        <v>0</v>
      </c>
    </row>
    <row r="698" spans="3:18" s="8" customFormat="1" x14ac:dyDescent="0.2">
      <c r="C698" s="9">
        <f t="shared" si="167"/>
        <v>39448</v>
      </c>
      <c r="E698" s="14">
        <f>E576/VLOOKUP($C698,calendar!$A$2:$D$121,3,FALSE)</f>
        <v>-27</v>
      </c>
      <c r="F698" s="14">
        <f>F576/VLOOKUP($C698,calendar!$A$2:$D$121,3,FALSE)</f>
        <v>0</v>
      </c>
      <c r="G698" s="14">
        <f>G576/VLOOKUP($C698,calendar!$A$2:$D$121,3,FALSE)</f>
        <v>0</v>
      </c>
      <c r="H698" s="14">
        <f>H576/VLOOKUP($C698,calendar!$A$2:$D$121,3,FALSE)</f>
        <v>-75</v>
      </c>
      <c r="I698" s="14">
        <f>I576/VLOOKUP($C698,calendar!$A$2:$D$121,3,FALSE)</f>
        <v>0</v>
      </c>
      <c r="J698" s="14">
        <f>J576/VLOOKUP($C698,calendar!$A$2:$D$121,3,FALSE)</f>
        <v>0</v>
      </c>
      <c r="K698" s="14">
        <f>K576/VLOOKUP($C698,calendar!$A$2:$D$121,3,FALSE)</f>
        <v>0</v>
      </c>
      <c r="L698" s="14">
        <f>L576/VLOOKUP($C698,calendar!$A$2:$D$121,3,FALSE)</f>
        <v>0</v>
      </c>
      <c r="M698" s="14">
        <f>M576/VLOOKUP($C698,calendar!$A$2:$D$121,3,FALSE)</f>
        <v>0</v>
      </c>
      <c r="N698" s="14"/>
      <c r="O698" s="14">
        <f>O576/VLOOKUP($C698,calendar!$A$2:$D$121,3,FALSE)</f>
        <v>0</v>
      </c>
      <c r="P698" s="14">
        <f>P576/VLOOKUP($C698,calendar!$A$2:$D$121,3,FALSE)</f>
        <v>0</v>
      </c>
      <c r="Q698" s="14">
        <f>Q576/VLOOKUP($C698,calendar!$A$2:$D$121,3,FALSE)</f>
        <v>0</v>
      </c>
      <c r="R698" s="14">
        <f>R576/VLOOKUP($C698,calendar!$A$2:$D$121,3,FALSE)</f>
        <v>0</v>
      </c>
    </row>
    <row r="699" spans="3:18" s="8" customFormat="1" x14ac:dyDescent="0.2">
      <c r="C699" s="9">
        <f t="shared" si="167"/>
        <v>39479</v>
      </c>
      <c r="E699" s="14">
        <f>E577/VLOOKUP($C699,calendar!$A$2:$D$121,3,FALSE)</f>
        <v>-27</v>
      </c>
      <c r="F699" s="14">
        <f>F577/VLOOKUP($C699,calendar!$A$2:$D$121,3,FALSE)</f>
        <v>0</v>
      </c>
      <c r="G699" s="14">
        <f>G577/VLOOKUP($C699,calendar!$A$2:$D$121,3,FALSE)</f>
        <v>0</v>
      </c>
      <c r="H699" s="14">
        <f>H577/VLOOKUP($C699,calendar!$A$2:$D$121,3,FALSE)</f>
        <v>-73</v>
      </c>
      <c r="I699" s="14">
        <f>I577/VLOOKUP($C699,calendar!$A$2:$D$121,3,FALSE)</f>
        <v>0</v>
      </c>
      <c r="J699" s="14">
        <f>J577/VLOOKUP($C699,calendar!$A$2:$D$121,3,FALSE)</f>
        <v>0</v>
      </c>
      <c r="K699" s="14">
        <f>K577/VLOOKUP($C699,calendar!$A$2:$D$121,3,FALSE)</f>
        <v>0</v>
      </c>
      <c r="L699" s="14">
        <f>L577/VLOOKUP($C699,calendar!$A$2:$D$121,3,FALSE)</f>
        <v>0</v>
      </c>
      <c r="M699" s="14">
        <f>M577/VLOOKUP($C699,calendar!$A$2:$D$121,3,FALSE)</f>
        <v>0</v>
      </c>
      <c r="N699" s="14"/>
      <c r="O699" s="14">
        <f>O577/VLOOKUP($C699,calendar!$A$2:$D$121,3,FALSE)</f>
        <v>0</v>
      </c>
      <c r="P699" s="14">
        <f>P577/VLOOKUP($C699,calendar!$A$2:$D$121,3,FALSE)</f>
        <v>0</v>
      </c>
      <c r="Q699" s="14">
        <f>Q577/VLOOKUP($C699,calendar!$A$2:$D$121,3,FALSE)</f>
        <v>0</v>
      </c>
      <c r="R699" s="14">
        <f>R577/VLOOKUP($C699,calendar!$A$2:$D$121,3,FALSE)</f>
        <v>0</v>
      </c>
    </row>
    <row r="700" spans="3:18" s="8" customFormat="1" x14ac:dyDescent="0.2">
      <c r="C700" s="9">
        <f t="shared" si="167"/>
        <v>39508</v>
      </c>
      <c r="E700" s="14">
        <f>E578/VLOOKUP($C700,calendar!$A$2:$D$121,3,FALSE)</f>
        <v>-27</v>
      </c>
      <c r="F700" s="14">
        <f>F578/VLOOKUP($C700,calendar!$A$2:$D$121,3,FALSE)</f>
        <v>0</v>
      </c>
      <c r="G700" s="14">
        <f>G578/VLOOKUP($C700,calendar!$A$2:$D$121,3,FALSE)</f>
        <v>0</v>
      </c>
      <c r="H700" s="14">
        <f>H578/VLOOKUP($C700,calendar!$A$2:$D$121,3,FALSE)</f>
        <v>-75</v>
      </c>
      <c r="I700" s="14">
        <f>I578/VLOOKUP($C700,calendar!$A$2:$D$121,3,FALSE)</f>
        <v>0</v>
      </c>
      <c r="J700" s="14">
        <f>J578/VLOOKUP($C700,calendar!$A$2:$D$121,3,FALSE)</f>
        <v>0</v>
      </c>
      <c r="K700" s="14">
        <f>K578/VLOOKUP($C700,calendar!$A$2:$D$121,3,FALSE)</f>
        <v>0</v>
      </c>
      <c r="L700" s="14">
        <f>L578/VLOOKUP($C700,calendar!$A$2:$D$121,3,FALSE)</f>
        <v>0</v>
      </c>
      <c r="M700" s="14">
        <f>M578/VLOOKUP($C700,calendar!$A$2:$D$121,3,FALSE)</f>
        <v>0</v>
      </c>
      <c r="N700" s="14"/>
      <c r="O700" s="14">
        <f>O578/VLOOKUP($C700,calendar!$A$2:$D$121,3,FALSE)</f>
        <v>0</v>
      </c>
      <c r="P700" s="14">
        <f>P578/VLOOKUP($C700,calendar!$A$2:$D$121,3,FALSE)</f>
        <v>0</v>
      </c>
      <c r="Q700" s="14">
        <f>Q578/VLOOKUP($C700,calendar!$A$2:$D$121,3,FALSE)</f>
        <v>0</v>
      </c>
      <c r="R700" s="14">
        <f>R578/VLOOKUP($C700,calendar!$A$2:$D$121,3,FALSE)</f>
        <v>0</v>
      </c>
    </row>
    <row r="701" spans="3:18" s="8" customFormat="1" x14ac:dyDescent="0.2">
      <c r="C701" s="9">
        <f t="shared" si="167"/>
        <v>39539</v>
      </c>
      <c r="E701" s="14">
        <f>E579/VLOOKUP($C701,calendar!$A$2:$D$121,3,FALSE)</f>
        <v>-26.926630434782609</v>
      </c>
      <c r="F701" s="14">
        <f>F579/VLOOKUP($C701,calendar!$A$2:$D$121,3,FALSE)</f>
        <v>0</v>
      </c>
      <c r="G701" s="14">
        <f>G579/VLOOKUP($C701,calendar!$A$2:$D$121,3,FALSE)</f>
        <v>0</v>
      </c>
      <c r="H701" s="14">
        <f>H579/VLOOKUP($C701,calendar!$A$2:$D$121,3,FALSE)</f>
        <v>-73.864130434782609</v>
      </c>
      <c r="I701" s="14">
        <f>I579/VLOOKUP($C701,calendar!$A$2:$D$121,3,FALSE)</f>
        <v>0</v>
      </c>
      <c r="J701" s="14">
        <f>J579/VLOOKUP($C701,calendar!$A$2:$D$121,3,FALSE)</f>
        <v>0</v>
      </c>
      <c r="K701" s="14">
        <f>K579/VLOOKUP($C701,calendar!$A$2:$D$121,3,FALSE)</f>
        <v>0</v>
      </c>
      <c r="L701" s="14">
        <f>L579/VLOOKUP($C701,calendar!$A$2:$D$121,3,FALSE)</f>
        <v>0</v>
      </c>
      <c r="M701" s="14">
        <f>M579/VLOOKUP($C701,calendar!$A$2:$D$121,3,FALSE)</f>
        <v>0</v>
      </c>
      <c r="N701" s="14"/>
      <c r="O701" s="14">
        <f>O579/VLOOKUP($C701,calendar!$A$2:$D$121,3,FALSE)</f>
        <v>0</v>
      </c>
      <c r="P701" s="14">
        <f>P579/VLOOKUP($C701,calendar!$A$2:$D$121,3,FALSE)</f>
        <v>0</v>
      </c>
      <c r="Q701" s="14">
        <f>Q579/VLOOKUP($C701,calendar!$A$2:$D$121,3,FALSE)</f>
        <v>0</v>
      </c>
      <c r="R701" s="14">
        <f>R579/VLOOKUP($C701,calendar!$A$2:$D$121,3,FALSE)</f>
        <v>0</v>
      </c>
    </row>
    <row r="702" spans="3:18" s="8" customFormat="1" x14ac:dyDescent="0.2">
      <c r="C702" s="9">
        <f t="shared" si="167"/>
        <v>39569</v>
      </c>
      <c r="E702" s="14">
        <f>E580/VLOOKUP($C702,calendar!$A$2:$D$121,3,FALSE)</f>
        <v>-27</v>
      </c>
      <c r="F702" s="14">
        <f>F580/VLOOKUP($C702,calendar!$A$2:$D$121,3,FALSE)</f>
        <v>0</v>
      </c>
      <c r="G702" s="14">
        <f>G580/VLOOKUP($C702,calendar!$A$2:$D$121,3,FALSE)</f>
        <v>0</v>
      </c>
      <c r="H702" s="14">
        <f>H580/VLOOKUP($C702,calendar!$A$2:$D$121,3,FALSE)</f>
        <v>-65</v>
      </c>
      <c r="I702" s="14">
        <f>I580/VLOOKUP($C702,calendar!$A$2:$D$121,3,FALSE)</f>
        <v>0</v>
      </c>
      <c r="J702" s="14">
        <f>J580/VLOOKUP($C702,calendar!$A$2:$D$121,3,FALSE)</f>
        <v>0</v>
      </c>
      <c r="K702" s="14">
        <f>K580/VLOOKUP($C702,calendar!$A$2:$D$121,3,FALSE)</f>
        <v>0</v>
      </c>
      <c r="L702" s="14">
        <f>L580/VLOOKUP($C702,calendar!$A$2:$D$121,3,FALSE)</f>
        <v>0</v>
      </c>
      <c r="M702" s="14">
        <f>M580/VLOOKUP($C702,calendar!$A$2:$D$121,3,FALSE)</f>
        <v>0</v>
      </c>
      <c r="N702" s="14"/>
      <c r="O702" s="14">
        <f>O580/VLOOKUP($C702,calendar!$A$2:$D$121,3,FALSE)</f>
        <v>0</v>
      </c>
      <c r="P702" s="14">
        <f>P580/VLOOKUP($C702,calendar!$A$2:$D$121,3,FALSE)</f>
        <v>0</v>
      </c>
      <c r="Q702" s="14">
        <f>Q580/VLOOKUP($C702,calendar!$A$2:$D$121,3,FALSE)</f>
        <v>0</v>
      </c>
      <c r="R702" s="14">
        <f>R580/VLOOKUP($C702,calendar!$A$2:$D$121,3,FALSE)</f>
        <v>0</v>
      </c>
    </row>
    <row r="703" spans="3:18" s="8" customFormat="1" x14ac:dyDescent="0.2">
      <c r="C703" s="9">
        <f t="shared" si="167"/>
        <v>39600</v>
      </c>
      <c r="E703" s="14">
        <f>E581/VLOOKUP($C703,calendar!$A$2:$D$121,3,FALSE)</f>
        <v>-27</v>
      </c>
      <c r="F703" s="14">
        <f>F581/VLOOKUP($C703,calendar!$A$2:$D$121,3,FALSE)</f>
        <v>0</v>
      </c>
      <c r="G703" s="14">
        <f>G581/VLOOKUP($C703,calendar!$A$2:$D$121,3,FALSE)</f>
        <v>0</v>
      </c>
      <c r="H703" s="14">
        <f>H581/VLOOKUP($C703,calendar!$A$2:$D$121,3,FALSE)</f>
        <v>-62</v>
      </c>
      <c r="I703" s="14">
        <f>I581/VLOOKUP($C703,calendar!$A$2:$D$121,3,FALSE)</f>
        <v>0</v>
      </c>
      <c r="J703" s="14">
        <f>J581/VLOOKUP($C703,calendar!$A$2:$D$121,3,FALSE)</f>
        <v>0</v>
      </c>
      <c r="K703" s="14">
        <f>K581/VLOOKUP($C703,calendar!$A$2:$D$121,3,FALSE)</f>
        <v>0</v>
      </c>
      <c r="L703" s="14">
        <f>L581/VLOOKUP($C703,calendar!$A$2:$D$121,3,FALSE)</f>
        <v>0</v>
      </c>
      <c r="M703" s="14">
        <f>M581/VLOOKUP($C703,calendar!$A$2:$D$121,3,FALSE)</f>
        <v>0</v>
      </c>
      <c r="N703" s="14"/>
      <c r="O703" s="14">
        <f>O581/VLOOKUP($C703,calendar!$A$2:$D$121,3,FALSE)</f>
        <v>0</v>
      </c>
      <c r="P703" s="14">
        <f>P581/VLOOKUP($C703,calendar!$A$2:$D$121,3,FALSE)</f>
        <v>0</v>
      </c>
      <c r="Q703" s="14">
        <f>Q581/VLOOKUP($C703,calendar!$A$2:$D$121,3,FALSE)</f>
        <v>0</v>
      </c>
      <c r="R703" s="14">
        <f>R581/VLOOKUP($C703,calendar!$A$2:$D$121,3,FALSE)</f>
        <v>0</v>
      </c>
    </row>
    <row r="704" spans="3:18" s="8" customFormat="1" x14ac:dyDescent="0.2">
      <c r="C704" s="9">
        <f t="shared" si="167"/>
        <v>39630</v>
      </c>
      <c r="E704" s="14">
        <f>E582/VLOOKUP($C704,calendar!$A$2:$D$121,3,FALSE)</f>
        <v>-27</v>
      </c>
      <c r="F704" s="14">
        <f>F582/VLOOKUP($C704,calendar!$A$2:$D$121,3,FALSE)</f>
        <v>0</v>
      </c>
      <c r="G704" s="14">
        <f>G582/VLOOKUP($C704,calendar!$A$2:$D$121,3,FALSE)</f>
        <v>0</v>
      </c>
      <c r="H704" s="14">
        <f>H582/VLOOKUP($C704,calendar!$A$2:$D$121,3,FALSE)</f>
        <v>-59</v>
      </c>
      <c r="I704" s="14">
        <f>I582/VLOOKUP($C704,calendar!$A$2:$D$121,3,FALSE)</f>
        <v>0</v>
      </c>
      <c r="J704" s="14">
        <f>J582/VLOOKUP($C704,calendar!$A$2:$D$121,3,FALSE)</f>
        <v>0</v>
      </c>
      <c r="K704" s="14">
        <f>K582/VLOOKUP($C704,calendar!$A$2:$D$121,3,FALSE)</f>
        <v>0</v>
      </c>
      <c r="L704" s="14">
        <f>L582/VLOOKUP($C704,calendar!$A$2:$D$121,3,FALSE)</f>
        <v>0</v>
      </c>
      <c r="M704" s="14">
        <f>M582/VLOOKUP($C704,calendar!$A$2:$D$121,3,FALSE)</f>
        <v>0</v>
      </c>
      <c r="N704" s="14"/>
      <c r="O704" s="14">
        <f>O582/VLOOKUP($C704,calendar!$A$2:$D$121,3,FALSE)</f>
        <v>0</v>
      </c>
      <c r="P704" s="14">
        <f>P582/VLOOKUP($C704,calendar!$A$2:$D$121,3,FALSE)</f>
        <v>0</v>
      </c>
      <c r="Q704" s="14">
        <f>Q582/VLOOKUP($C704,calendar!$A$2:$D$121,3,FALSE)</f>
        <v>0</v>
      </c>
      <c r="R704" s="14">
        <f>R582/VLOOKUP($C704,calendar!$A$2:$D$121,3,FALSE)</f>
        <v>0</v>
      </c>
    </row>
    <row r="705" spans="3:18" s="8" customFormat="1" x14ac:dyDescent="0.2">
      <c r="C705" s="9">
        <f t="shared" si="167"/>
        <v>39661</v>
      </c>
      <c r="E705" s="14">
        <f>E583/VLOOKUP($C705,calendar!$A$2:$D$121,3,FALSE)</f>
        <v>-27</v>
      </c>
      <c r="F705" s="14">
        <f>F583/VLOOKUP($C705,calendar!$A$2:$D$121,3,FALSE)</f>
        <v>0</v>
      </c>
      <c r="G705" s="14">
        <f>G583/VLOOKUP($C705,calendar!$A$2:$D$121,3,FALSE)</f>
        <v>0</v>
      </c>
      <c r="H705" s="14">
        <f>H583/VLOOKUP($C705,calendar!$A$2:$D$121,3,FALSE)</f>
        <v>-59</v>
      </c>
      <c r="I705" s="14">
        <f>I583/VLOOKUP($C705,calendar!$A$2:$D$121,3,FALSE)</f>
        <v>0</v>
      </c>
      <c r="J705" s="14">
        <f>J583/VLOOKUP($C705,calendar!$A$2:$D$121,3,FALSE)</f>
        <v>0</v>
      </c>
      <c r="K705" s="14">
        <f>K583/VLOOKUP($C705,calendar!$A$2:$D$121,3,FALSE)</f>
        <v>0</v>
      </c>
      <c r="L705" s="14">
        <f>L583/VLOOKUP($C705,calendar!$A$2:$D$121,3,FALSE)</f>
        <v>0</v>
      </c>
      <c r="M705" s="14">
        <f>M583/VLOOKUP($C705,calendar!$A$2:$D$121,3,FALSE)</f>
        <v>0</v>
      </c>
      <c r="N705" s="14"/>
      <c r="O705" s="14">
        <f>O583/VLOOKUP($C705,calendar!$A$2:$D$121,3,FALSE)</f>
        <v>0</v>
      </c>
      <c r="P705" s="14">
        <f>P583/VLOOKUP($C705,calendar!$A$2:$D$121,3,FALSE)</f>
        <v>0</v>
      </c>
      <c r="Q705" s="14">
        <f>Q583/VLOOKUP($C705,calendar!$A$2:$D$121,3,FALSE)</f>
        <v>0</v>
      </c>
      <c r="R705" s="14">
        <f>R583/VLOOKUP($C705,calendar!$A$2:$D$121,3,FALSE)</f>
        <v>0</v>
      </c>
    </row>
    <row r="706" spans="3:18" s="8" customFormat="1" x14ac:dyDescent="0.2">
      <c r="C706" s="9">
        <f t="shared" si="167"/>
        <v>39692</v>
      </c>
      <c r="E706" s="14">
        <f>E584/VLOOKUP($C706,calendar!$A$2:$D$121,3,FALSE)</f>
        <v>-27</v>
      </c>
      <c r="F706" s="14">
        <f>F584/VLOOKUP($C706,calendar!$A$2:$D$121,3,FALSE)</f>
        <v>0</v>
      </c>
      <c r="G706" s="14">
        <f>G584/VLOOKUP($C706,calendar!$A$2:$D$121,3,FALSE)</f>
        <v>0</v>
      </c>
      <c r="H706" s="14">
        <f>H584/VLOOKUP($C706,calendar!$A$2:$D$121,3,FALSE)</f>
        <v>-50</v>
      </c>
      <c r="I706" s="14">
        <f>I584/VLOOKUP($C706,calendar!$A$2:$D$121,3,FALSE)</f>
        <v>0</v>
      </c>
      <c r="J706" s="14">
        <f>J584/VLOOKUP($C706,calendar!$A$2:$D$121,3,FALSE)</f>
        <v>0</v>
      </c>
      <c r="K706" s="14">
        <f>K584/VLOOKUP($C706,calendar!$A$2:$D$121,3,FALSE)</f>
        <v>0</v>
      </c>
      <c r="L706" s="14">
        <f>L584/VLOOKUP($C706,calendar!$A$2:$D$121,3,FALSE)</f>
        <v>0</v>
      </c>
      <c r="M706" s="14">
        <f>M584/VLOOKUP($C706,calendar!$A$2:$D$121,3,FALSE)</f>
        <v>0</v>
      </c>
      <c r="N706" s="14"/>
      <c r="O706" s="14">
        <f>O584/VLOOKUP($C706,calendar!$A$2:$D$121,3,FALSE)</f>
        <v>0</v>
      </c>
      <c r="P706" s="14">
        <f>P584/VLOOKUP($C706,calendar!$A$2:$D$121,3,FALSE)</f>
        <v>0</v>
      </c>
      <c r="Q706" s="14">
        <f>Q584/VLOOKUP($C706,calendar!$A$2:$D$121,3,FALSE)</f>
        <v>0</v>
      </c>
      <c r="R706" s="14">
        <f>R584/VLOOKUP($C706,calendar!$A$2:$D$121,3,FALSE)</f>
        <v>0</v>
      </c>
    </row>
    <row r="707" spans="3:18" s="8" customFormat="1" x14ac:dyDescent="0.2">
      <c r="C707" s="9">
        <f t="shared" si="167"/>
        <v>39722</v>
      </c>
      <c r="E707" s="14">
        <f>E585/VLOOKUP($C707,calendar!$A$2:$D$121,3,FALSE)</f>
        <v>-27.071808510638299</v>
      </c>
      <c r="F707" s="14">
        <f>F585/VLOOKUP($C707,calendar!$A$2:$D$121,3,FALSE)</f>
        <v>0</v>
      </c>
      <c r="G707" s="14">
        <f>G585/VLOOKUP($C707,calendar!$A$2:$D$121,3,FALSE)</f>
        <v>0</v>
      </c>
      <c r="H707" s="14">
        <f>H585/VLOOKUP($C707,calendar!$A$2:$D$121,3,FALSE)</f>
        <v>-50.132978723404257</v>
      </c>
      <c r="I707" s="14">
        <f>I585/VLOOKUP($C707,calendar!$A$2:$D$121,3,FALSE)</f>
        <v>0</v>
      </c>
      <c r="J707" s="14">
        <f>J585/VLOOKUP($C707,calendar!$A$2:$D$121,3,FALSE)</f>
        <v>0</v>
      </c>
      <c r="K707" s="14">
        <f>K585/VLOOKUP($C707,calendar!$A$2:$D$121,3,FALSE)</f>
        <v>0</v>
      </c>
      <c r="L707" s="14">
        <f>L585/VLOOKUP($C707,calendar!$A$2:$D$121,3,FALSE)</f>
        <v>0</v>
      </c>
      <c r="M707" s="14">
        <f>M585/VLOOKUP($C707,calendar!$A$2:$D$121,3,FALSE)</f>
        <v>0</v>
      </c>
      <c r="N707" s="14"/>
      <c r="O707" s="14">
        <f>O585/VLOOKUP($C707,calendar!$A$2:$D$121,3,FALSE)</f>
        <v>0</v>
      </c>
      <c r="P707" s="14">
        <f>P585/VLOOKUP($C707,calendar!$A$2:$D$121,3,FALSE)</f>
        <v>0</v>
      </c>
      <c r="Q707" s="14">
        <f>Q585/VLOOKUP($C707,calendar!$A$2:$D$121,3,FALSE)</f>
        <v>0</v>
      </c>
      <c r="R707" s="14">
        <f>R585/VLOOKUP($C707,calendar!$A$2:$D$121,3,FALSE)</f>
        <v>0</v>
      </c>
    </row>
    <row r="708" spans="3:18" s="8" customFormat="1" x14ac:dyDescent="0.2">
      <c r="C708" s="9">
        <f t="shared" si="167"/>
        <v>39753</v>
      </c>
      <c r="E708" s="14">
        <f>E586/VLOOKUP($C708,calendar!$A$2:$D$121,3,FALSE)</f>
        <v>-27</v>
      </c>
      <c r="F708" s="14">
        <f>F586/VLOOKUP($C708,calendar!$A$2:$D$121,3,FALSE)</f>
        <v>0</v>
      </c>
      <c r="G708" s="14">
        <f>G586/VLOOKUP($C708,calendar!$A$2:$D$121,3,FALSE)</f>
        <v>0</v>
      </c>
      <c r="H708" s="14">
        <f>H586/VLOOKUP($C708,calendar!$A$2:$D$121,3,FALSE)</f>
        <v>-50</v>
      </c>
      <c r="I708" s="14">
        <f>I586/VLOOKUP($C708,calendar!$A$2:$D$121,3,FALSE)</f>
        <v>0</v>
      </c>
      <c r="J708" s="14">
        <f>J586/VLOOKUP($C708,calendar!$A$2:$D$121,3,FALSE)</f>
        <v>0</v>
      </c>
      <c r="K708" s="14">
        <f>K586/VLOOKUP($C708,calendar!$A$2:$D$121,3,FALSE)</f>
        <v>0</v>
      </c>
      <c r="L708" s="14">
        <f>L586/VLOOKUP($C708,calendar!$A$2:$D$121,3,FALSE)</f>
        <v>0</v>
      </c>
      <c r="M708" s="14">
        <f>M586/VLOOKUP($C708,calendar!$A$2:$D$121,3,FALSE)</f>
        <v>0</v>
      </c>
      <c r="N708" s="14"/>
      <c r="O708" s="14">
        <f>O586/VLOOKUP($C708,calendar!$A$2:$D$121,3,FALSE)</f>
        <v>0</v>
      </c>
      <c r="P708" s="14">
        <f>P586/VLOOKUP($C708,calendar!$A$2:$D$121,3,FALSE)</f>
        <v>0</v>
      </c>
      <c r="Q708" s="14">
        <f>Q586/VLOOKUP($C708,calendar!$A$2:$D$121,3,FALSE)</f>
        <v>0</v>
      </c>
      <c r="R708" s="14">
        <f>R586/VLOOKUP($C708,calendar!$A$2:$D$121,3,FALSE)</f>
        <v>0</v>
      </c>
    </row>
    <row r="709" spans="3:18" s="8" customFormat="1" x14ac:dyDescent="0.2">
      <c r="C709" s="9">
        <f t="shared" si="167"/>
        <v>39783</v>
      </c>
      <c r="E709" s="14">
        <f>E587/VLOOKUP($C709,calendar!$A$2:$D$121,3,FALSE)</f>
        <v>-27</v>
      </c>
      <c r="F709" s="14">
        <f>F587/VLOOKUP($C709,calendar!$A$2:$D$121,3,FALSE)</f>
        <v>0</v>
      </c>
      <c r="G709" s="14">
        <f>G587/VLOOKUP($C709,calendar!$A$2:$D$121,3,FALSE)</f>
        <v>0</v>
      </c>
      <c r="H709" s="14">
        <f>H587/VLOOKUP($C709,calendar!$A$2:$D$121,3,FALSE)</f>
        <v>-50</v>
      </c>
      <c r="I709" s="14">
        <f>I587/VLOOKUP($C709,calendar!$A$2:$D$121,3,FALSE)</f>
        <v>0</v>
      </c>
      <c r="J709" s="14">
        <f>J587/VLOOKUP($C709,calendar!$A$2:$D$121,3,FALSE)</f>
        <v>0</v>
      </c>
      <c r="K709" s="14">
        <f>K587/VLOOKUP($C709,calendar!$A$2:$D$121,3,FALSE)</f>
        <v>0</v>
      </c>
      <c r="L709" s="14">
        <f>L587/VLOOKUP($C709,calendar!$A$2:$D$121,3,FALSE)</f>
        <v>0</v>
      </c>
      <c r="M709" s="14">
        <f>M587/VLOOKUP($C709,calendar!$A$2:$D$121,3,FALSE)</f>
        <v>0</v>
      </c>
      <c r="N709" s="14"/>
      <c r="O709" s="14">
        <f>O587/VLOOKUP($C709,calendar!$A$2:$D$121,3,FALSE)</f>
        <v>0</v>
      </c>
      <c r="P709" s="14">
        <f>P587/VLOOKUP($C709,calendar!$A$2:$D$121,3,FALSE)</f>
        <v>0</v>
      </c>
      <c r="Q709" s="14">
        <f>Q587/VLOOKUP($C709,calendar!$A$2:$D$121,3,FALSE)</f>
        <v>0</v>
      </c>
      <c r="R709" s="14">
        <f>R587/VLOOKUP($C709,calendar!$A$2:$D$121,3,FALSE)</f>
        <v>0</v>
      </c>
    </row>
    <row r="710" spans="3:18" s="8" customFormat="1" x14ac:dyDescent="0.2">
      <c r="C710" s="9">
        <f t="shared" si="167"/>
        <v>39814</v>
      </c>
      <c r="E710" s="14">
        <f>E588/VLOOKUP($C710,calendar!$A$2:$D$121,3,FALSE)</f>
        <v>0</v>
      </c>
      <c r="F710" s="14">
        <f>F588/VLOOKUP($C710,calendar!$A$2:$D$121,3,FALSE)</f>
        <v>0</v>
      </c>
      <c r="G710" s="14">
        <f>G588/VLOOKUP($C710,calendar!$A$2:$D$121,3,FALSE)</f>
        <v>0</v>
      </c>
      <c r="H710" s="14">
        <f>H588/VLOOKUP($C710,calendar!$A$2:$D$121,3,FALSE)</f>
        <v>-50</v>
      </c>
      <c r="I710" s="14">
        <f>I588/VLOOKUP($C710,calendar!$A$2:$D$121,3,FALSE)</f>
        <v>0</v>
      </c>
      <c r="J710" s="14">
        <f>J588/VLOOKUP($C710,calendar!$A$2:$D$121,3,FALSE)</f>
        <v>0</v>
      </c>
      <c r="K710" s="14">
        <f>K588/VLOOKUP($C710,calendar!$A$2:$D$121,3,FALSE)</f>
        <v>0</v>
      </c>
      <c r="L710" s="14">
        <f>L588/VLOOKUP($C710,calendar!$A$2:$D$121,3,FALSE)</f>
        <v>0</v>
      </c>
      <c r="M710" s="14">
        <f>M588/VLOOKUP($C710,calendar!$A$2:$D$121,3,FALSE)</f>
        <v>0</v>
      </c>
      <c r="N710" s="14"/>
      <c r="O710" s="14">
        <f>O588/VLOOKUP($C710,calendar!$A$2:$D$121,3,FALSE)</f>
        <v>0</v>
      </c>
      <c r="P710" s="14">
        <f>P588/VLOOKUP($C710,calendar!$A$2:$D$121,3,FALSE)</f>
        <v>0</v>
      </c>
      <c r="Q710" s="14">
        <f>Q588/VLOOKUP($C710,calendar!$A$2:$D$121,3,FALSE)</f>
        <v>0</v>
      </c>
      <c r="R710" s="14">
        <f>R588/VLOOKUP($C710,calendar!$A$2:$D$121,3,FALSE)</f>
        <v>0</v>
      </c>
    </row>
    <row r="711" spans="3:18" s="8" customFormat="1" x14ac:dyDescent="0.2">
      <c r="C711" s="9">
        <f t="shared" si="167"/>
        <v>39845</v>
      </c>
      <c r="E711" s="14">
        <f>E589/VLOOKUP($C711,calendar!$A$2:$D$121,3,FALSE)</f>
        <v>0</v>
      </c>
      <c r="F711" s="14">
        <f>F589/VLOOKUP($C711,calendar!$A$2:$D$121,3,FALSE)</f>
        <v>0</v>
      </c>
      <c r="G711" s="14">
        <f>G589/VLOOKUP($C711,calendar!$A$2:$D$121,3,FALSE)</f>
        <v>0</v>
      </c>
      <c r="H711" s="14">
        <f>H589/VLOOKUP($C711,calendar!$A$2:$D$121,3,FALSE)</f>
        <v>-50</v>
      </c>
      <c r="I711" s="14">
        <f>I589/VLOOKUP($C711,calendar!$A$2:$D$121,3,FALSE)</f>
        <v>0</v>
      </c>
      <c r="J711" s="14">
        <f>J589/VLOOKUP($C711,calendar!$A$2:$D$121,3,FALSE)</f>
        <v>0</v>
      </c>
      <c r="K711" s="14">
        <f>K589/VLOOKUP($C711,calendar!$A$2:$D$121,3,FALSE)</f>
        <v>0</v>
      </c>
      <c r="L711" s="14">
        <f>L589/VLOOKUP($C711,calendar!$A$2:$D$121,3,FALSE)</f>
        <v>0</v>
      </c>
      <c r="M711" s="14">
        <f>M589/VLOOKUP($C711,calendar!$A$2:$D$121,3,FALSE)</f>
        <v>0</v>
      </c>
      <c r="N711" s="14"/>
      <c r="O711" s="14">
        <f>O589/VLOOKUP($C711,calendar!$A$2:$D$121,3,FALSE)</f>
        <v>0</v>
      </c>
      <c r="P711" s="14">
        <f>P589/VLOOKUP($C711,calendar!$A$2:$D$121,3,FALSE)</f>
        <v>0</v>
      </c>
      <c r="Q711" s="14">
        <f>Q589/VLOOKUP($C711,calendar!$A$2:$D$121,3,FALSE)</f>
        <v>0</v>
      </c>
      <c r="R711" s="14">
        <f>R589/VLOOKUP($C711,calendar!$A$2:$D$121,3,FALSE)</f>
        <v>0</v>
      </c>
    </row>
    <row r="712" spans="3:18" s="8" customFormat="1" x14ac:dyDescent="0.2">
      <c r="C712" s="9">
        <f t="shared" si="167"/>
        <v>39873</v>
      </c>
      <c r="E712" s="14">
        <f>E590/VLOOKUP($C712,calendar!$A$2:$D$121,3,FALSE)</f>
        <v>0</v>
      </c>
      <c r="F712" s="14">
        <f>F590/VLOOKUP($C712,calendar!$A$2:$D$121,3,FALSE)</f>
        <v>0</v>
      </c>
      <c r="G712" s="14">
        <f>G590/VLOOKUP($C712,calendar!$A$2:$D$121,3,FALSE)</f>
        <v>0</v>
      </c>
      <c r="H712" s="14">
        <f>H590/VLOOKUP($C712,calendar!$A$2:$D$121,3,FALSE)</f>
        <v>-50</v>
      </c>
      <c r="I712" s="14">
        <f>I590/VLOOKUP($C712,calendar!$A$2:$D$121,3,FALSE)</f>
        <v>0</v>
      </c>
      <c r="J712" s="14">
        <f>J590/VLOOKUP($C712,calendar!$A$2:$D$121,3,FALSE)</f>
        <v>0</v>
      </c>
      <c r="K712" s="14">
        <f>K590/VLOOKUP($C712,calendar!$A$2:$D$121,3,FALSE)</f>
        <v>0</v>
      </c>
      <c r="L712" s="14">
        <f>L590/VLOOKUP($C712,calendar!$A$2:$D$121,3,FALSE)</f>
        <v>0</v>
      </c>
      <c r="M712" s="14">
        <f>M590/VLOOKUP($C712,calendar!$A$2:$D$121,3,FALSE)</f>
        <v>0</v>
      </c>
      <c r="N712" s="14"/>
      <c r="O712" s="14">
        <f>O590/VLOOKUP($C712,calendar!$A$2:$D$121,3,FALSE)</f>
        <v>0</v>
      </c>
      <c r="P712" s="14">
        <f>P590/VLOOKUP($C712,calendar!$A$2:$D$121,3,FALSE)</f>
        <v>0</v>
      </c>
      <c r="Q712" s="14">
        <f>Q590/VLOOKUP($C712,calendar!$A$2:$D$121,3,FALSE)</f>
        <v>0</v>
      </c>
      <c r="R712" s="14">
        <f>R590/VLOOKUP($C712,calendar!$A$2:$D$121,3,FALSE)</f>
        <v>0</v>
      </c>
    </row>
    <row r="713" spans="3:18" s="8" customFormat="1" x14ac:dyDescent="0.2">
      <c r="C713" s="9">
        <f t="shared" si="167"/>
        <v>39904</v>
      </c>
      <c r="E713" s="14">
        <f>E591/VLOOKUP($C713,calendar!$A$2:$D$121,3,FALSE)</f>
        <v>0</v>
      </c>
      <c r="F713" s="14">
        <f>F591/VLOOKUP($C713,calendar!$A$2:$D$121,3,FALSE)</f>
        <v>0</v>
      </c>
      <c r="G713" s="14">
        <f>G591/VLOOKUP($C713,calendar!$A$2:$D$121,3,FALSE)</f>
        <v>0</v>
      </c>
      <c r="H713" s="14">
        <f>H591/VLOOKUP($C713,calendar!$A$2:$D$121,3,FALSE)</f>
        <v>-49.864130434782609</v>
      </c>
      <c r="I713" s="14">
        <f>I591/VLOOKUP($C713,calendar!$A$2:$D$121,3,FALSE)</f>
        <v>0</v>
      </c>
      <c r="J713" s="14">
        <f>J591/VLOOKUP($C713,calendar!$A$2:$D$121,3,FALSE)</f>
        <v>0</v>
      </c>
      <c r="K713" s="14">
        <f>K591/VLOOKUP($C713,calendar!$A$2:$D$121,3,FALSE)</f>
        <v>0</v>
      </c>
      <c r="L713" s="14">
        <f>L591/VLOOKUP($C713,calendar!$A$2:$D$121,3,FALSE)</f>
        <v>0</v>
      </c>
      <c r="M713" s="14">
        <f>M591/VLOOKUP($C713,calendar!$A$2:$D$121,3,FALSE)</f>
        <v>0</v>
      </c>
      <c r="N713" s="14"/>
      <c r="O713" s="14">
        <f>O591/VLOOKUP($C713,calendar!$A$2:$D$121,3,FALSE)</f>
        <v>0</v>
      </c>
      <c r="P713" s="14">
        <f>P591/VLOOKUP($C713,calendar!$A$2:$D$121,3,FALSE)</f>
        <v>0</v>
      </c>
      <c r="Q713" s="14">
        <f>Q591/VLOOKUP($C713,calendar!$A$2:$D$121,3,FALSE)</f>
        <v>0</v>
      </c>
      <c r="R713" s="14">
        <f>R591/VLOOKUP($C713,calendar!$A$2:$D$121,3,FALSE)</f>
        <v>0</v>
      </c>
    </row>
    <row r="714" spans="3:18" s="8" customFormat="1" x14ac:dyDescent="0.2">
      <c r="C714" s="9">
        <f t="shared" si="167"/>
        <v>39934</v>
      </c>
      <c r="E714" s="14">
        <f>E592/VLOOKUP($C714,calendar!$A$2:$D$121,3,FALSE)</f>
        <v>0</v>
      </c>
      <c r="F714" s="14">
        <f>F592/VLOOKUP($C714,calendar!$A$2:$D$121,3,FALSE)</f>
        <v>0</v>
      </c>
      <c r="G714" s="14">
        <f>G592/VLOOKUP($C714,calendar!$A$2:$D$121,3,FALSE)</f>
        <v>0</v>
      </c>
      <c r="H714" s="14">
        <f>H592/VLOOKUP($C714,calendar!$A$2:$D$121,3,FALSE)</f>
        <v>-50</v>
      </c>
      <c r="I714" s="14">
        <f>I592/VLOOKUP($C714,calendar!$A$2:$D$121,3,FALSE)</f>
        <v>0</v>
      </c>
      <c r="J714" s="14">
        <f>J592/VLOOKUP($C714,calendar!$A$2:$D$121,3,FALSE)</f>
        <v>0</v>
      </c>
      <c r="K714" s="14">
        <f>K592/VLOOKUP($C714,calendar!$A$2:$D$121,3,FALSE)</f>
        <v>0</v>
      </c>
      <c r="L714" s="14">
        <f>L592/VLOOKUP($C714,calendar!$A$2:$D$121,3,FALSE)</f>
        <v>0</v>
      </c>
      <c r="M714" s="14">
        <f>M592/VLOOKUP($C714,calendar!$A$2:$D$121,3,FALSE)</f>
        <v>0</v>
      </c>
      <c r="N714" s="14"/>
      <c r="O714" s="14">
        <f>O592/VLOOKUP($C714,calendar!$A$2:$D$121,3,FALSE)</f>
        <v>0</v>
      </c>
      <c r="P714" s="14">
        <f>P592/VLOOKUP($C714,calendar!$A$2:$D$121,3,FALSE)</f>
        <v>0</v>
      </c>
      <c r="Q714" s="14">
        <f>Q592/VLOOKUP($C714,calendar!$A$2:$D$121,3,FALSE)</f>
        <v>0</v>
      </c>
      <c r="R714" s="14">
        <f>R592/VLOOKUP($C714,calendar!$A$2:$D$121,3,FALSE)</f>
        <v>0</v>
      </c>
    </row>
    <row r="715" spans="3:18" s="8" customFormat="1" x14ac:dyDescent="0.2">
      <c r="C715" s="9">
        <f t="shared" si="167"/>
        <v>39965</v>
      </c>
      <c r="E715" s="14">
        <f>E593/VLOOKUP($C715,calendar!$A$2:$D$121,3,FALSE)</f>
        <v>0</v>
      </c>
      <c r="F715" s="14">
        <f>F593/VLOOKUP($C715,calendar!$A$2:$D$121,3,FALSE)</f>
        <v>0</v>
      </c>
      <c r="G715" s="14">
        <f>G593/VLOOKUP($C715,calendar!$A$2:$D$121,3,FALSE)</f>
        <v>0</v>
      </c>
      <c r="H715" s="14">
        <f>H593/VLOOKUP($C715,calendar!$A$2:$D$121,3,FALSE)</f>
        <v>-50</v>
      </c>
      <c r="I715" s="14">
        <f>I593/VLOOKUP($C715,calendar!$A$2:$D$121,3,FALSE)</f>
        <v>0</v>
      </c>
      <c r="J715" s="14">
        <f>J593/VLOOKUP($C715,calendar!$A$2:$D$121,3,FALSE)</f>
        <v>0</v>
      </c>
      <c r="K715" s="14">
        <f>K593/VLOOKUP($C715,calendar!$A$2:$D$121,3,FALSE)</f>
        <v>0</v>
      </c>
      <c r="L715" s="14">
        <f>L593/VLOOKUP($C715,calendar!$A$2:$D$121,3,FALSE)</f>
        <v>0</v>
      </c>
      <c r="M715" s="14">
        <f>M593/VLOOKUP($C715,calendar!$A$2:$D$121,3,FALSE)</f>
        <v>0</v>
      </c>
      <c r="N715" s="14"/>
      <c r="O715" s="14">
        <f>O593/VLOOKUP($C715,calendar!$A$2:$D$121,3,FALSE)</f>
        <v>0</v>
      </c>
      <c r="P715" s="14">
        <f>P593/VLOOKUP($C715,calendar!$A$2:$D$121,3,FALSE)</f>
        <v>0</v>
      </c>
      <c r="Q715" s="14">
        <f>Q593/VLOOKUP($C715,calendar!$A$2:$D$121,3,FALSE)</f>
        <v>0</v>
      </c>
      <c r="R715" s="14">
        <f>R593/VLOOKUP($C715,calendar!$A$2:$D$121,3,FALSE)</f>
        <v>0</v>
      </c>
    </row>
    <row r="716" spans="3:18" s="8" customFormat="1" x14ac:dyDescent="0.2">
      <c r="C716" s="9">
        <f t="shared" si="167"/>
        <v>39995</v>
      </c>
      <c r="E716" s="14">
        <f>E594/VLOOKUP($C716,calendar!$A$2:$D$121,3,FALSE)</f>
        <v>0</v>
      </c>
      <c r="F716" s="14">
        <f>F594/VLOOKUP($C716,calendar!$A$2:$D$121,3,FALSE)</f>
        <v>0</v>
      </c>
      <c r="G716" s="14">
        <f>G594/VLOOKUP($C716,calendar!$A$2:$D$121,3,FALSE)</f>
        <v>0</v>
      </c>
      <c r="H716" s="14">
        <f>H594/VLOOKUP($C716,calendar!$A$2:$D$121,3,FALSE)</f>
        <v>-50</v>
      </c>
      <c r="I716" s="14">
        <f>I594/VLOOKUP($C716,calendar!$A$2:$D$121,3,FALSE)</f>
        <v>0</v>
      </c>
      <c r="J716" s="14">
        <f>J594/VLOOKUP($C716,calendar!$A$2:$D$121,3,FALSE)</f>
        <v>0</v>
      </c>
      <c r="K716" s="14">
        <f>K594/VLOOKUP($C716,calendar!$A$2:$D$121,3,FALSE)</f>
        <v>0</v>
      </c>
      <c r="L716" s="14">
        <f>L594/VLOOKUP($C716,calendar!$A$2:$D$121,3,FALSE)</f>
        <v>0</v>
      </c>
      <c r="M716" s="14">
        <f>M594/VLOOKUP($C716,calendar!$A$2:$D$121,3,FALSE)</f>
        <v>0</v>
      </c>
      <c r="N716" s="14"/>
      <c r="O716" s="14">
        <f>O594/VLOOKUP($C716,calendar!$A$2:$D$121,3,FALSE)</f>
        <v>0</v>
      </c>
      <c r="P716" s="14">
        <f>P594/VLOOKUP($C716,calendar!$A$2:$D$121,3,FALSE)</f>
        <v>0</v>
      </c>
      <c r="Q716" s="14">
        <f>Q594/VLOOKUP($C716,calendar!$A$2:$D$121,3,FALSE)</f>
        <v>0</v>
      </c>
      <c r="R716" s="14">
        <f>R594/VLOOKUP($C716,calendar!$A$2:$D$121,3,FALSE)</f>
        <v>0</v>
      </c>
    </row>
    <row r="717" spans="3:18" s="8" customFormat="1" x14ac:dyDescent="0.2">
      <c r="C717" s="9">
        <f t="shared" si="167"/>
        <v>40026</v>
      </c>
      <c r="E717" s="14">
        <f>E595/VLOOKUP($C717,calendar!$A$2:$D$121,3,FALSE)</f>
        <v>0</v>
      </c>
      <c r="F717" s="14">
        <f>F595/VLOOKUP($C717,calendar!$A$2:$D$121,3,FALSE)</f>
        <v>0</v>
      </c>
      <c r="G717" s="14">
        <f>G595/VLOOKUP($C717,calendar!$A$2:$D$121,3,FALSE)</f>
        <v>0</v>
      </c>
      <c r="H717" s="14">
        <f>H595/VLOOKUP($C717,calendar!$A$2:$D$121,3,FALSE)</f>
        <v>-50</v>
      </c>
      <c r="I717" s="14">
        <f>I595/VLOOKUP($C717,calendar!$A$2:$D$121,3,FALSE)</f>
        <v>0</v>
      </c>
      <c r="J717" s="14">
        <f>J595/VLOOKUP($C717,calendar!$A$2:$D$121,3,FALSE)</f>
        <v>0</v>
      </c>
      <c r="K717" s="14">
        <f>K595/VLOOKUP($C717,calendar!$A$2:$D$121,3,FALSE)</f>
        <v>0</v>
      </c>
      <c r="L717" s="14">
        <f>L595/VLOOKUP($C717,calendar!$A$2:$D$121,3,FALSE)</f>
        <v>0</v>
      </c>
      <c r="M717" s="14">
        <f>M595/VLOOKUP($C717,calendar!$A$2:$D$121,3,FALSE)</f>
        <v>0</v>
      </c>
      <c r="N717" s="14"/>
      <c r="O717" s="14">
        <f>O595/VLOOKUP($C717,calendar!$A$2:$D$121,3,FALSE)</f>
        <v>0</v>
      </c>
      <c r="P717" s="14">
        <f>P595/VLOOKUP($C717,calendar!$A$2:$D$121,3,FALSE)</f>
        <v>0</v>
      </c>
      <c r="Q717" s="14">
        <f>Q595/VLOOKUP($C717,calendar!$A$2:$D$121,3,FALSE)</f>
        <v>0</v>
      </c>
      <c r="R717" s="14">
        <f>R595/VLOOKUP($C717,calendar!$A$2:$D$121,3,FALSE)</f>
        <v>0</v>
      </c>
    </row>
    <row r="718" spans="3:18" s="8" customFormat="1" x14ac:dyDescent="0.2">
      <c r="C718" s="9">
        <f t="shared" si="167"/>
        <v>40057</v>
      </c>
      <c r="E718" s="14">
        <f>E596/VLOOKUP($C718,calendar!$A$2:$D$121,3,FALSE)</f>
        <v>0</v>
      </c>
      <c r="F718" s="14">
        <f>F596/VLOOKUP($C718,calendar!$A$2:$D$121,3,FALSE)</f>
        <v>0</v>
      </c>
      <c r="G718" s="14">
        <f>G596/VLOOKUP($C718,calendar!$A$2:$D$121,3,FALSE)</f>
        <v>0</v>
      </c>
      <c r="H718" s="14">
        <f>H596/VLOOKUP($C718,calendar!$A$2:$D$121,3,FALSE)</f>
        <v>-50</v>
      </c>
      <c r="I718" s="14">
        <f>I596/VLOOKUP($C718,calendar!$A$2:$D$121,3,FALSE)</f>
        <v>0</v>
      </c>
      <c r="J718" s="14">
        <f>J596/VLOOKUP($C718,calendar!$A$2:$D$121,3,FALSE)</f>
        <v>0</v>
      </c>
      <c r="K718" s="14">
        <f>K596/VLOOKUP($C718,calendar!$A$2:$D$121,3,FALSE)</f>
        <v>0</v>
      </c>
      <c r="L718" s="14">
        <f>L596/VLOOKUP($C718,calendar!$A$2:$D$121,3,FALSE)</f>
        <v>0</v>
      </c>
      <c r="M718" s="14">
        <f>M596/VLOOKUP($C718,calendar!$A$2:$D$121,3,FALSE)</f>
        <v>0</v>
      </c>
      <c r="N718" s="14"/>
      <c r="O718" s="14">
        <f>O596/VLOOKUP($C718,calendar!$A$2:$D$121,3,FALSE)</f>
        <v>0</v>
      </c>
      <c r="P718" s="14">
        <f>P596/VLOOKUP($C718,calendar!$A$2:$D$121,3,FALSE)</f>
        <v>0</v>
      </c>
      <c r="Q718" s="14">
        <f>Q596/VLOOKUP($C718,calendar!$A$2:$D$121,3,FALSE)</f>
        <v>0</v>
      </c>
      <c r="R718" s="14">
        <f>R596/VLOOKUP($C718,calendar!$A$2:$D$121,3,FALSE)</f>
        <v>0</v>
      </c>
    </row>
    <row r="719" spans="3:18" s="8" customFormat="1" x14ac:dyDescent="0.2">
      <c r="C719" s="9">
        <f t="shared" si="167"/>
        <v>40087</v>
      </c>
      <c r="E719" s="14">
        <f>E597/VLOOKUP($C719,calendar!$A$2:$D$121,3,FALSE)</f>
        <v>0</v>
      </c>
      <c r="F719" s="14">
        <f>F597/VLOOKUP($C719,calendar!$A$2:$D$121,3,FALSE)</f>
        <v>0</v>
      </c>
      <c r="G719" s="14">
        <f>G597/VLOOKUP($C719,calendar!$A$2:$D$121,3,FALSE)</f>
        <v>0</v>
      </c>
      <c r="H719" s="14">
        <f>H597/VLOOKUP($C719,calendar!$A$2:$D$121,3,FALSE)</f>
        <v>-50.127551020408163</v>
      </c>
      <c r="I719" s="14">
        <f>I597/VLOOKUP($C719,calendar!$A$2:$D$121,3,FALSE)</f>
        <v>0</v>
      </c>
      <c r="J719" s="14">
        <f>J597/VLOOKUP($C719,calendar!$A$2:$D$121,3,FALSE)</f>
        <v>0</v>
      </c>
      <c r="K719" s="14">
        <f>K597/VLOOKUP($C719,calendar!$A$2:$D$121,3,FALSE)</f>
        <v>0</v>
      </c>
      <c r="L719" s="14">
        <f>L597/VLOOKUP($C719,calendar!$A$2:$D$121,3,FALSE)</f>
        <v>0</v>
      </c>
      <c r="M719" s="14">
        <f>M597/VLOOKUP($C719,calendar!$A$2:$D$121,3,FALSE)</f>
        <v>0</v>
      </c>
      <c r="N719" s="14"/>
      <c r="O719" s="14">
        <f>O597/VLOOKUP($C719,calendar!$A$2:$D$121,3,FALSE)</f>
        <v>0</v>
      </c>
      <c r="P719" s="14">
        <f>P597/VLOOKUP($C719,calendar!$A$2:$D$121,3,FALSE)</f>
        <v>0</v>
      </c>
      <c r="Q719" s="14">
        <f>Q597/VLOOKUP($C719,calendar!$A$2:$D$121,3,FALSE)</f>
        <v>0</v>
      </c>
      <c r="R719" s="14">
        <f>R597/VLOOKUP($C719,calendar!$A$2:$D$121,3,FALSE)</f>
        <v>0</v>
      </c>
    </row>
    <row r="720" spans="3:18" s="8" customFormat="1" x14ac:dyDescent="0.2">
      <c r="C720" s="9">
        <f t="shared" si="167"/>
        <v>40118</v>
      </c>
      <c r="E720" s="14">
        <f>E598/VLOOKUP($C720,calendar!$A$2:$D$121,3,FALSE)</f>
        <v>0</v>
      </c>
      <c r="F720" s="14">
        <f>F598/VLOOKUP($C720,calendar!$A$2:$D$121,3,FALSE)</f>
        <v>0</v>
      </c>
      <c r="G720" s="14">
        <f>G598/VLOOKUP($C720,calendar!$A$2:$D$121,3,FALSE)</f>
        <v>0</v>
      </c>
      <c r="H720" s="14">
        <f>H598/VLOOKUP($C720,calendar!$A$2:$D$121,3,FALSE)</f>
        <v>-50</v>
      </c>
      <c r="I720" s="14">
        <f>I598/VLOOKUP($C720,calendar!$A$2:$D$121,3,FALSE)</f>
        <v>0</v>
      </c>
      <c r="J720" s="14">
        <f>J598/VLOOKUP($C720,calendar!$A$2:$D$121,3,FALSE)</f>
        <v>0</v>
      </c>
      <c r="K720" s="14">
        <f>K598/VLOOKUP($C720,calendar!$A$2:$D$121,3,FALSE)</f>
        <v>0</v>
      </c>
      <c r="L720" s="14">
        <f>L598/VLOOKUP($C720,calendar!$A$2:$D$121,3,FALSE)</f>
        <v>0</v>
      </c>
      <c r="M720" s="14">
        <f>M598/VLOOKUP($C720,calendar!$A$2:$D$121,3,FALSE)</f>
        <v>0</v>
      </c>
      <c r="N720" s="14"/>
      <c r="O720" s="14">
        <f>O598/VLOOKUP($C720,calendar!$A$2:$D$121,3,FALSE)</f>
        <v>0</v>
      </c>
      <c r="P720" s="14">
        <f>P598/VLOOKUP($C720,calendar!$A$2:$D$121,3,FALSE)</f>
        <v>0</v>
      </c>
      <c r="Q720" s="14">
        <f>Q598/VLOOKUP($C720,calendar!$A$2:$D$121,3,FALSE)</f>
        <v>0</v>
      </c>
      <c r="R720" s="14">
        <f>R598/VLOOKUP($C720,calendar!$A$2:$D$121,3,FALSE)</f>
        <v>0</v>
      </c>
    </row>
    <row r="721" spans="3:18" s="8" customFormat="1" x14ac:dyDescent="0.2">
      <c r="C721" s="9">
        <f t="shared" si="167"/>
        <v>40148</v>
      </c>
      <c r="E721" s="14">
        <f>E599/VLOOKUP($C721,calendar!$A$2:$D$121,3,FALSE)</f>
        <v>0</v>
      </c>
      <c r="F721" s="14">
        <f>F599/VLOOKUP($C721,calendar!$A$2:$D$121,3,FALSE)</f>
        <v>0</v>
      </c>
      <c r="G721" s="14">
        <f>G599/VLOOKUP($C721,calendar!$A$2:$D$121,3,FALSE)</f>
        <v>0</v>
      </c>
      <c r="H721" s="14">
        <f>H599/VLOOKUP($C721,calendar!$A$2:$D$121,3,FALSE)</f>
        <v>-50</v>
      </c>
      <c r="I721" s="14">
        <f>I599/VLOOKUP($C721,calendar!$A$2:$D$121,3,FALSE)</f>
        <v>0</v>
      </c>
      <c r="J721" s="14">
        <f>J599/VLOOKUP($C721,calendar!$A$2:$D$121,3,FALSE)</f>
        <v>0</v>
      </c>
      <c r="K721" s="14">
        <f>K599/VLOOKUP($C721,calendar!$A$2:$D$121,3,FALSE)</f>
        <v>0</v>
      </c>
      <c r="L721" s="14">
        <f>L599/VLOOKUP($C721,calendar!$A$2:$D$121,3,FALSE)</f>
        <v>0</v>
      </c>
      <c r="M721" s="14">
        <f>M599/VLOOKUP($C721,calendar!$A$2:$D$121,3,FALSE)</f>
        <v>0</v>
      </c>
      <c r="N721" s="14"/>
      <c r="O721" s="14">
        <f>O599/VLOOKUP($C721,calendar!$A$2:$D$121,3,FALSE)</f>
        <v>0</v>
      </c>
      <c r="P721" s="14">
        <f>P599/VLOOKUP($C721,calendar!$A$2:$D$121,3,FALSE)</f>
        <v>0</v>
      </c>
      <c r="Q721" s="14">
        <f>Q599/VLOOKUP($C721,calendar!$A$2:$D$121,3,FALSE)</f>
        <v>0</v>
      </c>
      <c r="R721" s="14">
        <f>R599/VLOOKUP($C721,calendar!$A$2:$D$121,3,FALSE)</f>
        <v>0</v>
      </c>
    </row>
    <row r="722" spans="3:18" s="8" customFormat="1" x14ac:dyDescent="0.2">
      <c r="C722" s="9">
        <f t="shared" si="167"/>
        <v>40179</v>
      </c>
      <c r="E722" s="14">
        <f>E600/VLOOKUP($C722,calendar!$A$2:$D$121,3,FALSE)</f>
        <v>0</v>
      </c>
      <c r="F722" s="14">
        <f>F600/VLOOKUP($C722,calendar!$A$2:$D$121,3,FALSE)</f>
        <v>0</v>
      </c>
      <c r="G722" s="14">
        <f>G600/VLOOKUP($C722,calendar!$A$2:$D$121,3,FALSE)</f>
        <v>0</v>
      </c>
      <c r="H722" s="14">
        <f>H600/VLOOKUP($C722,calendar!$A$2:$D$121,3,FALSE)</f>
        <v>-50</v>
      </c>
      <c r="I722" s="14">
        <f>I600/VLOOKUP($C722,calendar!$A$2:$D$121,3,FALSE)</f>
        <v>0</v>
      </c>
      <c r="J722" s="14">
        <f>J600/VLOOKUP($C722,calendar!$A$2:$D$121,3,FALSE)</f>
        <v>0</v>
      </c>
      <c r="K722" s="14">
        <f>K600/VLOOKUP($C722,calendar!$A$2:$D$121,3,FALSE)</f>
        <v>0</v>
      </c>
      <c r="L722" s="14">
        <f>L600/VLOOKUP($C722,calendar!$A$2:$D$121,3,FALSE)</f>
        <v>0</v>
      </c>
      <c r="M722" s="14">
        <f>M600/VLOOKUP($C722,calendar!$A$2:$D$121,3,FALSE)</f>
        <v>0</v>
      </c>
      <c r="N722" s="14"/>
      <c r="O722" s="14">
        <f>O600/VLOOKUP($C722,calendar!$A$2:$D$121,3,FALSE)</f>
        <v>0</v>
      </c>
      <c r="P722" s="14">
        <f>P600/VLOOKUP($C722,calendar!$A$2:$D$121,3,FALSE)</f>
        <v>0</v>
      </c>
      <c r="Q722" s="14">
        <f>Q600/VLOOKUP($C722,calendar!$A$2:$D$121,3,FALSE)</f>
        <v>0</v>
      </c>
      <c r="R722" s="14">
        <f>R600/VLOOKUP($C722,calendar!$A$2:$D$121,3,FALSE)</f>
        <v>0</v>
      </c>
    </row>
    <row r="723" spans="3:18" s="8" customFormat="1" x14ac:dyDescent="0.2">
      <c r="C723" s="9">
        <f t="shared" si="167"/>
        <v>40210</v>
      </c>
      <c r="E723" s="14">
        <f>E601/VLOOKUP($C723,calendar!$A$2:$D$121,3,FALSE)</f>
        <v>0</v>
      </c>
      <c r="F723" s="14">
        <f>F601/VLOOKUP($C723,calendar!$A$2:$D$121,3,FALSE)</f>
        <v>0</v>
      </c>
      <c r="G723" s="14">
        <f>G601/VLOOKUP($C723,calendar!$A$2:$D$121,3,FALSE)</f>
        <v>0</v>
      </c>
      <c r="H723" s="14">
        <f>H601/VLOOKUP($C723,calendar!$A$2:$D$121,3,FALSE)</f>
        <v>-50</v>
      </c>
      <c r="I723" s="14">
        <f>I601/VLOOKUP($C723,calendar!$A$2:$D$121,3,FALSE)</f>
        <v>0</v>
      </c>
      <c r="J723" s="14">
        <f>J601/VLOOKUP($C723,calendar!$A$2:$D$121,3,FALSE)</f>
        <v>0</v>
      </c>
      <c r="K723" s="14">
        <f>K601/VLOOKUP($C723,calendar!$A$2:$D$121,3,FALSE)</f>
        <v>0</v>
      </c>
      <c r="L723" s="14">
        <f>L601/VLOOKUP($C723,calendar!$A$2:$D$121,3,FALSE)</f>
        <v>0</v>
      </c>
      <c r="M723" s="14">
        <f>M601/VLOOKUP($C723,calendar!$A$2:$D$121,3,FALSE)</f>
        <v>0</v>
      </c>
      <c r="N723" s="14"/>
      <c r="O723" s="14">
        <f>O601/VLOOKUP($C723,calendar!$A$2:$D$121,3,FALSE)</f>
        <v>0</v>
      </c>
      <c r="P723" s="14">
        <f>P601/VLOOKUP($C723,calendar!$A$2:$D$121,3,FALSE)</f>
        <v>0</v>
      </c>
      <c r="Q723" s="14">
        <f>Q601/VLOOKUP($C723,calendar!$A$2:$D$121,3,FALSE)</f>
        <v>0</v>
      </c>
      <c r="R723" s="14">
        <f>R601/VLOOKUP($C723,calendar!$A$2:$D$121,3,FALSE)</f>
        <v>0</v>
      </c>
    </row>
    <row r="724" spans="3:18" s="8" customFormat="1" x14ac:dyDescent="0.2">
      <c r="C724" s="9">
        <f t="shared" si="167"/>
        <v>40238</v>
      </c>
      <c r="E724" s="14">
        <f>E602/VLOOKUP($C724,calendar!$A$2:$D$121,3,FALSE)</f>
        <v>0</v>
      </c>
      <c r="F724" s="14">
        <f>F602/VLOOKUP($C724,calendar!$A$2:$D$121,3,FALSE)</f>
        <v>0</v>
      </c>
      <c r="G724" s="14">
        <f>G602/VLOOKUP($C724,calendar!$A$2:$D$121,3,FALSE)</f>
        <v>0</v>
      </c>
      <c r="H724" s="14">
        <f>H602/VLOOKUP($C724,calendar!$A$2:$D$121,3,FALSE)</f>
        <v>-50</v>
      </c>
      <c r="I724" s="14">
        <f>I602/VLOOKUP($C724,calendar!$A$2:$D$121,3,FALSE)</f>
        <v>0</v>
      </c>
      <c r="J724" s="14">
        <f>J602/VLOOKUP($C724,calendar!$A$2:$D$121,3,FALSE)</f>
        <v>0</v>
      </c>
      <c r="K724" s="14">
        <f>K602/VLOOKUP($C724,calendar!$A$2:$D$121,3,FALSE)</f>
        <v>0</v>
      </c>
      <c r="L724" s="14">
        <f>L602/VLOOKUP($C724,calendar!$A$2:$D$121,3,FALSE)</f>
        <v>0</v>
      </c>
      <c r="M724" s="14">
        <f>M602/VLOOKUP($C724,calendar!$A$2:$D$121,3,FALSE)</f>
        <v>0</v>
      </c>
      <c r="N724" s="14"/>
      <c r="O724" s="14">
        <f>O602/VLOOKUP($C724,calendar!$A$2:$D$121,3,FALSE)</f>
        <v>0</v>
      </c>
      <c r="P724" s="14">
        <f>P602/VLOOKUP($C724,calendar!$A$2:$D$121,3,FALSE)</f>
        <v>0</v>
      </c>
      <c r="Q724" s="14">
        <f>Q602/VLOOKUP($C724,calendar!$A$2:$D$121,3,FALSE)</f>
        <v>0</v>
      </c>
      <c r="R724" s="14">
        <f>R602/VLOOKUP($C724,calendar!$A$2:$D$121,3,FALSE)</f>
        <v>0</v>
      </c>
    </row>
    <row r="725" spans="3:18" s="8" customFormat="1" x14ac:dyDescent="0.2">
      <c r="C725" s="9">
        <f t="shared" si="167"/>
        <v>40269</v>
      </c>
      <c r="E725" s="14">
        <f>E603/VLOOKUP($C725,calendar!$A$2:$D$121,3,FALSE)</f>
        <v>0</v>
      </c>
      <c r="F725" s="14">
        <f>F603/VLOOKUP($C725,calendar!$A$2:$D$121,3,FALSE)</f>
        <v>0</v>
      </c>
      <c r="G725" s="14">
        <f>G603/VLOOKUP($C725,calendar!$A$2:$D$121,3,FALSE)</f>
        <v>0</v>
      </c>
      <c r="H725" s="14">
        <f>H603/VLOOKUP($C725,calendar!$A$2:$D$121,3,FALSE)</f>
        <v>-49.864130434782609</v>
      </c>
      <c r="I725" s="14">
        <f>I603/VLOOKUP($C725,calendar!$A$2:$D$121,3,FALSE)</f>
        <v>0</v>
      </c>
      <c r="J725" s="14">
        <f>J603/VLOOKUP($C725,calendar!$A$2:$D$121,3,FALSE)</f>
        <v>0</v>
      </c>
      <c r="K725" s="14">
        <f>K603/VLOOKUP($C725,calendar!$A$2:$D$121,3,FALSE)</f>
        <v>0</v>
      </c>
      <c r="L725" s="14">
        <f>L603/VLOOKUP($C725,calendar!$A$2:$D$121,3,FALSE)</f>
        <v>0</v>
      </c>
      <c r="M725" s="14">
        <f>M603/VLOOKUP($C725,calendar!$A$2:$D$121,3,FALSE)</f>
        <v>0</v>
      </c>
      <c r="N725" s="14"/>
      <c r="O725" s="14">
        <f>O603/VLOOKUP($C725,calendar!$A$2:$D$121,3,FALSE)</f>
        <v>0</v>
      </c>
      <c r="P725" s="14">
        <f>P603/VLOOKUP($C725,calendar!$A$2:$D$121,3,FALSE)</f>
        <v>0</v>
      </c>
      <c r="Q725" s="14">
        <f>Q603/VLOOKUP($C725,calendar!$A$2:$D$121,3,FALSE)</f>
        <v>0</v>
      </c>
      <c r="R725" s="14">
        <f>R603/VLOOKUP($C725,calendar!$A$2:$D$121,3,FALSE)</f>
        <v>0</v>
      </c>
    </row>
    <row r="726" spans="3:18" s="8" customFormat="1" x14ac:dyDescent="0.2">
      <c r="C726" s="9">
        <f t="shared" si="167"/>
        <v>40299</v>
      </c>
      <c r="E726" s="14">
        <f>E604/VLOOKUP($C726,calendar!$A$2:$D$121,3,FALSE)</f>
        <v>0</v>
      </c>
      <c r="F726" s="14">
        <f>F604/VLOOKUP($C726,calendar!$A$2:$D$121,3,FALSE)</f>
        <v>0</v>
      </c>
      <c r="G726" s="14">
        <f>G604/VLOOKUP($C726,calendar!$A$2:$D$121,3,FALSE)</f>
        <v>0</v>
      </c>
      <c r="H726" s="14">
        <f>H604/VLOOKUP($C726,calendar!$A$2:$D$121,3,FALSE)</f>
        <v>-50</v>
      </c>
      <c r="I726" s="14">
        <f>I604/VLOOKUP($C726,calendar!$A$2:$D$121,3,FALSE)</f>
        <v>0</v>
      </c>
      <c r="J726" s="14">
        <f>J604/VLOOKUP($C726,calendar!$A$2:$D$121,3,FALSE)</f>
        <v>0</v>
      </c>
      <c r="K726" s="14">
        <f>K604/VLOOKUP($C726,calendar!$A$2:$D$121,3,FALSE)</f>
        <v>0</v>
      </c>
      <c r="L726" s="14">
        <f>L604/VLOOKUP($C726,calendar!$A$2:$D$121,3,FALSE)</f>
        <v>0</v>
      </c>
      <c r="M726" s="14">
        <f>M604/VLOOKUP($C726,calendar!$A$2:$D$121,3,FALSE)</f>
        <v>0</v>
      </c>
      <c r="N726" s="14"/>
      <c r="O726" s="14">
        <f>O604/VLOOKUP($C726,calendar!$A$2:$D$121,3,FALSE)</f>
        <v>0</v>
      </c>
      <c r="P726" s="14">
        <f>P604/VLOOKUP($C726,calendar!$A$2:$D$121,3,FALSE)</f>
        <v>0</v>
      </c>
      <c r="Q726" s="14">
        <f>Q604/VLOOKUP($C726,calendar!$A$2:$D$121,3,FALSE)</f>
        <v>0</v>
      </c>
      <c r="R726" s="14">
        <f>R604/VLOOKUP($C726,calendar!$A$2:$D$121,3,FALSE)</f>
        <v>0</v>
      </c>
    </row>
    <row r="727" spans="3:18" s="8" customFormat="1" x14ac:dyDescent="0.2">
      <c r="C727" s="9">
        <f t="shared" si="167"/>
        <v>40330</v>
      </c>
      <c r="E727" s="14">
        <f>E605/VLOOKUP($C727,calendar!$A$2:$D$121,3,FALSE)</f>
        <v>0</v>
      </c>
      <c r="F727" s="14">
        <f>F605/VLOOKUP($C727,calendar!$A$2:$D$121,3,FALSE)</f>
        <v>0</v>
      </c>
      <c r="G727" s="14">
        <f>G605/VLOOKUP($C727,calendar!$A$2:$D$121,3,FALSE)</f>
        <v>0</v>
      </c>
      <c r="H727" s="14">
        <f>H605/VLOOKUP($C727,calendar!$A$2:$D$121,3,FALSE)</f>
        <v>-50</v>
      </c>
      <c r="I727" s="14">
        <f>I605/VLOOKUP($C727,calendar!$A$2:$D$121,3,FALSE)</f>
        <v>0</v>
      </c>
      <c r="J727" s="14">
        <f>J605/VLOOKUP($C727,calendar!$A$2:$D$121,3,FALSE)</f>
        <v>0</v>
      </c>
      <c r="K727" s="14">
        <f>K605/VLOOKUP($C727,calendar!$A$2:$D$121,3,FALSE)</f>
        <v>0</v>
      </c>
      <c r="L727" s="14">
        <f>L605/VLOOKUP($C727,calendar!$A$2:$D$121,3,FALSE)</f>
        <v>0</v>
      </c>
      <c r="M727" s="14">
        <f>M605/VLOOKUP($C727,calendar!$A$2:$D$121,3,FALSE)</f>
        <v>0</v>
      </c>
      <c r="N727" s="14"/>
      <c r="O727" s="14">
        <f>O605/VLOOKUP($C727,calendar!$A$2:$D$121,3,FALSE)</f>
        <v>0</v>
      </c>
      <c r="P727" s="14">
        <f>P605/VLOOKUP($C727,calendar!$A$2:$D$121,3,FALSE)</f>
        <v>0</v>
      </c>
      <c r="Q727" s="14">
        <f>Q605/VLOOKUP($C727,calendar!$A$2:$D$121,3,FALSE)</f>
        <v>0</v>
      </c>
      <c r="R727" s="14">
        <f>R605/VLOOKUP($C727,calendar!$A$2:$D$121,3,FALSE)</f>
        <v>0</v>
      </c>
    </row>
    <row r="728" spans="3:18" s="8" customFormat="1" x14ac:dyDescent="0.2">
      <c r="C728" s="9">
        <f t="shared" si="167"/>
        <v>40360</v>
      </c>
      <c r="E728" s="14">
        <f>E606/VLOOKUP($C728,calendar!$A$2:$D$121,3,FALSE)</f>
        <v>0</v>
      </c>
      <c r="F728" s="14">
        <f>F606/VLOOKUP($C728,calendar!$A$2:$D$121,3,FALSE)</f>
        <v>0</v>
      </c>
      <c r="G728" s="14">
        <f>G606/VLOOKUP($C728,calendar!$A$2:$D$121,3,FALSE)</f>
        <v>0</v>
      </c>
      <c r="H728" s="14">
        <f>H606/VLOOKUP($C728,calendar!$A$2:$D$121,3,FALSE)</f>
        <v>-50</v>
      </c>
      <c r="I728" s="14">
        <f>I606/VLOOKUP($C728,calendar!$A$2:$D$121,3,FALSE)</f>
        <v>0</v>
      </c>
      <c r="J728" s="14">
        <f>J606/VLOOKUP($C728,calendar!$A$2:$D$121,3,FALSE)</f>
        <v>0</v>
      </c>
      <c r="K728" s="14">
        <f>K606/VLOOKUP($C728,calendar!$A$2:$D$121,3,FALSE)</f>
        <v>0</v>
      </c>
      <c r="L728" s="14">
        <f>L606/VLOOKUP($C728,calendar!$A$2:$D$121,3,FALSE)</f>
        <v>0</v>
      </c>
      <c r="M728" s="14">
        <f>M606/VLOOKUP($C728,calendar!$A$2:$D$121,3,FALSE)</f>
        <v>0</v>
      </c>
      <c r="N728" s="14"/>
      <c r="O728" s="14">
        <f>O606/VLOOKUP($C728,calendar!$A$2:$D$121,3,FALSE)</f>
        <v>0</v>
      </c>
      <c r="P728" s="14">
        <f>P606/VLOOKUP($C728,calendar!$A$2:$D$121,3,FALSE)</f>
        <v>0</v>
      </c>
      <c r="Q728" s="14">
        <f>Q606/VLOOKUP($C728,calendar!$A$2:$D$121,3,FALSE)</f>
        <v>0</v>
      </c>
      <c r="R728" s="14">
        <f>R606/VLOOKUP($C728,calendar!$A$2:$D$121,3,FALSE)</f>
        <v>0</v>
      </c>
    </row>
    <row r="729" spans="3:18" s="8" customFormat="1" x14ac:dyDescent="0.2">
      <c r="C729" s="9">
        <f t="shared" si="167"/>
        <v>40391</v>
      </c>
      <c r="E729" s="14">
        <f>E607/VLOOKUP($C729,calendar!$A$2:$D$121,3,FALSE)</f>
        <v>0</v>
      </c>
      <c r="F729" s="14">
        <f>F607/VLOOKUP($C729,calendar!$A$2:$D$121,3,FALSE)</f>
        <v>0</v>
      </c>
      <c r="G729" s="14">
        <f>G607/VLOOKUP($C729,calendar!$A$2:$D$121,3,FALSE)</f>
        <v>0</v>
      </c>
      <c r="H729" s="14">
        <f>H607/VLOOKUP($C729,calendar!$A$2:$D$121,3,FALSE)</f>
        <v>-50</v>
      </c>
      <c r="I729" s="14">
        <f>I607/VLOOKUP($C729,calendar!$A$2:$D$121,3,FALSE)</f>
        <v>0</v>
      </c>
      <c r="J729" s="14">
        <f>J607/VLOOKUP($C729,calendar!$A$2:$D$121,3,FALSE)</f>
        <v>0</v>
      </c>
      <c r="K729" s="14">
        <f>K607/VLOOKUP($C729,calendar!$A$2:$D$121,3,FALSE)</f>
        <v>0</v>
      </c>
      <c r="L729" s="14">
        <f>L607/VLOOKUP($C729,calendar!$A$2:$D$121,3,FALSE)</f>
        <v>0</v>
      </c>
      <c r="M729" s="14">
        <f>M607/VLOOKUP($C729,calendar!$A$2:$D$121,3,FALSE)</f>
        <v>0</v>
      </c>
      <c r="N729" s="14"/>
      <c r="O729" s="14">
        <f>O607/VLOOKUP($C729,calendar!$A$2:$D$121,3,FALSE)</f>
        <v>0</v>
      </c>
      <c r="P729" s="14">
        <f>P607/VLOOKUP($C729,calendar!$A$2:$D$121,3,FALSE)</f>
        <v>0</v>
      </c>
      <c r="Q729" s="14">
        <f>Q607/VLOOKUP($C729,calendar!$A$2:$D$121,3,FALSE)</f>
        <v>0</v>
      </c>
      <c r="R729" s="14">
        <f>R607/VLOOKUP($C729,calendar!$A$2:$D$121,3,FALSE)</f>
        <v>0</v>
      </c>
    </row>
    <row r="730" spans="3:18" s="8" customFormat="1" x14ac:dyDescent="0.2">
      <c r="C730" s="9">
        <f t="shared" si="167"/>
        <v>40422</v>
      </c>
      <c r="E730" s="14">
        <f>E608/VLOOKUP($C730,calendar!$A$2:$D$121,3,FALSE)</f>
        <v>0</v>
      </c>
      <c r="F730" s="14">
        <f>F608/VLOOKUP($C730,calendar!$A$2:$D$121,3,FALSE)</f>
        <v>0</v>
      </c>
      <c r="G730" s="14">
        <f>G608/VLOOKUP($C730,calendar!$A$2:$D$121,3,FALSE)</f>
        <v>0</v>
      </c>
      <c r="H730" s="14">
        <f>H608/VLOOKUP($C730,calendar!$A$2:$D$121,3,FALSE)</f>
        <v>-50</v>
      </c>
      <c r="I730" s="14">
        <f>I608/VLOOKUP($C730,calendar!$A$2:$D$121,3,FALSE)</f>
        <v>0</v>
      </c>
      <c r="J730" s="14">
        <f>J608/VLOOKUP($C730,calendar!$A$2:$D$121,3,FALSE)</f>
        <v>0</v>
      </c>
      <c r="K730" s="14">
        <f>K608/VLOOKUP($C730,calendar!$A$2:$D$121,3,FALSE)</f>
        <v>0</v>
      </c>
      <c r="L730" s="14">
        <f>L608/VLOOKUP($C730,calendar!$A$2:$D$121,3,FALSE)</f>
        <v>0</v>
      </c>
      <c r="M730" s="14">
        <f>M608/VLOOKUP($C730,calendar!$A$2:$D$121,3,FALSE)</f>
        <v>0</v>
      </c>
      <c r="N730" s="14"/>
      <c r="O730" s="14">
        <f>O608/VLOOKUP($C730,calendar!$A$2:$D$121,3,FALSE)</f>
        <v>0</v>
      </c>
      <c r="P730" s="14">
        <f>P608/VLOOKUP($C730,calendar!$A$2:$D$121,3,FALSE)</f>
        <v>0</v>
      </c>
      <c r="Q730" s="14">
        <f>Q608/VLOOKUP($C730,calendar!$A$2:$D$121,3,FALSE)</f>
        <v>0</v>
      </c>
      <c r="R730" s="14">
        <f>R608/VLOOKUP($C730,calendar!$A$2:$D$121,3,FALSE)</f>
        <v>0</v>
      </c>
    </row>
    <row r="731" spans="3:18" s="8" customFormat="1" x14ac:dyDescent="0.2">
      <c r="C731" s="9">
        <f t="shared" si="167"/>
        <v>40452</v>
      </c>
      <c r="E731" s="14">
        <f>E609/VLOOKUP($C731,calendar!$A$2:$D$121,3,FALSE)</f>
        <v>0</v>
      </c>
      <c r="F731" s="14">
        <f>F609/VLOOKUP($C731,calendar!$A$2:$D$121,3,FALSE)</f>
        <v>0</v>
      </c>
      <c r="G731" s="14">
        <f>G609/VLOOKUP($C731,calendar!$A$2:$D$121,3,FALSE)</f>
        <v>0</v>
      </c>
      <c r="H731" s="14">
        <f>H609/VLOOKUP($C731,calendar!$A$2:$D$121,3,FALSE)</f>
        <v>-50.122549019607845</v>
      </c>
      <c r="I731" s="14">
        <f>I609/VLOOKUP($C731,calendar!$A$2:$D$121,3,FALSE)</f>
        <v>0</v>
      </c>
      <c r="J731" s="14">
        <f>J609/VLOOKUP($C731,calendar!$A$2:$D$121,3,FALSE)</f>
        <v>0</v>
      </c>
      <c r="K731" s="14">
        <f>K609/VLOOKUP($C731,calendar!$A$2:$D$121,3,FALSE)</f>
        <v>0</v>
      </c>
      <c r="L731" s="14">
        <f>L609/VLOOKUP($C731,calendar!$A$2:$D$121,3,FALSE)</f>
        <v>0</v>
      </c>
      <c r="M731" s="14">
        <f>M609/VLOOKUP($C731,calendar!$A$2:$D$121,3,FALSE)</f>
        <v>0</v>
      </c>
      <c r="N731" s="14"/>
      <c r="O731" s="14">
        <f>O609/VLOOKUP($C731,calendar!$A$2:$D$121,3,FALSE)</f>
        <v>0</v>
      </c>
      <c r="P731" s="14">
        <f>P609/VLOOKUP($C731,calendar!$A$2:$D$121,3,FALSE)</f>
        <v>0</v>
      </c>
      <c r="Q731" s="14">
        <f>Q609/VLOOKUP($C731,calendar!$A$2:$D$121,3,FALSE)</f>
        <v>0</v>
      </c>
      <c r="R731" s="14">
        <f>R609/VLOOKUP($C731,calendar!$A$2:$D$121,3,FALSE)</f>
        <v>0</v>
      </c>
    </row>
    <row r="732" spans="3:18" s="8" customFormat="1" x14ac:dyDescent="0.2">
      <c r="C732" s="9">
        <f t="shared" si="167"/>
        <v>40483</v>
      </c>
      <c r="E732" s="14">
        <f>E610/VLOOKUP($C732,calendar!$A$2:$D$121,3,FALSE)</f>
        <v>0</v>
      </c>
      <c r="F732" s="14">
        <f>F610/VLOOKUP($C732,calendar!$A$2:$D$121,3,FALSE)</f>
        <v>0</v>
      </c>
      <c r="G732" s="14">
        <f>G610/VLOOKUP($C732,calendar!$A$2:$D$121,3,FALSE)</f>
        <v>0</v>
      </c>
      <c r="H732" s="14">
        <f>H610/VLOOKUP($C732,calendar!$A$2:$D$121,3,FALSE)</f>
        <v>-50</v>
      </c>
      <c r="I732" s="14">
        <f>I610/VLOOKUP($C732,calendar!$A$2:$D$121,3,FALSE)</f>
        <v>0</v>
      </c>
      <c r="J732" s="14">
        <f>J610/VLOOKUP($C732,calendar!$A$2:$D$121,3,FALSE)</f>
        <v>0</v>
      </c>
      <c r="K732" s="14">
        <f>K610/VLOOKUP($C732,calendar!$A$2:$D$121,3,FALSE)</f>
        <v>0</v>
      </c>
      <c r="L732" s="14">
        <f>L610/VLOOKUP($C732,calendar!$A$2:$D$121,3,FALSE)</f>
        <v>0</v>
      </c>
      <c r="M732" s="14">
        <f>M610/VLOOKUP($C732,calendar!$A$2:$D$121,3,FALSE)</f>
        <v>0</v>
      </c>
      <c r="N732" s="14"/>
      <c r="O732" s="14">
        <f>O610/VLOOKUP($C732,calendar!$A$2:$D$121,3,FALSE)</f>
        <v>0</v>
      </c>
      <c r="P732" s="14">
        <f>P610/VLOOKUP($C732,calendar!$A$2:$D$121,3,FALSE)</f>
        <v>0</v>
      </c>
      <c r="Q732" s="14">
        <f>Q610/VLOOKUP($C732,calendar!$A$2:$D$121,3,FALSE)</f>
        <v>0</v>
      </c>
      <c r="R732" s="14">
        <f>R610/VLOOKUP($C732,calendar!$A$2:$D$121,3,FALSE)</f>
        <v>0</v>
      </c>
    </row>
    <row r="733" spans="3:18" s="8" customFormat="1" x14ac:dyDescent="0.2">
      <c r="C733" s="9">
        <f t="shared" si="167"/>
        <v>40513</v>
      </c>
      <c r="E733" s="14">
        <f>E611/VLOOKUP($C733,calendar!$A$2:$D$121,3,FALSE)</f>
        <v>0</v>
      </c>
      <c r="F733" s="14">
        <f>F611/VLOOKUP($C733,calendar!$A$2:$D$121,3,FALSE)</f>
        <v>0</v>
      </c>
      <c r="G733" s="14">
        <f>G611/VLOOKUP($C733,calendar!$A$2:$D$121,3,FALSE)</f>
        <v>0</v>
      </c>
      <c r="H733" s="14">
        <f>H611/VLOOKUP($C733,calendar!$A$2:$D$121,3,FALSE)</f>
        <v>-50</v>
      </c>
      <c r="I733" s="14">
        <f>I611/VLOOKUP($C733,calendar!$A$2:$D$121,3,FALSE)</f>
        <v>0</v>
      </c>
      <c r="J733" s="14">
        <f>J611/VLOOKUP($C733,calendar!$A$2:$D$121,3,FALSE)</f>
        <v>0</v>
      </c>
      <c r="K733" s="14">
        <f>K611/VLOOKUP($C733,calendar!$A$2:$D$121,3,FALSE)</f>
        <v>0</v>
      </c>
      <c r="L733" s="14">
        <f>L611/VLOOKUP($C733,calendar!$A$2:$D$121,3,FALSE)</f>
        <v>0</v>
      </c>
      <c r="M733" s="14">
        <f>M611/VLOOKUP($C733,calendar!$A$2:$D$121,3,FALSE)</f>
        <v>0</v>
      </c>
      <c r="N733" s="14"/>
      <c r="O733" s="14">
        <f>O611/VLOOKUP($C733,calendar!$A$2:$D$121,3,FALSE)</f>
        <v>0</v>
      </c>
      <c r="P733" s="14">
        <f>P611/VLOOKUP($C733,calendar!$A$2:$D$121,3,FALSE)</f>
        <v>0</v>
      </c>
      <c r="Q733" s="14">
        <f>Q611/VLOOKUP($C733,calendar!$A$2:$D$121,3,FALSE)</f>
        <v>0</v>
      </c>
      <c r="R733" s="14">
        <f>R611/VLOOKUP($C733,calendar!$A$2:$D$121,3,FALSE)</f>
        <v>0</v>
      </c>
    </row>
    <row r="734" spans="3:18" x14ac:dyDescent="0.2">
      <c r="C734" s="1"/>
    </row>
    <row r="735" spans="3:18" x14ac:dyDescent="0.2">
      <c r="C735" s="1"/>
    </row>
    <row r="736" spans="3:18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</sheetData>
  <phoneticPr fontId="0" type="noConversion"/>
  <conditionalFormatting sqref="E248:R367">
    <cfRule type="cellIs" dxfId="1" priority="1" stopIfTrue="1" operator="greaterThan">
      <formula>11000</formula>
    </cfRule>
    <cfRule type="cellIs" dxfId="0" priority="2" stopIfTrue="1" operator="between">
      <formula>11000</formula>
      <formula>8000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882"/>
  <sheetViews>
    <sheetView zoomScale="80" workbookViewId="0">
      <pane xSplit="3" ySplit="1" topLeftCell="D2" activePane="bottomRight" state="frozen"/>
      <selection activeCell="B12" sqref="B12"/>
      <selection pane="topRight" activeCell="B12" sqref="B12"/>
      <selection pane="bottomLeft" activeCell="B12" sqref="B12"/>
      <selection pane="bottomRight" activeCell="D2" sqref="D2"/>
    </sheetView>
  </sheetViews>
  <sheetFormatPr defaultColWidth="8.7109375" defaultRowHeight="12.75" x14ac:dyDescent="0.2"/>
  <cols>
    <col min="1" max="2" width="9.140625" customWidth="1"/>
    <col min="3" max="3" width="9.85546875" bestFit="1" customWidth="1"/>
    <col min="4" max="4" width="8.7109375" customWidth="1"/>
    <col min="5" max="18" width="13.28515625" style="7" customWidth="1"/>
    <col min="19" max="20" width="13.28515625" customWidth="1"/>
  </cols>
  <sheetData>
    <row r="1" spans="1:20" x14ac:dyDescent="0.2">
      <c r="E1" s="12" t="s">
        <v>3</v>
      </c>
      <c r="F1" s="12" t="s">
        <v>161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26</v>
      </c>
      <c r="M1" s="12" t="s">
        <v>125</v>
      </c>
      <c r="N1" s="12" t="s">
        <v>124</v>
      </c>
      <c r="O1" s="12" t="s">
        <v>78</v>
      </c>
      <c r="P1" s="12" t="s">
        <v>113</v>
      </c>
      <c r="Q1" s="12" t="s">
        <v>79</v>
      </c>
      <c r="R1" s="12" t="s">
        <v>14</v>
      </c>
      <c r="T1" s="12"/>
    </row>
    <row r="2" spans="1:20" s="5" customFormat="1" x14ac:dyDescent="0.2">
      <c r="A2" s="5" t="s">
        <v>40</v>
      </c>
      <c r="E2" s="13" t="str">
        <f t="shared" ref="E2:R2" si="0">E$1</f>
        <v>CINERGY</v>
      </c>
      <c r="F2" s="13" t="str">
        <f t="shared" si="0"/>
        <v>AMEREN</v>
      </c>
      <c r="G2" s="13" t="str">
        <f t="shared" si="0"/>
        <v>ERCOT</v>
      </c>
      <c r="H2" s="13" t="str">
        <f t="shared" si="0"/>
        <v>INTO COMED</v>
      </c>
      <c r="I2" s="13" t="str">
        <f t="shared" si="0"/>
        <v>INTO TVA</v>
      </c>
      <c r="J2" s="13" t="str">
        <f t="shared" si="0"/>
        <v>MAPP</v>
      </c>
      <c r="K2" s="13" t="str">
        <f t="shared" si="0"/>
        <v>NEPOOL</v>
      </c>
      <c r="L2" s="13" t="str">
        <f t="shared" si="0"/>
        <v>INTO AEP</v>
      </c>
      <c r="M2" s="13" t="str">
        <f t="shared" si="0"/>
        <v>NY Zone A</v>
      </c>
      <c r="N2" s="13" t="str">
        <f>N$1</f>
        <v>NY Zone G</v>
      </c>
      <c r="O2" s="13" t="str">
        <f t="shared" si="0"/>
        <v>SOCO</v>
      </c>
      <c r="P2" s="13" t="str">
        <f t="shared" si="0"/>
        <v>NSP</v>
      </c>
      <c r="Q2" s="13" t="str">
        <f t="shared" si="0"/>
        <v>ENTERGY</v>
      </c>
      <c r="R2" s="13" t="str">
        <f t="shared" si="0"/>
        <v>WESTERN HUB</v>
      </c>
    </row>
    <row r="3" spans="1:20" s="8" customFormat="1" x14ac:dyDescent="0.2">
      <c r="A3" s="11">
        <v>2001</v>
      </c>
      <c r="B3" s="8">
        <f>IF(B1=12,1,B1+1)</f>
        <v>1</v>
      </c>
      <c r="C3" s="9">
        <f t="shared" ref="C3:C34" si="1">DATE(A3,B3,1)</f>
        <v>36892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4"/>
    </row>
    <row r="4" spans="1:20" s="8" customFormat="1" x14ac:dyDescent="0.2">
      <c r="A4" s="8">
        <f t="shared" ref="A4:A35" si="2">IF(B3=12,A3+1,A3)</f>
        <v>2001</v>
      </c>
      <c r="B4" s="8">
        <f t="shared" ref="B4:B35" si="3">IF(B3=12,1,B3+1)</f>
        <v>2</v>
      </c>
      <c r="C4" s="9">
        <f t="shared" si="1"/>
        <v>36923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R4" s="14"/>
    </row>
    <row r="5" spans="1:20" s="8" customFormat="1" x14ac:dyDescent="0.2">
      <c r="A5" s="8">
        <f t="shared" si="2"/>
        <v>2001</v>
      </c>
      <c r="B5" s="8">
        <f t="shared" si="3"/>
        <v>3</v>
      </c>
      <c r="C5" s="9">
        <f t="shared" si="1"/>
        <v>36951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  <c r="R5" s="14"/>
    </row>
    <row r="6" spans="1:20" s="8" customFormat="1" x14ac:dyDescent="0.2">
      <c r="A6" s="8">
        <f t="shared" si="2"/>
        <v>2001</v>
      </c>
      <c r="B6" s="8">
        <f t="shared" si="3"/>
        <v>4</v>
      </c>
      <c r="C6" s="9">
        <f t="shared" si="1"/>
        <v>36982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4"/>
    </row>
    <row r="7" spans="1:20" s="8" customFormat="1" x14ac:dyDescent="0.2">
      <c r="A7" s="8">
        <f t="shared" si="2"/>
        <v>2001</v>
      </c>
      <c r="B7" s="8">
        <f t="shared" si="3"/>
        <v>5</v>
      </c>
      <c r="C7" s="9">
        <f t="shared" si="1"/>
        <v>37012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5"/>
      <c r="R7" s="14"/>
      <c r="S7" s="10"/>
    </row>
    <row r="8" spans="1:20" s="8" customFormat="1" x14ac:dyDescent="0.2">
      <c r="A8" s="8">
        <f t="shared" si="2"/>
        <v>2001</v>
      </c>
      <c r="B8" s="8">
        <f t="shared" si="3"/>
        <v>6</v>
      </c>
      <c r="C8" s="9">
        <f t="shared" si="1"/>
        <v>37043</v>
      </c>
      <c r="D8" s="229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4"/>
      <c r="S8" s="10"/>
    </row>
    <row r="9" spans="1:20" s="8" customFormat="1" x14ac:dyDescent="0.2">
      <c r="A9" s="8">
        <f t="shared" si="2"/>
        <v>2001</v>
      </c>
      <c r="B9" s="8">
        <f t="shared" si="3"/>
        <v>7</v>
      </c>
      <c r="C9" s="9">
        <f t="shared" si="1"/>
        <v>37073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  <c r="R9" s="14"/>
      <c r="S9" s="10"/>
    </row>
    <row r="10" spans="1:20" s="8" customFormat="1" x14ac:dyDescent="0.2">
      <c r="A10" s="8">
        <f t="shared" si="2"/>
        <v>2001</v>
      </c>
      <c r="B10" s="8">
        <f t="shared" si="3"/>
        <v>8</v>
      </c>
      <c r="C10" s="9">
        <f t="shared" si="1"/>
        <v>37104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4"/>
      <c r="S10" s="10"/>
    </row>
    <row r="11" spans="1:20" s="8" customFormat="1" x14ac:dyDescent="0.2">
      <c r="A11" s="8">
        <f t="shared" si="2"/>
        <v>2001</v>
      </c>
      <c r="B11" s="8">
        <f t="shared" si="3"/>
        <v>9</v>
      </c>
      <c r="C11" s="9">
        <f t="shared" si="1"/>
        <v>37135</v>
      </c>
      <c r="D11" s="8">
        <v>1</v>
      </c>
      <c r="E11" s="14">
        <v>0</v>
      </c>
      <c r="F11" s="14">
        <f>IF(ISNA(VLOOKUP(F$1,'peak-new'!$A$3:$DQ$19,$D11,FALSE)),0,VLOOKUP(F$1,'peak-new'!$A$3:$DQ$19,$D11,FALSE))</f>
        <v>0</v>
      </c>
      <c r="G11" s="14">
        <f>IF(ISNA(VLOOKUP(G$1,'peak-new'!$A$3:$DQ$19,$D11,FALSE)),0,VLOOKUP(G$1,'peak-new'!$A$3:$DQ$19,$D11,FALSE))</f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5">
        <v>0</v>
      </c>
      <c r="R11" s="14">
        <v>0</v>
      </c>
      <c r="S11" s="10"/>
    </row>
    <row r="12" spans="1:20" s="8" customFormat="1" x14ac:dyDescent="0.2">
      <c r="A12" s="8">
        <f t="shared" si="2"/>
        <v>2001</v>
      </c>
      <c r="B12" s="8">
        <f t="shared" si="3"/>
        <v>10</v>
      </c>
      <c r="C12" s="9">
        <f t="shared" si="1"/>
        <v>37165</v>
      </c>
      <c r="D12" s="8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0"/>
    </row>
    <row r="13" spans="1:20" s="8" customFormat="1" x14ac:dyDescent="0.2">
      <c r="A13" s="8">
        <f t="shared" si="2"/>
        <v>2001</v>
      </c>
      <c r="B13" s="8">
        <f t="shared" si="3"/>
        <v>11</v>
      </c>
      <c r="C13" s="9">
        <f t="shared" si="1"/>
        <v>37196</v>
      </c>
      <c r="D13" s="8">
        <v>1</v>
      </c>
      <c r="E13" s="14">
        <v>0</v>
      </c>
      <c r="F13" s="14">
        <f>IF(ISNA(VLOOKUP(F$1,'peak-new'!$A$3:$DQ$19,$D13,FALSE)),0,VLOOKUP(F$1,'peak-new'!$A$3:$DQ$19,$D13,FALSE))</f>
        <v>0</v>
      </c>
      <c r="G13" s="14">
        <f>IF(ISNA(VLOOKUP(G$1,'peak-new'!$A$3:$DQ$19,$D13,FALSE)),0,VLOOKUP(G$1,'peak-new'!$A$3:$DQ$19,$D13,FALSE))</f>
        <v>0</v>
      </c>
      <c r="H13" s="14">
        <v>0</v>
      </c>
      <c r="I13" s="14">
        <v>0</v>
      </c>
      <c r="J13" s="14">
        <f>IF(ISNA(VLOOKUP(J$1,'peak-new'!$A$3:$DQ$19,$D13,FALSE)),0,VLOOKUP(J$1,'peak-new'!$A$3:$DQ$19,$D13,FALSE))</f>
        <v>0</v>
      </c>
      <c r="K13" s="14">
        <v>0</v>
      </c>
      <c r="L13" s="14">
        <v>0</v>
      </c>
      <c r="M13" s="14" t="str">
        <f>IF(ISNA(VLOOKUP(M$1,'peak-new'!$A$3:$DQ$19,$D13,FALSE)),0,VLOOKUP(M$1,'peak-new'!$A$3:$DQ$19,$D13,FALSE))</f>
        <v>NY Zone A</v>
      </c>
      <c r="N13" s="14" t="str">
        <f>IF(ISNA(VLOOKUP(N$1,'peak-new'!$A$3:$DQ$19,$D13,FALSE)),0,VLOOKUP(N$1,'peak-new'!$A$3:$DQ$19,$D13,FALSE))</f>
        <v>NY Zone G</v>
      </c>
      <c r="O13" s="14">
        <v>0</v>
      </c>
      <c r="P13" s="14">
        <v>0</v>
      </c>
      <c r="Q13" s="15">
        <v>0</v>
      </c>
      <c r="R13" s="14">
        <v>0</v>
      </c>
      <c r="S13" s="10"/>
    </row>
    <row r="14" spans="1:20" s="8" customFormat="1" x14ac:dyDescent="0.2">
      <c r="A14" s="8">
        <f t="shared" si="2"/>
        <v>2001</v>
      </c>
      <c r="B14" s="8">
        <f t="shared" si="3"/>
        <v>12</v>
      </c>
      <c r="C14" s="9">
        <f t="shared" si="1"/>
        <v>37226</v>
      </c>
      <c r="D14" s="8">
        <f t="shared" ref="D14:D39" si="4">D13+1</f>
        <v>2</v>
      </c>
      <c r="E14" s="14">
        <f>IF(ISNA(VLOOKUP(E$1,'delta-new'!$A$3:$DQ$20,$D14,FALSE)),0,VLOOKUP(E$1,'delta-new'!$A$3:$DQ$20,$D14,FALSE))</f>
        <v>431520</v>
      </c>
      <c r="F14" s="14">
        <f>IF(ISNA(VLOOKUP(F$1,'peak-new'!$A$3:$DQ$19,$D14,FALSE)),0,VLOOKUP(F$1,'peak-new'!$A$3:$DQ$19,$D14,FALSE))</f>
        <v>0</v>
      </c>
      <c r="G14" s="14">
        <f>IF(ISNA(VLOOKUP(G$1,'peak-new'!$A$3:$DQ$19,$D14,FALSE)),0,VLOOKUP(G$1,'peak-new'!$A$3:$DQ$19,$D14,FALSE))</f>
        <v>0</v>
      </c>
      <c r="H14" s="14">
        <f>IF(ISNA(VLOOKUP(H$1,'peak-new'!$A$3:$DQ$19,$D14,FALSE)),0,VLOOKUP(H$1,'peak-new'!$A$3:$DQ$19,$D14,FALSE))</f>
        <v>56800</v>
      </c>
      <c r="I14" s="14">
        <f>IF(ISNA(VLOOKUP(I$1,'peak-new'!$A$3:$DQ$19,$D14,FALSE)),0,VLOOKUP(I$1,'peak-new'!$A$3:$DQ$19,$D14,FALSE))</f>
        <v>14400</v>
      </c>
      <c r="J14" s="14">
        <f>IF(ISNA(VLOOKUP(J$1,'peak-new'!$A$3:$DQ$19,$D14,FALSE)),0,VLOOKUP(J$1,'peak-new'!$A$3:$DQ$19,$D14,FALSE))</f>
        <v>0</v>
      </c>
      <c r="K14" s="14">
        <f>IF(ISNA(VLOOKUP(K$1,'peak-new'!$A$3:$DQ$19,$D14,FALSE)),0,VLOOKUP(K$1,'peak-new'!$A$3:$DQ$19,$D14,FALSE))</f>
        <v>72000</v>
      </c>
      <c r="L14" s="14">
        <f>IF(ISNA(VLOOKUP(L$1,'peak-new'!$A$3:$DQ$19,$D14,FALSE)),0,VLOOKUP(L$1,'peak-new'!$A$3:$DQ$19,$D14,FALSE))</f>
        <v>0</v>
      </c>
      <c r="M14" s="14">
        <f>IF(ISNA(VLOOKUP(M$1,'peak-new'!$A$3:$DQ$19,$D14,FALSE)),0,VLOOKUP(M$1,'peak-new'!$A$3:$DQ$19,$D14,FALSE))</f>
        <v>144000</v>
      </c>
      <c r="N14" s="14">
        <f>IF(ISNA(VLOOKUP(N$1,'peak-new'!$A$3:$DQ$19,$D14,FALSE)),0,VLOOKUP(N$1,'peak-new'!$A$3:$DQ$19,$D14,FALSE))</f>
        <v>144000</v>
      </c>
      <c r="O14" s="14">
        <f>IF(ISNA(VLOOKUP(O$1,'peak-new'!$A$3:$DQ$19,$D14,FALSE)),0,VLOOKUP(O$1,'peak-new'!$A$3:$DQ$19,$D14,FALSE))</f>
        <v>14400</v>
      </c>
      <c r="P14" s="14">
        <f>IF(ISNA(VLOOKUP(P$1,'peak-new'!$A$3:$DQ$19,$D14,FALSE)),0,VLOOKUP(P$1,'peak-new'!$A$3:$DQ$19,$D14,FALSE))</f>
        <v>0</v>
      </c>
      <c r="Q14" s="15">
        <f>IF(ISNA(VLOOKUP(Q$1,'delta-new'!$A$3:$DQ$20,$D14,FALSE)),0,VLOOKUP(Q$1,'delta-new'!$A$3:$DQ$20,$D14,FALSE))</f>
        <v>0</v>
      </c>
      <c r="R14" s="14">
        <f>IF(ISNA(VLOOKUP(R$1,'peak-new'!$A$3:$DQ$19,$D14,FALSE)),0,VLOOKUP(R$1,'peak-new'!$A$3:$DQ$19,$D14,FALSE))</f>
        <v>28800</v>
      </c>
      <c r="S14" s="10"/>
    </row>
    <row r="15" spans="1:20" s="8" customFormat="1" x14ac:dyDescent="0.2">
      <c r="A15" s="8">
        <f t="shared" si="2"/>
        <v>2002</v>
      </c>
      <c r="B15" s="8">
        <f t="shared" si="3"/>
        <v>1</v>
      </c>
      <c r="C15" s="9">
        <f t="shared" si="1"/>
        <v>37257</v>
      </c>
      <c r="D15" s="8">
        <f t="shared" si="4"/>
        <v>3</v>
      </c>
      <c r="E15" s="14">
        <f>IF(ISNA(VLOOKUP(E$1,'delta-new'!$A$3:$DQ$20,$D15,FALSE)),0,VLOOKUP(E$1,'delta-new'!$A$3:$DQ$20,$D15,FALSE))</f>
        <v>-835443.36</v>
      </c>
      <c r="F15" s="14">
        <f>IF(ISNA(VLOOKUP(F$1,'peak-new'!$A$3:$DQ$19,$D15,FALSE)),0,VLOOKUP(F$1,'peak-new'!$A$3:$DQ$19,$D15,FALSE))</f>
        <v>0</v>
      </c>
      <c r="G15" s="14">
        <f>IF(ISNA(VLOOKUP(G$1,'peak-new'!$A$3:$DQ$19,$D15,FALSE)),0,VLOOKUP(G$1,'peak-new'!$A$3:$DQ$19,$D15,FALSE))</f>
        <v>0</v>
      </c>
      <c r="H15" s="14">
        <f>IF(ISNA(VLOOKUP(H$1,'peak-new'!$A$3:$DQ$19,$D15,FALSE)),0,VLOOKUP(H$1,'peak-new'!$A$3:$DQ$19,$D15,FALSE))</f>
        <v>-341440</v>
      </c>
      <c r="I15" s="14">
        <f>IF(ISNA(VLOOKUP(I$1,'peak-new'!$A$3:$DQ$19,$D15,FALSE)),0,VLOOKUP(I$1,'peak-new'!$A$3:$DQ$19,$D15,FALSE))</f>
        <v>-193600</v>
      </c>
      <c r="J15" s="14">
        <f>IF(ISNA(VLOOKUP(J$1,'peak-new'!$A$3:$DQ$19,$D15,FALSE)),0,VLOOKUP(J$1,'peak-new'!$A$3:$DQ$19,$D15,FALSE))</f>
        <v>0</v>
      </c>
      <c r="K15" s="14">
        <f>IF(ISNA(VLOOKUP(K$1,'peak-new'!$A$3:$DQ$19,$D15,FALSE)),0,VLOOKUP(K$1,'peak-new'!$A$3:$DQ$19,$D15,FALSE))</f>
        <v>352000</v>
      </c>
      <c r="L15" s="14">
        <f>IF(ISNA(VLOOKUP(L$1,'peak-new'!$A$3:$DQ$19,$D15,FALSE)),0,VLOOKUP(L$1,'peak-new'!$A$3:$DQ$19,$D15,FALSE))</f>
        <v>9504</v>
      </c>
      <c r="M15" s="14">
        <f>IF(ISNA(VLOOKUP(M$1,'peak-new'!$A$3:$DQ$19,$D15,FALSE)),0,VLOOKUP(M$1,'peak-new'!$A$3:$DQ$19,$D15,FALSE))</f>
        <v>352000</v>
      </c>
      <c r="N15" s="14">
        <f>IF(ISNA(VLOOKUP(N$1,'peak-new'!$A$3:$DQ$19,$D15,FALSE)),0,VLOOKUP(N$1,'peak-new'!$A$3:$DQ$19,$D15,FALSE))</f>
        <v>369600</v>
      </c>
      <c r="O15" s="14">
        <f>IF(ISNA(VLOOKUP(O$1,'peak-new'!$A$3:$DQ$19,$D15,FALSE)),0,VLOOKUP(O$1,'peak-new'!$A$3:$DQ$19,$D15,FALSE))</f>
        <v>0</v>
      </c>
      <c r="P15" s="14">
        <f>IF(ISNA(VLOOKUP(P$1,'peak-new'!$A$3:$DQ$19,$D15,FALSE)),0,VLOOKUP(P$1,'peak-new'!$A$3:$DQ$19,$D15,FALSE))</f>
        <v>17600</v>
      </c>
      <c r="Q15" s="15">
        <f>IF(ISNA(VLOOKUP(Q$1,'delta-new'!$A$3:$DQ$20,$D15,FALSE)),0,VLOOKUP(Q$1,'delta-new'!$A$3:$DQ$20,$D15,FALSE))</f>
        <v>0</v>
      </c>
      <c r="R15" s="14">
        <f>IF(ISNA(VLOOKUP(R$1,'peak-new'!$A$3:$DQ$19,$D15,FALSE)),0,VLOOKUP(R$1,'peak-new'!$A$3:$DQ$19,$D15,FALSE))</f>
        <v>404800</v>
      </c>
      <c r="S15" s="10"/>
    </row>
    <row r="16" spans="1:20" s="8" customFormat="1" x14ac:dyDescent="0.2">
      <c r="A16" s="8">
        <f t="shared" si="2"/>
        <v>2002</v>
      </c>
      <c r="B16" s="8">
        <f t="shared" si="3"/>
        <v>2</v>
      </c>
      <c r="C16" s="9">
        <f t="shared" si="1"/>
        <v>37288</v>
      </c>
      <c r="D16" s="8">
        <f t="shared" si="4"/>
        <v>4</v>
      </c>
      <c r="E16" s="14">
        <f>IF(ISNA(VLOOKUP(E$1,'delta-new'!$A$3:$DQ$20,$D16,FALSE)),0,VLOOKUP(E$1,'delta-new'!$A$3:$DQ$20,$D16,FALSE))</f>
        <v>-760592.84</v>
      </c>
      <c r="F16" s="14">
        <f>IF(ISNA(VLOOKUP(F$1,'peak-new'!$A$3:$DQ$19,$D16,FALSE)),0,VLOOKUP(F$1,'peak-new'!$A$3:$DQ$19,$D16,FALSE))</f>
        <v>0</v>
      </c>
      <c r="G16" s="14">
        <f>IF(ISNA(VLOOKUP(G$1,'peak-new'!$A$3:$DQ$19,$D16,FALSE)),0,VLOOKUP(G$1,'peak-new'!$A$3:$DQ$19,$D16,FALSE))</f>
        <v>0</v>
      </c>
      <c r="H16" s="14">
        <f>IF(ISNA(VLOOKUP(H$1,'peak-new'!$A$3:$DQ$19,$D16,FALSE)),0,VLOOKUP(H$1,'peak-new'!$A$3:$DQ$19,$D16,FALSE))</f>
        <v>-294400</v>
      </c>
      <c r="I16" s="14">
        <f>IF(ISNA(VLOOKUP(I$1,'peak-new'!$A$3:$DQ$19,$D16,FALSE)),0,VLOOKUP(I$1,'peak-new'!$A$3:$DQ$19,$D16,FALSE))</f>
        <v>-160000</v>
      </c>
      <c r="J16" s="14">
        <f>IF(ISNA(VLOOKUP(J$1,'peak-new'!$A$3:$DQ$19,$D16,FALSE)),0,VLOOKUP(J$1,'peak-new'!$A$3:$DQ$19,$D16,FALSE))</f>
        <v>0</v>
      </c>
      <c r="K16" s="14">
        <f>IF(ISNA(VLOOKUP(K$1,'peak-new'!$A$3:$DQ$19,$D16,FALSE)),0,VLOOKUP(K$1,'peak-new'!$A$3:$DQ$19,$D16,FALSE))</f>
        <v>320000</v>
      </c>
      <c r="L16" s="14">
        <f>IF(ISNA(VLOOKUP(L$1,'peak-new'!$A$3:$DQ$19,$D16,FALSE)),0,VLOOKUP(L$1,'peak-new'!$A$3:$DQ$19,$D16,FALSE))</f>
        <v>8640</v>
      </c>
      <c r="M16" s="14">
        <f>IF(ISNA(VLOOKUP(M$1,'peak-new'!$A$3:$DQ$19,$D16,FALSE)),0,VLOOKUP(M$1,'peak-new'!$A$3:$DQ$19,$D16,FALSE))</f>
        <v>320000</v>
      </c>
      <c r="N16" s="14">
        <f>IF(ISNA(VLOOKUP(N$1,'peak-new'!$A$3:$DQ$19,$D16,FALSE)),0,VLOOKUP(N$1,'peak-new'!$A$3:$DQ$19,$D16,FALSE))</f>
        <v>336000</v>
      </c>
      <c r="O16" s="14">
        <f>IF(ISNA(VLOOKUP(O$1,'peak-new'!$A$3:$DQ$19,$D16,FALSE)),0,VLOOKUP(O$1,'peak-new'!$A$3:$DQ$19,$D16,FALSE))</f>
        <v>0</v>
      </c>
      <c r="P16" s="14">
        <f>IF(ISNA(VLOOKUP(P$1,'peak-new'!$A$3:$DQ$19,$D16,FALSE)),0,VLOOKUP(P$1,'peak-new'!$A$3:$DQ$19,$D16,FALSE))</f>
        <v>16000</v>
      </c>
      <c r="Q16" s="15">
        <f>IF(ISNA(VLOOKUP(Q$1,'delta-new'!$A$3:$DQ$20,$D16,FALSE)),0,VLOOKUP(Q$1,'delta-new'!$A$3:$DQ$20,$D16,FALSE))</f>
        <v>0</v>
      </c>
      <c r="R16" s="14">
        <f>IF(ISNA(VLOOKUP(R$1,'peak-new'!$A$3:$DQ$19,$D16,FALSE)),0,VLOOKUP(R$1,'peak-new'!$A$3:$DQ$19,$D16,FALSE))</f>
        <v>368000</v>
      </c>
      <c r="S16" s="10"/>
    </row>
    <row r="17" spans="1:19" s="8" customFormat="1" x14ac:dyDescent="0.2">
      <c r="A17" s="8">
        <f t="shared" si="2"/>
        <v>2002</v>
      </c>
      <c r="B17" s="8">
        <f t="shared" si="3"/>
        <v>3</v>
      </c>
      <c r="C17" s="9">
        <f t="shared" si="1"/>
        <v>37316</v>
      </c>
      <c r="D17" s="8">
        <f t="shared" si="4"/>
        <v>5</v>
      </c>
      <c r="E17" s="14">
        <f>IF(ISNA(VLOOKUP(E$1,'delta-new'!$A$3:$DQ$20,$D17,FALSE)),0,VLOOKUP(E$1,'delta-new'!$A$3:$DQ$20,$D17,FALSE))</f>
        <v>-761874.83</v>
      </c>
      <c r="F17" s="14">
        <f>IF(ISNA(VLOOKUP(F$1,'peak-new'!$A$3:$DQ$19,$D17,FALSE)),0,VLOOKUP(F$1,'peak-new'!$A$3:$DQ$19,$D17,FALSE))</f>
        <v>0</v>
      </c>
      <c r="G17" s="14">
        <f>IF(ISNA(VLOOKUP(G$1,'peak-new'!$A$3:$DQ$19,$D17,FALSE)),0,VLOOKUP(G$1,'peak-new'!$A$3:$DQ$19,$D17,FALSE))</f>
        <v>0</v>
      </c>
      <c r="H17" s="14">
        <f>IF(ISNA(VLOOKUP(H$1,'peak-new'!$A$3:$DQ$19,$D17,FALSE)),0,VLOOKUP(H$1,'peak-new'!$A$3:$DQ$19,$D17,FALSE))</f>
        <v>-23520</v>
      </c>
      <c r="I17" s="14">
        <f>IF(ISNA(VLOOKUP(I$1,'peak-new'!$A$3:$DQ$19,$D17,FALSE)),0,VLOOKUP(I$1,'peak-new'!$A$3:$DQ$19,$D17,FALSE))</f>
        <v>-50400</v>
      </c>
      <c r="J17" s="14">
        <f>IF(ISNA(VLOOKUP(J$1,'peak-new'!$A$3:$DQ$19,$D17,FALSE)),0,VLOOKUP(J$1,'peak-new'!$A$3:$DQ$19,$D17,FALSE))</f>
        <v>0</v>
      </c>
      <c r="K17" s="14">
        <f>IF(ISNA(VLOOKUP(K$1,'peak-new'!$A$3:$DQ$19,$D17,FALSE)),0,VLOOKUP(K$1,'peak-new'!$A$3:$DQ$19,$D17,FALSE))</f>
        <v>0</v>
      </c>
      <c r="L17" s="14">
        <f>IF(ISNA(VLOOKUP(L$1,'peak-new'!$A$3:$DQ$19,$D17,FALSE)),0,VLOOKUP(L$1,'peak-new'!$A$3:$DQ$19,$D17,FALSE))</f>
        <v>9072</v>
      </c>
      <c r="M17" s="14">
        <f>IF(ISNA(VLOOKUP(M$1,'peak-new'!$A$3:$DQ$19,$D17,FALSE)),0,VLOOKUP(M$1,'peak-new'!$A$3:$DQ$19,$D17,FALSE))</f>
        <v>84000</v>
      </c>
      <c r="N17" s="14">
        <f>IF(ISNA(VLOOKUP(N$1,'peak-new'!$A$3:$DQ$19,$D17,FALSE)),0,VLOOKUP(N$1,'peak-new'!$A$3:$DQ$19,$D17,FALSE))</f>
        <v>84000</v>
      </c>
      <c r="O17" s="14">
        <f>IF(ISNA(VLOOKUP(O$1,'peak-new'!$A$3:$DQ$19,$D17,FALSE)),0,VLOOKUP(O$1,'peak-new'!$A$3:$DQ$19,$D17,FALSE))</f>
        <v>50400</v>
      </c>
      <c r="P17" s="14">
        <f>IF(ISNA(VLOOKUP(P$1,'peak-new'!$A$3:$DQ$19,$D17,FALSE)),0,VLOOKUP(P$1,'peak-new'!$A$3:$DQ$19,$D17,FALSE))</f>
        <v>-33600</v>
      </c>
      <c r="Q17" s="15">
        <f>IF(ISNA(VLOOKUP(Q$1,'delta-new'!$A$3:$DQ$20,$D17,FALSE)),0,VLOOKUP(Q$1,'delta-new'!$A$3:$DQ$20,$D17,FALSE))</f>
        <v>0</v>
      </c>
      <c r="R17" s="14">
        <f>IF(ISNA(VLOOKUP(R$1,'peak-new'!$A$3:$DQ$19,$D17,FALSE)),0,VLOOKUP(R$1,'peak-new'!$A$3:$DQ$19,$D17,FALSE))</f>
        <v>50400</v>
      </c>
      <c r="S17" s="10"/>
    </row>
    <row r="18" spans="1:19" s="8" customFormat="1" x14ac:dyDescent="0.2">
      <c r="A18" s="8">
        <f t="shared" si="2"/>
        <v>2002</v>
      </c>
      <c r="B18" s="8">
        <f t="shared" si="3"/>
        <v>4</v>
      </c>
      <c r="C18" s="9">
        <f t="shared" si="1"/>
        <v>37347</v>
      </c>
      <c r="D18" s="8">
        <f t="shared" si="4"/>
        <v>6</v>
      </c>
      <c r="E18" s="14">
        <f>IF(ISNA(VLOOKUP(E$1,'delta-new'!$A$3:$DQ$20,$D18,FALSE)),0,VLOOKUP(E$1,'delta-new'!$A$3:$DQ$20,$D18,FALSE))</f>
        <v>-797941.23</v>
      </c>
      <c r="F18" s="14">
        <f>IF(ISNA(VLOOKUP(F$1,'peak-new'!$A$3:$DQ$19,$D18,FALSE)),0,VLOOKUP(F$1,'peak-new'!$A$3:$DQ$19,$D18,FALSE))</f>
        <v>0</v>
      </c>
      <c r="G18" s="14">
        <f>IF(ISNA(VLOOKUP(G$1,'peak-new'!$A$3:$DQ$19,$D18,FALSE)),0,VLOOKUP(G$1,'peak-new'!$A$3:$DQ$19,$D18,FALSE))</f>
        <v>0</v>
      </c>
      <c r="H18" s="14">
        <f>IF(ISNA(VLOOKUP(H$1,'peak-new'!$A$3:$DQ$19,$D18,FALSE)),0,VLOOKUP(H$1,'peak-new'!$A$3:$DQ$19,$D18,FALSE))</f>
        <v>-24640</v>
      </c>
      <c r="I18" s="14">
        <f>IF(ISNA(VLOOKUP(I$1,'peak-new'!$A$3:$DQ$19,$D18,FALSE)),0,VLOOKUP(I$1,'peak-new'!$A$3:$DQ$19,$D18,FALSE))</f>
        <v>-52800</v>
      </c>
      <c r="J18" s="14">
        <f>IF(ISNA(VLOOKUP(J$1,'peak-new'!$A$3:$DQ$19,$D18,FALSE)),0,VLOOKUP(J$1,'peak-new'!$A$3:$DQ$19,$D18,FALSE))</f>
        <v>0</v>
      </c>
      <c r="K18" s="14">
        <f>IF(ISNA(VLOOKUP(K$1,'peak-new'!$A$3:$DQ$19,$D18,FALSE)),0,VLOOKUP(K$1,'peak-new'!$A$3:$DQ$19,$D18,FALSE))</f>
        <v>0</v>
      </c>
      <c r="L18" s="14">
        <f>IF(ISNA(VLOOKUP(L$1,'peak-new'!$A$3:$DQ$19,$D18,FALSE)),0,VLOOKUP(L$1,'peak-new'!$A$3:$DQ$19,$D18,FALSE))</f>
        <v>9504</v>
      </c>
      <c r="M18" s="14">
        <f>IF(ISNA(VLOOKUP(M$1,'peak-new'!$A$3:$DQ$19,$D18,FALSE)),0,VLOOKUP(M$1,'peak-new'!$A$3:$DQ$19,$D18,FALSE))</f>
        <v>88000</v>
      </c>
      <c r="N18" s="14">
        <f>IF(ISNA(VLOOKUP(N$1,'peak-new'!$A$3:$DQ$19,$D18,FALSE)),0,VLOOKUP(N$1,'peak-new'!$A$3:$DQ$19,$D18,FALSE))</f>
        <v>88000</v>
      </c>
      <c r="O18" s="14">
        <f>IF(ISNA(VLOOKUP(O$1,'peak-new'!$A$3:$DQ$19,$D18,FALSE)),0,VLOOKUP(O$1,'peak-new'!$A$3:$DQ$19,$D18,FALSE))</f>
        <v>52800</v>
      </c>
      <c r="P18" s="14">
        <f>IF(ISNA(VLOOKUP(P$1,'peak-new'!$A$3:$DQ$19,$D18,FALSE)),0,VLOOKUP(P$1,'peak-new'!$A$3:$DQ$19,$D18,FALSE))</f>
        <v>-35200</v>
      </c>
      <c r="Q18" s="15">
        <f>IF(ISNA(VLOOKUP(Q$1,'delta-new'!$A$3:$DQ$20,$D18,FALSE)),0,VLOOKUP(Q$1,'delta-new'!$A$3:$DQ$20,$D18,FALSE))</f>
        <v>52321.19</v>
      </c>
      <c r="R18" s="14">
        <f>IF(ISNA(VLOOKUP(R$1,'peak-new'!$A$3:$DQ$19,$D18,FALSE)),0,VLOOKUP(R$1,'peak-new'!$A$3:$DQ$19,$D18,FALSE))</f>
        <v>52800</v>
      </c>
      <c r="S18" s="10"/>
    </row>
    <row r="19" spans="1:19" s="8" customFormat="1" x14ac:dyDescent="0.2">
      <c r="A19" s="8">
        <f t="shared" si="2"/>
        <v>2002</v>
      </c>
      <c r="B19" s="8">
        <f t="shared" si="3"/>
        <v>5</v>
      </c>
      <c r="C19" s="9">
        <f t="shared" si="1"/>
        <v>37377</v>
      </c>
      <c r="D19" s="8">
        <f t="shared" si="4"/>
        <v>7</v>
      </c>
      <c r="E19" s="14">
        <f>IF(ISNA(VLOOKUP(E$1,'delta-new'!$A$3:$DQ$20,$D19,FALSE)),0,VLOOKUP(E$1,'delta-new'!$A$3:$DQ$20,$D19,FALSE))</f>
        <v>-626664</v>
      </c>
      <c r="F19" s="14">
        <f>IF(ISNA(VLOOKUP(F$1,'peak-new'!$A$3:$DQ$19,$D19,FALSE)),0,VLOOKUP(F$1,'peak-new'!$A$3:$DQ$19,$D19,FALSE))</f>
        <v>0</v>
      </c>
      <c r="G19" s="14">
        <f>IF(ISNA(VLOOKUP(G$1,'peak-new'!$A$3:$DQ$19,$D19,FALSE)),0,VLOOKUP(G$1,'peak-new'!$A$3:$DQ$19,$D19,FALSE))</f>
        <v>0</v>
      </c>
      <c r="H19" s="14">
        <f>IF(ISNA(VLOOKUP(H$1,'peak-new'!$A$3:$DQ$19,$D19,FALSE)),0,VLOOKUP(H$1,'peak-new'!$A$3:$DQ$19,$D19,FALSE))</f>
        <v>-24640</v>
      </c>
      <c r="I19" s="14">
        <f>IF(ISNA(VLOOKUP(I$1,'peak-new'!$A$3:$DQ$19,$D19,FALSE)),0,VLOOKUP(I$1,'peak-new'!$A$3:$DQ$19,$D19,FALSE))</f>
        <v>-35200</v>
      </c>
      <c r="J19" s="14">
        <f>IF(ISNA(VLOOKUP(J$1,'peak-new'!$A$3:$DQ$19,$D19,FALSE)),0,VLOOKUP(J$1,'peak-new'!$A$3:$DQ$19,$D19,FALSE))</f>
        <v>0</v>
      </c>
      <c r="K19" s="14">
        <f>IF(ISNA(VLOOKUP(K$1,'peak-new'!$A$3:$DQ$19,$D19,FALSE)),0,VLOOKUP(K$1,'peak-new'!$A$3:$DQ$19,$D19,FALSE))</f>
        <v>0</v>
      </c>
      <c r="L19" s="14">
        <f>IF(ISNA(VLOOKUP(L$1,'peak-new'!$A$3:$DQ$19,$D19,FALSE)),0,VLOOKUP(L$1,'peak-new'!$A$3:$DQ$19,$D19,FALSE))</f>
        <v>9504</v>
      </c>
      <c r="M19" s="14">
        <f>IF(ISNA(VLOOKUP(M$1,'peak-new'!$A$3:$DQ$19,$D19,FALSE)),0,VLOOKUP(M$1,'peak-new'!$A$3:$DQ$19,$D19,FALSE))</f>
        <v>88000</v>
      </c>
      <c r="N19" s="14">
        <f>IF(ISNA(VLOOKUP(N$1,'peak-new'!$A$3:$DQ$19,$D19,FALSE)),0,VLOOKUP(N$1,'peak-new'!$A$3:$DQ$19,$D19,FALSE))</f>
        <v>52800</v>
      </c>
      <c r="O19" s="14">
        <f>IF(ISNA(VLOOKUP(O$1,'peak-new'!$A$3:$DQ$19,$D19,FALSE)),0,VLOOKUP(O$1,'peak-new'!$A$3:$DQ$19,$D19,FALSE))</f>
        <v>123200</v>
      </c>
      <c r="P19" s="14">
        <f>IF(ISNA(VLOOKUP(P$1,'peak-new'!$A$3:$DQ$19,$D19,FALSE)),0,VLOOKUP(P$1,'peak-new'!$A$3:$DQ$19,$D19,FALSE))</f>
        <v>0</v>
      </c>
      <c r="Q19" s="15">
        <f>IF(ISNA(VLOOKUP(Q$1,'delta-new'!$A$3:$DQ$20,$D19,FALSE)),0,VLOOKUP(Q$1,'delta-new'!$A$3:$DQ$20,$D19,FALSE))</f>
        <v>0</v>
      </c>
      <c r="R19" s="14">
        <f>IF(ISNA(VLOOKUP(R$1,'peak-new'!$A$3:$DQ$19,$D19,FALSE)),0,VLOOKUP(R$1,'peak-new'!$A$3:$DQ$19,$D19,FALSE))</f>
        <v>17600</v>
      </c>
      <c r="S19" s="10"/>
    </row>
    <row r="20" spans="1:19" s="8" customFormat="1" x14ac:dyDescent="0.2">
      <c r="A20" s="8">
        <f t="shared" si="2"/>
        <v>2002</v>
      </c>
      <c r="B20" s="8">
        <f t="shared" si="3"/>
        <v>6</v>
      </c>
      <c r="C20" s="9">
        <f t="shared" si="1"/>
        <v>37408</v>
      </c>
      <c r="D20" s="8">
        <f t="shared" si="4"/>
        <v>8</v>
      </c>
      <c r="E20" s="14">
        <f>IF(ISNA(VLOOKUP(E$1,'delta-new'!$A$3:$DQ$20,$D20,FALSE)),0,VLOOKUP(E$1,'delta-new'!$A$3:$DQ$20,$D20,FALSE))</f>
        <v>-766805.53</v>
      </c>
      <c r="F20" s="14">
        <f>IF(ISNA(VLOOKUP(F$1,'peak-new'!$A$3:$DQ$19,$D20,FALSE)),0,VLOOKUP(F$1,'peak-new'!$A$3:$DQ$19,$D20,FALSE))</f>
        <v>0</v>
      </c>
      <c r="G20" s="14">
        <f>IF(ISNA(VLOOKUP(G$1,'peak-new'!$A$3:$DQ$19,$D20,FALSE)),0,VLOOKUP(G$1,'peak-new'!$A$3:$DQ$19,$D20,FALSE))</f>
        <v>0</v>
      </c>
      <c r="H20" s="14">
        <f>IF(ISNA(VLOOKUP(H$1,'peak-new'!$A$3:$DQ$19,$D20,FALSE)),0,VLOOKUP(H$1,'peak-new'!$A$3:$DQ$19,$D20,FALSE))</f>
        <v>32000</v>
      </c>
      <c r="I20" s="14">
        <f>IF(ISNA(VLOOKUP(I$1,'peak-new'!$A$3:$DQ$19,$D20,FALSE)),0,VLOOKUP(I$1,'peak-new'!$A$3:$DQ$19,$D20,FALSE))</f>
        <v>-64000</v>
      </c>
      <c r="J20" s="14">
        <f>IF(ISNA(VLOOKUP(J$1,'peak-new'!$A$3:$DQ$19,$D20,FALSE)),0,VLOOKUP(J$1,'peak-new'!$A$3:$DQ$19,$D20,FALSE))</f>
        <v>0</v>
      </c>
      <c r="K20" s="14">
        <f>IF(ISNA(VLOOKUP(K$1,'peak-new'!$A$3:$DQ$19,$D20,FALSE)),0,VLOOKUP(K$1,'peak-new'!$A$3:$DQ$19,$D20,FALSE))</f>
        <v>0</v>
      </c>
      <c r="L20" s="14">
        <f>IF(ISNA(VLOOKUP(L$1,'peak-new'!$A$3:$DQ$19,$D20,FALSE)),0,VLOOKUP(L$1,'peak-new'!$A$3:$DQ$19,$D20,FALSE))</f>
        <v>8640</v>
      </c>
      <c r="M20" s="14">
        <f>IF(ISNA(VLOOKUP(M$1,'peak-new'!$A$3:$DQ$19,$D20,FALSE)),0,VLOOKUP(M$1,'peak-new'!$A$3:$DQ$19,$D20,FALSE))</f>
        <v>160000</v>
      </c>
      <c r="N20" s="14">
        <f>IF(ISNA(VLOOKUP(N$1,'peak-new'!$A$3:$DQ$19,$D20,FALSE)),0,VLOOKUP(N$1,'peak-new'!$A$3:$DQ$19,$D20,FALSE))</f>
        <v>48000</v>
      </c>
      <c r="O20" s="14">
        <f>IF(ISNA(VLOOKUP(O$1,'peak-new'!$A$3:$DQ$19,$D20,FALSE)),0,VLOOKUP(O$1,'peak-new'!$A$3:$DQ$19,$D20,FALSE))</f>
        <v>80000</v>
      </c>
      <c r="P20" s="14">
        <f>IF(ISNA(VLOOKUP(P$1,'peak-new'!$A$3:$DQ$19,$D20,FALSE)),0,VLOOKUP(P$1,'peak-new'!$A$3:$DQ$19,$D20,FALSE))</f>
        <v>0</v>
      </c>
      <c r="Q20" s="15">
        <f>IF(ISNA(VLOOKUP(Q$1,'delta-new'!$A$3:$DQ$20,$D20,FALSE)),0,VLOOKUP(Q$1,'delta-new'!$A$3:$DQ$20,$D20,FALSE))</f>
        <v>0</v>
      </c>
      <c r="R20" s="14">
        <f>IF(ISNA(VLOOKUP(R$1,'peak-new'!$A$3:$DQ$19,$D20,FALSE)),0,VLOOKUP(R$1,'peak-new'!$A$3:$DQ$19,$D20,FALSE))</f>
        <v>16000</v>
      </c>
      <c r="S20" s="10"/>
    </row>
    <row r="21" spans="1:19" s="8" customFormat="1" x14ac:dyDescent="0.2">
      <c r="A21" s="8">
        <f t="shared" si="2"/>
        <v>2002</v>
      </c>
      <c r="B21" s="8">
        <f t="shared" si="3"/>
        <v>7</v>
      </c>
      <c r="C21" s="9">
        <f t="shared" si="1"/>
        <v>37438</v>
      </c>
      <c r="D21" s="8">
        <f t="shared" si="4"/>
        <v>9</v>
      </c>
      <c r="E21" s="14">
        <f>IF(ISNA(VLOOKUP(E$1,'delta-new'!$A$3:$DQ$20,$D21,FALSE)),0,VLOOKUP(E$1,'delta-new'!$A$3:$DQ$20,$D21,FALSE))</f>
        <v>-523616</v>
      </c>
      <c r="F21" s="14">
        <f>IF(ISNA(VLOOKUP(F$1,'peak-new'!$A$3:$DQ$19,$D21,FALSE)),0,VLOOKUP(F$1,'peak-new'!$A$3:$DQ$19,$D21,FALSE))</f>
        <v>0</v>
      </c>
      <c r="G21" s="14">
        <f>IF(ISNA(VLOOKUP(G$1,'peak-new'!$A$3:$DQ$19,$D21,FALSE)),0,VLOOKUP(G$1,'peak-new'!$A$3:$DQ$19,$D21,FALSE))</f>
        <v>0</v>
      </c>
      <c r="H21" s="14">
        <f>IF(ISNA(VLOOKUP(H$1,'peak-new'!$A$3:$DQ$19,$D21,FALSE)),0,VLOOKUP(H$1,'peak-new'!$A$3:$DQ$19,$D21,FALSE))</f>
        <v>-105600</v>
      </c>
      <c r="I21" s="14">
        <f>IF(ISNA(VLOOKUP(I$1,'peak-new'!$A$3:$DQ$19,$D21,FALSE)),0,VLOOKUP(I$1,'peak-new'!$A$3:$DQ$19,$D21,FALSE))</f>
        <v>-105600</v>
      </c>
      <c r="J21" s="14">
        <f>IF(ISNA(VLOOKUP(J$1,'peak-new'!$A$3:$DQ$19,$D21,FALSE)),0,VLOOKUP(J$1,'peak-new'!$A$3:$DQ$19,$D21,FALSE))</f>
        <v>0</v>
      </c>
      <c r="K21" s="14">
        <f>IF(ISNA(VLOOKUP(K$1,'peak-new'!$A$3:$DQ$19,$D21,FALSE)),0,VLOOKUP(K$1,'peak-new'!$A$3:$DQ$19,$D21,FALSE))</f>
        <v>17600</v>
      </c>
      <c r="L21" s="14">
        <f>IF(ISNA(VLOOKUP(L$1,'peak-new'!$A$3:$DQ$19,$D21,FALSE)),0,VLOOKUP(L$1,'peak-new'!$A$3:$DQ$19,$D21,FALSE))</f>
        <v>9152</v>
      </c>
      <c r="M21" s="14">
        <f>IF(ISNA(VLOOKUP(M$1,'peak-new'!$A$3:$DQ$19,$D21,FALSE)),0,VLOOKUP(M$1,'peak-new'!$A$3:$DQ$19,$D21,FALSE))</f>
        <v>968000</v>
      </c>
      <c r="N21" s="14">
        <f>IF(ISNA(VLOOKUP(N$1,'peak-new'!$A$3:$DQ$19,$D21,FALSE)),0,VLOOKUP(N$1,'peak-new'!$A$3:$DQ$19,$D21,FALSE))</f>
        <v>228800</v>
      </c>
      <c r="O21" s="14">
        <f>IF(ISNA(VLOOKUP(O$1,'peak-new'!$A$3:$DQ$19,$D21,FALSE)),0,VLOOKUP(O$1,'peak-new'!$A$3:$DQ$19,$D21,FALSE))</f>
        <v>123200</v>
      </c>
      <c r="P21" s="14">
        <f>IF(ISNA(VLOOKUP(P$1,'peak-new'!$A$3:$DQ$19,$D21,FALSE)),0,VLOOKUP(P$1,'peak-new'!$A$3:$DQ$19,$D21,FALSE))</f>
        <v>-17600</v>
      </c>
      <c r="Q21" s="15">
        <f>IF(ISNA(VLOOKUP(Q$1,'delta-new'!$A$3:$DQ$20,$D21,FALSE)),0,VLOOKUP(Q$1,'delta-new'!$A$3:$DQ$20,$D21,FALSE))</f>
        <v>0</v>
      </c>
      <c r="R21" s="14">
        <f>IF(ISNA(VLOOKUP(R$1,'peak-new'!$A$3:$DQ$19,$D21,FALSE)),0,VLOOKUP(R$1,'peak-new'!$A$3:$DQ$19,$D21,FALSE))</f>
        <v>-246400</v>
      </c>
      <c r="S21" s="10"/>
    </row>
    <row r="22" spans="1:19" s="8" customFormat="1" x14ac:dyDescent="0.2">
      <c r="A22" s="8">
        <f t="shared" si="2"/>
        <v>2002</v>
      </c>
      <c r="B22" s="8">
        <f t="shared" si="3"/>
        <v>8</v>
      </c>
      <c r="C22" s="9">
        <f t="shared" si="1"/>
        <v>37469</v>
      </c>
      <c r="D22" s="8">
        <f t="shared" si="4"/>
        <v>10</v>
      </c>
      <c r="E22" s="14">
        <f>IF(ISNA(VLOOKUP(E$1,'delta-new'!$A$3:$DQ$20,$D22,FALSE)),0,VLOOKUP(E$1,'delta-new'!$A$3:$DQ$20,$D22,FALSE))</f>
        <v>-530169.72</v>
      </c>
      <c r="F22" s="14">
        <f>IF(ISNA(VLOOKUP(F$1,'peak-new'!$A$3:$DQ$19,$D22,FALSE)),0,VLOOKUP(F$1,'peak-new'!$A$3:$DQ$19,$D22,FALSE))</f>
        <v>0</v>
      </c>
      <c r="G22" s="14">
        <f>IF(ISNA(VLOOKUP(G$1,'peak-new'!$A$3:$DQ$19,$D22,FALSE)),0,VLOOKUP(G$1,'peak-new'!$A$3:$DQ$19,$D22,FALSE))</f>
        <v>0</v>
      </c>
      <c r="H22" s="14">
        <f>IF(ISNA(VLOOKUP(H$1,'peak-new'!$A$3:$DQ$19,$D22,FALSE)),0,VLOOKUP(H$1,'peak-new'!$A$3:$DQ$19,$D22,FALSE))</f>
        <v>-105600</v>
      </c>
      <c r="I22" s="14">
        <f>IF(ISNA(VLOOKUP(I$1,'peak-new'!$A$3:$DQ$19,$D22,FALSE)),0,VLOOKUP(I$1,'peak-new'!$A$3:$DQ$19,$D22,FALSE))</f>
        <v>-105600</v>
      </c>
      <c r="J22" s="14">
        <f>IF(ISNA(VLOOKUP(J$1,'peak-new'!$A$3:$DQ$19,$D22,FALSE)),0,VLOOKUP(J$1,'peak-new'!$A$3:$DQ$19,$D22,FALSE))</f>
        <v>0</v>
      </c>
      <c r="K22" s="14">
        <f>IF(ISNA(VLOOKUP(K$1,'peak-new'!$A$3:$DQ$19,$D22,FALSE)),0,VLOOKUP(K$1,'peak-new'!$A$3:$DQ$19,$D22,FALSE))</f>
        <v>17600</v>
      </c>
      <c r="L22" s="14">
        <f>IF(ISNA(VLOOKUP(L$1,'peak-new'!$A$3:$DQ$19,$D22,FALSE)),0,VLOOKUP(L$1,'peak-new'!$A$3:$DQ$19,$D22,FALSE))</f>
        <v>9152</v>
      </c>
      <c r="M22" s="14">
        <f>IF(ISNA(VLOOKUP(M$1,'peak-new'!$A$3:$DQ$19,$D22,FALSE)),0,VLOOKUP(M$1,'peak-new'!$A$3:$DQ$19,$D22,FALSE))</f>
        <v>968000</v>
      </c>
      <c r="N22" s="14">
        <f>IF(ISNA(VLOOKUP(N$1,'peak-new'!$A$3:$DQ$19,$D22,FALSE)),0,VLOOKUP(N$1,'peak-new'!$A$3:$DQ$19,$D22,FALSE))</f>
        <v>228800</v>
      </c>
      <c r="O22" s="14">
        <f>IF(ISNA(VLOOKUP(O$1,'peak-new'!$A$3:$DQ$19,$D22,FALSE)),0,VLOOKUP(O$1,'peak-new'!$A$3:$DQ$19,$D22,FALSE))</f>
        <v>123200</v>
      </c>
      <c r="P22" s="14">
        <f>IF(ISNA(VLOOKUP(P$1,'peak-new'!$A$3:$DQ$19,$D22,FALSE)),0,VLOOKUP(P$1,'peak-new'!$A$3:$DQ$19,$D22,FALSE))</f>
        <v>-17600</v>
      </c>
      <c r="Q22" s="15">
        <f>IF(ISNA(VLOOKUP(Q$1,'delta-new'!$A$3:$DQ$20,$D22,FALSE)),0,VLOOKUP(Q$1,'delta-new'!$A$3:$DQ$20,$D22,FALSE))</f>
        <v>0</v>
      </c>
      <c r="R22" s="14">
        <f>IF(ISNA(VLOOKUP(R$1,'peak-new'!$A$3:$DQ$19,$D22,FALSE)),0,VLOOKUP(R$1,'peak-new'!$A$3:$DQ$19,$D22,FALSE))</f>
        <v>-246400</v>
      </c>
      <c r="S22" s="10"/>
    </row>
    <row r="23" spans="1:19" s="8" customFormat="1" x14ac:dyDescent="0.2">
      <c r="A23" s="8">
        <f t="shared" si="2"/>
        <v>2002</v>
      </c>
      <c r="B23" s="8">
        <f t="shared" si="3"/>
        <v>9</v>
      </c>
      <c r="C23" s="9">
        <f t="shared" si="1"/>
        <v>37500</v>
      </c>
      <c r="D23" s="8">
        <f t="shared" si="4"/>
        <v>11</v>
      </c>
      <c r="E23" s="14">
        <f>IF(ISNA(VLOOKUP(E$1,'delta-new'!$A$3:$DQ$20,$D23,FALSE)),0,VLOOKUP(E$1,'delta-new'!$A$3:$DQ$20,$D23,FALSE))</f>
        <v>-683178.33</v>
      </c>
      <c r="F23" s="14">
        <f>IF(ISNA(VLOOKUP(F$1,'peak-new'!$A$3:$DQ$19,$D23,FALSE)),0,VLOOKUP(F$1,'peak-new'!$A$3:$DQ$19,$D23,FALSE))</f>
        <v>0</v>
      </c>
      <c r="G23" s="14">
        <f>IF(ISNA(VLOOKUP(G$1,'peak-new'!$A$3:$DQ$19,$D23,FALSE)),0,VLOOKUP(G$1,'peak-new'!$A$3:$DQ$19,$D23,FALSE))</f>
        <v>0</v>
      </c>
      <c r="H23" s="14">
        <f>IF(ISNA(VLOOKUP(H$1,'peak-new'!$A$3:$DQ$19,$D23,FALSE)),0,VLOOKUP(H$1,'peak-new'!$A$3:$DQ$19,$D23,FALSE))</f>
        <v>160000</v>
      </c>
      <c r="I23" s="14">
        <f>IF(ISNA(VLOOKUP(I$1,'peak-new'!$A$3:$DQ$19,$D23,FALSE)),0,VLOOKUP(I$1,'peak-new'!$A$3:$DQ$19,$D23,FALSE))</f>
        <v>16000</v>
      </c>
      <c r="J23" s="14">
        <f>IF(ISNA(VLOOKUP(J$1,'peak-new'!$A$3:$DQ$19,$D23,FALSE)),0,VLOOKUP(J$1,'peak-new'!$A$3:$DQ$19,$D23,FALSE))</f>
        <v>0</v>
      </c>
      <c r="K23" s="14">
        <f>IF(ISNA(VLOOKUP(K$1,'peak-new'!$A$3:$DQ$19,$D23,FALSE)),0,VLOOKUP(K$1,'peak-new'!$A$3:$DQ$19,$D23,FALSE))</f>
        <v>0</v>
      </c>
      <c r="L23" s="14">
        <f>IF(ISNA(VLOOKUP(L$1,'peak-new'!$A$3:$DQ$19,$D23,FALSE)),0,VLOOKUP(L$1,'peak-new'!$A$3:$DQ$19,$D23,FALSE))</f>
        <v>8640</v>
      </c>
      <c r="M23" s="14">
        <f>IF(ISNA(VLOOKUP(M$1,'peak-new'!$A$3:$DQ$19,$D23,FALSE)),0,VLOOKUP(M$1,'peak-new'!$A$3:$DQ$19,$D23,FALSE))</f>
        <v>80000</v>
      </c>
      <c r="N23" s="14">
        <f>IF(ISNA(VLOOKUP(N$1,'peak-new'!$A$3:$DQ$19,$D23,FALSE)),0,VLOOKUP(N$1,'peak-new'!$A$3:$DQ$19,$D23,FALSE))</f>
        <v>48000</v>
      </c>
      <c r="O23" s="14">
        <f>IF(ISNA(VLOOKUP(O$1,'peak-new'!$A$3:$DQ$19,$D23,FALSE)),0,VLOOKUP(O$1,'peak-new'!$A$3:$DQ$19,$D23,FALSE))</f>
        <v>16000</v>
      </c>
      <c r="P23" s="14">
        <f>IF(ISNA(VLOOKUP(P$1,'peak-new'!$A$3:$DQ$19,$D23,FALSE)),0,VLOOKUP(P$1,'peak-new'!$A$3:$DQ$19,$D23,FALSE))</f>
        <v>0</v>
      </c>
      <c r="Q23" s="15">
        <f>IF(ISNA(VLOOKUP(Q$1,'delta-new'!$A$3:$DQ$20,$D23,FALSE)),0,VLOOKUP(Q$1,'delta-new'!$A$3:$DQ$20,$D23,FALSE))</f>
        <v>0</v>
      </c>
      <c r="R23" s="14">
        <f>IF(ISNA(VLOOKUP(R$1,'peak-new'!$A$3:$DQ$19,$D23,FALSE)),0,VLOOKUP(R$1,'peak-new'!$A$3:$DQ$19,$D23,FALSE))</f>
        <v>-16000</v>
      </c>
      <c r="S23" s="10"/>
    </row>
    <row r="24" spans="1:19" s="8" customFormat="1" x14ac:dyDescent="0.2">
      <c r="A24" s="8">
        <f t="shared" si="2"/>
        <v>2002</v>
      </c>
      <c r="B24" s="8">
        <f t="shared" si="3"/>
        <v>10</v>
      </c>
      <c r="C24" s="9">
        <f t="shared" si="1"/>
        <v>37530</v>
      </c>
      <c r="D24" s="8">
        <f t="shared" si="4"/>
        <v>12</v>
      </c>
      <c r="E24" s="14">
        <f>IF(ISNA(VLOOKUP(E$1,'delta-new'!$A$3:$DQ$20,$D24,FALSE)),0,VLOOKUP(E$1,'delta-new'!$A$3:$DQ$20,$D24,FALSE))</f>
        <v>-226834</v>
      </c>
      <c r="F24" s="14">
        <f>IF(ISNA(VLOOKUP(F$1,'peak-new'!$A$3:$DQ$19,$D24,FALSE)),0,VLOOKUP(F$1,'peak-new'!$A$3:$DQ$19,$D24,FALSE))</f>
        <v>0</v>
      </c>
      <c r="G24" s="14">
        <f>IF(ISNA(VLOOKUP(G$1,'peak-new'!$A$3:$DQ$19,$D24,FALSE)),0,VLOOKUP(G$1,'peak-new'!$A$3:$DQ$19,$D24,FALSE))</f>
        <v>0</v>
      </c>
      <c r="H24" s="14">
        <f>IF(ISNA(VLOOKUP(H$1,'peak-new'!$A$3:$DQ$19,$D24,FALSE)),0,VLOOKUP(H$1,'peak-new'!$A$3:$DQ$19,$D24,FALSE))</f>
        <v>92000</v>
      </c>
      <c r="I24" s="14">
        <f>IF(ISNA(VLOOKUP(I$1,'peak-new'!$A$3:$DQ$19,$D24,FALSE)),0,VLOOKUP(I$1,'peak-new'!$A$3:$DQ$19,$D24,FALSE))</f>
        <v>0</v>
      </c>
      <c r="J24" s="14">
        <f>IF(ISNA(VLOOKUP(J$1,'peak-new'!$A$3:$DQ$19,$D24,FALSE)),0,VLOOKUP(J$1,'peak-new'!$A$3:$DQ$19,$D24,FALSE))</f>
        <v>0</v>
      </c>
      <c r="K24" s="14">
        <f>IF(ISNA(VLOOKUP(K$1,'peak-new'!$A$3:$DQ$19,$D24,FALSE)),0,VLOOKUP(K$1,'peak-new'!$A$3:$DQ$19,$D24,FALSE))</f>
        <v>184000</v>
      </c>
      <c r="L24" s="14">
        <f>IF(ISNA(VLOOKUP(L$1,'peak-new'!$A$3:$DQ$19,$D24,FALSE)),0,VLOOKUP(L$1,'peak-new'!$A$3:$DQ$19,$D24,FALSE))</f>
        <v>9936</v>
      </c>
      <c r="M24" s="14">
        <f>IF(ISNA(VLOOKUP(M$1,'peak-new'!$A$3:$DQ$19,$D24,FALSE)),0,VLOOKUP(M$1,'peak-new'!$A$3:$DQ$19,$D24,FALSE))</f>
        <v>184000</v>
      </c>
      <c r="N24" s="14">
        <f>IF(ISNA(VLOOKUP(N$1,'peak-new'!$A$3:$DQ$19,$D24,FALSE)),0,VLOOKUP(N$1,'peak-new'!$A$3:$DQ$19,$D24,FALSE))</f>
        <v>220800</v>
      </c>
      <c r="O24" s="14">
        <f>IF(ISNA(VLOOKUP(O$1,'peak-new'!$A$3:$DQ$19,$D24,FALSE)),0,VLOOKUP(O$1,'peak-new'!$A$3:$DQ$19,$D24,FALSE))</f>
        <v>312800</v>
      </c>
      <c r="P24" s="14">
        <f>IF(ISNA(VLOOKUP(P$1,'peak-new'!$A$3:$DQ$19,$D24,FALSE)),0,VLOOKUP(P$1,'peak-new'!$A$3:$DQ$19,$D24,FALSE))</f>
        <v>0</v>
      </c>
      <c r="Q24" s="15">
        <f>IF(ISNA(VLOOKUP(Q$1,'delta-new'!$A$3:$DQ$20,$D24,FALSE)),0,VLOOKUP(Q$1,'delta-new'!$A$3:$DQ$20,$D24,FALSE))</f>
        <v>-35995.120000000003</v>
      </c>
      <c r="R24" s="14">
        <f>IF(ISNA(VLOOKUP(R$1,'peak-new'!$A$3:$DQ$19,$D24,FALSE)),0,VLOOKUP(R$1,'peak-new'!$A$3:$DQ$19,$D24,FALSE))</f>
        <v>0</v>
      </c>
      <c r="S24" s="10"/>
    </row>
    <row r="25" spans="1:19" s="8" customFormat="1" x14ac:dyDescent="0.2">
      <c r="A25" s="8">
        <f t="shared" si="2"/>
        <v>2002</v>
      </c>
      <c r="B25" s="8">
        <f t="shared" si="3"/>
        <v>11</v>
      </c>
      <c r="C25" s="9">
        <f t="shared" si="1"/>
        <v>37561</v>
      </c>
      <c r="D25" s="8">
        <f t="shared" si="4"/>
        <v>13</v>
      </c>
      <c r="E25" s="14">
        <f>IF(ISNA(VLOOKUP(E$1,'delta-new'!$A$3:$DQ$20,$D25,FALSE)),0,VLOOKUP(E$1,'delta-new'!$A$3:$DQ$20,$D25,FALSE))</f>
        <v>-196728.45</v>
      </c>
      <c r="F25" s="14">
        <f>IF(ISNA(VLOOKUP(F$1,'peak-new'!$A$3:$DQ$19,$D25,FALSE)),0,VLOOKUP(F$1,'peak-new'!$A$3:$DQ$19,$D25,FALSE))</f>
        <v>0</v>
      </c>
      <c r="G25" s="14">
        <f>IF(ISNA(VLOOKUP(G$1,'peak-new'!$A$3:$DQ$19,$D25,FALSE)),0,VLOOKUP(G$1,'peak-new'!$A$3:$DQ$19,$D25,FALSE))</f>
        <v>0</v>
      </c>
      <c r="H25" s="14">
        <f>IF(ISNA(VLOOKUP(H$1,'peak-new'!$A$3:$DQ$19,$D25,FALSE)),0,VLOOKUP(H$1,'peak-new'!$A$3:$DQ$19,$D25,FALSE))</f>
        <v>80000</v>
      </c>
      <c r="I25" s="14">
        <f>IF(ISNA(VLOOKUP(I$1,'peak-new'!$A$3:$DQ$19,$D25,FALSE)),0,VLOOKUP(I$1,'peak-new'!$A$3:$DQ$19,$D25,FALSE))</f>
        <v>0</v>
      </c>
      <c r="J25" s="14">
        <f>IF(ISNA(VLOOKUP(J$1,'peak-new'!$A$3:$DQ$19,$D25,FALSE)),0,VLOOKUP(J$1,'peak-new'!$A$3:$DQ$19,$D25,FALSE))</f>
        <v>0</v>
      </c>
      <c r="K25" s="14">
        <f>IF(ISNA(VLOOKUP(K$1,'peak-new'!$A$3:$DQ$19,$D25,FALSE)),0,VLOOKUP(K$1,'peak-new'!$A$3:$DQ$19,$D25,FALSE))</f>
        <v>160000</v>
      </c>
      <c r="L25" s="14">
        <f>IF(ISNA(VLOOKUP(L$1,'peak-new'!$A$3:$DQ$19,$D25,FALSE)),0,VLOOKUP(L$1,'peak-new'!$A$3:$DQ$19,$D25,FALSE))</f>
        <v>8640</v>
      </c>
      <c r="M25" s="14">
        <f>IF(ISNA(VLOOKUP(M$1,'peak-new'!$A$3:$DQ$19,$D25,FALSE)),0,VLOOKUP(M$1,'peak-new'!$A$3:$DQ$19,$D25,FALSE))</f>
        <v>160000</v>
      </c>
      <c r="N25" s="14">
        <f>IF(ISNA(VLOOKUP(N$1,'peak-new'!$A$3:$DQ$19,$D25,FALSE)),0,VLOOKUP(N$1,'peak-new'!$A$3:$DQ$19,$D25,FALSE))</f>
        <v>192000</v>
      </c>
      <c r="O25" s="14">
        <f>IF(ISNA(VLOOKUP(O$1,'peak-new'!$A$3:$DQ$19,$D25,FALSE)),0,VLOOKUP(O$1,'peak-new'!$A$3:$DQ$19,$D25,FALSE))</f>
        <v>272000</v>
      </c>
      <c r="P25" s="14">
        <f>IF(ISNA(VLOOKUP(P$1,'peak-new'!$A$3:$DQ$19,$D25,FALSE)),0,VLOOKUP(P$1,'peak-new'!$A$3:$DQ$19,$D25,FALSE))</f>
        <v>0</v>
      </c>
      <c r="Q25" s="15">
        <f>IF(ISNA(VLOOKUP(Q$1,'delta-new'!$A$3:$DQ$20,$D25,FALSE)),0,VLOOKUP(Q$1,'delta-new'!$A$3:$DQ$20,$D25,FALSE))</f>
        <v>-31217.42</v>
      </c>
      <c r="R25" s="14">
        <f>IF(ISNA(VLOOKUP(R$1,'peak-new'!$A$3:$DQ$19,$D25,FALSE)),0,VLOOKUP(R$1,'peak-new'!$A$3:$DQ$19,$D25,FALSE))</f>
        <v>0</v>
      </c>
      <c r="S25" s="10"/>
    </row>
    <row r="26" spans="1:19" s="8" customFormat="1" x14ac:dyDescent="0.2">
      <c r="A26" s="8">
        <f t="shared" si="2"/>
        <v>2002</v>
      </c>
      <c r="B26" s="8">
        <f t="shared" si="3"/>
        <v>12</v>
      </c>
      <c r="C26" s="9">
        <f t="shared" si="1"/>
        <v>37591</v>
      </c>
      <c r="D26" s="8">
        <f t="shared" si="4"/>
        <v>14</v>
      </c>
      <c r="E26" s="14">
        <f>IF(ISNA(VLOOKUP(E$1,'delta-new'!$A$3:$DQ$20,$D26,FALSE)),0,VLOOKUP(E$1,'delta-new'!$A$3:$DQ$20,$D26,FALSE))</f>
        <v>-205959.56</v>
      </c>
      <c r="F26" s="14">
        <f>IF(ISNA(VLOOKUP(F$1,'peak-new'!$A$3:$DQ$19,$D26,FALSE)),0,VLOOKUP(F$1,'peak-new'!$A$3:$DQ$19,$D26,FALSE))</f>
        <v>0</v>
      </c>
      <c r="G26" s="14">
        <f>IF(ISNA(VLOOKUP(G$1,'peak-new'!$A$3:$DQ$19,$D26,FALSE)),0,VLOOKUP(G$1,'peak-new'!$A$3:$DQ$19,$D26,FALSE))</f>
        <v>0</v>
      </c>
      <c r="H26" s="14">
        <f>IF(ISNA(VLOOKUP(H$1,'peak-new'!$A$3:$DQ$19,$D26,FALSE)),0,VLOOKUP(H$1,'peak-new'!$A$3:$DQ$19,$D26,FALSE))</f>
        <v>84000</v>
      </c>
      <c r="I26" s="14">
        <f>IF(ISNA(VLOOKUP(I$1,'peak-new'!$A$3:$DQ$19,$D26,FALSE)),0,VLOOKUP(I$1,'peak-new'!$A$3:$DQ$19,$D26,FALSE))</f>
        <v>0</v>
      </c>
      <c r="J26" s="14">
        <f>IF(ISNA(VLOOKUP(J$1,'peak-new'!$A$3:$DQ$19,$D26,FALSE)),0,VLOOKUP(J$1,'peak-new'!$A$3:$DQ$19,$D26,FALSE))</f>
        <v>0</v>
      </c>
      <c r="K26" s="14">
        <f>IF(ISNA(VLOOKUP(K$1,'peak-new'!$A$3:$DQ$19,$D26,FALSE)),0,VLOOKUP(K$1,'peak-new'!$A$3:$DQ$19,$D26,FALSE))</f>
        <v>168000</v>
      </c>
      <c r="L26" s="14">
        <f>IF(ISNA(VLOOKUP(L$1,'peak-new'!$A$3:$DQ$19,$D26,FALSE)),0,VLOOKUP(L$1,'peak-new'!$A$3:$DQ$19,$D26,FALSE))</f>
        <v>9072</v>
      </c>
      <c r="M26" s="14">
        <f>IF(ISNA(VLOOKUP(M$1,'peak-new'!$A$3:$DQ$19,$D26,FALSE)),0,VLOOKUP(M$1,'peak-new'!$A$3:$DQ$19,$D26,FALSE))</f>
        <v>168000</v>
      </c>
      <c r="N26" s="14">
        <f>IF(ISNA(VLOOKUP(N$1,'peak-new'!$A$3:$DQ$19,$D26,FALSE)),0,VLOOKUP(N$1,'peak-new'!$A$3:$DQ$19,$D26,FALSE))</f>
        <v>201600</v>
      </c>
      <c r="O26" s="14">
        <f>IF(ISNA(VLOOKUP(O$1,'peak-new'!$A$3:$DQ$19,$D26,FALSE)),0,VLOOKUP(O$1,'peak-new'!$A$3:$DQ$19,$D26,FALSE))</f>
        <v>285600</v>
      </c>
      <c r="P26" s="14">
        <f>IF(ISNA(VLOOKUP(P$1,'peak-new'!$A$3:$DQ$19,$D26,FALSE)),0,VLOOKUP(P$1,'peak-new'!$A$3:$DQ$19,$D26,FALSE))</f>
        <v>0</v>
      </c>
      <c r="Q26" s="15">
        <f>IF(ISNA(VLOOKUP(Q$1,'delta-new'!$A$3:$DQ$20,$D26,FALSE)),0,VLOOKUP(Q$1,'delta-new'!$A$3:$DQ$20,$D26,FALSE))</f>
        <v>-32682.5</v>
      </c>
      <c r="R26" s="14">
        <f>IF(ISNA(VLOOKUP(R$1,'peak-new'!$A$3:$DQ$19,$D26,FALSE)),0,VLOOKUP(R$1,'peak-new'!$A$3:$DQ$19,$D26,FALSE))</f>
        <v>0</v>
      </c>
      <c r="S26" s="10"/>
    </row>
    <row r="27" spans="1:19" s="8" customFormat="1" x14ac:dyDescent="0.2">
      <c r="A27" s="8">
        <f t="shared" si="2"/>
        <v>2003</v>
      </c>
      <c r="B27" s="8">
        <f t="shared" si="3"/>
        <v>1</v>
      </c>
      <c r="C27" s="9">
        <f t="shared" si="1"/>
        <v>37622</v>
      </c>
      <c r="D27" s="8">
        <f t="shared" si="4"/>
        <v>15</v>
      </c>
      <c r="E27" s="14">
        <f>IF(ISNA(VLOOKUP(E$1,'delta-new'!$A$3:$DQ$20,$D27,FALSE)),0,VLOOKUP(E$1,'delta-new'!$A$3:$DQ$20,$D27,FALSE))</f>
        <v>-196947.37</v>
      </c>
      <c r="F27" s="14">
        <f>IF(ISNA(VLOOKUP(F$1,'peak-new'!$A$3:$DQ$19,$D27,FALSE)),0,VLOOKUP(F$1,'peak-new'!$A$3:$DQ$19,$D27,FALSE))</f>
        <v>0</v>
      </c>
      <c r="G27" s="14">
        <f>IF(ISNA(VLOOKUP(G$1,'peak-new'!$A$3:$DQ$19,$D27,FALSE)),0,VLOOKUP(G$1,'peak-new'!$A$3:$DQ$19,$D27,FALSE))</f>
        <v>0</v>
      </c>
      <c r="H27" s="14">
        <f>IF(ISNA(VLOOKUP(H$1,'peak-new'!$A$3:$DQ$19,$D27,FALSE)),0,VLOOKUP(H$1,'peak-new'!$A$3:$DQ$19,$D27,FALSE))</f>
        <v>-334400</v>
      </c>
      <c r="I27" s="14">
        <f>IF(ISNA(VLOOKUP(I$1,'peak-new'!$A$3:$DQ$19,$D27,FALSE)),0,VLOOKUP(I$1,'peak-new'!$A$3:$DQ$19,$D27,FALSE))</f>
        <v>-17600</v>
      </c>
      <c r="J27" s="14">
        <f>IF(ISNA(VLOOKUP(J$1,'peak-new'!$A$3:$DQ$19,$D27,FALSE)),0,VLOOKUP(J$1,'peak-new'!$A$3:$DQ$19,$D27,FALSE))</f>
        <v>0</v>
      </c>
      <c r="K27" s="14">
        <f>IF(ISNA(VLOOKUP(K$1,'peak-new'!$A$3:$DQ$19,$D27,FALSE)),0,VLOOKUP(K$1,'peak-new'!$A$3:$DQ$19,$D27,FALSE))</f>
        <v>-17600</v>
      </c>
      <c r="L27" s="14">
        <f>IF(ISNA(VLOOKUP(L$1,'peak-new'!$A$3:$DQ$19,$D27,FALSE)),0,VLOOKUP(L$1,'peak-new'!$A$3:$DQ$19,$D27,FALSE))</f>
        <v>9504</v>
      </c>
      <c r="M27" s="14">
        <f>IF(ISNA(VLOOKUP(M$1,'peak-new'!$A$3:$DQ$19,$D27,FALSE)),0,VLOOKUP(M$1,'peak-new'!$A$3:$DQ$19,$D27,FALSE))</f>
        <v>88000</v>
      </c>
      <c r="N27" s="14">
        <f>IF(ISNA(VLOOKUP(N$1,'peak-new'!$A$3:$DQ$19,$D27,FALSE)),0,VLOOKUP(N$1,'peak-new'!$A$3:$DQ$19,$D27,FALSE))</f>
        <v>0</v>
      </c>
      <c r="O27" s="14">
        <f>IF(ISNA(VLOOKUP(O$1,'peak-new'!$A$3:$DQ$19,$D27,FALSE)),0,VLOOKUP(O$1,'peak-new'!$A$3:$DQ$19,$D27,FALSE))</f>
        <v>17600</v>
      </c>
      <c r="P27" s="14">
        <f>IF(ISNA(VLOOKUP(P$1,'peak-new'!$A$3:$DQ$19,$D27,FALSE)),0,VLOOKUP(P$1,'peak-new'!$A$3:$DQ$19,$D27,FALSE))</f>
        <v>0</v>
      </c>
      <c r="Q27" s="15">
        <f>IF(ISNA(VLOOKUP(Q$1,'delta-new'!$A$3:$DQ$20,$D27,FALSE)),0,VLOOKUP(Q$1,'delta-new'!$A$3:$DQ$20,$D27,FALSE))</f>
        <v>51199.49</v>
      </c>
      <c r="R27" s="14">
        <f>IF(ISNA(VLOOKUP(R$1,'peak-new'!$A$3:$DQ$19,$D27,FALSE)),0,VLOOKUP(R$1,'peak-new'!$A$3:$DQ$19,$D27,FALSE))</f>
        <v>0</v>
      </c>
      <c r="S27" s="10"/>
    </row>
    <row r="28" spans="1:19" s="8" customFormat="1" x14ac:dyDescent="0.2">
      <c r="A28" s="8">
        <f t="shared" si="2"/>
        <v>2003</v>
      </c>
      <c r="B28" s="8">
        <f t="shared" si="3"/>
        <v>2</v>
      </c>
      <c r="C28" s="9">
        <f t="shared" si="1"/>
        <v>37653</v>
      </c>
      <c r="D28" s="8">
        <f t="shared" si="4"/>
        <v>16</v>
      </c>
      <c r="E28" s="14">
        <f>IF(ISNA(VLOOKUP(E$1,'delta-new'!$A$3:$DQ$20,$D28,FALSE)),0,VLOOKUP(E$1,'delta-new'!$A$3:$DQ$20,$D28,FALSE))</f>
        <v>-178521.43</v>
      </c>
      <c r="F28" s="14">
        <f>IF(ISNA(VLOOKUP(F$1,'peak-new'!$A$3:$DQ$19,$D28,FALSE)),0,VLOOKUP(F$1,'peak-new'!$A$3:$DQ$19,$D28,FALSE))</f>
        <v>0</v>
      </c>
      <c r="G28" s="14">
        <f>IF(ISNA(VLOOKUP(G$1,'peak-new'!$A$3:$DQ$19,$D28,FALSE)),0,VLOOKUP(G$1,'peak-new'!$A$3:$DQ$19,$D28,FALSE))</f>
        <v>0</v>
      </c>
      <c r="H28" s="14">
        <f>IF(ISNA(VLOOKUP(H$1,'peak-new'!$A$3:$DQ$19,$D28,FALSE)),0,VLOOKUP(H$1,'peak-new'!$A$3:$DQ$19,$D28,FALSE))</f>
        <v>-304000</v>
      </c>
      <c r="I28" s="14">
        <f>IF(ISNA(VLOOKUP(I$1,'peak-new'!$A$3:$DQ$19,$D28,FALSE)),0,VLOOKUP(I$1,'peak-new'!$A$3:$DQ$19,$D28,FALSE))</f>
        <v>-16000</v>
      </c>
      <c r="J28" s="14">
        <f>IF(ISNA(VLOOKUP(J$1,'peak-new'!$A$3:$DQ$19,$D28,FALSE)),0,VLOOKUP(J$1,'peak-new'!$A$3:$DQ$19,$D28,FALSE))</f>
        <v>0</v>
      </c>
      <c r="K28" s="14">
        <f>IF(ISNA(VLOOKUP(K$1,'peak-new'!$A$3:$DQ$19,$D28,FALSE)),0,VLOOKUP(K$1,'peak-new'!$A$3:$DQ$19,$D28,FALSE))</f>
        <v>-16000</v>
      </c>
      <c r="L28" s="14">
        <f>IF(ISNA(VLOOKUP(L$1,'peak-new'!$A$3:$DQ$19,$D28,FALSE)),0,VLOOKUP(L$1,'peak-new'!$A$3:$DQ$19,$D28,FALSE))</f>
        <v>8640</v>
      </c>
      <c r="M28" s="14">
        <f>IF(ISNA(VLOOKUP(M$1,'peak-new'!$A$3:$DQ$19,$D28,FALSE)),0,VLOOKUP(M$1,'peak-new'!$A$3:$DQ$19,$D28,FALSE))</f>
        <v>80000</v>
      </c>
      <c r="N28" s="14">
        <f>IF(ISNA(VLOOKUP(N$1,'peak-new'!$A$3:$DQ$19,$D28,FALSE)),0,VLOOKUP(N$1,'peak-new'!$A$3:$DQ$19,$D28,FALSE))</f>
        <v>0</v>
      </c>
      <c r="O28" s="14">
        <f>IF(ISNA(VLOOKUP(O$1,'peak-new'!$A$3:$DQ$19,$D28,FALSE)),0,VLOOKUP(O$1,'peak-new'!$A$3:$DQ$19,$D28,FALSE))</f>
        <v>16000</v>
      </c>
      <c r="P28" s="14">
        <f>IF(ISNA(VLOOKUP(P$1,'peak-new'!$A$3:$DQ$19,$D28,FALSE)),0,VLOOKUP(P$1,'peak-new'!$A$3:$DQ$19,$D28,FALSE))</f>
        <v>0</v>
      </c>
      <c r="Q28" s="15">
        <f>IF(ISNA(VLOOKUP(Q$1,'delta-new'!$A$3:$DQ$20,$D28,FALSE)),0,VLOOKUP(Q$1,'delta-new'!$A$3:$DQ$20,$D28,FALSE))</f>
        <v>46409.38</v>
      </c>
      <c r="R28" s="14">
        <f>IF(ISNA(VLOOKUP(R$1,'peak-new'!$A$3:$DQ$19,$D28,FALSE)),0,VLOOKUP(R$1,'peak-new'!$A$3:$DQ$19,$D28,FALSE))</f>
        <v>0</v>
      </c>
      <c r="S28" s="10"/>
    </row>
    <row r="29" spans="1:19" s="8" customFormat="1" x14ac:dyDescent="0.2">
      <c r="A29" s="8">
        <f t="shared" si="2"/>
        <v>2003</v>
      </c>
      <c r="B29" s="8">
        <f t="shared" si="3"/>
        <v>3</v>
      </c>
      <c r="C29" s="9">
        <f t="shared" si="1"/>
        <v>37681</v>
      </c>
      <c r="D29" s="8">
        <f t="shared" si="4"/>
        <v>17</v>
      </c>
      <c r="E29" s="14">
        <f>IF(ISNA(VLOOKUP(E$1,'delta-new'!$A$3:$DQ$20,$D29,FALSE)),0,VLOOKUP(E$1,'delta-new'!$A$3:$DQ$20,$D29,FALSE))</f>
        <v>-154441.88</v>
      </c>
      <c r="F29" s="14">
        <f>IF(ISNA(VLOOKUP(F$1,'peak-new'!$A$3:$DQ$19,$D29,FALSE)),0,VLOOKUP(F$1,'peak-new'!$A$3:$DQ$19,$D29,FALSE))</f>
        <v>0</v>
      </c>
      <c r="G29" s="14">
        <f>IF(ISNA(VLOOKUP(G$1,'peak-new'!$A$3:$DQ$19,$D29,FALSE)),0,VLOOKUP(G$1,'peak-new'!$A$3:$DQ$19,$D29,FALSE))</f>
        <v>0</v>
      </c>
      <c r="H29" s="14">
        <f>IF(ISNA(VLOOKUP(H$1,'peak-new'!$A$3:$DQ$19,$D29,FALSE)),0,VLOOKUP(H$1,'peak-new'!$A$3:$DQ$19,$D29,FALSE))</f>
        <v>-252000</v>
      </c>
      <c r="I29" s="14">
        <f>IF(ISNA(VLOOKUP(I$1,'peak-new'!$A$3:$DQ$19,$D29,FALSE)),0,VLOOKUP(I$1,'peak-new'!$A$3:$DQ$19,$D29,FALSE))</f>
        <v>-16800</v>
      </c>
      <c r="J29" s="14">
        <f>IF(ISNA(VLOOKUP(J$1,'peak-new'!$A$3:$DQ$19,$D29,FALSE)),0,VLOOKUP(J$1,'peak-new'!$A$3:$DQ$19,$D29,FALSE))</f>
        <v>0</v>
      </c>
      <c r="K29" s="14">
        <f>IF(ISNA(VLOOKUP(K$1,'peak-new'!$A$3:$DQ$19,$D29,FALSE)),0,VLOOKUP(K$1,'peak-new'!$A$3:$DQ$19,$D29,FALSE))</f>
        <v>-16800</v>
      </c>
      <c r="L29" s="14">
        <f>IF(ISNA(VLOOKUP(L$1,'peak-new'!$A$3:$DQ$19,$D29,FALSE)),0,VLOOKUP(L$1,'peak-new'!$A$3:$DQ$19,$D29,FALSE))</f>
        <v>9072</v>
      </c>
      <c r="M29" s="14">
        <f>IF(ISNA(VLOOKUP(M$1,'peak-new'!$A$3:$DQ$19,$D29,FALSE)),0,VLOOKUP(M$1,'peak-new'!$A$3:$DQ$19,$D29,FALSE))</f>
        <v>84000</v>
      </c>
      <c r="N29" s="14">
        <f>IF(ISNA(VLOOKUP(N$1,'peak-new'!$A$3:$DQ$19,$D29,FALSE)),0,VLOOKUP(N$1,'peak-new'!$A$3:$DQ$19,$D29,FALSE))</f>
        <v>0</v>
      </c>
      <c r="O29" s="14">
        <f>IF(ISNA(VLOOKUP(O$1,'peak-new'!$A$3:$DQ$19,$D29,FALSE)),0,VLOOKUP(O$1,'peak-new'!$A$3:$DQ$19,$D29,FALSE))</f>
        <v>16800</v>
      </c>
      <c r="P29" s="14">
        <f>IF(ISNA(VLOOKUP(P$1,'peak-new'!$A$3:$DQ$19,$D29,FALSE)),0,VLOOKUP(P$1,'peak-new'!$A$3:$DQ$19,$D29,FALSE))</f>
        <v>0</v>
      </c>
      <c r="Q29" s="15">
        <f>IF(ISNA(VLOOKUP(Q$1,'delta-new'!$A$3:$DQ$20,$D29,FALSE)),0,VLOOKUP(Q$1,'delta-new'!$A$3:$DQ$20,$D29,FALSE))</f>
        <v>97133.26</v>
      </c>
      <c r="R29" s="14">
        <f>IF(ISNA(VLOOKUP(R$1,'peak-new'!$A$3:$DQ$19,$D29,FALSE)),0,VLOOKUP(R$1,'peak-new'!$A$3:$DQ$19,$D29,FALSE))</f>
        <v>117600</v>
      </c>
      <c r="S29" s="10"/>
    </row>
    <row r="30" spans="1:19" s="8" customFormat="1" x14ac:dyDescent="0.2">
      <c r="A30" s="8">
        <f t="shared" si="2"/>
        <v>2003</v>
      </c>
      <c r="B30" s="8">
        <f t="shared" si="3"/>
        <v>4</v>
      </c>
      <c r="C30" s="9">
        <f t="shared" si="1"/>
        <v>37712</v>
      </c>
      <c r="D30" s="8">
        <f t="shared" si="4"/>
        <v>18</v>
      </c>
      <c r="E30" s="14">
        <f>IF(ISNA(VLOOKUP(E$1,'delta-new'!$A$3:$DQ$20,$D30,FALSE)),0,VLOOKUP(E$1,'delta-new'!$A$3:$DQ$20,$D30,FALSE))</f>
        <v>-161251.29999999999</v>
      </c>
      <c r="F30" s="14">
        <f>IF(ISNA(VLOOKUP(F$1,'peak-new'!$A$3:$DQ$19,$D30,FALSE)),0,VLOOKUP(F$1,'peak-new'!$A$3:$DQ$19,$D30,FALSE))</f>
        <v>0</v>
      </c>
      <c r="G30" s="14">
        <f>IF(ISNA(VLOOKUP(G$1,'peak-new'!$A$3:$DQ$19,$D30,FALSE)),0,VLOOKUP(G$1,'peak-new'!$A$3:$DQ$19,$D30,FALSE))</f>
        <v>0</v>
      </c>
      <c r="H30" s="14">
        <f>IF(ISNA(VLOOKUP(H$1,'peak-new'!$A$3:$DQ$19,$D30,FALSE)),0,VLOOKUP(H$1,'peak-new'!$A$3:$DQ$19,$D30,FALSE))</f>
        <v>-264000</v>
      </c>
      <c r="I30" s="14">
        <f>IF(ISNA(VLOOKUP(I$1,'peak-new'!$A$3:$DQ$19,$D30,FALSE)),0,VLOOKUP(I$1,'peak-new'!$A$3:$DQ$19,$D30,FALSE))</f>
        <v>-17600</v>
      </c>
      <c r="J30" s="14">
        <f>IF(ISNA(VLOOKUP(J$1,'peak-new'!$A$3:$DQ$19,$D30,FALSE)),0,VLOOKUP(J$1,'peak-new'!$A$3:$DQ$19,$D30,FALSE))</f>
        <v>0</v>
      </c>
      <c r="K30" s="14">
        <f>IF(ISNA(VLOOKUP(K$1,'peak-new'!$A$3:$DQ$19,$D30,FALSE)),0,VLOOKUP(K$1,'peak-new'!$A$3:$DQ$19,$D30,FALSE))</f>
        <v>-17600</v>
      </c>
      <c r="L30" s="14">
        <f>IF(ISNA(VLOOKUP(L$1,'peak-new'!$A$3:$DQ$19,$D30,FALSE)),0,VLOOKUP(L$1,'peak-new'!$A$3:$DQ$19,$D30,FALSE))</f>
        <v>9504</v>
      </c>
      <c r="M30" s="14">
        <f>IF(ISNA(VLOOKUP(M$1,'peak-new'!$A$3:$DQ$19,$D30,FALSE)),0,VLOOKUP(M$1,'peak-new'!$A$3:$DQ$19,$D30,FALSE))</f>
        <v>88000</v>
      </c>
      <c r="N30" s="14">
        <f>IF(ISNA(VLOOKUP(N$1,'peak-new'!$A$3:$DQ$19,$D30,FALSE)),0,VLOOKUP(N$1,'peak-new'!$A$3:$DQ$19,$D30,FALSE))</f>
        <v>0</v>
      </c>
      <c r="O30" s="14">
        <f>IF(ISNA(VLOOKUP(O$1,'peak-new'!$A$3:$DQ$19,$D30,FALSE)),0,VLOOKUP(O$1,'peak-new'!$A$3:$DQ$19,$D30,FALSE))</f>
        <v>17600</v>
      </c>
      <c r="P30" s="14">
        <f>IF(ISNA(VLOOKUP(P$1,'peak-new'!$A$3:$DQ$19,$D30,FALSE)),0,VLOOKUP(P$1,'peak-new'!$A$3:$DQ$19,$D30,FALSE))</f>
        <v>0</v>
      </c>
      <c r="Q30" s="15">
        <f>IF(ISNA(VLOOKUP(Q$1,'delta-new'!$A$3:$DQ$20,$D30,FALSE)),0,VLOOKUP(Q$1,'delta-new'!$A$3:$DQ$20,$D30,FALSE))</f>
        <v>101415.91</v>
      </c>
      <c r="R30" s="14">
        <f>IF(ISNA(VLOOKUP(R$1,'peak-new'!$A$3:$DQ$19,$D30,FALSE)),0,VLOOKUP(R$1,'peak-new'!$A$3:$DQ$19,$D30,FALSE))</f>
        <v>123200</v>
      </c>
      <c r="S30" s="10"/>
    </row>
    <row r="31" spans="1:19" s="8" customFormat="1" x14ac:dyDescent="0.2">
      <c r="A31" s="8">
        <f t="shared" si="2"/>
        <v>2003</v>
      </c>
      <c r="B31" s="8">
        <f t="shared" si="3"/>
        <v>5</v>
      </c>
      <c r="C31" s="9">
        <f t="shared" si="1"/>
        <v>37742</v>
      </c>
      <c r="D31" s="8">
        <f t="shared" si="4"/>
        <v>19</v>
      </c>
      <c r="E31" s="14">
        <f>IF(ISNA(VLOOKUP(E$1,'delta-new'!$A$3:$DQ$20,$D31,FALSE)),0,VLOOKUP(E$1,'delta-new'!$A$3:$DQ$20,$D31,FALSE))</f>
        <v>-245805.15</v>
      </c>
      <c r="F31" s="14">
        <f>IF(ISNA(VLOOKUP(F$1,'peak-new'!$A$3:$DQ$19,$D31,FALSE)),0,VLOOKUP(F$1,'peak-new'!$A$3:$DQ$19,$D31,FALSE))</f>
        <v>0</v>
      </c>
      <c r="G31" s="14">
        <f>IF(ISNA(VLOOKUP(G$1,'peak-new'!$A$3:$DQ$19,$D31,FALSE)),0,VLOOKUP(G$1,'peak-new'!$A$3:$DQ$19,$D31,FALSE))</f>
        <v>0</v>
      </c>
      <c r="H31" s="14">
        <f>IF(ISNA(VLOOKUP(H$1,'peak-new'!$A$3:$DQ$19,$D31,FALSE)),0,VLOOKUP(H$1,'peak-new'!$A$3:$DQ$19,$D31,FALSE))</f>
        <v>-252000</v>
      </c>
      <c r="I31" s="14">
        <f>IF(ISNA(VLOOKUP(I$1,'peak-new'!$A$3:$DQ$19,$D31,FALSE)),0,VLOOKUP(I$1,'peak-new'!$A$3:$DQ$19,$D31,FALSE))</f>
        <v>-33600</v>
      </c>
      <c r="J31" s="14">
        <f>IF(ISNA(VLOOKUP(J$1,'peak-new'!$A$3:$DQ$19,$D31,FALSE)),0,VLOOKUP(J$1,'peak-new'!$A$3:$DQ$19,$D31,FALSE))</f>
        <v>0</v>
      </c>
      <c r="K31" s="14">
        <f>IF(ISNA(VLOOKUP(K$1,'peak-new'!$A$3:$DQ$19,$D31,FALSE)),0,VLOOKUP(K$1,'peak-new'!$A$3:$DQ$19,$D31,FALSE))</f>
        <v>-16800</v>
      </c>
      <c r="L31" s="14">
        <f>IF(ISNA(VLOOKUP(L$1,'peak-new'!$A$3:$DQ$19,$D31,FALSE)),0,VLOOKUP(L$1,'peak-new'!$A$3:$DQ$19,$D31,FALSE))</f>
        <v>9072</v>
      </c>
      <c r="M31" s="14">
        <f>IF(ISNA(VLOOKUP(M$1,'peak-new'!$A$3:$DQ$19,$D31,FALSE)),0,VLOOKUP(M$1,'peak-new'!$A$3:$DQ$19,$D31,FALSE))</f>
        <v>84000</v>
      </c>
      <c r="N31" s="14">
        <f>IF(ISNA(VLOOKUP(N$1,'peak-new'!$A$3:$DQ$19,$D31,FALSE)),0,VLOOKUP(N$1,'peak-new'!$A$3:$DQ$19,$D31,FALSE))</f>
        <v>0</v>
      </c>
      <c r="O31" s="14">
        <f>IF(ISNA(VLOOKUP(O$1,'peak-new'!$A$3:$DQ$19,$D31,FALSE)),0,VLOOKUP(O$1,'peak-new'!$A$3:$DQ$19,$D31,FALSE))</f>
        <v>16800</v>
      </c>
      <c r="P31" s="14">
        <f>IF(ISNA(VLOOKUP(P$1,'peak-new'!$A$3:$DQ$19,$D31,FALSE)),0,VLOOKUP(P$1,'peak-new'!$A$3:$DQ$19,$D31,FALSE))</f>
        <v>0</v>
      </c>
      <c r="Q31" s="15">
        <f>IF(ISNA(VLOOKUP(Q$1,'delta-new'!$A$3:$DQ$20,$D31,FALSE)),0,VLOOKUP(Q$1,'delta-new'!$A$3:$DQ$20,$D31,FALSE))</f>
        <v>-16076.2</v>
      </c>
      <c r="R31" s="14">
        <f>IF(ISNA(VLOOKUP(R$1,'peak-new'!$A$3:$DQ$19,$D31,FALSE)),0,VLOOKUP(R$1,'peak-new'!$A$3:$DQ$19,$D31,FALSE))</f>
        <v>168000</v>
      </c>
      <c r="S31" s="10"/>
    </row>
    <row r="32" spans="1:19" s="8" customFormat="1" x14ac:dyDescent="0.2">
      <c r="A32" s="8">
        <f t="shared" si="2"/>
        <v>2003</v>
      </c>
      <c r="B32" s="8">
        <f t="shared" si="3"/>
        <v>6</v>
      </c>
      <c r="C32" s="9">
        <f t="shared" si="1"/>
        <v>37773</v>
      </c>
      <c r="D32" s="8">
        <f t="shared" si="4"/>
        <v>20</v>
      </c>
      <c r="E32" s="14">
        <f>IF(ISNA(VLOOKUP(E$1,'delta-new'!$A$3:$DQ$20,$D32,FALSE)),0,VLOOKUP(E$1,'delta-new'!$A$3:$DQ$20,$D32,FALSE))</f>
        <v>-184853.1</v>
      </c>
      <c r="F32" s="14">
        <f>IF(ISNA(VLOOKUP(F$1,'peak-new'!$A$3:$DQ$19,$D32,FALSE)),0,VLOOKUP(F$1,'peak-new'!$A$3:$DQ$19,$D32,FALSE))</f>
        <v>0</v>
      </c>
      <c r="G32" s="14">
        <f>IF(ISNA(VLOOKUP(G$1,'peak-new'!$A$3:$DQ$19,$D32,FALSE)),0,VLOOKUP(G$1,'peak-new'!$A$3:$DQ$19,$D32,FALSE))</f>
        <v>0</v>
      </c>
      <c r="H32" s="14">
        <f>IF(ISNA(VLOOKUP(H$1,'peak-new'!$A$3:$DQ$19,$D32,FALSE)),0,VLOOKUP(H$1,'peak-new'!$A$3:$DQ$19,$D32,FALSE))</f>
        <v>-252000</v>
      </c>
      <c r="I32" s="14">
        <f>IF(ISNA(VLOOKUP(I$1,'peak-new'!$A$3:$DQ$19,$D32,FALSE)),0,VLOOKUP(I$1,'peak-new'!$A$3:$DQ$19,$D32,FALSE))</f>
        <v>16800</v>
      </c>
      <c r="J32" s="14">
        <f>IF(ISNA(VLOOKUP(J$1,'peak-new'!$A$3:$DQ$19,$D32,FALSE)),0,VLOOKUP(J$1,'peak-new'!$A$3:$DQ$19,$D32,FALSE))</f>
        <v>0</v>
      </c>
      <c r="K32" s="14">
        <f>IF(ISNA(VLOOKUP(K$1,'peak-new'!$A$3:$DQ$19,$D32,FALSE)),0,VLOOKUP(K$1,'peak-new'!$A$3:$DQ$19,$D32,FALSE))</f>
        <v>-33600</v>
      </c>
      <c r="L32" s="14">
        <f>IF(ISNA(VLOOKUP(L$1,'peak-new'!$A$3:$DQ$19,$D32,FALSE)),0,VLOOKUP(L$1,'peak-new'!$A$3:$DQ$19,$D32,FALSE))</f>
        <v>9072</v>
      </c>
      <c r="M32" s="14">
        <f>IF(ISNA(VLOOKUP(M$1,'peak-new'!$A$3:$DQ$19,$D32,FALSE)),0,VLOOKUP(M$1,'peak-new'!$A$3:$DQ$19,$D32,FALSE))</f>
        <v>84000</v>
      </c>
      <c r="N32" s="14">
        <f>IF(ISNA(VLOOKUP(N$1,'peak-new'!$A$3:$DQ$19,$D32,FALSE)),0,VLOOKUP(N$1,'peak-new'!$A$3:$DQ$19,$D32,FALSE))</f>
        <v>0</v>
      </c>
      <c r="O32" s="14">
        <f>IF(ISNA(VLOOKUP(O$1,'peak-new'!$A$3:$DQ$19,$D32,FALSE)),0,VLOOKUP(O$1,'peak-new'!$A$3:$DQ$19,$D32,FALSE))</f>
        <v>33600</v>
      </c>
      <c r="P32" s="14">
        <f>IF(ISNA(VLOOKUP(P$1,'peak-new'!$A$3:$DQ$19,$D32,FALSE)),0,VLOOKUP(P$1,'peak-new'!$A$3:$DQ$19,$D32,FALSE))</f>
        <v>0</v>
      </c>
      <c r="Q32" s="15">
        <f>IF(ISNA(VLOOKUP(Q$1,'delta-new'!$A$3:$DQ$20,$D32,FALSE)),0,VLOOKUP(Q$1,'delta-new'!$A$3:$DQ$20,$D32,FALSE))</f>
        <v>-16018.47</v>
      </c>
      <c r="R32" s="14">
        <f>IF(ISNA(VLOOKUP(R$1,'peak-new'!$A$3:$DQ$19,$D32,FALSE)),0,VLOOKUP(R$1,'peak-new'!$A$3:$DQ$19,$D32,FALSE))</f>
        <v>218400</v>
      </c>
      <c r="S32" s="10"/>
    </row>
    <row r="33" spans="1:19" s="8" customFormat="1" x14ac:dyDescent="0.2">
      <c r="A33" s="8">
        <f t="shared" si="2"/>
        <v>2003</v>
      </c>
      <c r="B33" s="8">
        <f t="shared" si="3"/>
        <v>7</v>
      </c>
      <c r="C33" s="9">
        <f t="shared" si="1"/>
        <v>37803</v>
      </c>
      <c r="D33" s="8">
        <f t="shared" si="4"/>
        <v>21</v>
      </c>
      <c r="E33" s="14">
        <f>IF(ISNA(VLOOKUP(E$1,'delta-new'!$A$3:$DQ$20,$D33,FALSE)),0,VLOOKUP(E$1,'delta-new'!$A$3:$DQ$20,$D33,FALSE))</f>
        <v>-296314.23</v>
      </c>
      <c r="F33" s="14">
        <f>IF(ISNA(VLOOKUP(F$1,'peak-new'!$A$3:$DQ$19,$D33,FALSE)),0,VLOOKUP(F$1,'peak-new'!$A$3:$DQ$19,$D33,FALSE))</f>
        <v>0</v>
      </c>
      <c r="G33" s="14">
        <f>IF(ISNA(VLOOKUP(G$1,'peak-new'!$A$3:$DQ$19,$D33,FALSE)),0,VLOOKUP(G$1,'peak-new'!$A$3:$DQ$19,$D33,FALSE))</f>
        <v>0</v>
      </c>
      <c r="H33" s="14">
        <f>IF(ISNA(VLOOKUP(H$1,'peak-new'!$A$3:$DQ$19,$D33,FALSE)),0,VLOOKUP(H$1,'peak-new'!$A$3:$DQ$19,$D33,FALSE))</f>
        <v>-404800</v>
      </c>
      <c r="I33" s="14">
        <f>IF(ISNA(VLOOKUP(I$1,'peak-new'!$A$3:$DQ$19,$D33,FALSE)),0,VLOOKUP(I$1,'peak-new'!$A$3:$DQ$19,$D33,FALSE))</f>
        <v>17600</v>
      </c>
      <c r="J33" s="14">
        <f>IF(ISNA(VLOOKUP(J$1,'peak-new'!$A$3:$DQ$19,$D33,FALSE)),0,VLOOKUP(J$1,'peak-new'!$A$3:$DQ$19,$D33,FALSE))</f>
        <v>0</v>
      </c>
      <c r="K33" s="14">
        <f>IF(ISNA(VLOOKUP(K$1,'peak-new'!$A$3:$DQ$19,$D33,FALSE)),0,VLOOKUP(K$1,'peak-new'!$A$3:$DQ$19,$D33,FALSE))</f>
        <v>-35200</v>
      </c>
      <c r="L33" s="14">
        <f>IF(ISNA(VLOOKUP(L$1,'peak-new'!$A$3:$DQ$19,$D33,FALSE)),0,VLOOKUP(L$1,'peak-new'!$A$3:$DQ$19,$D33,FALSE))</f>
        <v>9152</v>
      </c>
      <c r="M33" s="14">
        <f>IF(ISNA(VLOOKUP(M$1,'peak-new'!$A$3:$DQ$19,$D33,FALSE)),0,VLOOKUP(M$1,'peak-new'!$A$3:$DQ$19,$D33,FALSE))</f>
        <v>52800</v>
      </c>
      <c r="N33" s="14">
        <f>IF(ISNA(VLOOKUP(N$1,'peak-new'!$A$3:$DQ$19,$D33,FALSE)),0,VLOOKUP(N$1,'peak-new'!$A$3:$DQ$19,$D33,FALSE))</f>
        <v>0</v>
      </c>
      <c r="O33" s="14">
        <f>IF(ISNA(VLOOKUP(O$1,'peak-new'!$A$3:$DQ$19,$D33,FALSE)),0,VLOOKUP(O$1,'peak-new'!$A$3:$DQ$19,$D33,FALSE))</f>
        <v>35200</v>
      </c>
      <c r="P33" s="14">
        <f>IF(ISNA(VLOOKUP(P$1,'peak-new'!$A$3:$DQ$19,$D33,FALSE)),0,VLOOKUP(P$1,'peak-new'!$A$3:$DQ$19,$D33,FALSE))</f>
        <v>0</v>
      </c>
      <c r="Q33" s="15">
        <f>IF(ISNA(VLOOKUP(Q$1,'delta-new'!$A$3:$DQ$20,$D33,FALSE)),0,VLOOKUP(Q$1,'delta-new'!$A$3:$DQ$20,$D33,FALSE))</f>
        <v>-16717</v>
      </c>
      <c r="R33" s="14">
        <f>IF(ISNA(VLOOKUP(R$1,'peak-new'!$A$3:$DQ$19,$D33,FALSE)),0,VLOOKUP(R$1,'peak-new'!$A$3:$DQ$19,$D33,FALSE))</f>
        <v>-52800</v>
      </c>
      <c r="S33" s="10"/>
    </row>
    <row r="34" spans="1:19" s="8" customFormat="1" x14ac:dyDescent="0.2">
      <c r="A34" s="8">
        <f t="shared" si="2"/>
        <v>2003</v>
      </c>
      <c r="B34" s="8">
        <f t="shared" si="3"/>
        <v>8</v>
      </c>
      <c r="C34" s="9">
        <f t="shared" si="1"/>
        <v>37834</v>
      </c>
      <c r="D34" s="8">
        <f t="shared" si="4"/>
        <v>22</v>
      </c>
      <c r="E34" s="14">
        <f>IF(ISNA(VLOOKUP(E$1,'delta-new'!$A$3:$DQ$20,$D34,FALSE)),0,VLOOKUP(E$1,'delta-new'!$A$3:$DQ$20,$D34,FALSE))</f>
        <v>-289740.79999999999</v>
      </c>
      <c r="F34" s="14">
        <f>IF(ISNA(VLOOKUP(F$1,'peak-new'!$A$3:$DQ$19,$D34,FALSE)),0,VLOOKUP(F$1,'peak-new'!$A$3:$DQ$19,$D34,FALSE))</f>
        <v>0</v>
      </c>
      <c r="G34" s="14">
        <f>IF(ISNA(VLOOKUP(G$1,'peak-new'!$A$3:$DQ$19,$D34,FALSE)),0,VLOOKUP(G$1,'peak-new'!$A$3:$DQ$19,$D34,FALSE))</f>
        <v>0</v>
      </c>
      <c r="H34" s="14">
        <f>IF(ISNA(VLOOKUP(H$1,'peak-new'!$A$3:$DQ$19,$D34,FALSE)),0,VLOOKUP(H$1,'peak-new'!$A$3:$DQ$19,$D34,FALSE))</f>
        <v>-386400</v>
      </c>
      <c r="I34" s="14">
        <f>IF(ISNA(VLOOKUP(I$1,'peak-new'!$A$3:$DQ$19,$D34,FALSE)),0,VLOOKUP(I$1,'peak-new'!$A$3:$DQ$19,$D34,FALSE))</f>
        <v>16800</v>
      </c>
      <c r="J34" s="14">
        <f>IF(ISNA(VLOOKUP(J$1,'peak-new'!$A$3:$DQ$19,$D34,FALSE)),0,VLOOKUP(J$1,'peak-new'!$A$3:$DQ$19,$D34,FALSE))</f>
        <v>0</v>
      </c>
      <c r="K34" s="14">
        <f>IF(ISNA(VLOOKUP(K$1,'peak-new'!$A$3:$DQ$19,$D34,FALSE)),0,VLOOKUP(K$1,'peak-new'!$A$3:$DQ$19,$D34,FALSE))</f>
        <v>-33600</v>
      </c>
      <c r="L34" s="14">
        <f>IF(ISNA(VLOOKUP(L$1,'peak-new'!$A$3:$DQ$19,$D34,FALSE)),0,VLOOKUP(L$1,'peak-new'!$A$3:$DQ$19,$D34,FALSE))</f>
        <v>8736</v>
      </c>
      <c r="M34" s="14">
        <f>IF(ISNA(VLOOKUP(M$1,'peak-new'!$A$3:$DQ$19,$D34,FALSE)),0,VLOOKUP(M$1,'peak-new'!$A$3:$DQ$19,$D34,FALSE))</f>
        <v>50400</v>
      </c>
      <c r="N34" s="14">
        <f>IF(ISNA(VLOOKUP(N$1,'peak-new'!$A$3:$DQ$19,$D34,FALSE)),0,VLOOKUP(N$1,'peak-new'!$A$3:$DQ$19,$D34,FALSE))</f>
        <v>0</v>
      </c>
      <c r="O34" s="14">
        <f>IF(ISNA(VLOOKUP(O$1,'peak-new'!$A$3:$DQ$19,$D34,FALSE)),0,VLOOKUP(O$1,'peak-new'!$A$3:$DQ$19,$D34,FALSE))</f>
        <v>33600</v>
      </c>
      <c r="P34" s="14">
        <f>IF(ISNA(VLOOKUP(P$1,'peak-new'!$A$3:$DQ$19,$D34,FALSE)),0,VLOOKUP(P$1,'peak-new'!$A$3:$DQ$19,$D34,FALSE))</f>
        <v>0</v>
      </c>
      <c r="Q34" s="15">
        <f>IF(ISNA(VLOOKUP(Q$1,'delta-new'!$A$3:$DQ$20,$D34,FALSE)),0,VLOOKUP(Q$1,'delta-new'!$A$3:$DQ$20,$D34,FALSE))</f>
        <v>-15894.35</v>
      </c>
      <c r="R34" s="14">
        <f>IF(ISNA(VLOOKUP(R$1,'peak-new'!$A$3:$DQ$19,$D34,FALSE)),0,VLOOKUP(R$1,'peak-new'!$A$3:$DQ$19,$D34,FALSE))</f>
        <v>-50400</v>
      </c>
      <c r="S34" s="10"/>
    </row>
    <row r="35" spans="1:19" s="8" customFormat="1" x14ac:dyDescent="0.2">
      <c r="A35" s="8">
        <f t="shared" si="2"/>
        <v>2003</v>
      </c>
      <c r="B35" s="8">
        <f t="shared" si="3"/>
        <v>9</v>
      </c>
      <c r="C35" s="9">
        <f t="shared" ref="C35:C66" si="5">DATE(A35,B35,1)</f>
        <v>37865</v>
      </c>
      <c r="D35" s="8">
        <f t="shared" si="4"/>
        <v>23</v>
      </c>
      <c r="E35" s="14">
        <f>IF(ISNA(VLOOKUP(E$1,'delta-new'!$A$3:$DQ$20,$D35,FALSE)),0,VLOOKUP(E$1,'delta-new'!$A$3:$DQ$20,$D35,FALSE))</f>
        <v>-119379.74</v>
      </c>
      <c r="F35" s="14">
        <f>IF(ISNA(VLOOKUP(F$1,'peak-new'!$A$3:$DQ$19,$D35,FALSE)),0,VLOOKUP(F$1,'peak-new'!$A$3:$DQ$19,$D35,FALSE))</f>
        <v>0</v>
      </c>
      <c r="G35" s="14">
        <f>IF(ISNA(VLOOKUP(G$1,'peak-new'!$A$3:$DQ$19,$D35,FALSE)),0,VLOOKUP(G$1,'peak-new'!$A$3:$DQ$19,$D35,FALSE))</f>
        <v>0</v>
      </c>
      <c r="H35" s="14">
        <f>IF(ISNA(VLOOKUP(H$1,'peak-new'!$A$3:$DQ$19,$D35,FALSE)),0,VLOOKUP(H$1,'peak-new'!$A$3:$DQ$19,$D35,FALSE))</f>
        <v>-218400</v>
      </c>
      <c r="I35" s="14">
        <f>IF(ISNA(VLOOKUP(I$1,'peak-new'!$A$3:$DQ$19,$D35,FALSE)),0,VLOOKUP(I$1,'peak-new'!$A$3:$DQ$19,$D35,FALSE))</f>
        <v>-16800</v>
      </c>
      <c r="J35" s="14">
        <f>IF(ISNA(VLOOKUP(J$1,'peak-new'!$A$3:$DQ$19,$D35,FALSE)),0,VLOOKUP(J$1,'peak-new'!$A$3:$DQ$19,$D35,FALSE))</f>
        <v>0</v>
      </c>
      <c r="K35" s="14">
        <f>IF(ISNA(VLOOKUP(K$1,'peak-new'!$A$3:$DQ$19,$D35,FALSE)),0,VLOOKUP(K$1,'peak-new'!$A$3:$DQ$19,$D35,FALSE))</f>
        <v>-16800</v>
      </c>
      <c r="L35" s="14">
        <f>IF(ISNA(VLOOKUP(L$1,'peak-new'!$A$3:$DQ$19,$D35,FALSE)),0,VLOOKUP(L$1,'peak-new'!$A$3:$DQ$19,$D35,FALSE))</f>
        <v>9072</v>
      </c>
      <c r="M35" s="14">
        <f>IF(ISNA(VLOOKUP(M$1,'peak-new'!$A$3:$DQ$19,$D35,FALSE)),0,VLOOKUP(M$1,'peak-new'!$A$3:$DQ$19,$D35,FALSE))</f>
        <v>84000</v>
      </c>
      <c r="N35" s="14">
        <f>IF(ISNA(VLOOKUP(N$1,'peak-new'!$A$3:$DQ$19,$D35,FALSE)),0,VLOOKUP(N$1,'peak-new'!$A$3:$DQ$19,$D35,FALSE))</f>
        <v>0</v>
      </c>
      <c r="O35" s="14">
        <f>IF(ISNA(VLOOKUP(O$1,'peak-new'!$A$3:$DQ$19,$D35,FALSE)),0,VLOOKUP(O$1,'peak-new'!$A$3:$DQ$19,$D35,FALSE))</f>
        <v>33600</v>
      </c>
      <c r="P35" s="14">
        <f>IF(ISNA(VLOOKUP(P$1,'peak-new'!$A$3:$DQ$19,$D35,FALSE)),0,VLOOKUP(P$1,'peak-new'!$A$3:$DQ$19,$D35,FALSE))</f>
        <v>0</v>
      </c>
      <c r="Q35" s="15">
        <f>IF(ISNA(VLOOKUP(Q$1,'delta-new'!$A$3:$DQ$20,$D35,FALSE)),0,VLOOKUP(Q$1,'delta-new'!$A$3:$DQ$20,$D35,FALSE))</f>
        <v>-15832.86</v>
      </c>
      <c r="R35" s="14">
        <f>IF(ISNA(VLOOKUP(R$1,'peak-new'!$A$3:$DQ$19,$D35,FALSE)),0,VLOOKUP(R$1,'peak-new'!$A$3:$DQ$19,$D35,FALSE))</f>
        <v>134400</v>
      </c>
      <c r="S35" s="10"/>
    </row>
    <row r="36" spans="1:19" s="8" customFormat="1" x14ac:dyDescent="0.2">
      <c r="A36" s="8">
        <f t="shared" ref="A36:A67" si="6">IF(B35=12,A35+1,A35)</f>
        <v>2003</v>
      </c>
      <c r="B36" s="8">
        <f t="shared" ref="B36:B67" si="7">IF(B35=12,1,B35+1)</f>
        <v>10</v>
      </c>
      <c r="C36" s="9">
        <f t="shared" si="5"/>
        <v>37895</v>
      </c>
      <c r="D36" s="8">
        <f t="shared" si="4"/>
        <v>24</v>
      </c>
      <c r="E36" s="14">
        <f>IF(ISNA(VLOOKUP(E$1,'delta-new'!$A$3:$DQ$20,$D36,FALSE)),0,VLOOKUP(E$1,'delta-new'!$A$3:$DQ$20,$D36,FALSE))</f>
        <v>-43865.16</v>
      </c>
      <c r="F36" s="14">
        <f>IF(ISNA(VLOOKUP(F$1,'peak-new'!$A$3:$DQ$19,$D36,FALSE)),0,VLOOKUP(F$1,'peak-new'!$A$3:$DQ$19,$D36,FALSE))</f>
        <v>0</v>
      </c>
      <c r="G36" s="14">
        <f>IF(ISNA(VLOOKUP(G$1,'peak-new'!$A$3:$DQ$19,$D36,FALSE)),0,VLOOKUP(G$1,'peak-new'!$A$3:$DQ$19,$D36,FALSE))</f>
        <v>0</v>
      </c>
      <c r="H36" s="14">
        <f>IF(ISNA(VLOOKUP(H$1,'peak-new'!$A$3:$DQ$19,$D36,FALSE)),0,VLOOKUP(H$1,'peak-new'!$A$3:$DQ$19,$D36,FALSE))</f>
        <v>-220800</v>
      </c>
      <c r="I36" s="14">
        <f>IF(ISNA(VLOOKUP(I$1,'peak-new'!$A$3:$DQ$19,$D36,FALSE)),0,VLOOKUP(I$1,'peak-new'!$A$3:$DQ$19,$D36,FALSE))</f>
        <v>36800</v>
      </c>
      <c r="J36" s="14">
        <f>IF(ISNA(VLOOKUP(J$1,'peak-new'!$A$3:$DQ$19,$D36,FALSE)),0,VLOOKUP(J$1,'peak-new'!$A$3:$DQ$19,$D36,FALSE))</f>
        <v>0</v>
      </c>
      <c r="K36" s="14">
        <f>IF(ISNA(VLOOKUP(K$1,'peak-new'!$A$3:$DQ$19,$D36,FALSE)),0,VLOOKUP(K$1,'peak-new'!$A$3:$DQ$19,$D36,FALSE))</f>
        <v>-18400</v>
      </c>
      <c r="L36" s="14">
        <f>IF(ISNA(VLOOKUP(L$1,'peak-new'!$A$3:$DQ$19,$D36,FALSE)),0,VLOOKUP(L$1,'peak-new'!$A$3:$DQ$19,$D36,FALSE))</f>
        <v>9936</v>
      </c>
      <c r="M36" s="14">
        <f>IF(ISNA(VLOOKUP(M$1,'peak-new'!$A$3:$DQ$19,$D36,FALSE)),0,VLOOKUP(M$1,'peak-new'!$A$3:$DQ$19,$D36,FALSE))</f>
        <v>92000</v>
      </c>
      <c r="N36" s="14">
        <f>IF(ISNA(VLOOKUP(N$1,'peak-new'!$A$3:$DQ$19,$D36,FALSE)),0,VLOOKUP(N$1,'peak-new'!$A$3:$DQ$19,$D36,FALSE))</f>
        <v>0</v>
      </c>
      <c r="O36" s="14">
        <f>IF(ISNA(VLOOKUP(O$1,'peak-new'!$A$3:$DQ$19,$D36,FALSE)),0,VLOOKUP(O$1,'peak-new'!$A$3:$DQ$19,$D36,FALSE))</f>
        <v>36800</v>
      </c>
      <c r="P36" s="14">
        <f>IF(ISNA(VLOOKUP(P$1,'peak-new'!$A$3:$DQ$19,$D36,FALSE)),0,VLOOKUP(P$1,'peak-new'!$A$3:$DQ$19,$D36,FALSE))</f>
        <v>0</v>
      </c>
      <c r="Q36" s="15">
        <f>IF(ISNA(VLOOKUP(Q$1,'delta-new'!$A$3:$DQ$20,$D36,FALSE)),0,VLOOKUP(Q$1,'delta-new'!$A$3:$DQ$20,$D36,FALSE))</f>
        <v>51809.25</v>
      </c>
      <c r="R36" s="14">
        <f>IF(ISNA(VLOOKUP(R$1,'peak-new'!$A$3:$DQ$19,$D36,FALSE)),0,VLOOKUP(R$1,'peak-new'!$A$3:$DQ$19,$D36,FALSE))</f>
        <v>184000</v>
      </c>
      <c r="S36" s="10"/>
    </row>
    <row r="37" spans="1:19" s="8" customFormat="1" x14ac:dyDescent="0.2">
      <c r="A37" s="8">
        <f t="shared" si="6"/>
        <v>2003</v>
      </c>
      <c r="B37" s="8">
        <f t="shared" si="7"/>
        <v>11</v>
      </c>
      <c r="C37" s="9">
        <f t="shared" si="5"/>
        <v>37926</v>
      </c>
      <c r="D37" s="8">
        <f t="shared" si="4"/>
        <v>25</v>
      </c>
      <c r="E37" s="14">
        <f>IF(ISNA(VLOOKUP(E$1,'delta-new'!$A$3:$DQ$20,$D37,FALSE)),0,VLOOKUP(E$1,'delta-new'!$A$3:$DQ$20,$D37,FALSE))</f>
        <v>-36089.589999999997</v>
      </c>
      <c r="F37" s="14">
        <f>IF(ISNA(VLOOKUP(F$1,'peak-new'!$A$3:$DQ$19,$D37,FALSE)),0,VLOOKUP(F$1,'peak-new'!$A$3:$DQ$19,$D37,FALSE))</f>
        <v>0</v>
      </c>
      <c r="G37" s="14">
        <f>IF(ISNA(VLOOKUP(G$1,'peak-new'!$A$3:$DQ$19,$D37,FALSE)),0,VLOOKUP(G$1,'peak-new'!$A$3:$DQ$19,$D37,FALSE))</f>
        <v>0</v>
      </c>
      <c r="H37" s="14">
        <f>IF(ISNA(VLOOKUP(H$1,'peak-new'!$A$3:$DQ$19,$D37,FALSE)),0,VLOOKUP(H$1,'peak-new'!$A$3:$DQ$19,$D37,FALSE))</f>
        <v>-182400</v>
      </c>
      <c r="I37" s="14">
        <f>IF(ISNA(VLOOKUP(I$1,'peak-new'!$A$3:$DQ$19,$D37,FALSE)),0,VLOOKUP(I$1,'peak-new'!$A$3:$DQ$19,$D37,FALSE))</f>
        <v>30400</v>
      </c>
      <c r="J37" s="14">
        <f>IF(ISNA(VLOOKUP(J$1,'peak-new'!$A$3:$DQ$19,$D37,FALSE)),0,VLOOKUP(J$1,'peak-new'!$A$3:$DQ$19,$D37,FALSE))</f>
        <v>0</v>
      </c>
      <c r="K37" s="14">
        <f>IF(ISNA(VLOOKUP(K$1,'peak-new'!$A$3:$DQ$19,$D37,FALSE)),0,VLOOKUP(K$1,'peak-new'!$A$3:$DQ$19,$D37,FALSE))</f>
        <v>-15200</v>
      </c>
      <c r="L37" s="14">
        <f>IF(ISNA(VLOOKUP(L$1,'peak-new'!$A$3:$DQ$19,$D37,FALSE)),0,VLOOKUP(L$1,'peak-new'!$A$3:$DQ$19,$D37,FALSE))</f>
        <v>8208</v>
      </c>
      <c r="M37" s="14">
        <f>IF(ISNA(VLOOKUP(M$1,'peak-new'!$A$3:$DQ$19,$D37,FALSE)),0,VLOOKUP(M$1,'peak-new'!$A$3:$DQ$19,$D37,FALSE))</f>
        <v>76000</v>
      </c>
      <c r="N37" s="14">
        <f>IF(ISNA(VLOOKUP(N$1,'peak-new'!$A$3:$DQ$19,$D37,FALSE)),0,VLOOKUP(N$1,'peak-new'!$A$3:$DQ$19,$D37,FALSE))</f>
        <v>0</v>
      </c>
      <c r="O37" s="14">
        <f>IF(ISNA(VLOOKUP(O$1,'peak-new'!$A$3:$DQ$19,$D37,FALSE)),0,VLOOKUP(O$1,'peak-new'!$A$3:$DQ$19,$D37,FALSE))</f>
        <v>30400</v>
      </c>
      <c r="P37" s="14">
        <f>IF(ISNA(VLOOKUP(P$1,'peak-new'!$A$3:$DQ$19,$D37,FALSE)),0,VLOOKUP(P$1,'peak-new'!$A$3:$DQ$19,$D37,FALSE))</f>
        <v>0</v>
      </c>
      <c r="Q37" s="15">
        <f>IF(ISNA(VLOOKUP(Q$1,'delta-new'!$A$3:$DQ$20,$D37,FALSE)),0,VLOOKUP(Q$1,'delta-new'!$A$3:$DQ$20,$D37,FALSE))</f>
        <v>42625.51</v>
      </c>
      <c r="R37" s="14">
        <f>IF(ISNA(VLOOKUP(R$1,'peak-new'!$A$3:$DQ$19,$D37,FALSE)),0,VLOOKUP(R$1,'peak-new'!$A$3:$DQ$19,$D37,FALSE))</f>
        <v>152000</v>
      </c>
      <c r="S37" s="10"/>
    </row>
    <row r="38" spans="1:19" s="8" customFormat="1" x14ac:dyDescent="0.2">
      <c r="A38" s="8">
        <f t="shared" si="6"/>
        <v>2003</v>
      </c>
      <c r="B38" s="8">
        <f t="shared" si="7"/>
        <v>12</v>
      </c>
      <c r="C38" s="9">
        <f t="shared" si="5"/>
        <v>37956</v>
      </c>
      <c r="D38" s="8">
        <f t="shared" si="4"/>
        <v>26</v>
      </c>
      <c r="E38" s="14">
        <f>IF(ISNA(VLOOKUP(E$1,'delta-new'!$A$3:$DQ$20,$D38,FALSE)),0,VLOOKUP(E$1,'delta-new'!$A$3:$DQ$20,$D38,FALSE))</f>
        <v>-41610</v>
      </c>
      <c r="F38" s="14">
        <f>IF(ISNA(VLOOKUP(F$1,'peak-new'!$A$3:$DQ$19,$D38,FALSE)),0,VLOOKUP(F$1,'peak-new'!$A$3:$DQ$19,$D38,FALSE))</f>
        <v>0</v>
      </c>
      <c r="G38" s="14">
        <f>IF(ISNA(VLOOKUP(G$1,'peak-new'!$A$3:$DQ$19,$D38,FALSE)),0,VLOOKUP(G$1,'peak-new'!$A$3:$DQ$19,$D38,FALSE))</f>
        <v>0</v>
      </c>
      <c r="H38" s="14">
        <f>IF(ISNA(VLOOKUP(H$1,'peak-new'!$A$3:$DQ$19,$D38,FALSE)),0,VLOOKUP(H$1,'peak-new'!$A$3:$DQ$19,$D38,FALSE))</f>
        <v>-211200</v>
      </c>
      <c r="I38" s="14">
        <f>IF(ISNA(VLOOKUP(I$1,'peak-new'!$A$3:$DQ$19,$D38,FALSE)),0,VLOOKUP(I$1,'peak-new'!$A$3:$DQ$19,$D38,FALSE))</f>
        <v>35200</v>
      </c>
      <c r="J38" s="14">
        <f>IF(ISNA(VLOOKUP(J$1,'peak-new'!$A$3:$DQ$19,$D38,FALSE)),0,VLOOKUP(J$1,'peak-new'!$A$3:$DQ$19,$D38,FALSE))</f>
        <v>0</v>
      </c>
      <c r="K38" s="14">
        <f>IF(ISNA(VLOOKUP(K$1,'peak-new'!$A$3:$DQ$19,$D38,FALSE)),0,VLOOKUP(K$1,'peak-new'!$A$3:$DQ$19,$D38,FALSE))</f>
        <v>-17600</v>
      </c>
      <c r="L38" s="14">
        <f>IF(ISNA(VLOOKUP(L$1,'peak-new'!$A$3:$DQ$19,$D38,FALSE)),0,VLOOKUP(L$1,'peak-new'!$A$3:$DQ$19,$D38,FALSE))</f>
        <v>9504</v>
      </c>
      <c r="M38" s="14">
        <f>IF(ISNA(VLOOKUP(M$1,'peak-new'!$A$3:$DQ$19,$D38,FALSE)),0,VLOOKUP(M$1,'peak-new'!$A$3:$DQ$19,$D38,FALSE))</f>
        <v>88000</v>
      </c>
      <c r="N38" s="14">
        <f>IF(ISNA(VLOOKUP(N$1,'peak-new'!$A$3:$DQ$19,$D38,FALSE)),0,VLOOKUP(N$1,'peak-new'!$A$3:$DQ$19,$D38,FALSE))</f>
        <v>0</v>
      </c>
      <c r="O38" s="14">
        <f>IF(ISNA(VLOOKUP(O$1,'peak-new'!$A$3:$DQ$19,$D38,FALSE)),0,VLOOKUP(O$1,'peak-new'!$A$3:$DQ$19,$D38,FALSE))</f>
        <v>35200</v>
      </c>
      <c r="P38" s="14">
        <f>IF(ISNA(VLOOKUP(P$1,'peak-new'!$A$3:$DQ$19,$D38,FALSE)),0,VLOOKUP(P$1,'peak-new'!$A$3:$DQ$19,$D38,FALSE))</f>
        <v>0</v>
      </c>
      <c r="Q38" s="15">
        <f>IF(ISNA(VLOOKUP(Q$1,'delta-new'!$A$3:$DQ$20,$D38,FALSE)),0,VLOOKUP(Q$1,'delta-new'!$A$3:$DQ$20,$D38,FALSE))</f>
        <v>49145.62</v>
      </c>
      <c r="R38" s="14">
        <f>IF(ISNA(VLOOKUP(R$1,'peak-new'!$A$3:$DQ$19,$D38,FALSE)),0,VLOOKUP(R$1,'peak-new'!$A$3:$DQ$19,$D38,FALSE))</f>
        <v>176000</v>
      </c>
      <c r="S38" s="10"/>
    </row>
    <row r="39" spans="1:19" s="8" customFormat="1" x14ac:dyDescent="0.2">
      <c r="A39" s="8">
        <f t="shared" si="6"/>
        <v>2004</v>
      </c>
      <c r="B39" s="8">
        <f t="shared" si="7"/>
        <v>1</v>
      </c>
      <c r="C39" s="9">
        <f t="shared" si="5"/>
        <v>37987</v>
      </c>
      <c r="D39" s="8">
        <f t="shared" si="4"/>
        <v>27</v>
      </c>
      <c r="E39" s="14">
        <f>IF(ISNA(VLOOKUP(E$1,'delta-new'!$A$3:$DQ$20,$D39,FALSE)),0,VLOOKUP(E$1,'delta-new'!$A$3:$DQ$20,$D39,FALSE))</f>
        <v>7161.8</v>
      </c>
      <c r="F39" s="14">
        <f>IF(ISNA(VLOOKUP(F$1,'peak-new'!$A$3:$DQ$19,$D39,FALSE)),0,VLOOKUP(F$1,'peak-new'!$A$3:$DQ$19,$D39,FALSE))</f>
        <v>0</v>
      </c>
      <c r="G39" s="14">
        <f>IF(ISNA(VLOOKUP(G$1,'peak-new'!$A$3:$DQ$19,$D39,FALSE)),0,VLOOKUP(G$1,'peak-new'!$A$3:$DQ$19,$D39,FALSE))</f>
        <v>0</v>
      </c>
      <c r="H39" s="14">
        <f>IF(ISNA(VLOOKUP(H$1,'peak-new'!$A$3:$DQ$19,$D39,FALSE)),0,VLOOKUP(H$1,'peak-new'!$A$3:$DQ$19,$D39,FALSE))</f>
        <v>0</v>
      </c>
      <c r="I39" s="14">
        <f>IF(ISNA(VLOOKUP(I$1,'peak-new'!$A$3:$DQ$19,$D39,FALSE)),0,VLOOKUP(I$1,'peak-new'!$A$3:$DQ$19,$D39,FALSE))</f>
        <v>33600</v>
      </c>
      <c r="J39" s="14">
        <f>IF(ISNA(VLOOKUP(J$1,'peak-new'!$A$3:$DQ$19,$D39,FALSE)),0,VLOOKUP(J$1,'peak-new'!$A$3:$DQ$19,$D39,FALSE))</f>
        <v>0</v>
      </c>
      <c r="K39" s="14">
        <f>IF(ISNA(VLOOKUP(K$1,'peak-new'!$A$3:$DQ$19,$D39,FALSE)),0,VLOOKUP(K$1,'peak-new'!$A$3:$DQ$19,$D39,FALSE))</f>
        <v>0</v>
      </c>
      <c r="L39" s="14">
        <f>IF(ISNA(VLOOKUP(L$1,'peak-new'!$A$3:$DQ$19,$D39,FALSE)),0,VLOOKUP(L$1,'peak-new'!$A$3:$DQ$19,$D39,FALSE))</f>
        <v>0</v>
      </c>
      <c r="M39" s="14">
        <f>IF(ISNA(VLOOKUP(M$1,'peak-new'!$A$3:$DQ$19,$D39,FALSE)),0,VLOOKUP(M$1,'peak-new'!$A$3:$DQ$19,$D39,FALSE))</f>
        <v>-16800</v>
      </c>
      <c r="N39" s="14">
        <f>IF(ISNA(VLOOKUP(N$1,'peak-new'!$A$3:$DQ$19,$D39,FALSE)),0,VLOOKUP(N$1,'peak-new'!$A$3:$DQ$19,$D39,FALSE))</f>
        <v>0</v>
      </c>
      <c r="O39" s="14">
        <f>IF(ISNA(VLOOKUP(O$1,'peak-new'!$A$3:$DQ$19,$D39,FALSE)),0,VLOOKUP(O$1,'peak-new'!$A$3:$DQ$19,$D39,FALSE))</f>
        <v>0</v>
      </c>
      <c r="P39" s="14">
        <f>IF(ISNA(VLOOKUP(P$1,'peak-new'!$A$3:$DQ$19,$D39,FALSE)),0,VLOOKUP(P$1,'peak-new'!$A$3:$DQ$19,$D39,FALSE))</f>
        <v>0</v>
      </c>
      <c r="Q39" s="15">
        <f>IF(ISNA(VLOOKUP(Q$1,'delta-new'!$A$3:$DQ$20,$D39,FALSE)),0,VLOOKUP(Q$1,'delta-new'!$A$3:$DQ$20,$D39,FALSE))</f>
        <v>-624</v>
      </c>
      <c r="R39" s="14">
        <f>IF(ISNA(VLOOKUP(R$1,'peak-new'!$A$3:$DQ$19,$D39,FALSE)),0,VLOOKUP(R$1,'peak-new'!$A$3:$DQ$19,$D39,FALSE))</f>
        <v>67200</v>
      </c>
      <c r="S39" s="10"/>
    </row>
    <row r="40" spans="1:19" s="8" customFormat="1" x14ac:dyDescent="0.2">
      <c r="A40" s="8">
        <f t="shared" si="6"/>
        <v>2004</v>
      </c>
      <c r="B40" s="8">
        <f t="shared" si="7"/>
        <v>2</v>
      </c>
      <c r="C40" s="9">
        <f t="shared" si="5"/>
        <v>38018</v>
      </c>
      <c r="D40" s="8">
        <f t="shared" ref="D40:D71" si="8">D39+1</f>
        <v>28</v>
      </c>
      <c r="E40" s="14">
        <f>IF(ISNA(VLOOKUP(E$1,'delta-new'!$A$3:$DQ$20,$D40,FALSE)),0,VLOOKUP(E$1,'delta-new'!$A$3:$DQ$20,$D40,FALSE))</f>
        <v>6792.66</v>
      </c>
      <c r="F40" s="14">
        <f>IF(ISNA(VLOOKUP(F$1,'peak-new'!$A$3:$DQ$19,$D40,FALSE)),0,VLOOKUP(F$1,'peak-new'!$A$3:$DQ$19,$D40,FALSE))</f>
        <v>0</v>
      </c>
      <c r="G40" s="14">
        <f>IF(ISNA(VLOOKUP(G$1,'peak-new'!$A$3:$DQ$19,$D40,FALSE)),0,VLOOKUP(G$1,'peak-new'!$A$3:$DQ$19,$D40,FALSE))</f>
        <v>0</v>
      </c>
      <c r="H40" s="14">
        <f>IF(ISNA(VLOOKUP(H$1,'peak-new'!$A$3:$DQ$19,$D40,FALSE)),0,VLOOKUP(H$1,'peak-new'!$A$3:$DQ$19,$D40,FALSE))</f>
        <v>0</v>
      </c>
      <c r="I40" s="14">
        <f>IF(ISNA(VLOOKUP(I$1,'peak-new'!$A$3:$DQ$19,$D40,FALSE)),0,VLOOKUP(I$1,'peak-new'!$A$3:$DQ$19,$D40,FALSE))</f>
        <v>32000</v>
      </c>
      <c r="J40" s="14">
        <f>IF(ISNA(VLOOKUP(J$1,'peak-new'!$A$3:$DQ$19,$D40,FALSE)),0,VLOOKUP(J$1,'peak-new'!$A$3:$DQ$19,$D40,FALSE))</f>
        <v>0</v>
      </c>
      <c r="K40" s="14">
        <f>IF(ISNA(VLOOKUP(K$1,'peak-new'!$A$3:$DQ$19,$D40,FALSE)),0,VLOOKUP(K$1,'peak-new'!$A$3:$DQ$19,$D40,FALSE))</f>
        <v>0</v>
      </c>
      <c r="L40" s="14">
        <f>IF(ISNA(VLOOKUP(L$1,'peak-new'!$A$3:$DQ$19,$D40,FALSE)),0,VLOOKUP(L$1,'peak-new'!$A$3:$DQ$19,$D40,FALSE))</f>
        <v>0</v>
      </c>
      <c r="M40" s="14">
        <f>IF(ISNA(VLOOKUP(M$1,'peak-new'!$A$3:$DQ$19,$D40,FALSE)),0,VLOOKUP(M$1,'peak-new'!$A$3:$DQ$19,$D40,FALSE))</f>
        <v>-16000</v>
      </c>
      <c r="N40" s="14">
        <f>IF(ISNA(VLOOKUP(N$1,'peak-new'!$A$3:$DQ$19,$D40,FALSE)),0,VLOOKUP(N$1,'peak-new'!$A$3:$DQ$19,$D40,FALSE))</f>
        <v>0</v>
      </c>
      <c r="O40" s="14">
        <f>IF(ISNA(VLOOKUP(O$1,'peak-new'!$A$3:$DQ$19,$D40,FALSE)),0,VLOOKUP(O$1,'peak-new'!$A$3:$DQ$19,$D40,FALSE))</f>
        <v>0</v>
      </c>
      <c r="P40" s="14">
        <f>IF(ISNA(VLOOKUP(P$1,'peak-new'!$A$3:$DQ$19,$D40,FALSE)),0,VLOOKUP(P$1,'peak-new'!$A$3:$DQ$19,$D40,FALSE))</f>
        <v>0</v>
      </c>
      <c r="Q40" s="15">
        <f>IF(ISNA(VLOOKUP(Q$1,'delta-new'!$A$3:$DQ$20,$D40,FALSE)),0,VLOOKUP(Q$1,'delta-new'!$A$3:$DQ$20,$D40,FALSE))</f>
        <v>-591.92999999999995</v>
      </c>
      <c r="R40" s="14">
        <f>IF(ISNA(VLOOKUP(R$1,'peak-new'!$A$3:$DQ$19,$D40,FALSE)),0,VLOOKUP(R$1,'peak-new'!$A$3:$DQ$19,$D40,FALSE))</f>
        <v>64000</v>
      </c>
      <c r="S40" s="10"/>
    </row>
    <row r="41" spans="1:19" s="8" customFormat="1" x14ac:dyDescent="0.2">
      <c r="A41" s="8">
        <f t="shared" si="6"/>
        <v>2004</v>
      </c>
      <c r="B41" s="8">
        <f t="shared" si="7"/>
        <v>3</v>
      </c>
      <c r="C41" s="9">
        <f t="shared" si="5"/>
        <v>38047</v>
      </c>
      <c r="D41" s="8">
        <f t="shared" si="8"/>
        <v>29</v>
      </c>
      <c r="E41" s="14">
        <f>IF(ISNA(VLOOKUP(E$1,'delta-new'!$A$3:$DQ$20,$D41,FALSE)),0,VLOOKUP(E$1,'delta-new'!$A$3:$DQ$20,$D41,FALSE))</f>
        <v>7777.14</v>
      </c>
      <c r="F41" s="14">
        <f>IF(ISNA(VLOOKUP(F$1,'peak-new'!$A$3:$DQ$19,$D41,FALSE)),0,VLOOKUP(F$1,'peak-new'!$A$3:$DQ$19,$D41,FALSE))</f>
        <v>0</v>
      </c>
      <c r="G41" s="14">
        <f>IF(ISNA(VLOOKUP(G$1,'peak-new'!$A$3:$DQ$19,$D41,FALSE)),0,VLOOKUP(G$1,'peak-new'!$A$3:$DQ$19,$D41,FALSE))</f>
        <v>0</v>
      </c>
      <c r="H41" s="14">
        <f>IF(ISNA(VLOOKUP(H$1,'peak-new'!$A$3:$DQ$19,$D41,FALSE)),0,VLOOKUP(H$1,'peak-new'!$A$3:$DQ$19,$D41,FALSE))</f>
        <v>0</v>
      </c>
      <c r="I41" s="14">
        <f>IF(ISNA(VLOOKUP(I$1,'peak-new'!$A$3:$DQ$19,$D41,FALSE)),0,VLOOKUP(I$1,'peak-new'!$A$3:$DQ$19,$D41,FALSE))</f>
        <v>36800</v>
      </c>
      <c r="J41" s="14">
        <f>IF(ISNA(VLOOKUP(J$1,'peak-new'!$A$3:$DQ$19,$D41,FALSE)),0,VLOOKUP(J$1,'peak-new'!$A$3:$DQ$19,$D41,FALSE))</f>
        <v>0</v>
      </c>
      <c r="K41" s="14">
        <f>IF(ISNA(VLOOKUP(K$1,'peak-new'!$A$3:$DQ$19,$D41,FALSE)),0,VLOOKUP(K$1,'peak-new'!$A$3:$DQ$19,$D41,FALSE))</f>
        <v>0</v>
      </c>
      <c r="L41" s="14">
        <f>IF(ISNA(VLOOKUP(L$1,'peak-new'!$A$3:$DQ$19,$D41,FALSE)),0,VLOOKUP(L$1,'peak-new'!$A$3:$DQ$19,$D41,FALSE))</f>
        <v>0</v>
      </c>
      <c r="M41" s="14">
        <f>IF(ISNA(VLOOKUP(M$1,'peak-new'!$A$3:$DQ$19,$D41,FALSE)),0,VLOOKUP(M$1,'peak-new'!$A$3:$DQ$19,$D41,FALSE))</f>
        <v>-18400</v>
      </c>
      <c r="N41" s="14">
        <f>IF(ISNA(VLOOKUP(N$1,'peak-new'!$A$3:$DQ$19,$D41,FALSE)),0,VLOOKUP(N$1,'peak-new'!$A$3:$DQ$19,$D41,FALSE))</f>
        <v>0</v>
      </c>
      <c r="O41" s="14">
        <f>IF(ISNA(VLOOKUP(O$1,'peak-new'!$A$3:$DQ$19,$D41,FALSE)),0,VLOOKUP(O$1,'peak-new'!$A$3:$DQ$19,$D41,FALSE))</f>
        <v>0</v>
      </c>
      <c r="P41" s="14">
        <f>IF(ISNA(VLOOKUP(P$1,'peak-new'!$A$3:$DQ$19,$D41,FALSE)),0,VLOOKUP(P$1,'peak-new'!$A$3:$DQ$19,$D41,FALSE))</f>
        <v>0</v>
      </c>
      <c r="Q41" s="15">
        <f>IF(ISNA(VLOOKUP(Q$1,'delta-new'!$A$3:$DQ$20,$D41,FALSE)),0,VLOOKUP(Q$1,'delta-new'!$A$3:$DQ$20,$D41,FALSE))</f>
        <v>-677.52</v>
      </c>
      <c r="R41" s="14">
        <f>IF(ISNA(VLOOKUP(R$1,'peak-new'!$A$3:$DQ$19,$D41,FALSE)),0,VLOOKUP(R$1,'peak-new'!$A$3:$DQ$19,$D41,FALSE))</f>
        <v>73600</v>
      </c>
      <c r="S41" s="10"/>
    </row>
    <row r="42" spans="1:19" s="8" customFormat="1" x14ac:dyDescent="0.2">
      <c r="A42" s="8">
        <f t="shared" si="6"/>
        <v>2004</v>
      </c>
      <c r="B42" s="8">
        <f t="shared" si="7"/>
        <v>4</v>
      </c>
      <c r="C42" s="9">
        <f t="shared" si="5"/>
        <v>38078</v>
      </c>
      <c r="D42" s="8">
        <f t="shared" si="8"/>
        <v>30</v>
      </c>
      <c r="E42" s="14">
        <f>IF(ISNA(VLOOKUP(E$1,'delta-new'!$A$3:$DQ$20,$D42,FALSE)),0,VLOOKUP(E$1,'delta-new'!$A$3:$DQ$20,$D42,FALSE))</f>
        <v>7406.86</v>
      </c>
      <c r="F42" s="14">
        <f>IF(ISNA(VLOOKUP(F$1,'peak-new'!$A$3:$DQ$19,$D42,FALSE)),0,VLOOKUP(F$1,'peak-new'!$A$3:$DQ$19,$D42,FALSE))</f>
        <v>0</v>
      </c>
      <c r="G42" s="14">
        <f>IF(ISNA(VLOOKUP(G$1,'peak-new'!$A$3:$DQ$19,$D42,FALSE)),0,VLOOKUP(G$1,'peak-new'!$A$3:$DQ$19,$D42,FALSE))</f>
        <v>0</v>
      </c>
      <c r="H42" s="14">
        <f>IF(ISNA(VLOOKUP(H$1,'peak-new'!$A$3:$DQ$19,$D42,FALSE)),0,VLOOKUP(H$1,'peak-new'!$A$3:$DQ$19,$D42,FALSE))</f>
        <v>0</v>
      </c>
      <c r="I42" s="14">
        <f>IF(ISNA(VLOOKUP(I$1,'peak-new'!$A$3:$DQ$19,$D42,FALSE)),0,VLOOKUP(I$1,'peak-new'!$A$3:$DQ$19,$D42,FALSE))</f>
        <v>35200</v>
      </c>
      <c r="J42" s="14">
        <f>IF(ISNA(VLOOKUP(J$1,'peak-new'!$A$3:$DQ$19,$D42,FALSE)),0,VLOOKUP(J$1,'peak-new'!$A$3:$DQ$19,$D42,FALSE))</f>
        <v>0</v>
      </c>
      <c r="K42" s="14">
        <f>IF(ISNA(VLOOKUP(K$1,'peak-new'!$A$3:$DQ$19,$D42,FALSE)),0,VLOOKUP(K$1,'peak-new'!$A$3:$DQ$19,$D42,FALSE))</f>
        <v>0</v>
      </c>
      <c r="L42" s="14">
        <f>IF(ISNA(VLOOKUP(L$1,'peak-new'!$A$3:$DQ$19,$D42,FALSE)),0,VLOOKUP(L$1,'peak-new'!$A$3:$DQ$19,$D42,FALSE))</f>
        <v>0</v>
      </c>
      <c r="M42" s="14">
        <f>IF(ISNA(VLOOKUP(M$1,'peak-new'!$A$3:$DQ$19,$D42,FALSE)),0,VLOOKUP(M$1,'peak-new'!$A$3:$DQ$19,$D42,FALSE))</f>
        <v>-17600</v>
      </c>
      <c r="N42" s="14">
        <f>IF(ISNA(VLOOKUP(N$1,'peak-new'!$A$3:$DQ$19,$D42,FALSE)),0,VLOOKUP(N$1,'peak-new'!$A$3:$DQ$19,$D42,FALSE))</f>
        <v>0</v>
      </c>
      <c r="O42" s="14">
        <f>IF(ISNA(VLOOKUP(O$1,'peak-new'!$A$3:$DQ$19,$D42,FALSE)),0,VLOOKUP(O$1,'peak-new'!$A$3:$DQ$19,$D42,FALSE))</f>
        <v>0</v>
      </c>
      <c r="P42" s="14">
        <f>IF(ISNA(VLOOKUP(P$1,'peak-new'!$A$3:$DQ$19,$D42,FALSE)),0,VLOOKUP(P$1,'peak-new'!$A$3:$DQ$19,$D42,FALSE))</f>
        <v>0</v>
      </c>
      <c r="Q42" s="15">
        <f>IF(ISNA(VLOOKUP(Q$1,'delta-new'!$A$3:$DQ$20,$D42,FALSE)),0,VLOOKUP(Q$1,'delta-new'!$A$3:$DQ$20,$D42,FALSE))</f>
        <v>-967.94</v>
      </c>
      <c r="R42" s="14">
        <f>IF(ISNA(VLOOKUP(R$1,'peak-new'!$A$3:$DQ$19,$D42,FALSE)),0,VLOOKUP(R$1,'peak-new'!$A$3:$DQ$19,$D42,FALSE))</f>
        <v>70400</v>
      </c>
      <c r="S42" s="10"/>
    </row>
    <row r="43" spans="1:19" s="8" customFormat="1" x14ac:dyDescent="0.2">
      <c r="A43" s="8">
        <f t="shared" si="6"/>
        <v>2004</v>
      </c>
      <c r="B43" s="8">
        <f t="shared" si="7"/>
        <v>5</v>
      </c>
      <c r="C43" s="9">
        <f t="shared" si="5"/>
        <v>38108</v>
      </c>
      <c r="D43" s="8">
        <f t="shared" si="8"/>
        <v>31</v>
      </c>
      <c r="E43" s="14">
        <f>IF(ISNA(VLOOKUP(E$1,'delta-new'!$A$3:$DQ$20,$D43,FALSE)),0,VLOOKUP(E$1,'delta-new'!$A$3:$DQ$20,$D43,FALSE))</f>
        <v>6703.08</v>
      </c>
      <c r="F43" s="14">
        <f>IF(ISNA(VLOOKUP(F$1,'peak-new'!$A$3:$DQ$19,$D43,FALSE)),0,VLOOKUP(F$1,'peak-new'!$A$3:$DQ$19,$D43,FALSE))</f>
        <v>0</v>
      </c>
      <c r="G43" s="14">
        <f>IF(ISNA(VLOOKUP(G$1,'peak-new'!$A$3:$DQ$19,$D43,FALSE)),0,VLOOKUP(G$1,'peak-new'!$A$3:$DQ$19,$D43,FALSE))</f>
        <v>0</v>
      </c>
      <c r="H43" s="14">
        <f>IF(ISNA(VLOOKUP(H$1,'peak-new'!$A$3:$DQ$19,$D43,FALSE)),0,VLOOKUP(H$1,'peak-new'!$A$3:$DQ$19,$D43,FALSE))</f>
        <v>0</v>
      </c>
      <c r="I43" s="14">
        <f>IF(ISNA(VLOOKUP(I$1,'peak-new'!$A$3:$DQ$19,$D43,FALSE)),0,VLOOKUP(I$1,'peak-new'!$A$3:$DQ$19,$D43,FALSE))</f>
        <v>32000</v>
      </c>
      <c r="J43" s="14">
        <f>IF(ISNA(VLOOKUP(J$1,'peak-new'!$A$3:$DQ$19,$D43,FALSE)),0,VLOOKUP(J$1,'peak-new'!$A$3:$DQ$19,$D43,FALSE))</f>
        <v>0</v>
      </c>
      <c r="K43" s="14">
        <f>IF(ISNA(VLOOKUP(K$1,'peak-new'!$A$3:$DQ$19,$D43,FALSE)),0,VLOOKUP(K$1,'peak-new'!$A$3:$DQ$19,$D43,FALSE))</f>
        <v>0</v>
      </c>
      <c r="L43" s="14">
        <f>IF(ISNA(VLOOKUP(L$1,'peak-new'!$A$3:$DQ$19,$D43,FALSE)),0,VLOOKUP(L$1,'peak-new'!$A$3:$DQ$19,$D43,FALSE))</f>
        <v>0</v>
      </c>
      <c r="M43" s="14">
        <f>IF(ISNA(VLOOKUP(M$1,'peak-new'!$A$3:$DQ$19,$D43,FALSE)),0,VLOOKUP(M$1,'peak-new'!$A$3:$DQ$19,$D43,FALSE))</f>
        <v>-16000</v>
      </c>
      <c r="N43" s="14">
        <f>IF(ISNA(VLOOKUP(N$1,'peak-new'!$A$3:$DQ$19,$D43,FALSE)),0,VLOOKUP(N$1,'peak-new'!$A$3:$DQ$19,$D43,FALSE))</f>
        <v>0</v>
      </c>
      <c r="O43" s="14">
        <f>IF(ISNA(VLOOKUP(O$1,'peak-new'!$A$3:$DQ$19,$D43,FALSE)),0,VLOOKUP(O$1,'peak-new'!$A$3:$DQ$19,$D43,FALSE))</f>
        <v>0</v>
      </c>
      <c r="P43" s="14">
        <f>IF(ISNA(VLOOKUP(P$1,'peak-new'!$A$3:$DQ$19,$D43,FALSE)),0,VLOOKUP(P$1,'peak-new'!$A$3:$DQ$19,$D43,FALSE))</f>
        <v>0</v>
      </c>
      <c r="Q43" s="15">
        <f>IF(ISNA(VLOOKUP(Q$1,'delta-new'!$A$3:$DQ$20,$D43,FALSE)),0,VLOOKUP(Q$1,'delta-new'!$A$3:$DQ$20,$D43,FALSE))</f>
        <v>-876</v>
      </c>
      <c r="R43" s="14">
        <f>IF(ISNA(VLOOKUP(R$1,'peak-new'!$A$3:$DQ$19,$D43,FALSE)),0,VLOOKUP(R$1,'peak-new'!$A$3:$DQ$19,$D43,FALSE))</f>
        <v>64000</v>
      </c>
      <c r="S43" s="10"/>
    </row>
    <row r="44" spans="1:19" s="8" customFormat="1" x14ac:dyDescent="0.2">
      <c r="A44" s="8">
        <f t="shared" si="6"/>
        <v>2004</v>
      </c>
      <c r="B44" s="8">
        <f t="shared" si="7"/>
        <v>6</v>
      </c>
      <c r="C44" s="9">
        <f t="shared" si="5"/>
        <v>38139</v>
      </c>
      <c r="D44" s="8">
        <f t="shared" si="8"/>
        <v>32</v>
      </c>
      <c r="E44" s="14">
        <f>IF(ISNA(VLOOKUP(E$1,'delta-new'!$A$3:$DQ$20,$D44,FALSE)),0,VLOOKUP(E$1,'delta-new'!$A$3:$DQ$20,$D44,FALSE))</f>
        <v>-168204.36</v>
      </c>
      <c r="F44" s="14">
        <f>IF(ISNA(VLOOKUP(F$1,'peak-new'!$A$3:$DQ$19,$D44,FALSE)),0,VLOOKUP(F$1,'peak-new'!$A$3:$DQ$19,$D44,FALSE))</f>
        <v>0</v>
      </c>
      <c r="G44" s="14">
        <f>IF(ISNA(VLOOKUP(G$1,'peak-new'!$A$3:$DQ$19,$D44,FALSE)),0,VLOOKUP(G$1,'peak-new'!$A$3:$DQ$19,$D44,FALSE))</f>
        <v>0</v>
      </c>
      <c r="H44" s="14">
        <f>IF(ISNA(VLOOKUP(H$1,'peak-new'!$A$3:$DQ$19,$D44,FALSE)),0,VLOOKUP(H$1,'peak-new'!$A$3:$DQ$19,$D44,FALSE))</f>
        <v>0</v>
      </c>
      <c r="I44" s="14">
        <f>IF(ISNA(VLOOKUP(I$1,'peak-new'!$A$3:$DQ$19,$D44,FALSE)),0,VLOOKUP(I$1,'peak-new'!$A$3:$DQ$19,$D44,FALSE))</f>
        <v>35200</v>
      </c>
      <c r="J44" s="14">
        <f>IF(ISNA(VLOOKUP(J$1,'peak-new'!$A$3:$DQ$19,$D44,FALSE)),0,VLOOKUP(J$1,'peak-new'!$A$3:$DQ$19,$D44,FALSE))</f>
        <v>0</v>
      </c>
      <c r="K44" s="14">
        <f>IF(ISNA(VLOOKUP(K$1,'peak-new'!$A$3:$DQ$19,$D44,FALSE)),0,VLOOKUP(K$1,'peak-new'!$A$3:$DQ$19,$D44,FALSE))</f>
        <v>0</v>
      </c>
      <c r="L44" s="14">
        <f>IF(ISNA(VLOOKUP(L$1,'peak-new'!$A$3:$DQ$19,$D44,FALSE)),0,VLOOKUP(L$1,'peak-new'!$A$3:$DQ$19,$D44,FALSE))</f>
        <v>0</v>
      </c>
      <c r="M44" s="14">
        <f>IF(ISNA(VLOOKUP(M$1,'peak-new'!$A$3:$DQ$19,$D44,FALSE)),0,VLOOKUP(M$1,'peak-new'!$A$3:$DQ$19,$D44,FALSE))</f>
        <v>-17600</v>
      </c>
      <c r="N44" s="14">
        <f>IF(ISNA(VLOOKUP(N$1,'peak-new'!$A$3:$DQ$19,$D44,FALSE)),0,VLOOKUP(N$1,'peak-new'!$A$3:$DQ$19,$D44,FALSE))</f>
        <v>0</v>
      </c>
      <c r="O44" s="14">
        <f>IF(ISNA(VLOOKUP(O$1,'peak-new'!$A$3:$DQ$19,$D44,FALSE)),0,VLOOKUP(O$1,'peak-new'!$A$3:$DQ$19,$D44,FALSE))</f>
        <v>0</v>
      </c>
      <c r="P44" s="14">
        <f>IF(ISNA(VLOOKUP(P$1,'peak-new'!$A$3:$DQ$19,$D44,FALSE)),0,VLOOKUP(P$1,'peak-new'!$A$3:$DQ$19,$D44,FALSE))</f>
        <v>0</v>
      </c>
      <c r="Q44" s="15">
        <f>IF(ISNA(VLOOKUP(Q$1,'delta-new'!$A$3:$DQ$20,$D44,FALSE)),0,VLOOKUP(Q$1,'delta-new'!$A$3:$DQ$20,$D44,FALSE))</f>
        <v>-81072.28</v>
      </c>
      <c r="R44" s="14">
        <f>IF(ISNA(VLOOKUP(R$1,'peak-new'!$A$3:$DQ$19,$D44,FALSE)),0,VLOOKUP(R$1,'peak-new'!$A$3:$DQ$19,$D44,FALSE))</f>
        <v>70400</v>
      </c>
      <c r="S44" s="10"/>
    </row>
    <row r="45" spans="1:19" s="8" customFormat="1" x14ac:dyDescent="0.2">
      <c r="A45" s="8">
        <f t="shared" si="6"/>
        <v>2004</v>
      </c>
      <c r="B45" s="8">
        <f t="shared" si="7"/>
        <v>7</v>
      </c>
      <c r="C45" s="9">
        <f t="shared" si="5"/>
        <v>38169</v>
      </c>
      <c r="D45" s="8">
        <f t="shared" si="8"/>
        <v>33</v>
      </c>
      <c r="E45" s="14">
        <f>IF(ISNA(VLOOKUP(E$1,'delta-new'!$A$3:$DQ$20,$D45,FALSE)),0,VLOOKUP(E$1,'delta-new'!$A$3:$DQ$20,$D45,FALSE))</f>
        <v>-38514.46</v>
      </c>
      <c r="F45" s="14">
        <f>IF(ISNA(VLOOKUP(F$1,'peak-new'!$A$3:$DQ$19,$D45,FALSE)),0,VLOOKUP(F$1,'peak-new'!$A$3:$DQ$19,$D45,FALSE))</f>
        <v>0</v>
      </c>
      <c r="G45" s="14">
        <f>IF(ISNA(VLOOKUP(G$1,'peak-new'!$A$3:$DQ$19,$D45,FALSE)),0,VLOOKUP(G$1,'peak-new'!$A$3:$DQ$19,$D45,FALSE))</f>
        <v>0</v>
      </c>
      <c r="H45" s="14">
        <f>IF(ISNA(VLOOKUP(H$1,'peak-new'!$A$3:$DQ$19,$D45,FALSE)),0,VLOOKUP(H$1,'peak-new'!$A$3:$DQ$19,$D45,FALSE))</f>
        <v>0</v>
      </c>
      <c r="I45" s="14">
        <f>IF(ISNA(VLOOKUP(I$1,'peak-new'!$A$3:$DQ$19,$D45,FALSE)),0,VLOOKUP(I$1,'peak-new'!$A$3:$DQ$19,$D45,FALSE))</f>
        <v>33600</v>
      </c>
      <c r="J45" s="14">
        <f>IF(ISNA(VLOOKUP(J$1,'peak-new'!$A$3:$DQ$19,$D45,FALSE)),0,VLOOKUP(J$1,'peak-new'!$A$3:$DQ$19,$D45,FALSE))</f>
        <v>0</v>
      </c>
      <c r="K45" s="14">
        <f>IF(ISNA(VLOOKUP(K$1,'peak-new'!$A$3:$DQ$19,$D45,FALSE)),0,VLOOKUP(K$1,'peak-new'!$A$3:$DQ$19,$D45,FALSE))</f>
        <v>0</v>
      </c>
      <c r="L45" s="14">
        <f>IF(ISNA(VLOOKUP(L$1,'peak-new'!$A$3:$DQ$19,$D45,FALSE)),0,VLOOKUP(L$1,'peak-new'!$A$3:$DQ$19,$D45,FALSE))</f>
        <v>-336</v>
      </c>
      <c r="M45" s="14">
        <f>IF(ISNA(VLOOKUP(M$1,'peak-new'!$A$3:$DQ$19,$D45,FALSE)),0,VLOOKUP(M$1,'peak-new'!$A$3:$DQ$19,$D45,FALSE))</f>
        <v>-16800</v>
      </c>
      <c r="N45" s="14">
        <f>IF(ISNA(VLOOKUP(N$1,'peak-new'!$A$3:$DQ$19,$D45,FALSE)),0,VLOOKUP(N$1,'peak-new'!$A$3:$DQ$19,$D45,FALSE))</f>
        <v>0</v>
      </c>
      <c r="O45" s="14">
        <f>IF(ISNA(VLOOKUP(O$1,'peak-new'!$A$3:$DQ$19,$D45,FALSE)),0,VLOOKUP(O$1,'peak-new'!$A$3:$DQ$19,$D45,FALSE))</f>
        <v>0</v>
      </c>
      <c r="P45" s="14">
        <f>IF(ISNA(VLOOKUP(P$1,'peak-new'!$A$3:$DQ$19,$D45,FALSE)),0,VLOOKUP(P$1,'peak-new'!$A$3:$DQ$19,$D45,FALSE))</f>
        <v>0</v>
      </c>
      <c r="Q45" s="15">
        <f>IF(ISNA(VLOOKUP(Q$1,'delta-new'!$A$3:$DQ$20,$D45,FALSE)),0,VLOOKUP(Q$1,'delta-new'!$A$3:$DQ$20,$D45,FALSE))</f>
        <v>-31845.84</v>
      </c>
      <c r="R45" s="14">
        <f>IF(ISNA(VLOOKUP(R$1,'peak-new'!$A$3:$DQ$19,$D45,FALSE)),0,VLOOKUP(R$1,'peak-new'!$A$3:$DQ$19,$D45,FALSE))</f>
        <v>117600</v>
      </c>
      <c r="S45" s="10"/>
    </row>
    <row r="46" spans="1:19" s="8" customFormat="1" x14ac:dyDescent="0.2">
      <c r="A46" s="8">
        <f t="shared" si="6"/>
        <v>2004</v>
      </c>
      <c r="B46" s="8">
        <f t="shared" si="7"/>
        <v>8</v>
      </c>
      <c r="C46" s="9">
        <f t="shared" si="5"/>
        <v>38200</v>
      </c>
      <c r="D46" s="8">
        <f t="shared" si="8"/>
        <v>34</v>
      </c>
      <c r="E46" s="14">
        <f>IF(ISNA(VLOOKUP(E$1,'delta-new'!$A$3:$DQ$20,$D46,FALSE)),0,VLOOKUP(E$1,'delta-new'!$A$3:$DQ$20,$D46,FALSE))</f>
        <v>-40161.07</v>
      </c>
      <c r="F46" s="14">
        <f>IF(ISNA(VLOOKUP(F$1,'peak-new'!$A$3:$DQ$19,$D46,FALSE)),0,VLOOKUP(F$1,'peak-new'!$A$3:$DQ$19,$D46,FALSE))</f>
        <v>0</v>
      </c>
      <c r="G46" s="14">
        <f>IF(ISNA(VLOOKUP(G$1,'peak-new'!$A$3:$DQ$19,$D46,FALSE)),0,VLOOKUP(G$1,'peak-new'!$A$3:$DQ$19,$D46,FALSE))</f>
        <v>0</v>
      </c>
      <c r="H46" s="14">
        <f>IF(ISNA(VLOOKUP(H$1,'peak-new'!$A$3:$DQ$19,$D46,FALSE)),0,VLOOKUP(H$1,'peak-new'!$A$3:$DQ$19,$D46,FALSE))</f>
        <v>0</v>
      </c>
      <c r="I46" s="14">
        <f>IF(ISNA(VLOOKUP(I$1,'peak-new'!$A$3:$DQ$19,$D46,FALSE)),0,VLOOKUP(I$1,'peak-new'!$A$3:$DQ$19,$D46,FALSE))</f>
        <v>35200</v>
      </c>
      <c r="J46" s="14">
        <f>IF(ISNA(VLOOKUP(J$1,'peak-new'!$A$3:$DQ$19,$D46,FALSE)),0,VLOOKUP(J$1,'peak-new'!$A$3:$DQ$19,$D46,FALSE))</f>
        <v>0</v>
      </c>
      <c r="K46" s="14">
        <f>IF(ISNA(VLOOKUP(K$1,'peak-new'!$A$3:$DQ$19,$D46,FALSE)),0,VLOOKUP(K$1,'peak-new'!$A$3:$DQ$19,$D46,FALSE))</f>
        <v>0</v>
      </c>
      <c r="L46" s="14">
        <f>IF(ISNA(VLOOKUP(L$1,'peak-new'!$A$3:$DQ$19,$D46,FALSE)),0,VLOOKUP(L$1,'peak-new'!$A$3:$DQ$19,$D46,FALSE))</f>
        <v>-352</v>
      </c>
      <c r="M46" s="14">
        <f>IF(ISNA(VLOOKUP(M$1,'peak-new'!$A$3:$DQ$19,$D46,FALSE)),0,VLOOKUP(M$1,'peak-new'!$A$3:$DQ$19,$D46,FALSE))</f>
        <v>-17600</v>
      </c>
      <c r="N46" s="14">
        <f>IF(ISNA(VLOOKUP(N$1,'peak-new'!$A$3:$DQ$19,$D46,FALSE)),0,VLOOKUP(N$1,'peak-new'!$A$3:$DQ$19,$D46,FALSE))</f>
        <v>0</v>
      </c>
      <c r="O46" s="14">
        <f>IF(ISNA(VLOOKUP(O$1,'peak-new'!$A$3:$DQ$19,$D46,FALSE)),0,VLOOKUP(O$1,'peak-new'!$A$3:$DQ$19,$D46,FALSE))</f>
        <v>0</v>
      </c>
      <c r="P46" s="14">
        <f>IF(ISNA(VLOOKUP(P$1,'peak-new'!$A$3:$DQ$19,$D46,FALSE)),0,VLOOKUP(P$1,'peak-new'!$A$3:$DQ$19,$D46,FALSE))</f>
        <v>0</v>
      </c>
      <c r="Q46" s="15">
        <f>IF(ISNA(VLOOKUP(Q$1,'delta-new'!$A$3:$DQ$20,$D46,FALSE)),0,VLOOKUP(Q$1,'delta-new'!$A$3:$DQ$20,$D46,FALSE))</f>
        <v>-32890.080000000002</v>
      </c>
      <c r="R46" s="14">
        <f>IF(ISNA(VLOOKUP(R$1,'peak-new'!$A$3:$DQ$19,$D46,FALSE)),0,VLOOKUP(R$1,'peak-new'!$A$3:$DQ$19,$D46,FALSE))</f>
        <v>123200</v>
      </c>
      <c r="S46" s="10"/>
    </row>
    <row r="47" spans="1:19" s="8" customFormat="1" x14ac:dyDescent="0.2">
      <c r="A47" s="8">
        <f t="shared" si="6"/>
        <v>2004</v>
      </c>
      <c r="B47" s="8">
        <f t="shared" si="7"/>
        <v>9</v>
      </c>
      <c r="C47" s="9">
        <f t="shared" si="5"/>
        <v>38231</v>
      </c>
      <c r="D47" s="8">
        <f t="shared" si="8"/>
        <v>35</v>
      </c>
      <c r="E47" s="14">
        <f>IF(ISNA(VLOOKUP(E$1,'delta-new'!$A$3:$DQ$20,$D47,FALSE)),0,VLOOKUP(E$1,'delta-new'!$A$3:$DQ$20,$D47,FALSE))</f>
        <v>6911.39</v>
      </c>
      <c r="F47" s="14">
        <f>IF(ISNA(VLOOKUP(F$1,'peak-new'!$A$3:$DQ$19,$D47,FALSE)),0,VLOOKUP(F$1,'peak-new'!$A$3:$DQ$19,$D47,FALSE))</f>
        <v>0</v>
      </c>
      <c r="G47" s="14">
        <f>IF(ISNA(VLOOKUP(G$1,'peak-new'!$A$3:$DQ$19,$D47,FALSE)),0,VLOOKUP(G$1,'peak-new'!$A$3:$DQ$19,$D47,FALSE))</f>
        <v>0</v>
      </c>
      <c r="H47" s="14">
        <f>IF(ISNA(VLOOKUP(H$1,'peak-new'!$A$3:$DQ$19,$D47,FALSE)),0,VLOOKUP(H$1,'peak-new'!$A$3:$DQ$19,$D47,FALSE))</f>
        <v>0</v>
      </c>
      <c r="I47" s="14">
        <f>IF(ISNA(VLOOKUP(I$1,'peak-new'!$A$3:$DQ$19,$D47,FALSE)),0,VLOOKUP(I$1,'peak-new'!$A$3:$DQ$19,$D47,FALSE))</f>
        <v>33600</v>
      </c>
      <c r="J47" s="14">
        <f>IF(ISNA(VLOOKUP(J$1,'peak-new'!$A$3:$DQ$19,$D47,FALSE)),0,VLOOKUP(J$1,'peak-new'!$A$3:$DQ$19,$D47,FALSE))</f>
        <v>0</v>
      </c>
      <c r="K47" s="14">
        <f>IF(ISNA(VLOOKUP(K$1,'peak-new'!$A$3:$DQ$19,$D47,FALSE)),0,VLOOKUP(K$1,'peak-new'!$A$3:$DQ$19,$D47,FALSE))</f>
        <v>0</v>
      </c>
      <c r="L47" s="14">
        <f>IF(ISNA(VLOOKUP(L$1,'peak-new'!$A$3:$DQ$19,$D47,FALSE)),0,VLOOKUP(L$1,'peak-new'!$A$3:$DQ$19,$D47,FALSE))</f>
        <v>0</v>
      </c>
      <c r="M47" s="14">
        <f>IF(ISNA(VLOOKUP(M$1,'peak-new'!$A$3:$DQ$19,$D47,FALSE)),0,VLOOKUP(M$1,'peak-new'!$A$3:$DQ$19,$D47,FALSE))</f>
        <v>-16800</v>
      </c>
      <c r="N47" s="14">
        <f>IF(ISNA(VLOOKUP(N$1,'peak-new'!$A$3:$DQ$19,$D47,FALSE)),0,VLOOKUP(N$1,'peak-new'!$A$3:$DQ$19,$D47,FALSE))</f>
        <v>0</v>
      </c>
      <c r="O47" s="14">
        <f>IF(ISNA(VLOOKUP(O$1,'peak-new'!$A$3:$DQ$19,$D47,FALSE)),0,VLOOKUP(O$1,'peak-new'!$A$3:$DQ$19,$D47,FALSE))</f>
        <v>0</v>
      </c>
      <c r="P47" s="14">
        <f>IF(ISNA(VLOOKUP(P$1,'peak-new'!$A$3:$DQ$19,$D47,FALSE)),0,VLOOKUP(P$1,'peak-new'!$A$3:$DQ$19,$D47,FALSE))</f>
        <v>0</v>
      </c>
      <c r="Q47" s="15">
        <f>IF(ISNA(VLOOKUP(Q$1,'delta-new'!$A$3:$DQ$20,$D47,FALSE)),0,VLOOKUP(Q$1,'delta-new'!$A$3:$DQ$20,$D47,FALSE))</f>
        <v>-903.25</v>
      </c>
      <c r="R47" s="14">
        <f>IF(ISNA(VLOOKUP(R$1,'peak-new'!$A$3:$DQ$19,$D47,FALSE)),0,VLOOKUP(R$1,'peak-new'!$A$3:$DQ$19,$D47,FALSE))</f>
        <v>67200</v>
      </c>
      <c r="S47" s="10"/>
    </row>
    <row r="48" spans="1:19" s="8" customFormat="1" x14ac:dyDescent="0.2">
      <c r="A48" s="8">
        <f t="shared" si="6"/>
        <v>2004</v>
      </c>
      <c r="B48" s="8">
        <f t="shared" si="7"/>
        <v>10</v>
      </c>
      <c r="C48" s="9">
        <f t="shared" si="5"/>
        <v>38261</v>
      </c>
      <c r="D48" s="8">
        <f t="shared" si="8"/>
        <v>36</v>
      </c>
      <c r="E48" s="14">
        <f>IF(ISNA(VLOOKUP(E$1,'delta-new'!$A$3:$DQ$20,$D48,FALSE)),0,VLOOKUP(E$1,'delta-new'!$A$3:$DQ$20,$D48,FALSE))</f>
        <v>6878.86</v>
      </c>
      <c r="F48" s="14">
        <f>IF(ISNA(VLOOKUP(F$1,'peak-new'!$A$3:$DQ$19,$D48,FALSE)),0,VLOOKUP(F$1,'peak-new'!$A$3:$DQ$19,$D48,FALSE))</f>
        <v>0</v>
      </c>
      <c r="G48" s="14">
        <f>IF(ISNA(VLOOKUP(G$1,'peak-new'!$A$3:$DQ$19,$D48,FALSE)),0,VLOOKUP(G$1,'peak-new'!$A$3:$DQ$19,$D48,FALSE))</f>
        <v>0</v>
      </c>
      <c r="H48" s="14">
        <f>IF(ISNA(VLOOKUP(H$1,'peak-new'!$A$3:$DQ$19,$D48,FALSE)),0,VLOOKUP(H$1,'peak-new'!$A$3:$DQ$19,$D48,FALSE))</f>
        <v>0</v>
      </c>
      <c r="I48" s="14">
        <f>IF(ISNA(VLOOKUP(I$1,'peak-new'!$A$3:$DQ$19,$D48,FALSE)),0,VLOOKUP(I$1,'peak-new'!$A$3:$DQ$19,$D48,FALSE))</f>
        <v>33600</v>
      </c>
      <c r="J48" s="14">
        <f>IF(ISNA(VLOOKUP(J$1,'peak-new'!$A$3:$DQ$19,$D48,FALSE)),0,VLOOKUP(J$1,'peak-new'!$A$3:$DQ$19,$D48,FALSE))</f>
        <v>0</v>
      </c>
      <c r="K48" s="14">
        <f>IF(ISNA(VLOOKUP(K$1,'peak-new'!$A$3:$DQ$19,$D48,FALSE)),0,VLOOKUP(K$1,'peak-new'!$A$3:$DQ$19,$D48,FALSE))</f>
        <v>0</v>
      </c>
      <c r="L48" s="14">
        <f>IF(ISNA(VLOOKUP(L$1,'peak-new'!$A$3:$DQ$19,$D48,FALSE)),0,VLOOKUP(L$1,'peak-new'!$A$3:$DQ$19,$D48,FALSE))</f>
        <v>0</v>
      </c>
      <c r="M48" s="14">
        <f>IF(ISNA(VLOOKUP(M$1,'peak-new'!$A$3:$DQ$19,$D48,FALSE)),0,VLOOKUP(M$1,'peak-new'!$A$3:$DQ$19,$D48,FALSE))</f>
        <v>-16800</v>
      </c>
      <c r="N48" s="14">
        <f>IF(ISNA(VLOOKUP(N$1,'peak-new'!$A$3:$DQ$19,$D48,FALSE)),0,VLOOKUP(N$1,'peak-new'!$A$3:$DQ$19,$D48,FALSE))</f>
        <v>0</v>
      </c>
      <c r="O48" s="14">
        <f>IF(ISNA(VLOOKUP(O$1,'peak-new'!$A$3:$DQ$19,$D48,FALSE)),0,VLOOKUP(O$1,'peak-new'!$A$3:$DQ$19,$D48,FALSE))</f>
        <v>0</v>
      </c>
      <c r="P48" s="14">
        <f>IF(ISNA(VLOOKUP(P$1,'peak-new'!$A$3:$DQ$19,$D48,FALSE)),0,VLOOKUP(P$1,'peak-new'!$A$3:$DQ$19,$D48,FALSE))</f>
        <v>0</v>
      </c>
      <c r="Q48" s="15">
        <f>IF(ISNA(VLOOKUP(Q$1,'delta-new'!$A$3:$DQ$20,$D48,FALSE)),0,VLOOKUP(Q$1,'delta-new'!$A$3:$DQ$20,$D48,FALSE))</f>
        <v>-899.3</v>
      </c>
      <c r="R48" s="14">
        <f>IF(ISNA(VLOOKUP(R$1,'peak-new'!$A$3:$DQ$19,$D48,FALSE)),0,VLOOKUP(R$1,'peak-new'!$A$3:$DQ$19,$D48,FALSE))</f>
        <v>67200</v>
      </c>
      <c r="S48" s="10"/>
    </row>
    <row r="49" spans="1:20" s="8" customFormat="1" x14ac:dyDescent="0.2">
      <c r="A49" s="8">
        <f t="shared" si="6"/>
        <v>2004</v>
      </c>
      <c r="B49" s="8">
        <f t="shared" si="7"/>
        <v>11</v>
      </c>
      <c r="C49" s="9">
        <f t="shared" si="5"/>
        <v>38292</v>
      </c>
      <c r="D49" s="8">
        <f t="shared" si="8"/>
        <v>37</v>
      </c>
      <c r="E49" s="14">
        <f>IF(ISNA(VLOOKUP(E$1,'delta-new'!$A$3:$DQ$20,$D49,FALSE)),0,VLOOKUP(E$1,'delta-new'!$A$3:$DQ$20,$D49,FALSE))</f>
        <v>6847.22</v>
      </c>
      <c r="F49" s="14">
        <f>IF(ISNA(VLOOKUP(F$1,'peak-new'!$A$3:$DQ$19,$D49,FALSE)),0,VLOOKUP(F$1,'peak-new'!$A$3:$DQ$19,$D49,FALSE))</f>
        <v>0</v>
      </c>
      <c r="G49" s="14">
        <f>IF(ISNA(VLOOKUP(G$1,'peak-new'!$A$3:$DQ$19,$D49,FALSE)),0,VLOOKUP(G$1,'peak-new'!$A$3:$DQ$19,$D49,FALSE))</f>
        <v>0</v>
      </c>
      <c r="H49" s="14">
        <f>IF(ISNA(VLOOKUP(H$1,'peak-new'!$A$3:$DQ$19,$D49,FALSE)),0,VLOOKUP(H$1,'peak-new'!$A$3:$DQ$19,$D49,FALSE))</f>
        <v>0</v>
      </c>
      <c r="I49" s="14">
        <f>IF(ISNA(VLOOKUP(I$1,'peak-new'!$A$3:$DQ$19,$D49,FALSE)),0,VLOOKUP(I$1,'peak-new'!$A$3:$DQ$19,$D49,FALSE))</f>
        <v>33600</v>
      </c>
      <c r="J49" s="14">
        <f>IF(ISNA(VLOOKUP(J$1,'peak-new'!$A$3:$DQ$19,$D49,FALSE)),0,VLOOKUP(J$1,'peak-new'!$A$3:$DQ$19,$D49,FALSE))</f>
        <v>0</v>
      </c>
      <c r="K49" s="14">
        <f>IF(ISNA(VLOOKUP(K$1,'peak-new'!$A$3:$DQ$19,$D49,FALSE)),0,VLOOKUP(K$1,'peak-new'!$A$3:$DQ$19,$D49,FALSE))</f>
        <v>0</v>
      </c>
      <c r="L49" s="14">
        <f>IF(ISNA(VLOOKUP(L$1,'peak-new'!$A$3:$DQ$19,$D49,FALSE)),0,VLOOKUP(L$1,'peak-new'!$A$3:$DQ$19,$D49,FALSE))</f>
        <v>0</v>
      </c>
      <c r="M49" s="14">
        <f>IF(ISNA(VLOOKUP(M$1,'peak-new'!$A$3:$DQ$19,$D49,FALSE)),0,VLOOKUP(M$1,'peak-new'!$A$3:$DQ$19,$D49,FALSE))</f>
        <v>-16800</v>
      </c>
      <c r="N49" s="14">
        <f>IF(ISNA(VLOOKUP(N$1,'peak-new'!$A$3:$DQ$19,$D49,FALSE)),0,VLOOKUP(N$1,'peak-new'!$A$3:$DQ$19,$D49,FALSE))</f>
        <v>0</v>
      </c>
      <c r="O49" s="14">
        <f>IF(ISNA(VLOOKUP(O$1,'peak-new'!$A$3:$DQ$19,$D49,FALSE)),0,VLOOKUP(O$1,'peak-new'!$A$3:$DQ$19,$D49,FALSE))</f>
        <v>0</v>
      </c>
      <c r="P49" s="14">
        <f>IF(ISNA(VLOOKUP(P$1,'peak-new'!$A$3:$DQ$19,$D49,FALSE)),0,VLOOKUP(P$1,'peak-new'!$A$3:$DQ$19,$D49,FALSE))</f>
        <v>0</v>
      </c>
      <c r="Q49" s="15">
        <f>IF(ISNA(VLOOKUP(Q$1,'delta-new'!$A$3:$DQ$20,$D49,FALSE)),0,VLOOKUP(Q$1,'delta-new'!$A$3:$DQ$20,$D49,FALSE))</f>
        <v>-894.9</v>
      </c>
      <c r="R49" s="14">
        <f>IF(ISNA(VLOOKUP(R$1,'peak-new'!$A$3:$DQ$19,$D49,FALSE)),0,VLOOKUP(R$1,'peak-new'!$A$3:$DQ$19,$D49,FALSE))</f>
        <v>67200</v>
      </c>
      <c r="S49" s="10"/>
    </row>
    <row r="50" spans="1:20" s="8" customFormat="1" x14ac:dyDescent="0.2">
      <c r="A50" s="8">
        <f t="shared" si="6"/>
        <v>2004</v>
      </c>
      <c r="B50" s="8">
        <f t="shared" si="7"/>
        <v>12</v>
      </c>
      <c r="C50" s="9">
        <f t="shared" si="5"/>
        <v>38322</v>
      </c>
      <c r="D50" s="8">
        <f t="shared" si="8"/>
        <v>38</v>
      </c>
      <c r="E50" s="14">
        <f>IF(ISNA(VLOOKUP(E$1,'delta-new'!$A$3:$DQ$20,$D50,FALSE)),0,VLOOKUP(E$1,'delta-new'!$A$3:$DQ$20,$D50,FALSE))</f>
        <v>7463.48</v>
      </c>
      <c r="F50" s="14">
        <f>IF(ISNA(VLOOKUP(F$1,'peak-new'!$A$3:$DQ$19,$D50,FALSE)),0,VLOOKUP(F$1,'peak-new'!$A$3:$DQ$19,$D50,FALSE))</f>
        <v>0</v>
      </c>
      <c r="G50" s="14">
        <f>IF(ISNA(VLOOKUP(G$1,'peak-new'!$A$3:$DQ$19,$D50,FALSE)),0,VLOOKUP(G$1,'peak-new'!$A$3:$DQ$19,$D50,FALSE))</f>
        <v>0</v>
      </c>
      <c r="H50" s="14">
        <f>IF(ISNA(VLOOKUP(H$1,'peak-new'!$A$3:$DQ$19,$D50,FALSE)),0,VLOOKUP(H$1,'peak-new'!$A$3:$DQ$19,$D50,FALSE))</f>
        <v>0</v>
      </c>
      <c r="I50" s="14">
        <f>IF(ISNA(VLOOKUP(I$1,'peak-new'!$A$3:$DQ$19,$D50,FALSE)),0,VLOOKUP(I$1,'peak-new'!$A$3:$DQ$19,$D50,FALSE))</f>
        <v>36800</v>
      </c>
      <c r="J50" s="14">
        <f>IF(ISNA(VLOOKUP(J$1,'peak-new'!$A$3:$DQ$19,$D50,FALSE)),0,VLOOKUP(J$1,'peak-new'!$A$3:$DQ$19,$D50,FALSE))</f>
        <v>0</v>
      </c>
      <c r="K50" s="14">
        <f>IF(ISNA(VLOOKUP(K$1,'peak-new'!$A$3:$DQ$19,$D50,FALSE)),0,VLOOKUP(K$1,'peak-new'!$A$3:$DQ$19,$D50,FALSE))</f>
        <v>0</v>
      </c>
      <c r="L50" s="14">
        <f>IF(ISNA(VLOOKUP(L$1,'peak-new'!$A$3:$DQ$19,$D50,FALSE)),0,VLOOKUP(L$1,'peak-new'!$A$3:$DQ$19,$D50,FALSE))</f>
        <v>0</v>
      </c>
      <c r="M50" s="14">
        <f>IF(ISNA(VLOOKUP(M$1,'peak-new'!$A$3:$DQ$19,$D50,FALSE)),0,VLOOKUP(M$1,'peak-new'!$A$3:$DQ$19,$D50,FALSE))</f>
        <v>-18400</v>
      </c>
      <c r="N50" s="14">
        <f>IF(ISNA(VLOOKUP(N$1,'peak-new'!$A$3:$DQ$19,$D50,FALSE)),0,VLOOKUP(N$1,'peak-new'!$A$3:$DQ$19,$D50,FALSE))</f>
        <v>0</v>
      </c>
      <c r="O50" s="14">
        <f>IF(ISNA(VLOOKUP(O$1,'peak-new'!$A$3:$DQ$19,$D50,FALSE)),0,VLOOKUP(O$1,'peak-new'!$A$3:$DQ$19,$D50,FALSE))</f>
        <v>0</v>
      </c>
      <c r="P50" s="14">
        <f>IF(ISNA(VLOOKUP(P$1,'peak-new'!$A$3:$DQ$19,$D50,FALSE)),0,VLOOKUP(P$1,'peak-new'!$A$3:$DQ$19,$D50,FALSE))</f>
        <v>0</v>
      </c>
      <c r="Q50" s="15">
        <f>IF(ISNA(VLOOKUP(Q$1,'delta-new'!$A$3:$DQ$20,$D50,FALSE)),0,VLOOKUP(Q$1,'delta-new'!$A$3:$DQ$20,$D50,FALSE))</f>
        <v>-975.46</v>
      </c>
      <c r="R50" s="14">
        <f>IF(ISNA(VLOOKUP(R$1,'peak-new'!$A$3:$DQ$19,$D50,FALSE)),0,VLOOKUP(R$1,'peak-new'!$A$3:$DQ$19,$D50,FALSE))</f>
        <v>73600</v>
      </c>
      <c r="S50" s="10"/>
    </row>
    <row r="51" spans="1:20" s="8" customFormat="1" x14ac:dyDescent="0.2">
      <c r="A51" s="8">
        <f t="shared" si="6"/>
        <v>2005</v>
      </c>
      <c r="B51" s="8">
        <f t="shared" si="7"/>
        <v>1</v>
      </c>
      <c r="C51" s="9">
        <f t="shared" si="5"/>
        <v>38353</v>
      </c>
      <c r="D51" s="8">
        <f t="shared" si="8"/>
        <v>39</v>
      </c>
      <c r="E51" s="14">
        <f>IF(ISNA(VLOOKUP(E$1,'delta-new'!$A$3:$DQ$20,$D51,FALSE)),0,VLOOKUP(E$1,'delta-new'!$A$3:$DQ$20,$D51,FALSE))</f>
        <v>-22703.279999999999</v>
      </c>
      <c r="F51" s="14">
        <f>IF(ISNA(VLOOKUP(F$1,'peak-new'!$A$3:$DQ$19,$D51,FALSE)),0,VLOOKUP(F$1,'peak-new'!$A$3:$DQ$19,$D51,FALSE))</f>
        <v>0</v>
      </c>
      <c r="G51" s="14">
        <f>IF(ISNA(VLOOKUP(G$1,'peak-new'!$A$3:$DQ$19,$D51,FALSE)),0,VLOOKUP(G$1,'peak-new'!$A$3:$DQ$19,$D51,FALSE))</f>
        <v>0</v>
      </c>
      <c r="H51" s="14">
        <f>IF(ISNA(VLOOKUP(H$1,'peak-new'!$A$3:$DQ$19,$D51,FALSE)),0,VLOOKUP(H$1,'peak-new'!$A$3:$DQ$19,$D51,FALSE))</f>
        <v>-16800</v>
      </c>
      <c r="I51" s="14">
        <f>IF(ISNA(VLOOKUP(I$1,'peak-new'!$A$3:$DQ$19,$D51,FALSE)),0,VLOOKUP(I$1,'peak-new'!$A$3:$DQ$19,$D51,FALSE))</f>
        <v>8400</v>
      </c>
      <c r="J51" s="14">
        <f>IF(ISNA(VLOOKUP(J$1,'peak-new'!$A$3:$DQ$19,$D51,FALSE)),0,VLOOKUP(J$1,'peak-new'!$A$3:$DQ$19,$D51,FALSE))</f>
        <v>0</v>
      </c>
      <c r="K51" s="14">
        <f>IF(ISNA(VLOOKUP(K$1,'peak-new'!$A$3:$DQ$19,$D51,FALSE)),0,VLOOKUP(K$1,'peak-new'!$A$3:$DQ$19,$D51,FALSE))</f>
        <v>0</v>
      </c>
      <c r="L51" s="14">
        <f>IF(ISNA(VLOOKUP(L$1,'peak-new'!$A$3:$DQ$19,$D51,FALSE)),0,VLOOKUP(L$1,'peak-new'!$A$3:$DQ$19,$D51,FALSE))</f>
        <v>0</v>
      </c>
      <c r="M51" s="14">
        <f>IF(ISNA(VLOOKUP(M$1,'peak-new'!$A$3:$DQ$19,$D51,FALSE)),0,VLOOKUP(M$1,'peak-new'!$A$3:$DQ$19,$D51,FALSE))</f>
        <v>0</v>
      </c>
      <c r="N51" s="14">
        <f>IF(ISNA(VLOOKUP(N$1,'peak-new'!$A$3:$DQ$19,$D51,FALSE)),0,VLOOKUP(N$1,'peak-new'!$A$3:$DQ$19,$D51,FALSE))</f>
        <v>0</v>
      </c>
      <c r="O51" s="14">
        <f>IF(ISNA(VLOOKUP(O$1,'peak-new'!$A$3:$DQ$19,$D51,FALSE)),0,VLOOKUP(O$1,'peak-new'!$A$3:$DQ$19,$D51,FALSE))</f>
        <v>0</v>
      </c>
      <c r="P51" s="14">
        <f>IF(ISNA(VLOOKUP(P$1,'peak-new'!$A$3:$DQ$19,$D51,FALSE)),0,VLOOKUP(P$1,'peak-new'!$A$3:$DQ$19,$D51,FALSE))</f>
        <v>0</v>
      </c>
      <c r="Q51" s="15">
        <f>IF(ISNA(VLOOKUP(Q$1,'delta-new'!$A$3:$DQ$20,$D51,FALSE)),0,VLOOKUP(Q$1,'delta-new'!$A$3:$DQ$20,$D51,FALSE))</f>
        <v>36265.07</v>
      </c>
      <c r="R51" s="14">
        <f>IF(ISNA(VLOOKUP(R$1,'peak-new'!$A$3:$DQ$19,$D51,FALSE)),0,VLOOKUP(R$1,'peak-new'!$A$3:$DQ$19,$D51,FALSE))</f>
        <v>16800</v>
      </c>
      <c r="S51" s="10">
        <v>336</v>
      </c>
      <c r="T51" s="8">
        <f>-50*0.825*S51</f>
        <v>-13860</v>
      </c>
    </row>
    <row r="52" spans="1:20" s="8" customFormat="1" x14ac:dyDescent="0.2">
      <c r="A52" s="8">
        <f t="shared" si="6"/>
        <v>2005</v>
      </c>
      <c r="B52" s="8">
        <f t="shared" si="7"/>
        <v>2</v>
      </c>
      <c r="C52" s="9">
        <f t="shared" si="5"/>
        <v>38384</v>
      </c>
      <c r="D52" s="8">
        <f t="shared" si="8"/>
        <v>40</v>
      </c>
      <c r="E52" s="14">
        <f>IF(ISNA(VLOOKUP(E$1,'delta-new'!$A$3:$DQ$20,$D52,FALSE)),0,VLOOKUP(E$1,'delta-new'!$A$3:$DQ$20,$D52,FALSE))</f>
        <v>-21527.599999999999</v>
      </c>
      <c r="F52" s="14">
        <f>IF(ISNA(VLOOKUP(F$1,'peak-new'!$A$3:$DQ$19,$D52,FALSE)),0,VLOOKUP(F$1,'peak-new'!$A$3:$DQ$19,$D52,FALSE))</f>
        <v>0</v>
      </c>
      <c r="G52" s="14">
        <f>IF(ISNA(VLOOKUP(G$1,'peak-new'!$A$3:$DQ$19,$D52,FALSE)),0,VLOOKUP(G$1,'peak-new'!$A$3:$DQ$19,$D52,FALSE))</f>
        <v>0</v>
      </c>
      <c r="H52" s="14">
        <f>IF(ISNA(VLOOKUP(H$1,'peak-new'!$A$3:$DQ$19,$D52,FALSE)),0,VLOOKUP(H$1,'peak-new'!$A$3:$DQ$19,$D52,FALSE))</f>
        <v>-16000</v>
      </c>
      <c r="I52" s="14">
        <f>IF(ISNA(VLOOKUP(I$1,'peak-new'!$A$3:$DQ$19,$D52,FALSE)),0,VLOOKUP(I$1,'peak-new'!$A$3:$DQ$19,$D52,FALSE))</f>
        <v>8000</v>
      </c>
      <c r="J52" s="14">
        <f>IF(ISNA(VLOOKUP(J$1,'peak-new'!$A$3:$DQ$19,$D52,FALSE)),0,VLOOKUP(J$1,'peak-new'!$A$3:$DQ$19,$D52,FALSE))</f>
        <v>0</v>
      </c>
      <c r="K52" s="14">
        <f>IF(ISNA(VLOOKUP(K$1,'peak-new'!$A$3:$DQ$19,$D52,FALSE)),0,VLOOKUP(K$1,'peak-new'!$A$3:$DQ$19,$D52,FALSE))</f>
        <v>0</v>
      </c>
      <c r="L52" s="14">
        <f>IF(ISNA(VLOOKUP(L$1,'peak-new'!$A$3:$DQ$19,$D52,FALSE)),0,VLOOKUP(L$1,'peak-new'!$A$3:$DQ$19,$D52,FALSE))</f>
        <v>0</v>
      </c>
      <c r="M52" s="14">
        <f>IF(ISNA(VLOOKUP(M$1,'peak-new'!$A$3:$DQ$19,$D52,FALSE)),0,VLOOKUP(M$1,'peak-new'!$A$3:$DQ$19,$D52,FALSE))</f>
        <v>0</v>
      </c>
      <c r="N52" s="14">
        <f>IF(ISNA(VLOOKUP(N$1,'peak-new'!$A$3:$DQ$19,$D52,FALSE)),0,VLOOKUP(N$1,'peak-new'!$A$3:$DQ$19,$D52,FALSE))</f>
        <v>0</v>
      </c>
      <c r="O52" s="14">
        <f>IF(ISNA(VLOOKUP(O$1,'peak-new'!$A$3:$DQ$19,$D52,FALSE)),0,VLOOKUP(O$1,'peak-new'!$A$3:$DQ$19,$D52,FALSE))</f>
        <v>0</v>
      </c>
      <c r="P52" s="14">
        <f>IF(ISNA(VLOOKUP(P$1,'peak-new'!$A$3:$DQ$19,$D52,FALSE)),0,VLOOKUP(P$1,'peak-new'!$A$3:$DQ$19,$D52,FALSE))</f>
        <v>0</v>
      </c>
      <c r="Q52" s="15">
        <f>IF(ISNA(VLOOKUP(Q$1,'delta-new'!$A$3:$DQ$20,$D52,FALSE)),0,VLOOKUP(Q$1,'delta-new'!$A$3:$DQ$20,$D52,FALSE))</f>
        <v>34387.1</v>
      </c>
      <c r="R52" s="14">
        <f>IF(ISNA(VLOOKUP(R$1,'peak-new'!$A$3:$DQ$19,$D52,FALSE)),0,VLOOKUP(R$1,'peak-new'!$A$3:$DQ$19,$D52,FALSE))</f>
        <v>16000</v>
      </c>
      <c r="S52" s="10">
        <v>320</v>
      </c>
      <c r="T52" s="8">
        <f>-50*0.825*S52</f>
        <v>-13200</v>
      </c>
    </row>
    <row r="53" spans="1:20" s="8" customFormat="1" x14ac:dyDescent="0.2">
      <c r="A53" s="8">
        <f t="shared" si="6"/>
        <v>2005</v>
      </c>
      <c r="B53" s="8">
        <f t="shared" si="7"/>
        <v>3</v>
      </c>
      <c r="C53" s="9">
        <f t="shared" si="5"/>
        <v>38412</v>
      </c>
      <c r="D53" s="8">
        <f t="shared" si="8"/>
        <v>41</v>
      </c>
      <c r="E53" s="14">
        <f>IF(ISNA(VLOOKUP(E$1,'delta-new'!$A$3:$DQ$20,$D53,FALSE)),0,VLOOKUP(E$1,'delta-new'!$A$3:$DQ$20,$D53,FALSE))</f>
        <v>-24637.47</v>
      </c>
      <c r="F53" s="14">
        <f>IF(ISNA(VLOOKUP(F$1,'peak-new'!$A$3:$DQ$19,$D53,FALSE)),0,VLOOKUP(F$1,'peak-new'!$A$3:$DQ$19,$D53,FALSE))</f>
        <v>0</v>
      </c>
      <c r="G53" s="14">
        <f>IF(ISNA(VLOOKUP(G$1,'peak-new'!$A$3:$DQ$19,$D53,FALSE)),0,VLOOKUP(G$1,'peak-new'!$A$3:$DQ$19,$D53,FALSE))</f>
        <v>0</v>
      </c>
      <c r="H53" s="14">
        <f>IF(ISNA(VLOOKUP(H$1,'peak-new'!$A$3:$DQ$19,$D53,FALSE)),0,VLOOKUP(H$1,'peak-new'!$A$3:$DQ$19,$D53,FALSE))</f>
        <v>-18400</v>
      </c>
      <c r="I53" s="14">
        <f>IF(ISNA(VLOOKUP(I$1,'peak-new'!$A$3:$DQ$19,$D53,FALSE)),0,VLOOKUP(I$1,'peak-new'!$A$3:$DQ$19,$D53,FALSE))</f>
        <v>9200</v>
      </c>
      <c r="J53" s="14">
        <f>IF(ISNA(VLOOKUP(J$1,'peak-new'!$A$3:$DQ$19,$D53,FALSE)),0,VLOOKUP(J$1,'peak-new'!$A$3:$DQ$19,$D53,FALSE))</f>
        <v>0</v>
      </c>
      <c r="K53" s="14">
        <f>IF(ISNA(VLOOKUP(K$1,'peak-new'!$A$3:$DQ$19,$D53,FALSE)),0,VLOOKUP(K$1,'peak-new'!$A$3:$DQ$19,$D53,FALSE))</f>
        <v>0</v>
      </c>
      <c r="L53" s="14">
        <f>IF(ISNA(VLOOKUP(L$1,'peak-new'!$A$3:$DQ$19,$D53,FALSE)),0,VLOOKUP(L$1,'peak-new'!$A$3:$DQ$19,$D53,FALSE))</f>
        <v>0</v>
      </c>
      <c r="M53" s="14">
        <f>IF(ISNA(VLOOKUP(M$1,'peak-new'!$A$3:$DQ$19,$D53,FALSE)),0,VLOOKUP(M$1,'peak-new'!$A$3:$DQ$19,$D53,FALSE))</f>
        <v>0</v>
      </c>
      <c r="N53" s="14">
        <f>IF(ISNA(VLOOKUP(N$1,'peak-new'!$A$3:$DQ$19,$D53,FALSE)),0,VLOOKUP(N$1,'peak-new'!$A$3:$DQ$19,$D53,FALSE))</f>
        <v>0</v>
      </c>
      <c r="O53" s="14">
        <f>IF(ISNA(VLOOKUP(O$1,'peak-new'!$A$3:$DQ$19,$D53,FALSE)),0,VLOOKUP(O$1,'peak-new'!$A$3:$DQ$19,$D53,FALSE))</f>
        <v>0</v>
      </c>
      <c r="P53" s="14">
        <f>IF(ISNA(VLOOKUP(P$1,'peak-new'!$A$3:$DQ$19,$D53,FALSE)),0,VLOOKUP(P$1,'peak-new'!$A$3:$DQ$19,$D53,FALSE))</f>
        <v>0</v>
      </c>
      <c r="Q53" s="15">
        <f>IF(ISNA(VLOOKUP(Q$1,'delta-new'!$A$3:$DQ$20,$D53,FALSE)),0,VLOOKUP(Q$1,'delta-new'!$A$3:$DQ$20,$D53,FALSE))</f>
        <v>39354.67</v>
      </c>
      <c r="R53" s="14">
        <f>IF(ISNA(VLOOKUP(R$1,'peak-new'!$A$3:$DQ$19,$D53,FALSE)),0,VLOOKUP(R$1,'peak-new'!$A$3:$DQ$19,$D53,FALSE))</f>
        <v>18400</v>
      </c>
      <c r="S53" s="10">
        <v>368</v>
      </c>
      <c r="T53" s="8">
        <f t="shared" ref="T53:T62" si="9">-50*0.825*S53</f>
        <v>-15180</v>
      </c>
    </row>
    <row r="54" spans="1:20" s="8" customFormat="1" x14ac:dyDescent="0.2">
      <c r="A54" s="8">
        <f t="shared" si="6"/>
        <v>2005</v>
      </c>
      <c r="B54" s="8">
        <f t="shared" si="7"/>
        <v>4</v>
      </c>
      <c r="C54" s="9">
        <f t="shared" si="5"/>
        <v>38443</v>
      </c>
      <c r="D54" s="8">
        <f t="shared" si="8"/>
        <v>42</v>
      </c>
      <c r="E54" s="14">
        <f>IF(ISNA(VLOOKUP(E$1,'delta-new'!$A$3:$DQ$20,$D54,FALSE)),0,VLOOKUP(E$1,'delta-new'!$A$3:$DQ$20,$D54,FALSE))</f>
        <v>-22389.59</v>
      </c>
      <c r="F54" s="14">
        <f>IF(ISNA(VLOOKUP(F$1,'peak-new'!$A$3:$DQ$19,$D54,FALSE)),0,VLOOKUP(F$1,'peak-new'!$A$3:$DQ$19,$D54,FALSE))</f>
        <v>0</v>
      </c>
      <c r="G54" s="14">
        <f>IF(ISNA(VLOOKUP(G$1,'peak-new'!$A$3:$DQ$19,$D54,FALSE)),0,VLOOKUP(G$1,'peak-new'!$A$3:$DQ$19,$D54,FALSE))</f>
        <v>0</v>
      </c>
      <c r="H54" s="14">
        <f>IF(ISNA(VLOOKUP(H$1,'peak-new'!$A$3:$DQ$19,$D54,FALSE)),0,VLOOKUP(H$1,'peak-new'!$A$3:$DQ$19,$D54,FALSE))</f>
        <v>-16800</v>
      </c>
      <c r="I54" s="14">
        <f>IF(ISNA(VLOOKUP(I$1,'peak-new'!$A$3:$DQ$19,$D54,FALSE)),0,VLOOKUP(I$1,'peak-new'!$A$3:$DQ$19,$D54,FALSE))</f>
        <v>8400</v>
      </c>
      <c r="J54" s="14">
        <f>IF(ISNA(VLOOKUP(J$1,'peak-new'!$A$3:$DQ$19,$D54,FALSE)),0,VLOOKUP(J$1,'peak-new'!$A$3:$DQ$19,$D54,FALSE))</f>
        <v>0</v>
      </c>
      <c r="K54" s="14">
        <f>IF(ISNA(VLOOKUP(K$1,'peak-new'!$A$3:$DQ$19,$D54,FALSE)),0,VLOOKUP(K$1,'peak-new'!$A$3:$DQ$19,$D54,FALSE))</f>
        <v>0</v>
      </c>
      <c r="L54" s="14">
        <f>IF(ISNA(VLOOKUP(L$1,'peak-new'!$A$3:$DQ$19,$D54,FALSE)),0,VLOOKUP(L$1,'peak-new'!$A$3:$DQ$19,$D54,FALSE))</f>
        <v>0</v>
      </c>
      <c r="M54" s="14">
        <f>IF(ISNA(VLOOKUP(M$1,'peak-new'!$A$3:$DQ$19,$D54,FALSE)),0,VLOOKUP(M$1,'peak-new'!$A$3:$DQ$19,$D54,FALSE))</f>
        <v>0</v>
      </c>
      <c r="N54" s="14">
        <f>IF(ISNA(VLOOKUP(N$1,'peak-new'!$A$3:$DQ$19,$D54,FALSE)),0,VLOOKUP(N$1,'peak-new'!$A$3:$DQ$19,$D54,FALSE))</f>
        <v>0</v>
      </c>
      <c r="O54" s="14">
        <f>IF(ISNA(VLOOKUP(O$1,'peak-new'!$A$3:$DQ$19,$D54,FALSE)),0,VLOOKUP(O$1,'peak-new'!$A$3:$DQ$19,$D54,FALSE))</f>
        <v>0</v>
      </c>
      <c r="P54" s="14">
        <f>IF(ISNA(VLOOKUP(P$1,'peak-new'!$A$3:$DQ$19,$D54,FALSE)),0,VLOOKUP(P$1,'peak-new'!$A$3:$DQ$19,$D54,FALSE))</f>
        <v>0</v>
      </c>
      <c r="Q54" s="15">
        <f>IF(ISNA(VLOOKUP(Q$1,'delta-new'!$A$3:$DQ$20,$D54,FALSE)),0,VLOOKUP(Q$1,'delta-new'!$A$3:$DQ$20,$D54,FALSE))</f>
        <v>35472.49</v>
      </c>
      <c r="R54" s="14">
        <f>IF(ISNA(VLOOKUP(R$1,'peak-new'!$A$3:$DQ$19,$D54,FALSE)),0,VLOOKUP(R$1,'peak-new'!$A$3:$DQ$19,$D54,FALSE))</f>
        <v>16800</v>
      </c>
      <c r="S54" s="10">
        <v>336</v>
      </c>
      <c r="T54" s="8">
        <f t="shared" si="9"/>
        <v>-13860</v>
      </c>
    </row>
    <row r="55" spans="1:20" s="8" customFormat="1" x14ac:dyDescent="0.2">
      <c r="A55" s="8">
        <f t="shared" si="6"/>
        <v>2005</v>
      </c>
      <c r="B55" s="8">
        <f t="shared" si="7"/>
        <v>5</v>
      </c>
      <c r="C55" s="9">
        <f t="shared" si="5"/>
        <v>38473</v>
      </c>
      <c r="D55" s="8">
        <f t="shared" si="8"/>
        <v>43</v>
      </c>
      <c r="E55" s="14">
        <f>IF(ISNA(VLOOKUP(E$1,'delta-new'!$A$3:$DQ$20,$D55,FALSE)),0,VLOOKUP(E$1,'delta-new'!$A$3:$DQ$20,$D55,FALSE))</f>
        <v>-22280.54</v>
      </c>
      <c r="F55" s="14">
        <f>IF(ISNA(VLOOKUP(F$1,'peak-new'!$A$3:$DQ$19,$D55,FALSE)),0,VLOOKUP(F$1,'peak-new'!$A$3:$DQ$19,$D55,FALSE))</f>
        <v>0</v>
      </c>
      <c r="G55" s="14">
        <f>IF(ISNA(VLOOKUP(G$1,'peak-new'!$A$3:$DQ$19,$D55,FALSE)),0,VLOOKUP(G$1,'peak-new'!$A$3:$DQ$19,$D55,FALSE))</f>
        <v>0</v>
      </c>
      <c r="H55" s="14">
        <f>IF(ISNA(VLOOKUP(H$1,'peak-new'!$A$3:$DQ$19,$D55,FALSE)),0,VLOOKUP(H$1,'peak-new'!$A$3:$DQ$19,$D55,FALSE))</f>
        <v>-16800</v>
      </c>
      <c r="I55" s="14">
        <f>IF(ISNA(VLOOKUP(I$1,'peak-new'!$A$3:$DQ$19,$D55,FALSE)),0,VLOOKUP(I$1,'peak-new'!$A$3:$DQ$19,$D55,FALSE))</f>
        <v>8400</v>
      </c>
      <c r="J55" s="14">
        <f>IF(ISNA(VLOOKUP(J$1,'peak-new'!$A$3:$DQ$19,$D55,FALSE)),0,VLOOKUP(J$1,'peak-new'!$A$3:$DQ$19,$D55,FALSE))</f>
        <v>0</v>
      </c>
      <c r="K55" s="14">
        <f>IF(ISNA(VLOOKUP(K$1,'peak-new'!$A$3:$DQ$19,$D55,FALSE)),0,VLOOKUP(K$1,'peak-new'!$A$3:$DQ$19,$D55,FALSE))</f>
        <v>0</v>
      </c>
      <c r="L55" s="14">
        <f>IF(ISNA(VLOOKUP(L$1,'peak-new'!$A$3:$DQ$19,$D55,FALSE)),0,VLOOKUP(L$1,'peak-new'!$A$3:$DQ$19,$D55,FALSE))</f>
        <v>0</v>
      </c>
      <c r="M55" s="14">
        <f>IF(ISNA(VLOOKUP(M$1,'peak-new'!$A$3:$DQ$19,$D55,FALSE)),0,VLOOKUP(M$1,'peak-new'!$A$3:$DQ$19,$D55,FALSE))</f>
        <v>0</v>
      </c>
      <c r="N55" s="14">
        <f>IF(ISNA(VLOOKUP(N$1,'peak-new'!$A$3:$DQ$19,$D55,FALSE)),0,VLOOKUP(N$1,'peak-new'!$A$3:$DQ$19,$D55,FALSE))</f>
        <v>0</v>
      </c>
      <c r="O55" s="14">
        <f>IF(ISNA(VLOOKUP(O$1,'peak-new'!$A$3:$DQ$19,$D55,FALSE)),0,VLOOKUP(O$1,'peak-new'!$A$3:$DQ$19,$D55,FALSE))</f>
        <v>0</v>
      </c>
      <c r="P55" s="14">
        <f>IF(ISNA(VLOOKUP(P$1,'peak-new'!$A$3:$DQ$19,$D55,FALSE)),0,VLOOKUP(P$1,'peak-new'!$A$3:$DQ$19,$D55,FALSE))</f>
        <v>0</v>
      </c>
      <c r="Q55" s="15">
        <f>IF(ISNA(VLOOKUP(Q$1,'delta-new'!$A$3:$DQ$20,$D55,FALSE)),0,VLOOKUP(Q$1,'delta-new'!$A$3:$DQ$20,$D55,FALSE))</f>
        <v>35299.86</v>
      </c>
      <c r="R55" s="14">
        <f>IF(ISNA(VLOOKUP(R$1,'peak-new'!$A$3:$DQ$19,$D55,FALSE)),0,VLOOKUP(R$1,'peak-new'!$A$3:$DQ$19,$D55,FALSE))</f>
        <v>16800</v>
      </c>
      <c r="S55" s="10">
        <v>336</v>
      </c>
      <c r="T55" s="8">
        <f t="shared" si="9"/>
        <v>-13860</v>
      </c>
    </row>
    <row r="56" spans="1:20" s="8" customFormat="1" x14ac:dyDescent="0.2">
      <c r="A56" s="8">
        <f t="shared" si="6"/>
        <v>2005</v>
      </c>
      <c r="B56" s="8">
        <f t="shared" si="7"/>
        <v>6</v>
      </c>
      <c r="C56" s="9">
        <f t="shared" si="5"/>
        <v>38504</v>
      </c>
      <c r="D56" s="8">
        <f t="shared" si="8"/>
        <v>44</v>
      </c>
      <c r="E56" s="14">
        <f>IF(ISNA(VLOOKUP(E$1,'delta-new'!$A$3:$DQ$20,$D56,FALSE)),0,VLOOKUP(E$1,'delta-new'!$A$3:$DQ$20,$D56,FALSE))</f>
        <v>-38317</v>
      </c>
      <c r="F56" s="14">
        <f>IF(ISNA(VLOOKUP(F$1,'peak-new'!$A$3:$DQ$19,$D56,FALSE)),0,VLOOKUP(F$1,'peak-new'!$A$3:$DQ$19,$D56,FALSE))</f>
        <v>0</v>
      </c>
      <c r="G56" s="14">
        <f>IF(ISNA(VLOOKUP(G$1,'peak-new'!$A$3:$DQ$19,$D56,FALSE)),0,VLOOKUP(G$1,'peak-new'!$A$3:$DQ$19,$D56,FALSE))</f>
        <v>0</v>
      </c>
      <c r="H56" s="14">
        <f>IF(ISNA(VLOOKUP(H$1,'peak-new'!$A$3:$DQ$19,$D56,FALSE)),0,VLOOKUP(H$1,'peak-new'!$A$3:$DQ$19,$D56,FALSE))</f>
        <v>-17600</v>
      </c>
      <c r="I56" s="14">
        <f>IF(ISNA(VLOOKUP(I$1,'peak-new'!$A$3:$DQ$19,$D56,FALSE)),0,VLOOKUP(I$1,'peak-new'!$A$3:$DQ$19,$D56,FALSE))</f>
        <v>8800</v>
      </c>
      <c r="J56" s="14">
        <f>IF(ISNA(VLOOKUP(J$1,'peak-new'!$A$3:$DQ$19,$D56,FALSE)),0,VLOOKUP(J$1,'peak-new'!$A$3:$DQ$19,$D56,FALSE))</f>
        <v>0</v>
      </c>
      <c r="K56" s="14">
        <f>IF(ISNA(VLOOKUP(K$1,'peak-new'!$A$3:$DQ$19,$D56,FALSE)),0,VLOOKUP(K$1,'peak-new'!$A$3:$DQ$19,$D56,FALSE))</f>
        <v>0</v>
      </c>
      <c r="L56" s="14">
        <f>IF(ISNA(VLOOKUP(L$1,'peak-new'!$A$3:$DQ$19,$D56,FALSE)),0,VLOOKUP(L$1,'peak-new'!$A$3:$DQ$19,$D56,FALSE))</f>
        <v>0</v>
      </c>
      <c r="M56" s="14">
        <f>IF(ISNA(VLOOKUP(M$1,'peak-new'!$A$3:$DQ$19,$D56,FALSE)),0,VLOOKUP(M$1,'peak-new'!$A$3:$DQ$19,$D56,FALSE))</f>
        <v>0</v>
      </c>
      <c r="N56" s="14">
        <f>IF(ISNA(VLOOKUP(N$1,'peak-new'!$A$3:$DQ$19,$D56,FALSE)),0,VLOOKUP(N$1,'peak-new'!$A$3:$DQ$19,$D56,FALSE))</f>
        <v>0</v>
      </c>
      <c r="O56" s="14">
        <f>IF(ISNA(VLOOKUP(O$1,'peak-new'!$A$3:$DQ$19,$D56,FALSE)),0,VLOOKUP(O$1,'peak-new'!$A$3:$DQ$19,$D56,FALSE))</f>
        <v>0</v>
      </c>
      <c r="P56" s="14">
        <f>IF(ISNA(VLOOKUP(P$1,'peak-new'!$A$3:$DQ$19,$D56,FALSE)),0,VLOOKUP(P$1,'peak-new'!$A$3:$DQ$19,$D56,FALSE))</f>
        <v>0</v>
      </c>
      <c r="Q56" s="15">
        <f>IF(ISNA(VLOOKUP(Q$1,'delta-new'!$A$3:$DQ$20,$D56,FALSE)),0,VLOOKUP(Q$1,'delta-new'!$A$3:$DQ$20,$D56,FALSE))</f>
        <v>36504.43</v>
      </c>
      <c r="R56" s="14">
        <f>IF(ISNA(VLOOKUP(R$1,'peak-new'!$A$3:$DQ$19,$D56,FALSE)),0,VLOOKUP(R$1,'peak-new'!$A$3:$DQ$19,$D56,FALSE))</f>
        <v>17600</v>
      </c>
      <c r="S56" s="10">
        <v>352</v>
      </c>
      <c r="T56" s="8">
        <f t="shared" si="9"/>
        <v>-14520</v>
      </c>
    </row>
    <row r="57" spans="1:20" s="8" customFormat="1" x14ac:dyDescent="0.2">
      <c r="A57" s="8">
        <f t="shared" si="6"/>
        <v>2005</v>
      </c>
      <c r="B57" s="8">
        <f t="shared" si="7"/>
        <v>7</v>
      </c>
      <c r="C57" s="9">
        <f t="shared" si="5"/>
        <v>38534</v>
      </c>
      <c r="D57" s="8">
        <f t="shared" si="8"/>
        <v>45</v>
      </c>
      <c r="E57" s="14">
        <f>IF(ISNA(VLOOKUP(E$1,'delta-new'!$A$3:$DQ$20,$D57,FALSE)),0,VLOOKUP(E$1,'delta-new'!$A$3:$DQ$20,$D57,FALSE))</f>
        <v>-21016</v>
      </c>
      <c r="F57" s="14">
        <f>IF(ISNA(VLOOKUP(F$1,'peak-new'!$A$3:$DQ$19,$D57,FALSE)),0,VLOOKUP(F$1,'peak-new'!$A$3:$DQ$19,$D57,FALSE))</f>
        <v>0</v>
      </c>
      <c r="G57" s="14">
        <f>IF(ISNA(VLOOKUP(G$1,'peak-new'!$A$3:$DQ$19,$D57,FALSE)),0,VLOOKUP(G$1,'peak-new'!$A$3:$DQ$19,$D57,FALSE))</f>
        <v>0</v>
      </c>
      <c r="H57" s="14">
        <f>IF(ISNA(VLOOKUP(H$1,'peak-new'!$A$3:$DQ$19,$D57,FALSE)),0,VLOOKUP(H$1,'peak-new'!$A$3:$DQ$19,$D57,FALSE))</f>
        <v>-16000</v>
      </c>
      <c r="I57" s="14">
        <f>IF(ISNA(VLOOKUP(I$1,'peak-new'!$A$3:$DQ$19,$D57,FALSE)),0,VLOOKUP(I$1,'peak-new'!$A$3:$DQ$19,$D57,FALSE))</f>
        <v>8000</v>
      </c>
      <c r="J57" s="14">
        <f>IF(ISNA(VLOOKUP(J$1,'peak-new'!$A$3:$DQ$19,$D57,FALSE)),0,VLOOKUP(J$1,'peak-new'!$A$3:$DQ$19,$D57,FALSE))</f>
        <v>0</v>
      </c>
      <c r="K57" s="14">
        <f>IF(ISNA(VLOOKUP(K$1,'peak-new'!$A$3:$DQ$19,$D57,FALSE)),0,VLOOKUP(K$1,'peak-new'!$A$3:$DQ$19,$D57,FALSE))</f>
        <v>0</v>
      </c>
      <c r="L57" s="14">
        <f>IF(ISNA(VLOOKUP(L$1,'peak-new'!$A$3:$DQ$19,$D57,FALSE)),0,VLOOKUP(L$1,'peak-new'!$A$3:$DQ$19,$D57,FALSE))</f>
        <v>-320</v>
      </c>
      <c r="M57" s="14">
        <f>IF(ISNA(VLOOKUP(M$1,'peak-new'!$A$3:$DQ$19,$D57,FALSE)),0,VLOOKUP(M$1,'peak-new'!$A$3:$DQ$19,$D57,FALSE))</f>
        <v>0</v>
      </c>
      <c r="N57" s="14">
        <f>IF(ISNA(VLOOKUP(N$1,'peak-new'!$A$3:$DQ$19,$D57,FALSE)),0,VLOOKUP(N$1,'peak-new'!$A$3:$DQ$19,$D57,FALSE))</f>
        <v>0</v>
      </c>
      <c r="O57" s="14">
        <f>IF(ISNA(VLOOKUP(O$1,'peak-new'!$A$3:$DQ$19,$D57,FALSE)),0,VLOOKUP(O$1,'peak-new'!$A$3:$DQ$19,$D57,FALSE))</f>
        <v>0</v>
      </c>
      <c r="P57" s="14">
        <f>IF(ISNA(VLOOKUP(P$1,'peak-new'!$A$3:$DQ$19,$D57,FALSE)),0,VLOOKUP(P$1,'peak-new'!$A$3:$DQ$19,$D57,FALSE))</f>
        <v>0</v>
      </c>
      <c r="Q57" s="15">
        <f>IF(ISNA(VLOOKUP(Q$1,'delta-new'!$A$3:$DQ$20,$D57,FALSE)),0,VLOOKUP(Q$1,'delta-new'!$A$3:$DQ$20,$D57,FALSE))</f>
        <v>32749</v>
      </c>
      <c r="R57" s="14">
        <f>IF(ISNA(VLOOKUP(R$1,'peak-new'!$A$3:$DQ$19,$D57,FALSE)),0,VLOOKUP(R$1,'peak-new'!$A$3:$DQ$19,$D57,FALSE))</f>
        <v>16000</v>
      </c>
      <c r="S57" s="10">
        <v>320</v>
      </c>
      <c r="T57" s="8">
        <f t="shared" si="9"/>
        <v>-13200</v>
      </c>
    </row>
    <row r="58" spans="1:20" s="8" customFormat="1" x14ac:dyDescent="0.2">
      <c r="A58" s="8">
        <f t="shared" si="6"/>
        <v>2005</v>
      </c>
      <c r="B58" s="8">
        <f t="shared" si="7"/>
        <v>8</v>
      </c>
      <c r="C58" s="9">
        <f t="shared" si="5"/>
        <v>38565</v>
      </c>
      <c r="D58" s="8">
        <f t="shared" si="8"/>
        <v>46</v>
      </c>
      <c r="E58" s="14">
        <f>IF(ISNA(VLOOKUP(E$1,'delta-new'!$A$3:$DQ$20,$D58,FALSE)),0,VLOOKUP(E$1,'delta-new'!$A$3:$DQ$20,$D58,FALSE))</f>
        <v>-24049</v>
      </c>
      <c r="F58" s="14">
        <f>IF(ISNA(VLOOKUP(F$1,'peak-new'!$A$3:$DQ$19,$D58,FALSE)),0,VLOOKUP(F$1,'peak-new'!$A$3:$DQ$19,$D58,FALSE))</f>
        <v>0</v>
      </c>
      <c r="G58" s="14">
        <f>IF(ISNA(VLOOKUP(G$1,'peak-new'!$A$3:$DQ$19,$D58,FALSE)),0,VLOOKUP(G$1,'peak-new'!$A$3:$DQ$19,$D58,FALSE))</f>
        <v>0</v>
      </c>
      <c r="H58" s="14">
        <f>IF(ISNA(VLOOKUP(H$1,'peak-new'!$A$3:$DQ$19,$D58,FALSE)),0,VLOOKUP(H$1,'peak-new'!$A$3:$DQ$19,$D58,FALSE))</f>
        <v>-18400</v>
      </c>
      <c r="I58" s="14">
        <f>IF(ISNA(VLOOKUP(I$1,'peak-new'!$A$3:$DQ$19,$D58,FALSE)),0,VLOOKUP(I$1,'peak-new'!$A$3:$DQ$19,$D58,FALSE))</f>
        <v>9200</v>
      </c>
      <c r="J58" s="14">
        <f>IF(ISNA(VLOOKUP(J$1,'peak-new'!$A$3:$DQ$19,$D58,FALSE)),0,VLOOKUP(J$1,'peak-new'!$A$3:$DQ$19,$D58,FALSE))</f>
        <v>0</v>
      </c>
      <c r="K58" s="14">
        <f>IF(ISNA(VLOOKUP(K$1,'peak-new'!$A$3:$DQ$19,$D58,FALSE)),0,VLOOKUP(K$1,'peak-new'!$A$3:$DQ$19,$D58,FALSE))</f>
        <v>0</v>
      </c>
      <c r="L58" s="14">
        <f>IF(ISNA(VLOOKUP(L$1,'peak-new'!$A$3:$DQ$19,$D58,FALSE)),0,VLOOKUP(L$1,'peak-new'!$A$3:$DQ$19,$D58,FALSE))</f>
        <v>-368</v>
      </c>
      <c r="M58" s="14">
        <f>IF(ISNA(VLOOKUP(M$1,'peak-new'!$A$3:$DQ$19,$D58,FALSE)),0,VLOOKUP(M$1,'peak-new'!$A$3:$DQ$19,$D58,FALSE))</f>
        <v>0</v>
      </c>
      <c r="N58" s="14">
        <f>IF(ISNA(VLOOKUP(N$1,'peak-new'!$A$3:$DQ$19,$D58,FALSE)),0,VLOOKUP(N$1,'peak-new'!$A$3:$DQ$19,$D58,FALSE))</f>
        <v>0</v>
      </c>
      <c r="O58" s="14">
        <f>IF(ISNA(VLOOKUP(O$1,'peak-new'!$A$3:$DQ$19,$D58,FALSE)),0,VLOOKUP(O$1,'peak-new'!$A$3:$DQ$19,$D58,FALSE))</f>
        <v>0</v>
      </c>
      <c r="P58" s="14">
        <f>IF(ISNA(VLOOKUP(P$1,'peak-new'!$A$3:$DQ$19,$D58,FALSE)),0,VLOOKUP(P$1,'peak-new'!$A$3:$DQ$19,$D58,FALSE))</f>
        <v>0</v>
      </c>
      <c r="Q58" s="15">
        <f>IF(ISNA(VLOOKUP(Q$1,'delta-new'!$A$3:$DQ$20,$D58,FALSE)),0,VLOOKUP(Q$1,'delta-new'!$A$3:$DQ$20,$D58,FALSE))</f>
        <v>37789</v>
      </c>
      <c r="R58" s="14">
        <f>IF(ISNA(VLOOKUP(R$1,'peak-new'!$A$3:$DQ$19,$D58,FALSE)),0,VLOOKUP(R$1,'peak-new'!$A$3:$DQ$19,$D58,FALSE))</f>
        <v>18400</v>
      </c>
      <c r="S58" s="10">
        <v>368</v>
      </c>
      <c r="T58" s="8">
        <f t="shared" si="9"/>
        <v>-15180</v>
      </c>
    </row>
    <row r="59" spans="1:20" s="8" customFormat="1" x14ac:dyDescent="0.2">
      <c r="A59" s="8">
        <f t="shared" si="6"/>
        <v>2005</v>
      </c>
      <c r="B59" s="8">
        <f t="shared" si="7"/>
        <v>9</v>
      </c>
      <c r="C59" s="9">
        <f t="shared" si="5"/>
        <v>38596</v>
      </c>
      <c r="D59" s="8">
        <f t="shared" si="8"/>
        <v>47</v>
      </c>
      <c r="E59" s="14">
        <f>IF(ISNA(VLOOKUP(E$1,'delta-new'!$A$3:$DQ$20,$D59,FALSE)),0,VLOOKUP(E$1,'delta-new'!$A$3:$DQ$20,$D59,FALSE))</f>
        <v>-21853.11</v>
      </c>
      <c r="F59" s="14">
        <f>IF(ISNA(VLOOKUP(F$1,'peak-new'!$A$3:$DQ$19,$D59,FALSE)),0,VLOOKUP(F$1,'peak-new'!$A$3:$DQ$19,$D59,FALSE))</f>
        <v>0</v>
      </c>
      <c r="G59" s="14">
        <f>IF(ISNA(VLOOKUP(G$1,'peak-new'!$A$3:$DQ$19,$D59,FALSE)),0,VLOOKUP(G$1,'peak-new'!$A$3:$DQ$19,$D59,FALSE))</f>
        <v>0</v>
      </c>
      <c r="H59" s="14">
        <f>IF(ISNA(VLOOKUP(H$1,'peak-new'!$A$3:$DQ$19,$D59,FALSE)),0,VLOOKUP(H$1,'peak-new'!$A$3:$DQ$19,$D59,FALSE))</f>
        <v>-16800</v>
      </c>
      <c r="I59" s="14">
        <f>IF(ISNA(VLOOKUP(I$1,'peak-new'!$A$3:$DQ$19,$D59,FALSE)),0,VLOOKUP(I$1,'peak-new'!$A$3:$DQ$19,$D59,FALSE))</f>
        <v>8400</v>
      </c>
      <c r="J59" s="14">
        <f>IF(ISNA(VLOOKUP(J$1,'peak-new'!$A$3:$DQ$19,$D59,FALSE)),0,VLOOKUP(J$1,'peak-new'!$A$3:$DQ$19,$D59,FALSE))</f>
        <v>0</v>
      </c>
      <c r="K59" s="14">
        <f>IF(ISNA(VLOOKUP(K$1,'peak-new'!$A$3:$DQ$19,$D59,FALSE)),0,VLOOKUP(K$1,'peak-new'!$A$3:$DQ$19,$D59,FALSE))</f>
        <v>0</v>
      </c>
      <c r="L59" s="14">
        <f>IF(ISNA(VLOOKUP(L$1,'peak-new'!$A$3:$DQ$19,$D59,FALSE)),0,VLOOKUP(L$1,'peak-new'!$A$3:$DQ$19,$D59,FALSE))</f>
        <v>0</v>
      </c>
      <c r="M59" s="14">
        <f>IF(ISNA(VLOOKUP(M$1,'peak-new'!$A$3:$DQ$19,$D59,FALSE)),0,VLOOKUP(M$1,'peak-new'!$A$3:$DQ$19,$D59,FALSE))</f>
        <v>0</v>
      </c>
      <c r="N59" s="14">
        <f>IF(ISNA(VLOOKUP(N$1,'peak-new'!$A$3:$DQ$19,$D59,FALSE)),0,VLOOKUP(N$1,'peak-new'!$A$3:$DQ$19,$D59,FALSE))</f>
        <v>0</v>
      </c>
      <c r="O59" s="14">
        <f>IF(ISNA(VLOOKUP(O$1,'peak-new'!$A$3:$DQ$19,$D59,FALSE)),0,VLOOKUP(O$1,'peak-new'!$A$3:$DQ$19,$D59,FALSE))</f>
        <v>0</v>
      </c>
      <c r="P59" s="14">
        <f>IF(ISNA(VLOOKUP(P$1,'peak-new'!$A$3:$DQ$19,$D59,FALSE)),0,VLOOKUP(P$1,'peak-new'!$A$3:$DQ$19,$D59,FALSE))</f>
        <v>0</v>
      </c>
      <c r="Q59" s="15">
        <f>IF(ISNA(VLOOKUP(Q$1,'delta-new'!$A$3:$DQ$20,$D59,FALSE)),0,VLOOKUP(Q$1,'delta-new'!$A$3:$DQ$20,$D59,FALSE))</f>
        <v>34622.65</v>
      </c>
      <c r="R59" s="14">
        <f>IF(ISNA(VLOOKUP(R$1,'peak-new'!$A$3:$DQ$19,$D59,FALSE)),0,VLOOKUP(R$1,'peak-new'!$A$3:$DQ$19,$D59,FALSE))</f>
        <v>16800</v>
      </c>
      <c r="S59" s="10">
        <v>336</v>
      </c>
      <c r="T59" s="8">
        <f t="shared" si="9"/>
        <v>-13860</v>
      </c>
    </row>
    <row r="60" spans="1:20" s="8" customFormat="1" x14ac:dyDescent="0.2">
      <c r="A60" s="8">
        <f t="shared" si="6"/>
        <v>2005</v>
      </c>
      <c r="B60" s="8">
        <f t="shared" si="7"/>
        <v>10</v>
      </c>
      <c r="C60" s="9">
        <f t="shared" si="5"/>
        <v>38626</v>
      </c>
      <c r="D60" s="8">
        <f t="shared" si="8"/>
        <v>48</v>
      </c>
      <c r="E60" s="14">
        <f>IF(ISNA(VLOOKUP(E$1,'delta-new'!$A$3:$DQ$20,$D60,FALSE)),0,VLOOKUP(E$1,'delta-new'!$A$3:$DQ$20,$D60,FALSE))</f>
        <v>-21744.92</v>
      </c>
      <c r="F60" s="14">
        <f>IF(ISNA(VLOOKUP(F$1,'peak-new'!$A$3:$DQ$19,$D60,FALSE)),0,VLOOKUP(F$1,'peak-new'!$A$3:$DQ$19,$D60,FALSE))</f>
        <v>0</v>
      </c>
      <c r="G60" s="14">
        <f>IF(ISNA(VLOOKUP(G$1,'peak-new'!$A$3:$DQ$19,$D60,FALSE)),0,VLOOKUP(G$1,'peak-new'!$A$3:$DQ$19,$D60,FALSE))</f>
        <v>0</v>
      </c>
      <c r="H60" s="14">
        <f>IF(ISNA(VLOOKUP(H$1,'peak-new'!$A$3:$DQ$19,$D60,FALSE)),0,VLOOKUP(H$1,'peak-new'!$A$3:$DQ$19,$D60,FALSE))</f>
        <v>-16800</v>
      </c>
      <c r="I60" s="14">
        <f>IF(ISNA(VLOOKUP(I$1,'peak-new'!$A$3:$DQ$19,$D60,FALSE)),0,VLOOKUP(I$1,'peak-new'!$A$3:$DQ$19,$D60,FALSE))</f>
        <v>8400</v>
      </c>
      <c r="J60" s="14">
        <f>IF(ISNA(VLOOKUP(J$1,'peak-new'!$A$3:$DQ$19,$D60,FALSE)),0,VLOOKUP(J$1,'peak-new'!$A$3:$DQ$19,$D60,FALSE))</f>
        <v>0</v>
      </c>
      <c r="K60" s="14">
        <f>IF(ISNA(VLOOKUP(K$1,'peak-new'!$A$3:$DQ$19,$D60,FALSE)),0,VLOOKUP(K$1,'peak-new'!$A$3:$DQ$19,$D60,FALSE))</f>
        <v>0</v>
      </c>
      <c r="L60" s="14">
        <f>IF(ISNA(VLOOKUP(L$1,'peak-new'!$A$3:$DQ$19,$D60,FALSE)),0,VLOOKUP(L$1,'peak-new'!$A$3:$DQ$19,$D60,FALSE))</f>
        <v>0</v>
      </c>
      <c r="M60" s="14">
        <f>IF(ISNA(VLOOKUP(M$1,'peak-new'!$A$3:$DQ$19,$D60,FALSE)),0,VLOOKUP(M$1,'peak-new'!$A$3:$DQ$19,$D60,FALSE))</f>
        <v>0</v>
      </c>
      <c r="N60" s="14">
        <f>IF(ISNA(VLOOKUP(N$1,'peak-new'!$A$3:$DQ$19,$D60,FALSE)),0,VLOOKUP(N$1,'peak-new'!$A$3:$DQ$19,$D60,FALSE))</f>
        <v>0</v>
      </c>
      <c r="O60" s="14">
        <f>IF(ISNA(VLOOKUP(O$1,'peak-new'!$A$3:$DQ$19,$D60,FALSE)),0,VLOOKUP(O$1,'peak-new'!$A$3:$DQ$19,$D60,FALSE))</f>
        <v>0</v>
      </c>
      <c r="P60" s="14">
        <f>IF(ISNA(VLOOKUP(P$1,'peak-new'!$A$3:$DQ$19,$D60,FALSE)),0,VLOOKUP(P$1,'peak-new'!$A$3:$DQ$19,$D60,FALSE))</f>
        <v>0</v>
      </c>
      <c r="Q60" s="15">
        <f>IF(ISNA(VLOOKUP(Q$1,'delta-new'!$A$3:$DQ$20,$D60,FALSE)),0,VLOOKUP(Q$1,'delta-new'!$A$3:$DQ$20,$D60,FALSE))</f>
        <v>34451.22</v>
      </c>
      <c r="R60" s="14">
        <f>IF(ISNA(VLOOKUP(R$1,'peak-new'!$A$3:$DQ$19,$D60,FALSE)),0,VLOOKUP(R$1,'peak-new'!$A$3:$DQ$19,$D60,FALSE))</f>
        <v>16800</v>
      </c>
      <c r="S60" s="10">
        <v>336</v>
      </c>
      <c r="T60" s="8">
        <f t="shared" si="9"/>
        <v>-13860</v>
      </c>
    </row>
    <row r="61" spans="1:20" s="8" customFormat="1" x14ac:dyDescent="0.2">
      <c r="A61" s="8">
        <f t="shared" si="6"/>
        <v>2005</v>
      </c>
      <c r="B61" s="8">
        <f t="shared" si="7"/>
        <v>11</v>
      </c>
      <c r="C61" s="9">
        <f t="shared" si="5"/>
        <v>38657</v>
      </c>
      <c r="D61" s="8">
        <f t="shared" si="8"/>
        <v>49</v>
      </c>
      <c r="E61" s="14">
        <f>IF(ISNA(VLOOKUP(E$1,'delta-new'!$A$3:$DQ$20,$D61,FALSE)),0,VLOOKUP(E$1,'delta-new'!$A$3:$DQ$20,$D61,FALSE))</f>
        <v>-21641.21</v>
      </c>
      <c r="F61" s="14">
        <f>IF(ISNA(VLOOKUP(F$1,'peak-new'!$A$3:$DQ$19,$D61,FALSE)),0,VLOOKUP(F$1,'peak-new'!$A$3:$DQ$19,$D61,FALSE))</f>
        <v>0</v>
      </c>
      <c r="G61" s="14">
        <f>IF(ISNA(VLOOKUP(G$1,'peak-new'!$A$3:$DQ$19,$D61,FALSE)),0,VLOOKUP(G$1,'peak-new'!$A$3:$DQ$19,$D61,FALSE))</f>
        <v>0</v>
      </c>
      <c r="H61" s="14">
        <f>IF(ISNA(VLOOKUP(H$1,'peak-new'!$A$3:$DQ$19,$D61,FALSE)),0,VLOOKUP(H$1,'peak-new'!$A$3:$DQ$19,$D61,FALSE))</f>
        <v>-16800</v>
      </c>
      <c r="I61" s="14">
        <f>IF(ISNA(VLOOKUP(I$1,'peak-new'!$A$3:$DQ$19,$D61,FALSE)),0,VLOOKUP(I$1,'peak-new'!$A$3:$DQ$19,$D61,FALSE))</f>
        <v>8400</v>
      </c>
      <c r="J61" s="14">
        <f>IF(ISNA(VLOOKUP(J$1,'peak-new'!$A$3:$DQ$19,$D61,FALSE)),0,VLOOKUP(J$1,'peak-new'!$A$3:$DQ$19,$D61,FALSE))</f>
        <v>0</v>
      </c>
      <c r="K61" s="14">
        <f>IF(ISNA(VLOOKUP(K$1,'peak-new'!$A$3:$DQ$19,$D61,FALSE)),0,VLOOKUP(K$1,'peak-new'!$A$3:$DQ$19,$D61,FALSE))</f>
        <v>0</v>
      </c>
      <c r="L61" s="14">
        <f>IF(ISNA(VLOOKUP(L$1,'peak-new'!$A$3:$DQ$19,$D61,FALSE)),0,VLOOKUP(L$1,'peak-new'!$A$3:$DQ$19,$D61,FALSE))</f>
        <v>0</v>
      </c>
      <c r="M61" s="14">
        <f>IF(ISNA(VLOOKUP(M$1,'peak-new'!$A$3:$DQ$19,$D61,FALSE)),0,VLOOKUP(M$1,'peak-new'!$A$3:$DQ$19,$D61,FALSE))</f>
        <v>0</v>
      </c>
      <c r="N61" s="14">
        <f>IF(ISNA(VLOOKUP(N$1,'peak-new'!$A$3:$DQ$19,$D61,FALSE)),0,VLOOKUP(N$1,'peak-new'!$A$3:$DQ$19,$D61,FALSE))</f>
        <v>0</v>
      </c>
      <c r="O61" s="14">
        <f>IF(ISNA(VLOOKUP(O$1,'peak-new'!$A$3:$DQ$19,$D61,FALSE)),0,VLOOKUP(O$1,'peak-new'!$A$3:$DQ$19,$D61,FALSE))</f>
        <v>0</v>
      </c>
      <c r="P61" s="14">
        <f>IF(ISNA(VLOOKUP(P$1,'peak-new'!$A$3:$DQ$19,$D61,FALSE)),0,VLOOKUP(P$1,'peak-new'!$A$3:$DQ$19,$D61,FALSE))</f>
        <v>0</v>
      </c>
      <c r="Q61" s="15">
        <f>IF(ISNA(VLOOKUP(Q$1,'delta-new'!$A$3:$DQ$20,$D61,FALSE)),0,VLOOKUP(Q$1,'delta-new'!$A$3:$DQ$20,$D61,FALSE))</f>
        <v>34286.93</v>
      </c>
      <c r="R61" s="14">
        <f>IF(ISNA(VLOOKUP(R$1,'peak-new'!$A$3:$DQ$19,$D61,FALSE)),0,VLOOKUP(R$1,'peak-new'!$A$3:$DQ$19,$D61,FALSE))</f>
        <v>16800</v>
      </c>
      <c r="S61" s="10">
        <v>336</v>
      </c>
      <c r="T61" s="8">
        <f t="shared" si="9"/>
        <v>-13860</v>
      </c>
    </row>
    <row r="62" spans="1:20" s="8" customFormat="1" x14ac:dyDescent="0.2">
      <c r="A62" s="8">
        <f t="shared" si="6"/>
        <v>2005</v>
      </c>
      <c r="B62" s="8">
        <f t="shared" si="7"/>
        <v>12</v>
      </c>
      <c r="C62" s="9">
        <f t="shared" si="5"/>
        <v>38687</v>
      </c>
      <c r="D62" s="8">
        <f t="shared" si="8"/>
        <v>50</v>
      </c>
      <c r="E62" s="14">
        <f>IF(ISNA(VLOOKUP(E$1,'delta-new'!$A$3:$DQ$20,$D62,FALSE)),0,VLOOKUP(E$1,'delta-new'!$A$3:$DQ$20,$D62,FALSE))</f>
        <v>-21537.42</v>
      </c>
      <c r="F62" s="14">
        <f>IF(ISNA(VLOOKUP(F$1,'peak-new'!$A$3:$DQ$19,$D62,FALSE)),0,VLOOKUP(F$1,'peak-new'!$A$3:$DQ$19,$D62,FALSE))</f>
        <v>0</v>
      </c>
      <c r="G62" s="14">
        <f>IF(ISNA(VLOOKUP(G$1,'peak-new'!$A$3:$DQ$19,$D62,FALSE)),0,VLOOKUP(G$1,'peak-new'!$A$3:$DQ$19,$D62,FALSE))</f>
        <v>0</v>
      </c>
      <c r="H62" s="14">
        <f>IF(ISNA(VLOOKUP(H$1,'peak-new'!$A$3:$DQ$19,$D62,FALSE)),0,VLOOKUP(H$1,'peak-new'!$A$3:$DQ$19,$D62,FALSE))</f>
        <v>-16800</v>
      </c>
      <c r="I62" s="14">
        <f>IF(ISNA(VLOOKUP(I$1,'peak-new'!$A$3:$DQ$19,$D62,FALSE)),0,VLOOKUP(I$1,'peak-new'!$A$3:$DQ$19,$D62,FALSE))</f>
        <v>8400</v>
      </c>
      <c r="J62" s="14">
        <f>IF(ISNA(VLOOKUP(J$1,'peak-new'!$A$3:$DQ$19,$D62,FALSE)),0,VLOOKUP(J$1,'peak-new'!$A$3:$DQ$19,$D62,FALSE))</f>
        <v>0</v>
      </c>
      <c r="K62" s="14">
        <f>IF(ISNA(VLOOKUP(K$1,'peak-new'!$A$3:$DQ$19,$D62,FALSE)),0,VLOOKUP(K$1,'peak-new'!$A$3:$DQ$19,$D62,FALSE))</f>
        <v>0</v>
      </c>
      <c r="L62" s="14">
        <f>IF(ISNA(VLOOKUP(L$1,'peak-new'!$A$3:$DQ$19,$D62,FALSE)),0,VLOOKUP(L$1,'peak-new'!$A$3:$DQ$19,$D62,FALSE))</f>
        <v>0</v>
      </c>
      <c r="M62" s="14">
        <f>IF(ISNA(VLOOKUP(M$1,'peak-new'!$A$3:$DQ$19,$D62,FALSE)),0,VLOOKUP(M$1,'peak-new'!$A$3:$DQ$19,$D62,FALSE))</f>
        <v>0</v>
      </c>
      <c r="N62" s="14">
        <f>IF(ISNA(VLOOKUP(N$1,'peak-new'!$A$3:$DQ$19,$D62,FALSE)),0,VLOOKUP(N$1,'peak-new'!$A$3:$DQ$19,$D62,FALSE))</f>
        <v>0</v>
      </c>
      <c r="O62" s="14">
        <f>IF(ISNA(VLOOKUP(O$1,'peak-new'!$A$3:$DQ$19,$D62,FALSE)),0,VLOOKUP(O$1,'peak-new'!$A$3:$DQ$19,$D62,FALSE))</f>
        <v>0</v>
      </c>
      <c r="P62" s="14">
        <f>IF(ISNA(VLOOKUP(P$1,'peak-new'!$A$3:$DQ$19,$D62,FALSE)),0,VLOOKUP(P$1,'peak-new'!$A$3:$DQ$19,$D62,FALSE))</f>
        <v>0</v>
      </c>
      <c r="Q62" s="15">
        <f>IF(ISNA(VLOOKUP(Q$1,'delta-new'!$A$3:$DQ$20,$D62,FALSE)),0,VLOOKUP(Q$1,'delta-new'!$A$3:$DQ$20,$D62,FALSE))</f>
        <v>34122.81</v>
      </c>
      <c r="R62" s="14">
        <f>IF(ISNA(VLOOKUP(R$1,'peak-new'!$A$3:$DQ$19,$D62,FALSE)),0,VLOOKUP(R$1,'peak-new'!$A$3:$DQ$19,$D62,FALSE))</f>
        <v>16800</v>
      </c>
      <c r="S62" s="10">
        <v>336</v>
      </c>
      <c r="T62" s="8">
        <f t="shared" si="9"/>
        <v>-13860</v>
      </c>
    </row>
    <row r="63" spans="1:20" s="8" customFormat="1" x14ac:dyDescent="0.2">
      <c r="A63" s="8">
        <f t="shared" si="6"/>
        <v>2006</v>
      </c>
      <c r="B63" s="8">
        <f t="shared" si="7"/>
        <v>1</v>
      </c>
      <c r="C63" s="9">
        <f t="shared" si="5"/>
        <v>38718</v>
      </c>
      <c r="D63" s="8">
        <f t="shared" si="8"/>
        <v>51</v>
      </c>
      <c r="E63" s="14">
        <f>IF(ISNA(VLOOKUP(E$1,'delta-new'!$A$3:$DQ$20,$D63,FALSE)),0,VLOOKUP(E$1,'delta-new'!$A$3:$DQ$20,$D63,FALSE))</f>
        <v>6402.69</v>
      </c>
      <c r="F63" s="14">
        <f>IF(ISNA(VLOOKUP(F$1,'peak-new'!$A$3:$DQ$19,$D63,FALSE)),0,VLOOKUP(F$1,'peak-new'!$A$3:$DQ$19,$D63,FALSE))</f>
        <v>0</v>
      </c>
      <c r="G63" s="14">
        <f>IF(ISNA(VLOOKUP(G$1,'peak-new'!$A$3:$DQ$19,$D63,FALSE)),0,VLOOKUP(G$1,'peak-new'!$A$3:$DQ$19,$D63,FALSE))</f>
        <v>0</v>
      </c>
      <c r="H63" s="14">
        <f>IF(ISNA(VLOOKUP(H$1,'peak-new'!$A$3:$DQ$19,$D63,FALSE)),0,VLOOKUP(H$1,'peak-new'!$A$3:$DQ$19,$D63,FALSE))</f>
        <v>-94752</v>
      </c>
      <c r="I63" s="14">
        <f>IF(ISNA(VLOOKUP(I$1,'peak-new'!$A$3:$DQ$19,$D63,FALSE)),0,VLOOKUP(I$1,'peak-new'!$A$3:$DQ$19,$D63,FALSE))</f>
        <v>-8400</v>
      </c>
      <c r="J63" s="14">
        <f>IF(ISNA(VLOOKUP(J$1,'peak-new'!$A$3:$DQ$19,$D63,FALSE)),0,VLOOKUP(J$1,'peak-new'!$A$3:$DQ$19,$D63,FALSE))</f>
        <v>0</v>
      </c>
      <c r="K63" s="14">
        <f>IF(ISNA(VLOOKUP(K$1,'peak-new'!$A$3:$DQ$19,$D63,FALSE)),0,VLOOKUP(K$1,'peak-new'!$A$3:$DQ$19,$D63,FALSE))</f>
        <v>0</v>
      </c>
      <c r="L63" s="14">
        <f>IF(ISNA(VLOOKUP(L$1,'peak-new'!$A$3:$DQ$19,$D63,FALSE)),0,VLOOKUP(L$1,'peak-new'!$A$3:$DQ$19,$D63,FALSE))</f>
        <v>0</v>
      </c>
      <c r="M63" s="14">
        <f>IF(ISNA(VLOOKUP(M$1,'peak-new'!$A$3:$DQ$19,$D63,FALSE)),0,VLOOKUP(M$1,'peak-new'!$A$3:$DQ$19,$D63,FALSE))</f>
        <v>0</v>
      </c>
      <c r="N63" s="14">
        <f>IF(ISNA(VLOOKUP(N$1,'peak-new'!$A$3:$DQ$19,$D63,FALSE)),0,VLOOKUP(N$1,'peak-new'!$A$3:$DQ$19,$D63,FALSE))</f>
        <v>0</v>
      </c>
      <c r="O63" s="14">
        <f>IF(ISNA(VLOOKUP(O$1,'peak-new'!$A$3:$DQ$19,$D63,FALSE)),0,VLOOKUP(O$1,'peak-new'!$A$3:$DQ$19,$D63,FALSE))</f>
        <v>0</v>
      </c>
      <c r="P63" s="14">
        <f>IF(ISNA(VLOOKUP(P$1,'peak-new'!$A$3:$DQ$19,$D63,FALSE)),0,VLOOKUP(P$1,'peak-new'!$A$3:$DQ$19,$D63,FALSE))</f>
        <v>0</v>
      </c>
      <c r="Q63" s="15">
        <f>IF(ISNA(VLOOKUP(Q$1,'delta-new'!$A$3:$DQ$20,$D63,FALSE)),0,VLOOKUP(Q$1,'delta-new'!$A$3:$DQ$20,$D63,FALSE))</f>
        <v>34239.339999999997</v>
      </c>
      <c r="R63" s="14">
        <f>IF(ISNA(VLOOKUP(R$1,'peak-new'!$A$3:$DQ$19,$D63,FALSE)),0,VLOOKUP(R$1,'peak-new'!$A$3:$DQ$19,$D63,FALSE))</f>
        <v>0</v>
      </c>
      <c r="S63" s="10"/>
    </row>
    <row r="64" spans="1:20" s="8" customFormat="1" x14ac:dyDescent="0.2">
      <c r="A64" s="8">
        <f t="shared" si="6"/>
        <v>2006</v>
      </c>
      <c r="B64" s="8">
        <f t="shared" si="7"/>
        <v>2</v>
      </c>
      <c r="C64" s="9">
        <f t="shared" si="5"/>
        <v>38749</v>
      </c>
      <c r="D64" s="8">
        <f t="shared" si="8"/>
        <v>52</v>
      </c>
      <c r="E64" s="14">
        <f>IF(ISNA(VLOOKUP(E$1,'delta-new'!$A$3:$DQ$20,$D64,FALSE)),0,VLOOKUP(E$1,'delta-new'!$A$3:$DQ$20,$D64,FALSE))</f>
        <v>6071.41</v>
      </c>
      <c r="F64" s="14">
        <f>IF(ISNA(VLOOKUP(F$1,'peak-new'!$A$3:$DQ$19,$D64,FALSE)),0,VLOOKUP(F$1,'peak-new'!$A$3:$DQ$19,$D64,FALSE))</f>
        <v>0</v>
      </c>
      <c r="G64" s="14">
        <f>IF(ISNA(VLOOKUP(G$1,'peak-new'!$A$3:$DQ$19,$D64,FALSE)),0,VLOOKUP(G$1,'peak-new'!$A$3:$DQ$19,$D64,FALSE))</f>
        <v>0</v>
      </c>
      <c r="H64" s="14">
        <f>IF(ISNA(VLOOKUP(H$1,'peak-new'!$A$3:$DQ$19,$D64,FALSE)),0,VLOOKUP(H$1,'peak-new'!$A$3:$DQ$19,$D64,FALSE))</f>
        <v>-90240</v>
      </c>
      <c r="I64" s="14">
        <f>IF(ISNA(VLOOKUP(I$1,'peak-new'!$A$3:$DQ$19,$D64,FALSE)),0,VLOOKUP(I$1,'peak-new'!$A$3:$DQ$19,$D64,FALSE))</f>
        <v>-8000</v>
      </c>
      <c r="J64" s="14">
        <f>IF(ISNA(VLOOKUP(J$1,'peak-new'!$A$3:$DQ$19,$D64,FALSE)),0,VLOOKUP(J$1,'peak-new'!$A$3:$DQ$19,$D64,FALSE))</f>
        <v>0</v>
      </c>
      <c r="K64" s="14">
        <f>IF(ISNA(VLOOKUP(K$1,'peak-new'!$A$3:$DQ$19,$D64,FALSE)),0,VLOOKUP(K$1,'peak-new'!$A$3:$DQ$19,$D64,FALSE))</f>
        <v>0</v>
      </c>
      <c r="L64" s="14">
        <f>IF(ISNA(VLOOKUP(L$1,'peak-new'!$A$3:$DQ$19,$D64,FALSE)),0,VLOOKUP(L$1,'peak-new'!$A$3:$DQ$19,$D64,FALSE))</f>
        <v>0</v>
      </c>
      <c r="M64" s="14">
        <f>IF(ISNA(VLOOKUP(M$1,'peak-new'!$A$3:$DQ$19,$D64,FALSE)),0,VLOOKUP(M$1,'peak-new'!$A$3:$DQ$19,$D64,FALSE))</f>
        <v>0</v>
      </c>
      <c r="N64" s="14">
        <f>IF(ISNA(VLOOKUP(N$1,'peak-new'!$A$3:$DQ$19,$D64,FALSE)),0,VLOOKUP(N$1,'peak-new'!$A$3:$DQ$19,$D64,FALSE))</f>
        <v>0</v>
      </c>
      <c r="O64" s="14">
        <f>IF(ISNA(VLOOKUP(O$1,'peak-new'!$A$3:$DQ$19,$D64,FALSE)),0,VLOOKUP(O$1,'peak-new'!$A$3:$DQ$19,$D64,FALSE))</f>
        <v>0</v>
      </c>
      <c r="P64" s="14">
        <f>IF(ISNA(VLOOKUP(P$1,'peak-new'!$A$3:$DQ$19,$D64,FALSE)),0,VLOOKUP(P$1,'peak-new'!$A$3:$DQ$19,$D64,FALSE))</f>
        <v>0</v>
      </c>
      <c r="Q64" s="15">
        <f>IF(ISNA(VLOOKUP(Q$1,'delta-new'!$A$3:$DQ$20,$D64,FALSE)),0,VLOOKUP(Q$1,'delta-new'!$A$3:$DQ$20,$D64,FALSE))</f>
        <v>32467.8</v>
      </c>
      <c r="R64" s="14">
        <f>IF(ISNA(VLOOKUP(R$1,'peak-new'!$A$3:$DQ$19,$D64,FALSE)),0,VLOOKUP(R$1,'peak-new'!$A$3:$DQ$19,$D64,FALSE))</f>
        <v>0</v>
      </c>
      <c r="S64" s="10"/>
    </row>
    <row r="65" spans="1:19" s="8" customFormat="1" x14ac:dyDescent="0.2">
      <c r="A65" s="8">
        <f t="shared" si="6"/>
        <v>2006</v>
      </c>
      <c r="B65" s="8">
        <f t="shared" si="7"/>
        <v>3</v>
      </c>
      <c r="C65" s="9">
        <f t="shared" si="5"/>
        <v>38777</v>
      </c>
      <c r="D65" s="8">
        <f t="shared" si="8"/>
        <v>53</v>
      </c>
      <c r="E65" s="14">
        <f>IF(ISNA(VLOOKUP(E$1,'delta-new'!$A$3:$DQ$20,$D65,FALSE)),0,VLOOKUP(E$1,'delta-new'!$A$3:$DQ$20,$D65,FALSE))</f>
        <v>6948.42</v>
      </c>
      <c r="F65" s="14">
        <f>IF(ISNA(VLOOKUP(F$1,'peak-new'!$A$3:$DQ$19,$D65,FALSE)),0,VLOOKUP(F$1,'peak-new'!$A$3:$DQ$19,$D65,FALSE))</f>
        <v>0</v>
      </c>
      <c r="G65" s="14">
        <f>IF(ISNA(VLOOKUP(G$1,'peak-new'!$A$3:$DQ$19,$D65,FALSE)),0,VLOOKUP(G$1,'peak-new'!$A$3:$DQ$19,$D65,FALSE))</f>
        <v>0</v>
      </c>
      <c r="H65" s="14">
        <f>IF(ISNA(VLOOKUP(H$1,'peak-new'!$A$3:$DQ$19,$D65,FALSE)),0,VLOOKUP(H$1,'peak-new'!$A$3:$DQ$19,$D65,FALSE))</f>
        <v>-105248</v>
      </c>
      <c r="I65" s="14">
        <f>IF(ISNA(VLOOKUP(I$1,'peak-new'!$A$3:$DQ$19,$D65,FALSE)),0,VLOOKUP(I$1,'peak-new'!$A$3:$DQ$19,$D65,FALSE))</f>
        <v>-9200</v>
      </c>
      <c r="J65" s="14">
        <f>IF(ISNA(VLOOKUP(J$1,'peak-new'!$A$3:$DQ$19,$D65,FALSE)),0,VLOOKUP(J$1,'peak-new'!$A$3:$DQ$19,$D65,FALSE))</f>
        <v>0</v>
      </c>
      <c r="K65" s="14">
        <f>IF(ISNA(VLOOKUP(K$1,'peak-new'!$A$3:$DQ$19,$D65,FALSE)),0,VLOOKUP(K$1,'peak-new'!$A$3:$DQ$19,$D65,FALSE))</f>
        <v>0</v>
      </c>
      <c r="L65" s="14">
        <f>IF(ISNA(VLOOKUP(L$1,'peak-new'!$A$3:$DQ$19,$D65,FALSE)),0,VLOOKUP(L$1,'peak-new'!$A$3:$DQ$19,$D65,FALSE))</f>
        <v>0</v>
      </c>
      <c r="M65" s="14">
        <f>IF(ISNA(VLOOKUP(M$1,'peak-new'!$A$3:$DQ$19,$D65,FALSE)),0,VLOOKUP(M$1,'peak-new'!$A$3:$DQ$19,$D65,FALSE))</f>
        <v>0</v>
      </c>
      <c r="N65" s="14">
        <f>IF(ISNA(VLOOKUP(N$1,'peak-new'!$A$3:$DQ$19,$D65,FALSE)),0,VLOOKUP(N$1,'peak-new'!$A$3:$DQ$19,$D65,FALSE))</f>
        <v>0</v>
      </c>
      <c r="O65" s="14">
        <f>IF(ISNA(VLOOKUP(O$1,'peak-new'!$A$3:$DQ$19,$D65,FALSE)),0,VLOOKUP(O$1,'peak-new'!$A$3:$DQ$19,$D65,FALSE))</f>
        <v>0</v>
      </c>
      <c r="P65" s="14">
        <f>IF(ISNA(VLOOKUP(P$1,'peak-new'!$A$3:$DQ$19,$D65,FALSE)),0,VLOOKUP(P$1,'peak-new'!$A$3:$DQ$19,$D65,FALSE))</f>
        <v>0</v>
      </c>
      <c r="Q65" s="15">
        <f>IF(ISNA(VLOOKUP(Q$1,'delta-new'!$A$3:$DQ$20,$D65,FALSE)),0,VLOOKUP(Q$1,'delta-new'!$A$3:$DQ$20,$D65,FALSE))</f>
        <v>37157.74</v>
      </c>
      <c r="R65" s="14">
        <f>IF(ISNA(VLOOKUP(R$1,'peak-new'!$A$3:$DQ$19,$D65,FALSE)),0,VLOOKUP(R$1,'peak-new'!$A$3:$DQ$19,$D65,FALSE))</f>
        <v>0</v>
      </c>
      <c r="S65" s="10"/>
    </row>
    <row r="66" spans="1:19" s="8" customFormat="1" x14ac:dyDescent="0.2">
      <c r="A66" s="8">
        <f t="shared" si="6"/>
        <v>2006</v>
      </c>
      <c r="B66" s="8">
        <f t="shared" si="7"/>
        <v>4</v>
      </c>
      <c r="C66" s="9">
        <f t="shared" si="5"/>
        <v>38808</v>
      </c>
      <c r="D66" s="8">
        <f t="shared" si="8"/>
        <v>54</v>
      </c>
      <c r="E66" s="14">
        <f>IF(ISNA(VLOOKUP(E$1,'delta-new'!$A$3:$DQ$20,$D66,FALSE)),0,VLOOKUP(E$1,'delta-new'!$A$3:$DQ$20,$D66,FALSE))</f>
        <v>6013.65</v>
      </c>
      <c r="F66" s="14">
        <f>IF(ISNA(VLOOKUP(F$1,'peak-new'!$A$3:$DQ$19,$D66,FALSE)),0,VLOOKUP(F$1,'peak-new'!$A$3:$DQ$19,$D66,FALSE))</f>
        <v>0</v>
      </c>
      <c r="G66" s="14">
        <f>IF(ISNA(VLOOKUP(G$1,'peak-new'!$A$3:$DQ$19,$D66,FALSE)),0,VLOOKUP(G$1,'peak-new'!$A$3:$DQ$19,$D66,FALSE))</f>
        <v>0</v>
      </c>
      <c r="H66" s="14">
        <f>IF(ISNA(VLOOKUP(H$1,'peak-new'!$A$3:$DQ$19,$D66,FALSE)),0,VLOOKUP(H$1,'peak-new'!$A$3:$DQ$19,$D66,FALSE))</f>
        <v>-91200</v>
      </c>
      <c r="I66" s="14">
        <f>IF(ISNA(VLOOKUP(I$1,'peak-new'!$A$3:$DQ$19,$D66,FALSE)),0,VLOOKUP(I$1,'peak-new'!$A$3:$DQ$19,$D66,FALSE))</f>
        <v>-8000</v>
      </c>
      <c r="J66" s="14">
        <f>IF(ISNA(VLOOKUP(J$1,'peak-new'!$A$3:$DQ$19,$D66,FALSE)),0,VLOOKUP(J$1,'peak-new'!$A$3:$DQ$19,$D66,FALSE))</f>
        <v>0</v>
      </c>
      <c r="K66" s="14">
        <f>IF(ISNA(VLOOKUP(K$1,'peak-new'!$A$3:$DQ$19,$D66,FALSE)),0,VLOOKUP(K$1,'peak-new'!$A$3:$DQ$19,$D66,FALSE))</f>
        <v>0</v>
      </c>
      <c r="L66" s="14">
        <f>IF(ISNA(VLOOKUP(L$1,'peak-new'!$A$3:$DQ$19,$D66,FALSE)),0,VLOOKUP(L$1,'peak-new'!$A$3:$DQ$19,$D66,FALSE))</f>
        <v>0</v>
      </c>
      <c r="M66" s="14">
        <f>IF(ISNA(VLOOKUP(M$1,'peak-new'!$A$3:$DQ$19,$D66,FALSE)),0,VLOOKUP(M$1,'peak-new'!$A$3:$DQ$19,$D66,FALSE))</f>
        <v>0</v>
      </c>
      <c r="N66" s="14">
        <f>IF(ISNA(VLOOKUP(N$1,'peak-new'!$A$3:$DQ$19,$D66,FALSE)),0,VLOOKUP(N$1,'peak-new'!$A$3:$DQ$19,$D66,FALSE))</f>
        <v>0</v>
      </c>
      <c r="O66" s="14">
        <f>IF(ISNA(VLOOKUP(O$1,'peak-new'!$A$3:$DQ$19,$D66,FALSE)),0,VLOOKUP(O$1,'peak-new'!$A$3:$DQ$19,$D66,FALSE))</f>
        <v>0</v>
      </c>
      <c r="P66" s="14">
        <f>IF(ISNA(VLOOKUP(P$1,'peak-new'!$A$3:$DQ$19,$D66,FALSE)),0,VLOOKUP(P$1,'peak-new'!$A$3:$DQ$19,$D66,FALSE))</f>
        <v>0</v>
      </c>
      <c r="Q66" s="15">
        <f>IF(ISNA(VLOOKUP(Q$1,'delta-new'!$A$3:$DQ$20,$D66,FALSE)),0,VLOOKUP(Q$1,'delta-new'!$A$3:$DQ$20,$D66,FALSE))</f>
        <v>31896.66</v>
      </c>
      <c r="R66" s="14">
        <f>IF(ISNA(VLOOKUP(R$1,'peak-new'!$A$3:$DQ$19,$D66,FALSE)),0,VLOOKUP(R$1,'peak-new'!$A$3:$DQ$19,$D66,FALSE))</f>
        <v>0</v>
      </c>
      <c r="S66" s="10"/>
    </row>
    <row r="67" spans="1:19" s="8" customFormat="1" x14ac:dyDescent="0.2">
      <c r="A67" s="8">
        <f t="shared" si="6"/>
        <v>2006</v>
      </c>
      <c r="B67" s="8">
        <f t="shared" si="7"/>
        <v>5</v>
      </c>
      <c r="C67" s="9">
        <f t="shared" ref="C67:C98" si="10">DATE(A67,B67,1)</f>
        <v>38838</v>
      </c>
      <c r="D67" s="8">
        <f t="shared" si="8"/>
        <v>55</v>
      </c>
      <c r="E67" s="14">
        <f>IF(ISNA(VLOOKUP(E$1,'delta-new'!$A$3:$DQ$20,$D67,FALSE)),0,VLOOKUP(E$1,'delta-new'!$A$3:$DQ$20,$D67,FALSE))</f>
        <v>6582.57</v>
      </c>
      <c r="F67" s="14">
        <f>IF(ISNA(VLOOKUP(F$1,'peak-new'!$A$3:$DQ$19,$D67,FALSE)),0,VLOOKUP(F$1,'peak-new'!$A$3:$DQ$19,$D67,FALSE))</f>
        <v>0</v>
      </c>
      <c r="G67" s="14">
        <f>IF(ISNA(VLOOKUP(G$1,'peak-new'!$A$3:$DQ$19,$D67,FALSE)),0,VLOOKUP(G$1,'peak-new'!$A$3:$DQ$19,$D67,FALSE))</f>
        <v>0</v>
      </c>
      <c r="H67" s="14">
        <f>IF(ISNA(VLOOKUP(H$1,'peak-new'!$A$3:$DQ$19,$D67,FALSE)),0,VLOOKUP(H$1,'peak-new'!$A$3:$DQ$19,$D67,FALSE))</f>
        <v>-97152</v>
      </c>
      <c r="I67" s="14">
        <f>IF(ISNA(VLOOKUP(I$1,'peak-new'!$A$3:$DQ$19,$D67,FALSE)),0,VLOOKUP(I$1,'peak-new'!$A$3:$DQ$19,$D67,FALSE))</f>
        <v>-8800</v>
      </c>
      <c r="J67" s="14">
        <f>IF(ISNA(VLOOKUP(J$1,'peak-new'!$A$3:$DQ$19,$D67,FALSE)),0,VLOOKUP(J$1,'peak-new'!$A$3:$DQ$19,$D67,FALSE))</f>
        <v>0</v>
      </c>
      <c r="K67" s="14">
        <f>IF(ISNA(VLOOKUP(K$1,'peak-new'!$A$3:$DQ$19,$D67,FALSE)),0,VLOOKUP(K$1,'peak-new'!$A$3:$DQ$19,$D67,FALSE))</f>
        <v>0</v>
      </c>
      <c r="L67" s="14">
        <f>IF(ISNA(VLOOKUP(L$1,'peak-new'!$A$3:$DQ$19,$D67,FALSE)),0,VLOOKUP(L$1,'peak-new'!$A$3:$DQ$19,$D67,FALSE))</f>
        <v>0</v>
      </c>
      <c r="M67" s="14">
        <f>IF(ISNA(VLOOKUP(M$1,'peak-new'!$A$3:$DQ$19,$D67,FALSE)),0,VLOOKUP(M$1,'peak-new'!$A$3:$DQ$19,$D67,FALSE))</f>
        <v>0</v>
      </c>
      <c r="N67" s="14">
        <f>IF(ISNA(VLOOKUP(N$1,'peak-new'!$A$3:$DQ$19,$D67,FALSE)),0,VLOOKUP(N$1,'peak-new'!$A$3:$DQ$19,$D67,FALSE))</f>
        <v>0</v>
      </c>
      <c r="O67" s="14">
        <f>IF(ISNA(VLOOKUP(O$1,'peak-new'!$A$3:$DQ$19,$D67,FALSE)),0,VLOOKUP(O$1,'peak-new'!$A$3:$DQ$19,$D67,FALSE))</f>
        <v>0</v>
      </c>
      <c r="P67" s="14">
        <f>IF(ISNA(VLOOKUP(P$1,'peak-new'!$A$3:$DQ$19,$D67,FALSE)),0,VLOOKUP(P$1,'peak-new'!$A$3:$DQ$19,$D67,FALSE))</f>
        <v>0</v>
      </c>
      <c r="Q67" s="15">
        <f>IF(ISNA(VLOOKUP(Q$1,'delta-new'!$A$3:$DQ$20,$D67,FALSE)),0,VLOOKUP(Q$1,'delta-new'!$A$3:$DQ$20,$D67,FALSE))</f>
        <v>34914.480000000003</v>
      </c>
      <c r="R67" s="14">
        <f>IF(ISNA(VLOOKUP(R$1,'peak-new'!$A$3:$DQ$19,$D67,FALSE)),0,VLOOKUP(R$1,'peak-new'!$A$3:$DQ$19,$D67,FALSE))</f>
        <v>0</v>
      </c>
      <c r="S67" s="10"/>
    </row>
    <row r="68" spans="1:19" s="8" customFormat="1" x14ac:dyDescent="0.2">
      <c r="A68" s="8">
        <f t="shared" ref="A68:A99" si="11">IF(B67=12,A67+1,A67)</f>
        <v>2006</v>
      </c>
      <c r="B68" s="8">
        <f t="shared" ref="B68:B99" si="12">IF(B67=12,1,B67+1)</f>
        <v>6</v>
      </c>
      <c r="C68" s="9">
        <f t="shared" si="10"/>
        <v>38869</v>
      </c>
      <c r="D68" s="8">
        <f t="shared" si="8"/>
        <v>56</v>
      </c>
      <c r="E68" s="14">
        <f>IF(ISNA(VLOOKUP(E$1,'delta-new'!$A$3:$DQ$20,$D68,FALSE)),0,VLOOKUP(E$1,'delta-new'!$A$3:$DQ$20,$D68,FALSE))</f>
        <v>6551.08</v>
      </c>
      <c r="F68" s="14">
        <f>IF(ISNA(VLOOKUP(F$1,'peak-new'!$A$3:$DQ$19,$D68,FALSE)),0,VLOOKUP(F$1,'peak-new'!$A$3:$DQ$19,$D68,FALSE))</f>
        <v>0</v>
      </c>
      <c r="G68" s="14">
        <f>IF(ISNA(VLOOKUP(G$1,'peak-new'!$A$3:$DQ$19,$D68,FALSE)),0,VLOOKUP(G$1,'peak-new'!$A$3:$DQ$19,$D68,FALSE))</f>
        <v>0</v>
      </c>
      <c r="H68" s="14">
        <f>IF(ISNA(VLOOKUP(H$1,'peak-new'!$A$3:$DQ$19,$D68,FALSE)),0,VLOOKUP(H$1,'peak-new'!$A$3:$DQ$19,$D68,FALSE))</f>
        <v>-95392</v>
      </c>
      <c r="I68" s="14">
        <f>IF(ISNA(VLOOKUP(I$1,'peak-new'!$A$3:$DQ$19,$D68,FALSE)),0,VLOOKUP(I$1,'peak-new'!$A$3:$DQ$19,$D68,FALSE))</f>
        <v>-8800</v>
      </c>
      <c r="J68" s="14">
        <f>IF(ISNA(VLOOKUP(J$1,'peak-new'!$A$3:$DQ$19,$D68,FALSE)),0,VLOOKUP(J$1,'peak-new'!$A$3:$DQ$19,$D68,FALSE))</f>
        <v>0</v>
      </c>
      <c r="K68" s="14">
        <f>IF(ISNA(VLOOKUP(K$1,'peak-new'!$A$3:$DQ$19,$D68,FALSE)),0,VLOOKUP(K$1,'peak-new'!$A$3:$DQ$19,$D68,FALSE))</f>
        <v>0</v>
      </c>
      <c r="L68" s="14">
        <f>IF(ISNA(VLOOKUP(L$1,'peak-new'!$A$3:$DQ$19,$D68,FALSE)),0,VLOOKUP(L$1,'peak-new'!$A$3:$DQ$19,$D68,FALSE))</f>
        <v>0</v>
      </c>
      <c r="M68" s="14">
        <f>IF(ISNA(VLOOKUP(M$1,'peak-new'!$A$3:$DQ$19,$D68,FALSE)),0,VLOOKUP(M$1,'peak-new'!$A$3:$DQ$19,$D68,FALSE))</f>
        <v>0</v>
      </c>
      <c r="N68" s="14">
        <f>IF(ISNA(VLOOKUP(N$1,'peak-new'!$A$3:$DQ$19,$D68,FALSE)),0,VLOOKUP(N$1,'peak-new'!$A$3:$DQ$19,$D68,FALSE))</f>
        <v>0</v>
      </c>
      <c r="O68" s="14">
        <f>IF(ISNA(VLOOKUP(O$1,'peak-new'!$A$3:$DQ$19,$D68,FALSE)),0,VLOOKUP(O$1,'peak-new'!$A$3:$DQ$19,$D68,FALSE))</f>
        <v>0</v>
      </c>
      <c r="P68" s="14">
        <f>IF(ISNA(VLOOKUP(P$1,'peak-new'!$A$3:$DQ$19,$D68,FALSE)),0,VLOOKUP(P$1,'peak-new'!$A$3:$DQ$19,$D68,FALSE))</f>
        <v>0</v>
      </c>
      <c r="Q68" s="15">
        <f>IF(ISNA(VLOOKUP(Q$1,'delta-new'!$A$3:$DQ$20,$D68,FALSE)),0,VLOOKUP(Q$1,'delta-new'!$A$3:$DQ$20,$D68,FALSE))</f>
        <v>34462.53</v>
      </c>
      <c r="R68" s="14">
        <f>IF(ISNA(VLOOKUP(R$1,'peak-new'!$A$3:$DQ$19,$D68,FALSE)),0,VLOOKUP(R$1,'peak-new'!$A$3:$DQ$19,$D68,FALSE))</f>
        <v>0</v>
      </c>
      <c r="S68" s="10"/>
    </row>
    <row r="69" spans="1:19" s="8" customFormat="1" x14ac:dyDescent="0.2">
      <c r="A69" s="8">
        <f t="shared" si="11"/>
        <v>2006</v>
      </c>
      <c r="B69" s="8">
        <f t="shared" si="12"/>
        <v>7</v>
      </c>
      <c r="C69" s="9">
        <f t="shared" si="10"/>
        <v>38899</v>
      </c>
      <c r="D69" s="8">
        <f t="shared" si="8"/>
        <v>57</v>
      </c>
      <c r="E69" s="14">
        <f>IF(ISNA(VLOOKUP(E$1,'delta-new'!$A$3:$DQ$20,$D69,FALSE)),0,VLOOKUP(E$1,'delta-new'!$A$3:$DQ$20,$D69,FALSE))</f>
        <v>5925.85</v>
      </c>
      <c r="F69" s="14">
        <f>IF(ISNA(VLOOKUP(F$1,'peak-new'!$A$3:$DQ$19,$D69,FALSE)),0,VLOOKUP(F$1,'peak-new'!$A$3:$DQ$19,$D69,FALSE))</f>
        <v>0</v>
      </c>
      <c r="G69" s="14">
        <f>IF(ISNA(VLOOKUP(G$1,'peak-new'!$A$3:$DQ$19,$D69,FALSE)),0,VLOOKUP(G$1,'peak-new'!$A$3:$DQ$19,$D69,FALSE))</f>
        <v>0</v>
      </c>
      <c r="H69" s="14">
        <f>IF(ISNA(VLOOKUP(H$1,'peak-new'!$A$3:$DQ$19,$D69,FALSE)),0,VLOOKUP(H$1,'peak-new'!$A$3:$DQ$19,$D69,FALSE))</f>
        <v>-84160</v>
      </c>
      <c r="I69" s="14">
        <f>IF(ISNA(VLOOKUP(I$1,'peak-new'!$A$3:$DQ$19,$D69,FALSE)),0,VLOOKUP(I$1,'peak-new'!$A$3:$DQ$19,$D69,FALSE))</f>
        <v>-8000</v>
      </c>
      <c r="J69" s="14">
        <f>IF(ISNA(VLOOKUP(J$1,'peak-new'!$A$3:$DQ$19,$D69,FALSE)),0,VLOOKUP(J$1,'peak-new'!$A$3:$DQ$19,$D69,FALSE))</f>
        <v>0</v>
      </c>
      <c r="K69" s="14">
        <f>IF(ISNA(VLOOKUP(K$1,'peak-new'!$A$3:$DQ$19,$D69,FALSE)),0,VLOOKUP(K$1,'peak-new'!$A$3:$DQ$19,$D69,FALSE))</f>
        <v>0</v>
      </c>
      <c r="L69" s="14">
        <f>IF(ISNA(VLOOKUP(L$1,'peak-new'!$A$3:$DQ$19,$D69,FALSE)),0,VLOOKUP(L$1,'peak-new'!$A$3:$DQ$19,$D69,FALSE))</f>
        <v>-320</v>
      </c>
      <c r="M69" s="14">
        <f>IF(ISNA(VLOOKUP(M$1,'peak-new'!$A$3:$DQ$19,$D69,FALSE)),0,VLOOKUP(M$1,'peak-new'!$A$3:$DQ$19,$D69,FALSE))</f>
        <v>0</v>
      </c>
      <c r="N69" s="14">
        <f>IF(ISNA(VLOOKUP(N$1,'peak-new'!$A$3:$DQ$19,$D69,FALSE)),0,VLOOKUP(N$1,'peak-new'!$A$3:$DQ$19,$D69,FALSE))</f>
        <v>0</v>
      </c>
      <c r="O69" s="14">
        <f>IF(ISNA(VLOOKUP(O$1,'peak-new'!$A$3:$DQ$19,$D69,FALSE)),0,VLOOKUP(O$1,'peak-new'!$A$3:$DQ$19,$D69,FALSE))</f>
        <v>0</v>
      </c>
      <c r="P69" s="14">
        <f>IF(ISNA(VLOOKUP(P$1,'peak-new'!$A$3:$DQ$19,$D69,FALSE)),0,VLOOKUP(P$1,'peak-new'!$A$3:$DQ$19,$D69,FALSE))</f>
        <v>0</v>
      </c>
      <c r="Q69" s="15">
        <f>IF(ISNA(VLOOKUP(Q$1,'delta-new'!$A$3:$DQ$20,$D69,FALSE)),0,VLOOKUP(Q$1,'delta-new'!$A$3:$DQ$20,$D69,FALSE))</f>
        <v>30914.76</v>
      </c>
      <c r="R69" s="14">
        <f>IF(ISNA(VLOOKUP(R$1,'peak-new'!$A$3:$DQ$19,$D69,FALSE)),0,VLOOKUP(R$1,'peak-new'!$A$3:$DQ$19,$D69,FALSE))</f>
        <v>0</v>
      </c>
      <c r="S69" s="10"/>
    </row>
    <row r="70" spans="1:19" s="8" customFormat="1" x14ac:dyDescent="0.2">
      <c r="A70" s="8">
        <f t="shared" si="11"/>
        <v>2006</v>
      </c>
      <c r="B70" s="8">
        <f t="shared" si="12"/>
        <v>8</v>
      </c>
      <c r="C70" s="9">
        <f t="shared" si="10"/>
        <v>38930</v>
      </c>
      <c r="D70" s="8">
        <f t="shared" si="8"/>
        <v>58</v>
      </c>
      <c r="E70" s="14">
        <f>IF(ISNA(VLOOKUP(E$1,'delta-new'!$A$3:$DQ$20,$D70,FALSE)),0,VLOOKUP(E$1,'delta-new'!$A$3:$DQ$20,$D70,FALSE))</f>
        <v>6780.5</v>
      </c>
      <c r="F70" s="14">
        <f>IF(ISNA(VLOOKUP(F$1,'peak-new'!$A$3:$DQ$19,$D70,FALSE)),0,VLOOKUP(F$1,'peak-new'!$A$3:$DQ$19,$D70,FALSE))</f>
        <v>0</v>
      </c>
      <c r="G70" s="14">
        <f>IF(ISNA(VLOOKUP(G$1,'peak-new'!$A$3:$DQ$19,$D70,FALSE)),0,VLOOKUP(G$1,'peak-new'!$A$3:$DQ$19,$D70,FALSE))</f>
        <v>0</v>
      </c>
      <c r="H70" s="14">
        <f>IF(ISNA(VLOOKUP(H$1,'peak-new'!$A$3:$DQ$19,$D70,FALSE)),0,VLOOKUP(H$1,'peak-new'!$A$3:$DQ$19,$D70,FALSE))</f>
        <v>-96416</v>
      </c>
      <c r="I70" s="14">
        <f>IF(ISNA(VLOOKUP(I$1,'peak-new'!$A$3:$DQ$19,$D70,FALSE)),0,VLOOKUP(I$1,'peak-new'!$A$3:$DQ$19,$D70,FALSE))</f>
        <v>-9200</v>
      </c>
      <c r="J70" s="14">
        <f>IF(ISNA(VLOOKUP(J$1,'peak-new'!$A$3:$DQ$19,$D70,FALSE)),0,VLOOKUP(J$1,'peak-new'!$A$3:$DQ$19,$D70,FALSE))</f>
        <v>0</v>
      </c>
      <c r="K70" s="14">
        <f>IF(ISNA(VLOOKUP(K$1,'peak-new'!$A$3:$DQ$19,$D70,FALSE)),0,VLOOKUP(K$1,'peak-new'!$A$3:$DQ$19,$D70,FALSE))</f>
        <v>0</v>
      </c>
      <c r="L70" s="14">
        <f>IF(ISNA(VLOOKUP(L$1,'peak-new'!$A$3:$DQ$19,$D70,FALSE)),0,VLOOKUP(L$1,'peak-new'!$A$3:$DQ$19,$D70,FALSE))</f>
        <v>-368</v>
      </c>
      <c r="M70" s="14">
        <f>IF(ISNA(VLOOKUP(M$1,'peak-new'!$A$3:$DQ$19,$D70,FALSE)),0,VLOOKUP(M$1,'peak-new'!$A$3:$DQ$19,$D70,FALSE))</f>
        <v>0</v>
      </c>
      <c r="N70" s="14">
        <f>IF(ISNA(VLOOKUP(N$1,'peak-new'!$A$3:$DQ$19,$D70,FALSE)),0,VLOOKUP(N$1,'peak-new'!$A$3:$DQ$19,$D70,FALSE))</f>
        <v>0</v>
      </c>
      <c r="O70" s="14">
        <f>IF(ISNA(VLOOKUP(O$1,'peak-new'!$A$3:$DQ$19,$D70,FALSE)),0,VLOOKUP(O$1,'peak-new'!$A$3:$DQ$19,$D70,FALSE))</f>
        <v>0</v>
      </c>
      <c r="P70" s="14">
        <f>IF(ISNA(VLOOKUP(P$1,'peak-new'!$A$3:$DQ$19,$D70,FALSE)),0,VLOOKUP(P$1,'peak-new'!$A$3:$DQ$19,$D70,FALSE))</f>
        <v>0</v>
      </c>
      <c r="Q70" s="15">
        <f>IF(ISNA(VLOOKUP(Q$1,'delta-new'!$A$3:$DQ$20,$D70,FALSE)),0,VLOOKUP(Q$1,'delta-new'!$A$3:$DQ$20,$D70,FALSE))</f>
        <v>35669</v>
      </c>
      <c r="R70" s="14">
        <f>IF(ISNA(VLOOKUP(R$1,'peak-new'!$A$3:$DQ$19,$D70,FALSE)),0,VLOOKUP(R$1,'peak-new'!$A$3:$DQ$19,$D70,FALSE))</f>
        <v>0</v>
      </c>
      <c r="S70" s="10"/>
    </row>
    <row r="71" spans="1:19" s="8" customFormat="1" x14ac:dyDescent="0.2">
      <c r="A71" s="8">
        <f t="shared" si="11"/>
        <v>2006</v>
      </c>
      <c r="B71" s="8">
        <f t="shared" si="12"/>
        <v>9</v>
      </c>
      <c r="C71" s="9">
        <f t="shared" si="10"/>
        <v>38961</v>
      </c>
      <c r="D71" s="8">
        <f t="shared" si="8"/>
        <v>59</v>
      </c>
      <c r="E71" s="14">
        <f>IF(ISNA(VLOOKUP(E$1,'delta-new'!$A$3:$DQ$20,$D71,FALSE)),0,VLOOKUP(E$1,'delta-new'!$A$3:$DQ$20,$D71,FALSE))</f>
        <v>5867.2</v>
      </c>
      <c r="F71" s="14">
        <f>IF(ISNA(VLOOKUP(F$1,'peak-new'!$A$3:$DQ$19,$D71,FALSE)),0,VLOOKUP(F$1,'peak-new'!$A$3:$DQ$19,$D71,FALSE))</f>
        <v>0</v>
      </c>
      <c r="G71" s="14">
        <f>IF(ISNA(VLOOKUP(G$1,'peak-new'!$A$3:$DQ$19,$D71,FALSE)),0,VLOOKUP(G$1,'peak-new'!$A$3:$DQ$19,$D71,FALSE))</f>
        <v>0</v>
      </c>
      <c r="H71" s="14">
        <f>IF(ISNA(VLOOKUP(H$1,'peak-new'!$A$3:$DQ$19,$D71,FALSE)),0,VLOOKUP(H$1,'peak-new'!$A$3:$DQ$19,$D71,FALSE))</f>
        <v>-88960</v>
      </c>
      <c r="I71" s="14">
        <f>IF(ISNA(VLOOKUP(I$1,'peak-new'!$A$3:$DQ$19,$D71,FALSE)),0,VLOOKUP(I$1,'peak-new'!$A$3:$DQ$19,$D71,FALSE))</f>
        <v>-8000</v>
      </c>
      <c r="J71" s="14">
        <f>IF(ISNA(VLOOKUP(J$1,'peak-new'!$A$3:$DQ$19,$D71,FALSE)),0,VLOOKUP(J$1,'peak-new'!$A$3:$DQ$19,$D71,FALSE))</f>
        <v>0</v>
      </c>
      <c r="K71" s="14">
        <f>IF(ISNA(VLOOKUP(K$1,'peak-new'!$A$3:$DQ$19,$D71,FALSE)),0,VLOOKUP(K$1,'peak-new'!$A$3:$DQ$19,$D71,FALSE))</f>
        <v>0</v>
      </c>
      <c r="L71" s="14">
        <f>IF(ISNA(VLOOKUP(L$1,'peak-new'!$A$3:$DQ$19,$D71,FALSE)),0,VLOOKUP(L$1,'peak-new'!$A$3:$DQ$19,$D71,FALSE))</f>
        <v>0</v>
      </c>
      <c r="M71" s="14">
        <f>IF(ISNA(VLOOKUP(M$1,'peak-new'!$A$3:$DQ$19,$D71,FALSE)),0,VLOOKUP(M$1,'peak-new'!$A$3:$DQ$19,$D71,FALSE))</f>
        <v>0</v>
      </c>
      <c r="N71" s="14">
        <f>IF(ISNA(VLOOKUP(N$1,'peak-new'!$A$3:$DQ$19,$D71,FALSE)),0,VLOOKUP(N$1,'peak-new'!$A$3:$DQ$19,$D71,FALSE))</f>
        <v>0</v>
      </c>
      <c r="O71" s="14">
        <f>IF(ISNA(VLOOKUP(O$1,'peak-new'!$A$3:$DQ$19,$D71,FALSE)),0,VLOOKUP(O$1,'peak-new'!$A$3:$DQ$19,$D71,FALSE))</f>
        <v>0</v>
      </c>
      <c r="P71" s="14">
        <f>IF(ISNA(VLOOKUP(P$1,'peak-new'!$A$3:$DQ$19,$D71,FALSE)),0,VLOOKUP(P$1,'peak-new'!$A$3:$DQ$19,$D71,FALSE))</f>
        <v>0</v>
      </c>
      <c r="Q71" s="15">
        <f>IF(ISNA(VLOOKUP(Q$1,'delta-new'!$A$3:$DQ$20,$D71,FALSE)),0,VLOOKUP(Q$1,'delta-new'!$A$3:$DQ$20,$D71,FALSE))</f>
        <v>31119.91</v>
      </c>
      <c r="R71" s="14">
        <f>IF(ISNA(VLOOKUP(R$1,'peak-new'!$A$3:$DQ$19,$D71,FALSE)),0,VLOOKUP(R$1,'peak-new'!$A$3:$DQ$19,$D71,FALSE))</f>
        <v>0</v>
      </c>
      <c r="S71" s="10"/>
    </row>
    <row r="72" spans="1:19" s="8" customFormat="1" x14ac:dyDescent="0.2">
      <c r="A72" s="8">
        <f t="shared" si="11"/>
        <v>2006</v>
      </c>
      <c r="B72" s="8">
        <f t="shared" si="12"/>
        <v>10</v>
      </c>
      <c r="C72" s="9">
        <f t="shared" si="10"/>
        <v>38991</v>
      </c>
      <c r="D72" s="8">
        <f t="shared" ref="D72:D103" si="13">D71+1</f>
        <v>60</v>
      </c>
      <c r="E72" s="14">
        <f>IF(ISNA(VLOOKUP(E$1,'delta-new'!$A$3:$DQ$20,$D72,FALSE)),0,VLOOKUP(E$1,'delta-new'!$A$3:$DQ$20,$D72,FALSE))</f>
        <v>6421</v>
      </c>
      <c r="F72" s="14">
        <f>IF(ISNA(VLOOKUP(F$1,'peak-new'!$A$3:$DQ$19,$D72,FALSE)),0,VLOOKUP(F$1,'peak-new'!$A$3:$DQ$19,$D72,FALSE))</f>
        <v>0</v>
      </c>
      <c r="G72" s="14">
        <f>IF(ISNA(VLOOKUP(G$1,'peak-new'!$A$3:$DQ$19,$D72,FALSE)),0,VLOOKUP(G$1,'peak-new'!$A$3:$DQ$19,$D72,FALSE))</f>
        <v>0</v>
      </c>
      <c r="H72" s="14">
        <f>IF(ISNA(VLOOKUP(H$1,'peak-new'!$A$3:$DQ$19,$D72,FALSE)),0,VLOOKUP(H$1,'peak-new'!$A$3:$DQ$19,$D72,FALSE))</f>
        <v>-98208</v>
      </c>
      <c r="I72" s="14">
        <f>IF(ISNA(VLOOKUP(I$1,'peak-new'!$A$3:$DQ$19,$D72,FALSE)),0,VLOOKUP(I$1,'peak-new'!$A$3:$DQ$19,$D72,FALSE))</f>
        <v>-8800</v>
      </c>
      <c r="J72" s="14">
        <f>IF(ISNA(VLOOKUP(J$1,'peak-new'!$A$3:$DQ$19,$D72,FALSE)),0,VLOOKUP(J$1,'peak-new'!$A$3:$DQ$19,$D72,FALSE))</f>
        <v>0</v>
      </c>
      <c r="K72" s="14">
        <f>IF(ISNA(VLOOKUP(K$1,'peak-new'!$A$3:$DQ$19,$D72,FALSE)),0,VLOOKUP(K$1,'peak-new'!$A$3:$DQ$19,$D72,FALSE))</f>
        <v>0</v>
      </c>
      <c r="L72" s="14">
        <f>IF(ISNA(VLOOKUP(L$1,'peak-new'!$A$3:$DQ$19,$D72,FALSE)),0,VLOOKUP(L$1,'peak-new'!$A$3:$DQ$19,$D72,FALSE))</f>
        <v>0</v>
      </c>
      <c r="M72" s="14">
        <f>IF(ISNA(VLOOKUP(M$1,'peak-new'!$A$3:$DQ$19,$D72,FALSE)),0,VLOOKUP(M$1,'peak-new'!$A$3:$DQ$19,$D72,FALSE))</f>
        <v>0</v>
      </c>
      <c r="N72" s="14">
        <f>IF(ISNA(VLOOKUP(N$1,'peak-new'!$A$3:$DQ$19,$D72,FALSE)),0,VLOOKUP(N$1,'peak-new'!$A$3:$DQ$19,$D72,FALSE))</f>
        <v>0</v>
      </c>
      <c r="O72" s="14">
        <f>IF(ISNA(VLOOKUP(O$1,'peak-new'!$A$3:$DQ$19,$D72,FALSE)),0,VLOOKUP(O$1,'peak-new'!$A$3:$DQ$19,$D72,FALSE))</f>
        <v>0</v>
      </c>
      <c r="P72" s="14">
        <f>IF(ISNA(VLOOKUP(P$1,'peak-new'!$A$3:$DQ$19,$D72,FALSE)),0,VLOOKUP(P$1,'peak-new'!$A$3:$DQ$19,$D72,FALSE))</f>
        <v>0</v>
      </c>
      <c r="Q72" s="15">
        <f>IF(ISNA(VLOOKUP(Q$1,'delta-new'!$A$3:$DQ$20,$D72,FALSE)),0,VLOOKUP(Q$1,'delta-new'!$A$3:$DQ$20,$D72,FALSE))</f>
        <v>34057.42</v>
      </c>
      <c r="R72" s="14">
        <f>IF(ISNA(VLOOKUP(R$1,'peak-new'!$A$3:$DQ$19,$D72,FALSE)),0,VLOOKUP(R$1,'peak-new'!$A$3:$DQ$19,$D72,FALSE))</f>
        <v>0</v>
      </c>
      <c r="S72" s="10"/>
    </row>
    <row r="73" spans="1:19" s="8" customFormat="1" x14ac:dyDescent="0.2">
      <c r="A73" s="8">
        <f t="shared" si="11"/>
        <v>2006</v>
      </c>
      <c r="B73" s="8">
        <f t="shared" si="12"/>
        <v>11</v>
      </c>
      <c r="C73" s="9">
        <f t="shared" si="10"/>
        <v>39022</v>
      </c>
      <c r="D73" s="8">
        <f t="shared" si="13"/>
        <v>61</v>
      </c>
      <c r="E73" s="14">
        <f>IF(ISNA(VLOOKUP(E$1,'delta-new'!$A$3:$DQ$20,$D73,FALSE)),0,VLOOKUP(E$1,'delta-new'!$A$3:$DQ$20,$D73,FALSE))</f>
        <v>6099.7</v>
      </c>
      <c r="F73" s="14">
        <f>IF(ISNA(VLOOKUP(F$1,'peak-new'!$A$3:$DQ$19,$D73,FALSE)),0,VLOOKUP(F$1,'peak-new'!$A$3:$DQ$19,$D73,FALSE))</f>
        <v>0</v>
      </c>
      <c r="G73" s="14">
        <f>IF(ISNA(VLOOKUP(G$1,'peak-new'!$A$3:$DQ$19,$D73,FALSE)),0,VLOOKUP(G$1,'peak-new'!$A$3:$DQ$19,$D73,FALSE))</f>
        <v>0</v>
      </c>
      <c r="H73" s="14">
        <f>IF(ISNA(VLOOKUP(H$1,'peak-new'!$A$3:$DQ$19,$D73,FALSE)),0,VLOOKUP(H$1,'peak-new'!$A$3:$DQ$19,$D73,FALSE))</f>
        <v>-94080</v>
      </c>
      <c r="I73" s="14">
        <f>IF(ISNA(VLOOKUP(I$1,'peak-new'!$A$3:$DQ$19,$D73,FALSE)),0,VLOOKUP(I$1,'peak-new'!$A$3:$DQ$19,$D73,FALSE))</f>
        <v>-8400</v>
      </c>
      <c r="J73" s="14">
        <f>IF(ISNA(VLOOKUP(J$1,'peak-new'!$A$3:$DQ$19,$D73,FALSE)),0,VLOOKUP(J$1,'peak-new'!$A$3:$DQ$19,$D73,FALSE))</f>
        <v>0</v>
      </c>
      <c r="K73" s="14">
        <f>IF(ISNA(VLOOKUP(K$1,'peak-new'!$A$3:$DQ$19,$D73,FALSE)),0,VLOOKUP(K$1,'peak-new'!$A$3:$DQ$19,$D73,FALSE))</f>
        <v>0</v>
      </c>
      <c r="L73" s="14">
        <f>IF(ISNA(VLOOKUP(L$1,'peak-new'!$A$3:$DQ$19,$D73,FALSE)),0,VLOOKUP(L$1,'peak-new'!$A$3:$DQ$19,$D73,FALSE))</f>
        <v>0</v>
      </c>
      <c r="M73" s="14">
        <f>IF(ISNA(VLOOKUP(M$1,'peak-new'!$A$3:$DQ$19,$D73,FALSE)),0,VLOOKUP(M$1,'peak-new'!$A$3:$DQ$19,$D73,FALSE))</f>
        <v>0</v>
      </c>
      <c r="N73" s="14">
        <f>IF(ISNA(VLOOKUP(N$1,'peak-new'!$A$3:$DQ$19,$D73,FALSE)),0,VLOOKUP(N$1,'peak-new'!$A$3:$DQ$19,$D73,FALSE))</f>
        <v>0</v>
      </c>
      <c r="O73" s="14">
        <f>IF(ISNA(VLOOKUP(O$1,'peak-new'!$A$3:$DQ$19,$D73,FALSE)),0,VLOOKUP(O$1,'peak-new'!$A$3:$DQ$19,$D73,FALSE))</f>
        <v>0</v>
      </c>
      <c r="P73" s="14">
        <f>IF(ISNA(VLOOKUP(P$1,'peak-new'!$A$3:$DQ$19,$D73,FALSE)),0,VLOOKUP(P$1,'peak-new'!$A$3:$DQ$19,$D73,FALSE))</f>
        <v>0</v>
      </c>
      <c r="Q73" s="15">
        <f>IF(ISNA(VLOOKUP(Q$1,'delta-new'!$A$3:$DQ$20,$D73,FALSE)),0,VLOOKUP(Q$1,'delta-new'!$A$3:$DQ$20,$D73,FALSE))</f>
        <v>32353.32</v>
      </c>
      <c r="R73" s="14">
        <f>IF(ISNA(VLOOKUP(R$1,'peak-new'!$A$3:$DQ$19,$D73,FALSE)),0,VLOOKUP(R$1,'peak-new'!$A$3:$DQ$19,$D73,FALSE))</f>
        <v>0</v>
      </c>
      <c r="S73" s="10"/>
    </row>
    <row r="74" spans="1:19" s="8" customFormat="1" x14ac:dyDescent="0.2">
      <c r="A74" s="8">
        <f t="shared" si="11"/>
        <v>2006</v>
      </c>
      <c r="B74" s="8">
        <f t="shared" si="12"/>
        <v>12</v>
      </c>
      <c r="C74" s="9">
        <f t="shared" si="10"/>
        <v>39052</v>
      </c>
      <c r="D74" s="8">
        <f t="shared" si="13"/>
        <v>62</v>
      </c>
      <c r="E74" s="14">
        <f>IF(ISNA(VLOOKUP(E$1,'delta-new'!$A$3:$DQ$20,$D74,FALSE)),0,VLOOKUP(E$1,'delta-new'!$A$3:$DQ$20,$D74,FALSE))</f>
        <v>5781</v>
      </c>
      <c r="F74" s="14">
        <f>IF(ISNA(VLOOKUP(F$1,'peak-new'!$A$3:$DQ$19,$D74,FALSE)),0,VLOOKUP(F$1,'peak-new'!$A$3:$DQ$19,$D74,FALSE))</f>
        <v>0</v>
      </c>
      <c r="G74" s="14">
        <f>IF(ISNA(VLOOKUP(G$1,'peak-new'!$A$3:$DQ$19,$D74,FALSE)),0,VLOOKUP(G$1,'peak-new'!$A$3:$DQ$19,$D74,FALSE))</f>
        <v>0</v>
      </c>
      <c r="H74" s="14">
        <f>IF(ISNA(VLOOKUP(H$1,'peak-new'!$A$3:$DQ$19,$D74,FALSE)),0,VLOOKUP(H$1,'peak-new'!$A$3:$DQ$19,$D74,FALSE))</f>
        <v>-89280</v>
      </c>
      <c r="I74" s="14">
        <f>IF(ISNA(VLOOKUP(I$1,'peak-new'!$A$3:$DQ$19,$D74,FALSE)),0,VLOOKUP(I$1,'peak-new'!$A$3:$DQ$19,$D74,FALSE))</f>
        <v>-8000</v>
      </c>
      <c r="J74" s="14">
        <f>IF(ISNA(VLOOKUP(J$1,'peak-new'!$A$3:$DQ$19,$D74,FALSE)),0,VLOOKUP(J$1,'peak-new'!$A$3:$DQ$19,$D74,FALSE))</f>
        <v>0</v>
      </c>
      <c r="K74" s="14">
        <f>IF(ISNA(VLOOKUP(K$1,'peak-new'!$A$3:$DQ$19,$D74,FALSE)),0,VLOOKUP(K$1,'peak-new'!$A$3:$DQ$19,$D74,FALSE))</f>
        <v>0</v>
      </c>
      <c r="L74" s="14">
        <f>IF(ISNA(VLOOKUP(L$1,'peak-new'!$A$3:$DQ$19,$D74,FALSE)),0,VLOOKUP(L$1,'peak-new'!$A$3:$DQ$19,$D74,FALSE))</f>
        <v>0</v>
      </c>
      <c r="M74" s="14">
        <f>IF(ISNA(VLOOKUP(M$1,'peak-new'!$A$3:$DQ$19,$D74,FALSE)),0,VLOOKUP(M$1,'peak-new'!$A$3:$DQ$19,$D74,FALSE))</f>
        <v>0</v>
      </c>
      <c r="N74" s="14">
        <f>IF(ISNA(VLOOKUP(N$1,'peak-new'!$A$3:$DQ$19,$D74,FALSE)),0,VLOOKUP(N$1,'peak-new'!$A$3:$DQ$19,$D74,FALSE))</f>
        <v>0</v>
      </c>
      <c r="O74" s="14">
        <f>IF(ISNA(VLOOKUP(O$1,'peak-new'!$A$3:$DQ$19,$D74,FALSE)),0,VLOOKUP(O$1,'peak-new'!$A$3:$DQ$19,$D74,FALSE))</f>
        <v>0</v>
      </c>
      <c r="P74" s="14">
        <f>IF(ISNA(VLOOKUP(P$1,'peak-new'!$A$3:$DQ$19,$D74,FALSE)),0,VLOOKUP(P$1,'peak-new'!$A$3:$DQ$19,$D74,FALSE))</f>
        <v>0</v>
      </c>
      <c r="Q74" s="15">
        <f>IF(ISNA(VLOOKUP(Q$1,'delta-new'!$A$3:$DQ$20,$D74,FALSE)),0,VLOOKUP(Q$1,'delta-new'!$A$3:$DQ$20,$D74,FALSE))</f>
        <v>30663.16</v>
      </c>
      <c r="R74" s="14">
        <f>IF(ISNA(VLOOKUP(R$1,'peak-new'!$A$3:$DQ$19,$D74,FALSE)),0,VLOOKUP(R$1,'peak-new'!$A$3:$DQ$19,$D74,FALSE))</f>
        <v>0</v>
      </c>
      <c r="S74" s="10"/>
    </row>
    <row r="75" spans="1:19" s="8" customFormat="1" x14ac:dyDescent="0.2">
      <c r="A75" s="8">
        <f t="shared" si="11"/>
        <v>2007</v>
      </c>
      <c r="B75" s="8">
        <f t="shared" si="12"/>
        <v>1</v>
      </c>
      <c r="C75" s="9">
        <f t="shared" si="10"/>
        <v>39083</v>
      </c>
      <c r="D75" s="8">
        <f t="shared" si="13"/>
        <v>63</v>
      </c>
      <c r="E75" s="14">
        <f>IF(ISNA(VLOOKUP(E$1,'delta-new'!$A$3:$DQ$20,$D75,FALSE)),0,VLOOKUP(E$1,'delta-new'!$A$3:$DQ$20,$D75,FALSE))</f>
        <v>47599</v>
      </c>
      <c r="F75" s="14">
        <f>IF(ISNA(VLOOKUP(F$1,'peak-new'!$A$3:$DQ$19,$D75,FALSE)),0,VLOOKUP(F$1,'peak-new'!$A$3:$DQ$19,$D75,FALSE))</f>
        <v>0</v>
      </c>
      <c r="G75" s="14">
        <f>IF(ISNA(VLOOKUP(G$1,'peak-new'!$A$3:$DQ$19,$D75,FALSE)),0,VLOOKUP(G$1,'peak-new'!$A$3:$DQ$19,$D75,FALSE))</f>
        <v>0</v>
      </c>
      <c r="H75" s="14">
        <f>IF(ISNA(VLOOKUP(H$1,'peak-new'!$A$3:$DQ$19,$D75,FALSE)),0,VLOOKUP(H$1,'peak-new'!$A$3:$DQ$19,$D75,FALSE))</f>
        <v>-81664</v>
      </c>
      <c r="I75" s="14">
        <f>IF(ISNA(VLOOKUP(I$1,'peak-new'!$A$3:$DQ$19,$D75,FALSE)),0,VLOOKUP(I$1,'peak-new'!$A$3:$DQ$19,$D75,FALSE))</f>
        <v>-8800</v>
      </c>
      <c r="J75" s="14">
        <f>IF(ISNA(VLOOKUP(J$1,'peak-new'!$A$3:$DQ$19,$D75,FALSE)),0,VLOOKUP(J$1,'peak-new'!$A$3:$DQ$19,$D75,FALSE))</f>
        <v>0</v>
      </c>
      <c r="K75" s="14">
        <f>IF(ISNA(VLOOKUP(K$1,'peak-new'!$A$3:$DQ$19,$D75,FALSE)),0,VLOOKUP(K$1,'peak-new'!$A$3:$DQ$19,$D75,FALSE))</f>
        <v>0</v>
      </c>
      <c r="L75" s="14">
        <f>IF(ISNA(VLOOKUP(L$1,'peak-new'!$A$3:$DQ$19,$D75,FALSE)),0,VLOOKUP(L$1,'peak-new'!$A$3:$DQ$19,$D75,FALSE))</f>
        <v>0</v>
      </c>
      <c r="M75" s="14">
        <f>IF(ISNA(VLOOKUP(M$1,'peak-new'!$A$3:$DQ$19,$D75,FALSE)),0,VLOOKUP(M$1,'peak-new'!$A$3:$DQ$19,$D75,FALSE))</f>
        <v>0</v>
      </c>
      <c r="N75" s="14">
        <f>IF(ISNA(VLOOKUP(N$1,'peak-new'!$A$3:$DQ$19,$D75,FALSE)),0,VLOOKUP(N$1,'peak-new'!$A$3:$DQ$19,$D75,FALSE))</f>
        <v>0</v>
      </c>
      <c r="O75" s="14">
        <f>IF(ISNA(VLOOKUP(O$1,'peak-new'!$A$3:$DQ$19,$D75,FALSE)),0,VLOOKUP(O$1,'peak-new'!$A$3:$DQ$19,$D75,FALSE))</f>
        <v>0</v>
      </c>
      <c r="P75" s="14">
        <f>IF(ISNA(VLOOKUP(P$1,'peak-new'!$A$3:$DQ$19,$D75,FALSE)),0,VLOOKUP(P$1,'peak-new'!$A$3:$DQ$19,$D75,FALSE))</f>
        <v>0</v>
      </c>
      <c r="Q75" s="15">
        <f>IF(ISNA(VLOOKUP(Q$1,'delta-new'!$A$3:$DQ$20,$D75,FALSE)),0,VLOOKUP(Q$1,'delta-new'!$A$3:$DQ$20,$D75,FALSE))</f>
        <v>6327.07</v>
      </c>
      <c r="R75" s="14">
        <f>IF(ISNA(VLOOKUP(R$1,'peak-new'!$A$3:$DQ$19,$D75,FALSE)),0,VLOOKUP(R$1,'peak-new'!$A$3:$DQ$19,$D75,FALSE))</f>
        <v>0</v>
      </c>
      <c r="S75" s="10"/>
    </row>
    <row r="76" spans="1:19" s="8" customFormat="1" x14ac:dyDescent="0.2">
      <c r="A76" s="8">
        <f t="shared" si="11"/>
        <v>2007</v>
      </c>
      <c r="B76" s="8">
        <f t="shared" si="12"/>
        <v>2</v>
      </c>
      <c r="C76" s="9">
        <f t="shared" si="10"/>
        <v>39114</v>
      </c>
      <c r="D76" s="8">
        <f t="shared" si="13"/>
        <v>64</v>
      </c>
      <c r="E76" s="14">
        <f>IF(ISNA(VLOOKUP(E$1,'delta-new'!$A$3:$DQ$20,$D76,FALSE)),0,VLOOKUP(E$1,'delta-new'!$A$3:$DQ$20,$D76,FALSE))</f>
        <v>43080.639999999999</v>
      </c>
      <c r="F76" s="14">
        <f>IF(ISNA(VLOOKUP(F$1,'peak-new'!$A$3:$DQ$19,$D76,FALSE)),0,VLOOKUP(F$1,'peak-new'!$A$3:$DQ$19,$D76,FALSE))</f>
        <v>0</v>
      </c>
      <c r="G76" s="14">
        <f>IF(ISNA(VLOOKUP(G$1,'peak-new'!$A$3:$DQ$19,$D76,FALSE)),0,VLOOKUP(G$1,'peak-new'!$A$3:$DQ$19,$D76,FALSE))</f>
        <v>0</v>
      </c>
      <c r="H76" s="14">
        <f>IF(ISNA(VLOOKUP(H$1,'peak-new'!$A$3:$DQ$19,$D76,FALSE)),0,VLOOKUP(H$1,'peak-new'!$A$3:$DQ$19,$D76,FALSE))</f>
        <v>-74240</v>
      </c>
      <c r="I76" s="14">
        <f>IF(ISNA(VLOOKUP(I$1,'peak-new'!$A$3:$DQ$19,$D76,FALSE)),0,VLOOKUP(I$1,'peak-new'!$A$3:$DQ$19,$D76,FALSE))</f>
        <v>-8000</v>
      </c>
      <c r="J76" s="14">
        <f>IF(ISNA(VLOOKUP(J$1,'peak-new'!$A$3:$DQ$19,$D76,FALSE)),0,VLOOKUP(J$1,'peak-new'!$A$3:$DQ$19,$D76,FALSE))</f>
        <v>0</v>
      </c>
      <c r="K76" s="14">
        <f>IF(ISNA(VLOOKUP(K$1,'peak-new'!$A$3:$DQ$19,$D76,FALSE)),0,VLOOKUP(K$1,'peak-new'!$A$3:$DQ$19,$D76,FALSE))</f>
        <v>0</v>
      </c>
      <c r="L76" s="14">
        <f>IF(ISNA(VLOOKUP(L$1,'peak-new'!$A$3:$DQ$19,$D76,FALSE)),0,VLOOKUP(L$1,'peak-new'!$A$3:$DQ$19,$D76,FALSE))</f>
        <v>0</v>
      </c>
      <c r="M76" s="14">
        <f>IF(ISNA(VLOOKUP(M$1,'peak-new'!$A$3:$DQ$19,$D76,FALSE)),0,VLOOKUP(M$1,'peak-new'!$A$3:$DQ$19,$D76,FALSE))</f>
        <v>0</v>
      </c>
      <c r="N76" s="14">
        <f>IF(ISNA(VLOOKUP(N$1,'peak-new'!$A$3:$DQ$19,$D76,FALSE)),0,VLOOKUP(N$1,'peak-new'!$A$3:$DQ$19,$D76,FALSE))</f>
        <v>0</v>
      </c>
      <c r="O76" s="14">
        <f>IF(ISNA(VLOOKUP(O$1,'peak-new'!$A$3:$DQ$19,$D76,FALSE)),0,VLOOKUP(O$1,'peak-new'!$A$3:$DQ$19,$D76,FALSE))</f>
        <v>0</v>
      </c>
      <c r="P76" s="14">
        <f>IF(ISNA(VLOOKUP(P$1,'peak-new'!$A$3:$DQ$19,$D76,FALSE)),0,VLOOKUP(P$1,'peak-new'!$A$3:$DQ$19,$D76,FALSE))</f>
        <v>0</v>
      </c>
      <c r="Q76" s="15">
        <f>IF(ISNA(VLOOKUP(Q$1,'delta-new'!$A$3:$DQ$20,$D76,FALSE)),0,VLOOKUP(Q$1,'delta-new'!$A$3:$DQ$20,$D76,FALSE))</f>
        <v>5726.46</v>
      </c>
      <c r="R76" s="14">
        <f>IF(ISNA(VLOOKUP(R$1,'peak-new'!$A$3:$DQ$19,$D76,FALSE)),0,VLOOKUP(R$1,'peak-new'!$A$3:$DQ$19,$D76,FALSE))</f>
        <v>0</v>
      </c>
      <c r="S76" s="10"/>
    </row>
    <row r="77" spans="1:19" s="8" customFormat="1" x14ac:dyDescent="0.2">
      <c r="A77" s="8">
        <f t="shared" si="11"/>
        <v>2007</v>
      </c>
      <c r="B77" s="8">
        <f t="shared" si="12"/>
        <v>3</v>
      </c>
      <c r="C77" s="9">
        <f t="shared" si="10"/>
        <v>39142</v>
      </c>
      <c r="D77" s="8">
        <f t="shared" si="13"/>
        <v>65</v>
      </c>
      <c r="E77" s="14">
        <f>IF(ISNA(VLOOKUP(E$1,'delta-new'!$A$3:$DQ$20,$D77,FALSE)),0,VLOOKUP(E$1,'delta-new'!$A$3:$DQ$20,$D77,FALSE))</f>
        <v>47155.62</v>
      </c>
      <c r="F77" s="14">
        <f>IF(ISNA(VLOOKUP(F$1,'peak-new'!$A$3:$DQ$19,$D77,FALSE)),0,VLOOKUP(F$1,'peak-new'!$A$3:$DQ$19,$D77,FALSE))</f>
        <v>0</v>
      </c>
      <c r="G77" s="14">
        <f>IF(ISNA(VLOOKUP(G$1,'peak-new'!$A$3:$DQ$19,$D77,FALSE)),0,VLOOKUP(G$1,'peak-new'!$A$3:$DQ$19,$D77,FALSE))</f>
        <v>0</v>
      </c>
      <c r="H77" s="14">
        <f>IF(ISNA(VLOOKUP(H$1,'peak-new'!$A$3:$DQ$19,$D77,FALSE)),0,VLOOKUP(H$1,'peak-new'!$A$3:$DQ$19,$D77,FALSE))</f>
        <v>-83072</v>
      </c>
      <c r="I77" s="14">
        <f>IF(ISNA(VLOOKUP(I$1,'peak-new'!$A$3:$DQ$19,$D77,FALSE)),0,VLOOKUP(I$1,'peak-new'!$A$3:$DQ$19,$D77,FALSE))</f>
        <v>-8800</v>
      </c>
      <c r="J77" s="14">
        <f>IF(ISNA(VLOOKUP(J$1,'peak-new'!$A$3:$DQ$19,$D77,FALSE)),0,VLOOKUP(J$1,'peak-new'!$A$3:$DQ$19,$D77,FALSE))</f>
        <v>0</v>
      </c>
      <c r="K77" s="14">
        <f>IF(ISNA(VLOOKUP(K$1,'peak-new'!$A$3:$DQ$19,$D77,FALSE)),0,VLOOKUP(K$1,'peak-new'!$A$3:$DQ$19,$D77,FALSE))</f>
        <v>0</v>
      </c>
      <c r="L77" s="14">
        <f>IF(ISNA(VLOOKUP(L$1,'peak-new'!$A$3:$DQ$19,$D77,FALSE)),0,VLOOKUP(L$1,'peak-new'!$A$3:$DQ$19,$D77,FALSE))</f>
        <v>0</v>
      </c>
      <c r="M77" s="14">
        <f>IF(ISNA(VLOOKUP(M$1,'peak-new'!$A$3:$DQ$19,$D77,FALSE)),0,VLOOKUP(M$1,'peak-new'!$A$3:$DQ$19,$D77,FALSE))</f>
        <v>0</v>
      </c>
      <c r="N77" s="14">
        <f>IF(ISNA(VLOOKUP(N$1,'peak-new'!$A$3:$DQ$19,$D77,FALSE)),0,VLOOKUP(N$1,'peak-new'!$A$3:$DQ$19,$D77,FALSE))</f>
        <v>0</v>
      </c>
      <c r="O77" s="14">
        <f>IF(ISNA(VLOOKUP(O$1,'peak-new'!$A$3:$DQ$19,$D77,FALSE)),0,VLOOKUP(O$1,'peak-new'!$A$3:$DQ$19,$D77,FALSE))</f>
        <v>0</v>
      </c>
      <c r="P77" s="14">
        <f>IF(ISNA(VLOOKUP(P$1,'peak-new'!$A$3:$DQ$19,$D77,FALSE)),0,VLOOKUP(P$1,'peak-new'!$A$3:$DQ$19,$D77,FALSE))</f>
        <v>0</v>
      </c>
      <c r="Q77" s="15">
        <f>IF(ISNA(VLOOKUP(Q$1,'delta-new'!$A$3:$DQ$20,$D77,FALSE)),0,VLOOKUP(Q$1,'delta-new'!$A$3:$DQ$20,$D77,FALSE))</f>
        <v>6268</v>
      </c>
      <c r="R77" s="14">
        <f>IF(ISNA(VLOOKUP(R$1,'peak-new'!$A$3:$DQ$19,$D77,FALSE)),0,VLOOKUP(R$1,'peak-new'!$A$3:$DQ$19,$D77,FALSE))</f>
        <v>0</v>
      </c>
      <c r="S77" s="10"/>
    </row>
    <row r="78" spans="1:19" s="8" customFormat="1" x14ac:dyDescent="0.2">
      <c r="A78" s="8">
        <f t="shared" si="11"/>
        <v>2007</v>
      </c>
      <c r="B78" s="8">
        <f t="shared" si="12"/>
        <v>4</v>
      </c>
      <c r="C78" s="9">
        <f t="shared" si="10"/>
        <v>39173</v>
      </c>
      <c r="D78" s="8">
        <f t="shared" si="13"/>
        <v>66</v>
      </c>
      <c r="E78" s="14">
        <f>IF(ISNA(VLOOKUP(E$1,'delta-new'!$A$3:$DQ$20,$D78,FALSE)),0,VLOOKUP(E$1,'delta-new'!$A$3:$DQ$20,$D78,FALSE))</f>
        <v>44796.7</v>
      </c>
      <c r="F78" s="14">
        <f>IF(ISNA(VLOOKUP(F$1,'peak-new'!$A$3:$DQ$19,$D78,FALSE)),0,VLOOKUP(F$1,'peak-new'!$A$3:$DQ$19,$D78,FALSE))</f>
        <v>0</v>
      </c>
      <c r="G78" s="14">
        <f>IF(ISNA(VLOOKUP(G$1,'peak-new'!$A$3:$DQ$19,$D78,FALSE)),0,VLOOKUP(G$1,'peak-new'!$A$3:$DQ$19,$D78,FALSE))</f>
        <v>0</v>
      </c>
      <c r="H78" s="14">
        <f>IF(ISNA(VLOOKUP(H$1,'peak-new'!$A$3:$DQ$19,$D78,FALSE)),0,VLOOKUP(H$1,'peak-new'!$A$3:$DQ$19,$D78,FALSE))</f>
        <v>-78960</v>
      </c>
      <c r="I78" s="14">
        <f>IF(ISNA(VLOOKUP(I$1,'peak-new'!$A$3:$DQ$19,$D78,FALSE)),0,VLOOKUP(I$1,'peak-new'!$A$3:$DQ$19,$D78,FALSE))</f>
        <v>-8400</v>
      </c>
      <c r="J78" s="14">
        <f>IF(ISNA(VLOOKUP(J$1,'peak-new'!$A$3:$DQ$19,$D78,FALSE)),0,VLOOKUP(J$1,'peak-new'!$A$3:$DQ$19,$D78,FALSE))</f>
        <v>0</v>
      </c>
      <c r="K78" s="14">
        <f>IF(ISNA(VLOOKUP(K$1,'peak-new'!$A$3:$DQ$19,$D78,FALSE)),0,VLOOKUP(K$1,'peak-new'!$A$3:$DQ$19,$D78,FALSE))</f>
        <v>0</v>
      </c>
      <c r="L78" s="14">
        <f>IF(ISNA(VLOOKUP(L$1,'peak-new'!$A$3:$DQ$19,$D78,FALSE)),0,VLOOKUP(L$1,'peak-new'!$A$3:$DQ$19,$D78,FALSE))</f>
        <v>0</v>
      </c>
      <c r="M78" s="14">
        <f>IF(ISNA(VLOOKUP(M$1,'peak-new'!$A$3:$DQ$19,$D78,FALSE)),0,VLOOKUP(M$1,'peak-new'!$A$3:$DQ$19,$D78,FALSE))</f>
        <v>0</v>
      </c>
      <c r="N78" s="14">
        <f>IF(ISNA(VLOOKUP(N$1,'peak-new'!$A$3:$DQ$19,$D78,FALSE)),0,VLOOKUP(N$1,'peak-new'!$A$3:$DQ$19,$D78,FALSE))</f>
        <v>0</v>
      </c>
      <c r="O78" s="14">
        <f>IF(ISNA(VLOOKUP(O$1,'peak-new'!$A$3:$DQ$19,$D78,FALSE)),0,VLOOKUP(O$1,'peak-new'!$A$3:$DQ$19,$D78,FALSE))</f>
        <v>0</v>
      </c>
      <c r="P78" s="14">
        <f>IF(ISNA(VLOOKUP(P$1,'peak-new'!$A$3:$DQ$19,$D78,FALSE)),0,VLOOKUP(P$1,'peak-new'!$A$3:$DQ$19,$D78,FALSE))</f>
        <v>0</v>
      </c>
      <c r="Q78" s="15">
        <f>IF(ISNA(VLOOKUP(Q$1,'delta-new'!$A$3:$DQ$20,$D78,FALSE)),0,VLOOKUP(Q$1,'delta-new'!$A$3:$DQ$20,$D78,FALSE))</f>
        <v>5695.07</v>
      </c>
      <c r="R78" s="14">
        <f>IF(ISNA(VLOOKUP(R$1,'peak-new'!$A$3:$DQ$19,$D78,FALSE)),0,VLOOKUP(R$1,'peak-new'!$A$3:$DQ$19,$D78,FALSE))</f>
        <v>0</v>
      </c>
      <c r="S78" s="10"/>
    </row>
    <row r="79" spans="1:19" s="8" customFormat="1" x14ac:dyDescent="0.2">
      <c r="A79" s="8">
        <f t="shared" si="11"/>
        <v>2007</v>
      </c>
      <c r="B79" s="8">
        <f t="shared" si="12"/>
        <v>5</v>
      </c>
      <c r="C79" s="9">
        <f t="shared" si="10"/>
        <v>39203</v>
      </c>
      <c r="D79" s="8">
        <f t="shared" si="13"/>
        <v>67</v>
      </c>
      <c r="E79" s="14">
        <f>IF(ISNA(VLOOKUP(E$1,'delta-new'!$A$3:$DQ$20,$D79,FALSE)),0,VLOOKUP(E$1,'delta-new'!$A$3:$DQ$20,$D79,FALSE))</f>
        <v>46696.43</v>
      </c>
      <c r="F79" s="14">
        <f>IF(ISNA(VLOOKUP(F$1,'peak-new'!$A$3:$DQ$19,$D79,FALSE)),0,VLOOKUP(F$1,'peak-new'!$A$3:$DQ$19,$D79,FALSE))</f>
        <v>0</v>
      </c>
      <c r="G79" s="14">
        <f>IF(ISNA(VLOOKUP(G$1,'peak-new'!$A$3:$DQ$19,$D79,FALSE)),0,VLOOKUP(G$1,'peak-new'!$A$3:$DQ$19,$D79,FALSE))</f>
        <v>0</v>
      </c>
      <c r="H79" s="14">
        <f>IF(ISNA(VLOOKUP(H$1,'peak-new'!$A$3:$DQ$19,$D79,FALSE)),0,VLOOKUP(H$1,'peak-new'!$A$3:$DQ$19,$D79,FALSE))</f>
        <v>-79552</v>
      </c>
      <c r="I79" s="14">
        <f>IF(ISNA(VLOOKUP(I$1,'peak-new'!$A$3:$DQ$19,$D79,FALSE)),0,VLOOKUP(I$1,'peak-new'!$A$3:$DQ$19,$D79,FALSE))</f>
        <v>-8800</v>
      </c>
      <c r="J79" s="14">
        <f>IF(ISNA(VLOOKUP(J$1,'peak-new'!$A$3:$DQ$19,$D79,FALSE)),0,VLOOKUP(J$1,'peak-new'!$A$3:$DQ$19,$D79,FALSE))</f>
        <v>0</v>
      </c>
      <c r="K79" s="14">
        <f>IF(ISNA(VLOOKUP(K$1,'peak-new'!$A$3:$DQ$19,$D79,FALSE)),0,VLOOKUP(K$1,'peak-new'!$A$3:$DQ$19,$D79,FALSE))</f>
        <v>0</v>
      </c>
      <c r="L79" s="14">
        <f>IF(ISNA(VLOOKUP(L$1,'peak-new'!$A$3:$DQ$19,$D79,FALSE)),0,VLOOKUP(L$1,'peak-new'!$A$3:$DQ$19,$D79,FALSE))</f>
        <v>0</v>
      </c>
      <c r="M79" s="14">
        <f>IF(ISNA(VLOOKUP(M$1,'peak-new'!$A$3:$DQ$19,$D79,FALSE)),0,VLOOKUP(M$1,'peak-new'!$A$3:$DQ$19,$D79,FALSE))</f>
        <v>0</v>
      </c>
      <c r="N79" s="14">
        <f>IF(ISNA(VLOOKUP(N$1,'peak-new'!$A$3:$DQ$19,$D79,FALSE)),0,VLOOKUP(N$1,'peak-new'!$A$3:$DQ$19,$D79,FALSE))</f>
        <v>0</v>
      </c>
      <c r="O79" s="14">
        <f>IF(ISNA(VLOOKUP(O$1,'peak-new'!$A$3:$DQ$19,$D79,FALSE)),0,VLOOKUP(O$1,'peak-new'!$A$3:$DQ$19,$D79,FALSE))</f>
        <v>0</v>
      </c>
      <c r="P79" s="14">
        <f>IF(ISNA(VLOOKUP(P$1,'peak-new'!$A$3:$DQ$19,$D79,FALSE)),0,VLOOKUP(P$1,'peak-new'!$A$3:$DQ$19,$D79,FALSE))</f>
        <v>0</v>
      </c>
      <c r="Q79" s="15">
        <f>IF(ISNA(VLOOKUP(Q$1,'delta-new'!$A$3:$DQ$20,$D79,FALSE)),0,VLOOKUP(Q$1,'delta-new'!$A$3:$DQ$20,$D79,FALSE))</f>
        <v>5936.58</v>
      </c>
      <c r="R79" s="14">
        <f>IF(ISNA(VLOOKUP(R$1,'peak-new'!$A$3:$DQ$19,$D79,FALSE)),0,VLOOKUP(R$1,'peak-new'!$A$3:$DQ$19,$D79,FALSE))</f>
        <v>0</v>
      </c>
      <c r="S79" s="10"/>
    </row>
    <row r="80" spans="1:19" s="8" customFormat="1" x14ac:dyDescent="0.2">
      <c r="A80" s="8">
        <f t="shared" si="11"/>
        <v>2007</v>
      </c>
      <c r="B80" s="8">
        <f t="shared" si="12"/>
        <v>6</v>
      </c>
      <c r="C80" s="9">
        <f t="shared" si="10"/>
        <v>39234</v>
      </c>
      <c r="D80" s="8">
        <f t="shared" si="13"/>
        <v>68</v>
      </c>
      <c r="E80" s="14">
        <f>IF(ISNA(VLOOKUP(E$1,'delta-new'!$A$3:$DQ$20,$D80,FALSE)),0,VLOOKUP(E$1,'delta-new'!$A$3:$DQ$20,$D80,FALSE))</f>
        <v>44358.07</v>
      </c>
      <c r="F80" s="14">
        <f>IF(ISNA(VLOOKUP(F$1,'peak-new'!$A$3:$DQ$19,$D80,FALSE)),0,VLOOKUP(F$1,'peak-new'!$A$3:$DQ$19,$D80,FALSE))</f>
        <v>0</v>
      </c>
      <c r="G80" s="14">
        <f>IF(ISNA(VLOOKUP(G$1,'peak-new'!$A$3:$DQ$19,$D80,FALSE)),0,VLOOKUP(G$1,'peak-new'!$A$3:$DQ$19,$D80,FALSE))</f>
        <v>0</v>
      </c>
      <c r="H80" s="14">
        <f>IF(ISNA(VLOOKUP(H$1,'peak-new'!$A$3:$DQ$19,$D80,FALSE)),0,VLOOKUP(H$1,'peak-new'!$A$3:$DQ$19,$D80,FALSE))</f>
        <v>-74256</v>
      </c>
      <c r="I80" s="14">
        <f>IF(ISNA(VLOOKUP(I$1,'peak-new'!$A$3:$DQ$19,$D80,FALSE)),0,VLOOKUP(I$1,'peak-new'!$A$3:$DQ$19,$D80,FALSE))</f>
        <v>-8400</v>
      </c>
      <c r="J80" s="14">
        <f>IF(ISNA(VLOOKUP(J$1,'peak-new'!$A$3:$DQ$19,$D80,FALSE)),0,VLOOKUP(J$1,'peak-new'!$A$3:$DQ$19,$D80,FALSE))</f>
        <v>0</v>
      </c>
      <c r="K80" s="14">
        <f>IF(ISNA(VLOOKUP(K$1,'peak-new'!$A$3:$DQ$19,$D80,FALSE)),0,VLOOKUP(K$1,'peak-new'!$A$3:$DQ$19,$D80,FALSE))</f>
        <v>0</v>
      </c>
      <c r="L80" s="14">
        <f>IF(ISNA(VLOOKUP(L$1,'peak-new'!$A$3:$DQ$19,$D80,FALSE)),0,VLOOKUP(L$1,'peak-new'!$A$3:$DQ$19,$D80,FALSE))</f>
        <v>0</v>
      </c>
      <c r="M80" s="14">
        <f>IF(ISNA(VLOOKUP(M$1,'peak-new'!$A$3:$DQ$19,$D80,FALSE)),0,VLOOKUP(M$1,'peak-new'!$A$3:$DQ$19,$D80,FALSE))</f>
        <v>0</v>
      </c>
      <c r="N80" s="14">
        <f>IF(ISNA(VLOOKUP(N$1,'peak-new'!$A$3:$DQ$19,$D80,FALSE)),0,VLOOKUP(N$1,'peak-new'!$A$3:$DQ$19,$D80,FALSE))</f>
        <v>0</v>
      </c>
      <c r="O80" s="14">
        <f>IF(ISNA(VLOOKUP(O$1,'peak-new'!$A$3:$DQ$19,$D80,FALSE)),0,VLOOKUP(O$1,'peak-new'!$A$3:$DQ$19,$D80,FALSE))</f>
        <v>0</v>
      </c>
      <c r="P80" s="14">
        <f>IF(ISNA(VLOOKUP(P$1,'peak-new'!$A$3:$DQ$19,$D80,FALSE)),0,VLOOKUP(P$1,'peak-new'!$A$3:$DQ$19,$D80,FALSE))</f>
        <v>0</v>
      </c>
      <c r="Q80" s="15">
        <f>IF(ISNA(VLOOKUP(Q$1,'delta-new'!$A$3:$DQ$20,$D80,FALSE)),0,VLOOKUP(Q$1,'delta-new'!$A$3:$DQ$20,$D80,FALSE))</f>
        <v>5382.68</v>
      </c>
      <c r="R80" s="14">
        <f>IF(ISNA(VLOOKUP(R$1,'peak-new'!$A$3:$DQ$19,$D80,FALSE)),0,VLOOKUP(R$1,'peak-new'!$A$3:$DQ$19,$D80,FALSE))</f>
        <v>0</v>
      </c>
      <c r="S80" s="10"/>
    </row>
    <row r="81" spans="1:19" s="8" customFormat="1" x14ac:dyDescent="0.2">
      <c r="A81" s="8">
        <f t="shared" si="11"/>
        <v>2007</v>
      </c>
      <c r="B81" s="8">
        <f t="shared" si="12"/>
        <v>7</v>
      </c>
      <c r="C81" s="9">
        <f t="shared" si="10"/>
        <v>39264</v>
      </c>
      <c r="D81" s="8">
        <f t="shared" si="13"/>
        <v>69</v>
      </c>
      <c r="E81" s="14">
        <f>IF(ISNA(VLOOKUP(E$1,'delta-new'!$A$3:$DQ$20,$D81,FALSE)),0,VLOOKUP(E$1,'delta-new'!$A$3:$DQ$20,$D81,FALSE))</f>
        <v>44134.93</v>
      </c>
      <c r="F81" s="14">
        <f>IF(ISNA(VLOOKUP(F$1,'peak-new'!$A$3:$DQ$19,$D81,FALSE)),0,VLOOKUP(F$1,'peak-new'!$A$3:$DQ$19,$D81,FALSE))</f>
        <v>0</v>
      </c>
      <c r="G81" s="14">
        <f>IF(ISNA(VLOOKUP(G$1,'peak-new'!$A$3:$DQ$19,$D81,FALSE)),0,VLOOKUP(G$1,'peak-new'!$A$3:$DQ$19,$D81,FALSE))</f>
        <v>0</v>
      </c>
      <c r="H81" s="14">
        <f>IF(ISNA(VLOOKUP(H$1,'peak-new'!$A$3:$DQ$19,$D81,FALSE)),0,VLOOKUP(H$1,'peak-new'!$A$3:$DQ$19,$D81,FALSE))</f>
        <v>-71568</v>
      </c>
      <c r="I81" s="14">
        <f>IF(ISNA(VLOOKUP(I$1,'peak-new'!$A$3:$DQ$19,$D81,FALSE)),0,VLOOKUP(I$1,'peak-new'!$A$3:$DQ$19,$D81,FALSE))</f>
        <v>-8400</v>
      </c>
      <c r="J81" s="14">
        <f>IF(ISNA(VLOOKUP(J$1,'peak-new'!$A$3:$DQ$19,$D81,FALSE)),0,VLOOKUP(J$1,'peak-new'!$A$3:$DQ$19,$D81,FALSE))</f>
        <v>0</v>
      </c>
      <c r="K81" s="14">
        <f>IF(ISNA(VLOOKUP(K$1,'peak-new'!$A$3:$DQ$19,$D81,FALSE)),0,VLOOKUP(K$1,'peak-new'!$A$3:$DQ$19,$D81,FALSE))</f>
        <v>0</v>
      </c>
      <c r="L81" s="14">
        <f>IF(ISNA(VLOOKUP(L$1,'peak-new'!$A$3:$DQ$19,$D81,FALSE)),0,VLOOKUP(L$1,'peak-new'!$A$3:$DQ$19,$D81,FALSE))</f>
        <v>-336</v>
      </c>
      <c r="M81" s="14">
        <f>IF(ISNA(VLOOKUP(M$1,'peak-new'!$A$3:$DQ$19,$D81,FALSE)),0,VLOOKUP(M$1,'peak-new'!$A$3:$DQ$19,$D81,FALSE))</f>
        <v>0</v>
      </c>
      <c r="N81" s="14">
        <f>IF(ISNA(VLOOKUP(N$1,'peak-new'!$A$3:$DQ$19,$D81,FALSE)),0,VLOOKUP(N$1,'peak-new'!$A$3:$DQ$19,$D81,FALSE))</f>
        <v>0</v>
      </c>
      <c r="O81" s="14">
        <f>IF(ISNA(VLOOKUP(O$1,'peak-new'!$A$3:$DQ$19,$D81,FALSE)),0,VLOOKUP(O$1,'peak-new'!$A$3:$DQ$19,$D81,FALSE))</f>
        <v>0</v>
      </c>
      <c r="P81" s="14">
        <f>IF(ISNA(VLOOKUP(P$1,'peak-new'!$A$3:$DQ$19,$D81,FALSE)),0,VLOOKUP(P$1,'peak-new'!$A$3:$DQ$19,$D81,FALSE))</f>
        <v>0</v>
      </c>
      <c r="Q81" s="15">
        <f>IF(ISNA(VLOOKUP(Q$1,'delta-new'!$A$3:$DQ$20,$D81,FALSE)),0,VLOOKUP(Q$1,'delta-new'!$A$3:$DQ$20,$D81,FALSE))</f>
        <v>5099.6000000000004</v>
      </c>
      <c r="R81" s="14">
        <f>IF(ISNA(VLOOKUP(R$1,'peak-new'!$A$3:$DQ$19,$D81,FALSE)),0,VLOOKUP(R$1,'peak-new'!$A$3:$DQ$19,$D81,FALSE))</f>
        <v>0</v>
      </c>
      <c r="S81" s="10"/>
    </row>
    <row r="82" spans="1:19" s="8" customFormat="1" x14ac:dyDescent="0.2">
      <c r="A82" s="8">
        <f t="shared" si="11"/>
        <v>2007</v>
      </c>
      <c r="B82" s="8">
        <f t="shared" si="12"/>
        <v>8</v>
      </c>
      <c r="C82" s="9">
        <f t="shared" si="10"/>
        <v>39295</v>
      </c>
      <c r="D82" s="8">
        <f t="shared" si="13"/>
        <v>70</v>
      </c>
      <c r="E82" s="14">
        <f>IF(ISNA(VLOOKUP(E$1,'delta-new'!$A$3:$DQ$20,$D82,FALSE)),0,VLOOKUP(E$1,'delta-new'!$A$3:$DQ$20,$D82,FALSE))</f>
        <v>48093.73</v>
      </c>
      <c r="F82" s="14">
        <f>IF(ISNA(VLOOKUP(F$1,'peak-new'!$A$3:$DQ$19,$D82,FALSE)),0,VLOOKUP(F$1,'peak-new'!$A$3:$DQ$19,$D82,FALSE))</f>
        <v>0</v>
      </c>
      <c r="G82" s="14">
        <f>IF(ISNA(VLOOKUP(G$1,'peak-new'!$A$3:$DQ$19,$D82,FALSE)),0,VLOOKUP(G$1,'peak-new'!$A$3:$DQ$19,$D82,FALSE))</f>
        <v>0</v>
      </c>
      <c r="H82" s="14">
        <f>IF(ISNA(VLOOKUP(H$1,'peak-new'!$A$3:$DQ$19,$D82,FALSE)),0,VLOOKUP(H$1,'peak-new'!$A$3:$DQ$19,$D82,FALSE))</f>
        <v>-78016</v>
      </c>
      <c r="I82" s="14">
        <f>IF(ISNA(VLOOKUP(I$1,'peak-new'!$A$3:$DQ$19,$D82,FALSE)),0,VLOOKUP(I$1,'peak-new'!$A$3:$DQ$19,$D82,FALSE))</f>
        <v>-9200</v>
      </c>
      <c r="J82" s="14">
        <f>IF(ISNA(VLOOKUP(J$1,'peak-new'!$A$3:$DQ$19,$D82,FALSE)),0,VLOOKUP(J$1,'peak-new'!$A$3:$DQ$19,$D82,FALSE))</f>
        <v>0</v>
      </c>
      <c r="K82" s="14">
        <f>IF(ISNA(VLOOKUP(K$1,'peak-new'!$A$3:$DQ$19,$D82,FALSE)),0,VLOOKUP(K$1,'peak-new'!$A$3:$DQ$19,$D82,FALSE))</f>
        <v>0</v>
      </c>
      <c r="L82" s="14">
        <f>IF(ISNA(VLOOKUP(L$1,'peak-new'!$A$3:$DQ$19,$D82,FALSE)),0,VLOOKUP(L$1,'peak-new'!$A$3:$DQ$19,$D82,FALSE))</f>
        <v>-368</v>
      </c>
      <c r="M82" s="14">
        <f>IF(ISNA(VLOOKUP(M$1,'peak-new'!$A$3:$DQ$19,$D82,FALSE)),0,VLOOKUP(M$1,'peak-new'!$A$3:$DQ$19,$D82,FALSE))</f>
        <v>0</v>
      </c>
      <c r="N82" s="14">
        <f>IF(ISNA(VLOOKUP(N$1,'peak-new'!$A$3:$DQ$19,$D82,FALSE)),0,VLOOKUP(N$1,'peak-new'!$A$3:$DQ$19,$D82,FALSE))</f>
        <v>0</v>
      </c>
      <c r="O82" s="14">
        <f>IF(ISNA(VLOOKUP(O$1,'peak-new'!$A$3:$DQ$19,$D82,FALSE)),0,VLOOKUP(O$1,'peak-new'!$A$3:$DQ$19,$D82,FALSE))</f>
        <v>0</v>
      </c>
      <c r="P82" s="14">
        <f>IF(ISNA(VLOOKUP(P$1,'peak-new'!$A$3:$DQ$19,$D82,FALSE)),0,VLOOKUP(P$1,'peak-new'!$A$3:$DQ$19,$D82,FALSE))</f>
        <v>0</v>
      </c>
      <c r="Q82" s="15">
        <f>IF(ISNA(VLOOKUP(Q$1,'delta-new'!$A$3:$DQ$20,$D82,FALSE)),0,VLOOKUP(Q$1,'delta-new'!$A$3:$DQ$20,$D82,FALSE))</f>
        <v>5836.14</v>
      </c>
      <c r="R82" s="14">
        <f>IF(ISNA(VLOOKUP(R$1,'peak-new'!$A$3:$DQ$19,$D82,FALSE)),0,VLOOKUP(R$1,'peak-new'!$A$3:$DQ$19,$D82,FALSE))</f>
        <v>0</v>
      </c>
      <c r="S82" s="10"/>
    </row>
    <row r="83" spans="1:19" s="8" customFormat="1" x14ac:dyDescent="0.2">
      <c r="A83" s="8">
        <f t="shared" si="11"/>
        <v>2007</v>
      </c>
      <c r="B83" s="8">
        <f t="shared" si="12"/>
        <v>9</v>
      </c>
      <c r="C83" s="9">
        <f t="shared" si="10"/>
        <v>39326</v>
      </c>
      <c r="D83" s="8">
        <f t="shared" si="13"/>
        <v>71</v>
      </c>
      <c r="E83" s="14">
        <f>IF(ISNA(VLOOKUP(E$1,'delta-new'!$A$3:$DQ$20,$D83,FALSE)),0,VLOOKUP(E$1,'delta-new'!$A$3:$DQ$20,$D83,FALSE))</f>
        <v>39534</v>
      </c>
      <c r="F83" s="14">
        <f>IF(ISNA(VLOOKUP(F$1,'peak-new'!$A$3:$DQ$19,$D83,FALSE)),0,VLOOKUP(F$1,'peak-new'!$A$3:$DQ$19,$D83,FALSE))</f>
        <v>0</v>
      </c>
      <c r="G83" s="14">
        <f>IF(ISNA(VLOOKUP(G$1,'peak-new'!$A$3:$DQ$19,$D83,FALSE)),0,VLOOKUP(G$1,'peak-new'!$A$3:$DQ$19,$D83,FALSE))</f>
        <v>0</v>
      </c>
      <c r="H83" s="14">
        <f>IF(ISNA(VLOOKUP(H$1,'peak-new'!$A$3:$DQ$19,$D83,FALSE)),0,VLOOKUP(H$1,'peak-new'!$A$3:$DQ$19,$D83,FALSE))</f>
        <v>-69312</v>
      </c>
      <c r="I83" s="14">
        <f>IF(ISNA(VLOOKUP(I$1,'peak-new'!$A$3:$DQ$19,$D83,FALSE)),0,VLOOKUP(I$1,'peak-new'!$A$3:$DQ$19,$D83,FALSE))</f>
        <v>-7600</v>
      </c>
      <c r="J83" s="14">
        <f>IF(ISNA(VLOOKUP(J$1,'peak-new'!$A$3:$DQ$19,$D83,FALSE)),0,VLOOKUP(J$1,'peak-new'!$A$3:$DQ$19,$D83,FALSE))</f>
        <v>0</v>
      </c>
      <c r="K83" s="14">
        <f>IF(ISNA(VLOOKUP(K$1,'peak-new'!$A$3:$DQ$19,$D83,FALSE)),0,VLOOKUP(K$1,'peak-new'!$A$3:$DQ$19,$D83,FALSE))</f>
        <v>0</v>
      </c>
      <c r="L83" s="14">
        <f>IF(ISNA(VLOOKUP(L$1,'peak-new'!$A$3:$DQ$19,$D83,FALSE)),0,VLOOKUP(L$1,'peak-new'!$A$3:$DQ$19,$D83,FALSE))</f>
        <v>0</v>
      </c>
      <c r="M83" s="14">
        <f>IF(ISNA(VLOOKUP(M$1,'peak-new'!$A$3:$DQ$19,$D83,FALSE)),0,VLOOKUP(M$1,'peak-new'!$A$3:$DQ$19,$D83,FALSE))</f>
        <v>0</v>
      </c>
      <c r="N83" s="14">
        <f>IF(ISNA(VLOOKUP(N$1,'peak-new'!$A$3:$DQ$19,$D83,FALSE)),0,VLOOKUP(N$1,'peak-new'!$A$3:$DQ$19,$D83,FALSE))</f>
        <v>0</v>
      </c>
      <c r="O83" s="14">
        <f>IF(ISNA(VLOOKUP(O$1,'peak-new'!$A$3:$DQ$19,$D83,FALSE)),0,VLOOKUP(O$1,'peak-new'!$A$3:$DQ$19,$D83,FALSE))</f>
        <v>0</v>
      </c>
      <c r="P83" s="14">
        <f>IF(ISNA(VLOOKUP(P$1,'peak-new'!$A$3:$DQ$19,$D83,FALSE)),0,VLOOKUP(P$1,'peak-new'!$A$3:$DQ$19,$D83,FALSE))</f>
        <v>0</v>
      </c>
      <c r="Q83" s="15">
        <f>IF(ISNA(VLOOKUP(Q$1,'delta-new'!$A$3:$DQ$20,$D83,FALSE)),0,VLOOKUP(Q$1,'delta-new'!$A$3:$DQ$20,$D83,FALSE))</f>
        <v>5025.75</v>
      </c>
      <c r="R83" s="14">
        <f>IF(ISNA(VLOOKUP(R$1,'peak-new'!$A$3:$DQ$19,$D83,FALSE)),0,VLOOKUP(R$1,'peak-new'!$A$3:$DQ$19,$D83,FALSE))</f>
        <v>0</v>
      </c>
      <c r="S83" s="10"/>
    </row>
    <row r="84" spans="1:19" s="8" customFormat="1" x14ac:dyDescent="0.2">
      <c r="A84" s="8">
        <f t="shared" si="11"/>
        <v>2007</v>
      </c>
      <c r="B84" s="8">
        <f t="shared" si="12"/>
        <v>10</v>
      </c>
      <c r="C84" s="9">
        <f t="shared" si="10"/>
        <v>39356</v>
      </c>
      <c r="D84" s="8">
        <f t="shared" si="13"/>
        <v>72</v>
      </c>
      <c r="E84" s="14">
        <f>IF(ISNA(VLOOKUP(E$1,'delta-new'!$A$3:$DQ$20,$D84,FALSE)),0,VLOOKUP(E$1,'delta-new'!$A$3:$DQ$20,$D84,FALSE))</f>
        <v>47612.2</v>
      </c>
      <c r="F84" s="14">
        <f>IF(ISNA(VLOOKUP(F$1,'peak-new'!$A$3:$DQ$19,$D84,FALSE)),0,VLOOKUP(F$1,'peak-new'!$A$3:$DQ$19,$D84,FALSE))</f>
        <v>0</v>
      </c>
      <c r="G84" s="14">
        <f>IF(ISNA(VLOOKUP(G$1,'peak-new'!$A$3:$DQ$19,$D84,FALSE)),0,VLOOKUP(G$1,'peak-new'!$A$3:$DQ$19,$D84,FALSE))</f>
        <v>0</v>
      </c>
      <c r="H84" s="14">
        <f>IF(ISNA(VLOOKUP(H$1,'peak-new'!$A$3:$DQ$19,$D84,FALSE)),0,VLOOKUP(H$1,'peak-new'!$A$3:$DQ$19,$D84,FALSE))</f>
        <v>-84272</v>
      </c>
      <c r="I84" s="14">
        <f>IF(ISNA(VLOOKUP(I$1,'peak-new'!$A$3:$DQ$19,$D84,FALSE)),0,VLOOKUP(I$1,'peak-new'!$A$3:$DQ$19,$D84,FALSE))</f>
        <v>-9200</v>
      </c>
      <c r="J84" s="14">
        <f>IF(ISNA(VLOOKUP(J$1,'peak-new'!$A$3:$DQ$19,$D84,FALSE)),0,VLOOKUP(J$1,'peak-new'!$A$3:$DQ$19,$D84,FALSE))</f>
        <v>0</v>
      </c>
      <c r="K84" s="14">
        <f>IF(ISNA(VLOOKUP(K$1,'peak-new'!$A$3:$DQ$19,$D84,FALSE)),0,VLOOKUP(K$1,'peak-new'!$A$3:$DQ$19,$D84,FALSE))</f>
        <v>0</v>
      </c>
      <c r="L84" s="14">
        <f>IF(ISNA(VLOOKUP(L$1,'peak-new'!$A$3:$DQ$19,$D84,FALSE)),0,VLOOKUP(L$1,'peak-new'!$A$3:$DQ$19,$D84,FALSE))</f>
        <v>0</v>
      </c>
      <c r="M84" s="14">
        <f>IF(ISNA(VLOOKUP(M$1,'peak-new'!$A$3:$DQ$19,$D84,FALSE)),0,VLOOKUP(M$1,'peak-new'!$A$3:$DQ$19,$D84,FALSE))</f>
        <v>0</v>
      </c>
      <c r="N84" s="14">
        <f>IF(ISNA(VLOOKUP(N$1,'peak-new'!$A$3:$DQ$19,$D84,FALSE)),0,VLOOKUP(N$1,'peak-new'!$A$3:$DQ$19,$D84,FALSE))</f>
        <v>0</v>
      </c>
      <c r="O84" s="14">
        <f>IF(ISNA(VLOOKUP(O$1,'peak-new'!$A$3:$DQ$19,$D84,FALSE)),0,VLOOKUP(O$1,'peak-new'!$A$3:$DQ$19,$D84,FALSE))</f>
        <v>0</v>
      </c>
      <c r="P84" s="14">
        <f>IF(ISNA(VLOOKUP(P$1,'peak-new'!$A$3:$DQ$19,$D84,FALSE)),0,VLOOKUP(P$1,'peak-new'!$A$3:$DQ$19,$D84,FALSE))</f>
        <v>0</v>
      </c>
      <c r="Q84" s="15">
        <f>IF(ISNA(VLOOKUP(Q$1,'delta-new'!$A$3:$DQ$20,$D84,FALSE)),0,VLOOKUP(Q$1,'delta-new'!$A$3:$DQ$20,$D84,FALSE))</f>
        <v>6053</v>
      </c>
      <c r="R84" s="14">
        <f>IF(ISNA(VLOOKUP(R$1,'peak-new'!$A$3:$DQ$19,$D84,FALSE)),0,VLOOKUP(R$1,'peak-new'!$A$3:$DQ$19,$D84,FALSE))</f>
        <v>0</v>
      </c>
      <c r="S84" s="10"/>
    </row>
    <row r="85" spans="1:19" s="8" customFormat="1" x14ac:dyDescent="0.2">
      <c r="A85" s="8">
        <f t="shared" si="11"/>
        <v>2007</v>
      </c>
      <c r="B85" s="8">
        <f t="shared" si="12"/>
        <v>11</v>
      </c>
      <c r="C85" s="9">
        <f t="shared" si="10"/>
        <v>39387</v>
      </c>
      <c r="D85" s="8">
        <f t="shared" si="13"/>
        <v>73</v>
      </c>
      <c r="E85" s="14">
        <f>IF(ISNA(VLOOKUP(E$1,'delta-new'!$A$3:$DQ$20,$D85,FALSE)),0,VLOOKUP(E$1,'delta-new'!$A$3:$DQ$20,$D85,FALSE))</f>
        <v>43255.65</v>
      </c>
      <c r="F85" s="14">
        <f>IF(ISNA(VLOOKUP(F$1,'peak-new'!$A$3:$DQ$19,$D85,FALSE)),0,VLOOKUP(F$1,'peak-new'!$A$3:$DQ$19,$D85,FALSE))</f>
        <v>0</v>
      </c>
      <c r="G85" s="14">
        <f>IF(ISNA(VLOOKUP(G$1,'peak-new'!$A$3:$DQ$19,$D85,FALSE)),0,VLOOKUP(G$1,'peak-new'!$A$3:$DQ$19,$D85,FALSE))</f>
        <v>0</v>
      </c>
      <c r="H85" s="14">
        <f>IF(ISNA(VLOOKUP(H$1,'peak-new'!$A$3:$DQ$19,$D85,FALSE)),0,VLOOKUP(H$1,'peak-new'!$A$3:$DQ$19,$D85,FALSE))</f>
        <v>-77280</v>
      </c>
      <c r="I85" s="14">
        <f>IF(ISNA(VLOOKUP(I$1,'peak-new'!$A$3:$DQ$19,$D85,FALSE)),0,VLOOKUP(I$1,'peak-new'!$A$3:$DQ$19,$D85,FALSE))</f>
        <v>-8400</v>
      </c>
      <c r="J85" s="14">
        <f>IF(ISNA(VLOOKUP(J$1,'peak-new'!$A$3:$DQ$19,$D85,FALSE)),0,VLOOKUP(J$1,'peak-new'!$A$3:$DQ$19,$D85,FALSE))</f>
        <v>0</v>
      </c>
      <c r="K85" s="14">
        <f>IF(ISNA(VLOOKUP(K$1,'peak-new'!$A$3:$DQ$19,$D85,FALSE)),0,VLOOKUP(K$1,'peak-new'!$A$3:$DQ$19,$D85,FALSE))</f>
        <v>0</v>
      </c>
      <c r="L85" s="14">
        <f>IF(ISNA(VLOOKUP(L$1,'peak-new'!$A$3:$DQ$19,$D85,FALSE)),0,VLOOKUP(L$1,'peak-new'!$A$3:$DQ$19,$D85,FALSE))</f>
        <v>0</v>
      </c>
      <c r="M85" s="14">
        <f>IF(ISNA(VLOOKUP(M$1,'peak-new'!$A$3:$DQ$19,$D85,FALSE)),0,VLOOKUP(M$1,'peak-new'!$A$3:$DQ$19,$D85,FALSE))</f>
        <v>0</v>
      </c>
      <c r="N85" s="14">
        <f>IF(ISNA(VLOOKUP(N$1,'peak-new'!$A$3:$DQ$19,$D85,FALSE)),0,VLOOKUP(N$1,'peak-new'!$A$3:$DQ$19,$D85,FALSE))</f>
        <v>0</v>
      </c>
      <c r="O85" s="14">
        <f>IF(ISNA(VLOOKUP(O$1,'peak-new'!$A$3:$DQ$19,$D85,FALSE)),0,VLOOKUP(O$1,'peak-new'!$A$3:$DQ$19,$D85,FALSE))</f>
        <v>0</v>
      </c>
      <c r="P85" s="14">
        <f>IF(ISNA(VLOOKUP(P$1,'peak-new'!$A$3:$DQ$19,$D85,FALSE)),0,VLOOKUP(P$1,'peak-new'!$A$3:$DQ$19,$D85,FALSE))</f>
        <v>0</v>
      </c>
      <c r="Q85" s="15">
        <f>IF(ISNA(VLOOKUP(Q$1,'delta-new'!$A$3:$DQ$20,$D85,FALSE)),0,VLOOKUP(Q$1,'delta-new'!$A$3:$DQ$20,$D85,FALSE))</f>
        <v>5499.09</v>
      </c>
      <c r="R85" s="14">
        <f>IF(ISNA(VLOOKUP(R$1,'peak-new'!$A$3:$DQ$19,$D85,FALSE)),0,VLOOKUP(R$1,'peak-new'!$A$3:$DQ$19,$D85,FALSE))</f>
        <v>0</v>
      </c>
      <c r="S85" s="10"/>
    </row>
    <row r="86" spans="1:19" s="8" customFormat="1" x14ac:dyDescent="0.2">
      <c r="A86" s="8">
        <f t="shared" si="11"/>
        <v>2007</v>
      </c>
      <c r="B86" s="8">
        <f t="shared" si="12"/>
        <v>12</v>
      </c>
      <c r="C86" s="9">
        <f t="shared" si="10"/>
        <v>39417</v>
      </c>
      <c r="D86" s="8">
        <f t="shared" si="13"/>
        <v>74</v>
      </c>
      <c r="E86" s="14">
        <f>IF(ISNA(VLOOKUP(E$1,'delta-new'!$A$3:$DQ$20,$D86,FALSE)),0,VLOOKUP(E$1,'delta-new'!$A$3:$DQ$20,$D86,FALSE))</f>
        <v>40982.86</v>
      </c>
      <c r="F86" s="14">
        <f>IF(ISNA(VLOOKUP(F$1,'peak-new'!$A$3:$DQ$19,$D86,FALSE)),0,VLOOKUP(F$1,'peak-new'!$A$3:$DQ$19,$D86,FALSE))</f>
        <v>0</v>
      </c>
      <c r="G86" s="14">
        <f>IF(ISNA(VLOOKUP(G$1,'peak-new'!$A$3:$DQ$19,$D86,FALSE)),0,VLOOKUP(G$1,'peak-new'!$A$3:$DQ$19,$D86,FALSE))</f>
        <v>0</v>
      </c>
      <c r="H86" s="14">
        <f>IF(ISNA(VLOOKUP(H$1,'peak-new'!$A$3:$DQ$19,$D86,FALSE)),0,VLOOKUP(H$1,'peak-new'!$A$3:$DQ$19,$D86,FALSE))</f>
        <v>-73280</v>
      </c>
      <c r="I86" s="14">
        <f>IF(ISNA(VLOOKUP(I$1,'peak-new'!$A$3:$DQ$19,$D86,FALSE)),0,VLOOKUP(I$1,'peak-new'!$A$3:$DQ$19,$D86,FALSE))</f>
        <v>-8000</v>
      </c>
      <c r="J86" s="14">
        <f>IF(ISNA(VLOOKUP(J$1,'peak-new'!$A$3:$DQ$19,$D86,FALSE)),0,VLOOKUP(J$1,'peak-new'!$A$3:$DQ$19,$D86,FALSE))</f>
        <v>0</v>
      </c>
      <c r="K86" s="14">
        <f>IF(ISNA(VLOOKUP(K$1,'peak-new'!$A$3:$DQ$19,$D86,FALSE)),0,VLOOKUP(K$1,'peak-new'!$A$3:$DQ$19,$D86,FALSE))</f>
        <v>0</v>
      </c>
      <c r="L86" s="14">
        <f>IF(ISNA(VLOOKUP(L$1,'peak-new'!$A$3:$DQ$19,$D86,FALSE)),0,VLOOKUP(L$1,'peak-new'!$A$3:$DQ$19,$D86,FALSE))</f>
        <v>0</v>
      </c>
      <c r="M86" s="14">
        <f>IF(ISNA(VLOOKUP(M$1,'peak-new'!$A$3:$DQ$19,$D86,FALSE)),0,VLOOKUP(M$1,'peak-new'!$A$3:$DQ$19,$D86,FALSE))</f>
        <v>0</v>
      </c>
      <c r="N86" s="14">
        <f>IF(ISNA(VLOOKUP(N$1,'peak-new'!$A$3:$DQ$19,$D86,FALSE)),0,VLOOKUP(N$1,'peak-new'!$A$3:$DQ$19,$D86,FALSE))</f>
        <v>0</v>
      </c>
      <c r="O86" s="14">
        <f>IF(ISNA(VLOOKUP(O$1,'peak-new'!$A$3:$DQ$19,$D86,FALSE)),0,VLOOKUP(O$1,'peak-new'!$A$3:$DQ$19,$D86,FALSE))</f>
        <v>0</v>
      </c>
      <c r="P86" s="14">
        <f>IF(ISNA(VLOOKUP(P$1,'peak-new'!$A$3:$DQ$19,$D86,FALSE)),0,VLOOKUP(P$1,'peak-new'!$A$3:$DQ$19,$D86,FALSE))</f>
        <v>0</v>
      </c>
      <c r="Q86" s="15">
        <f>IF(ISNA(VLOOKUP(Q$1,'delta-new'!$A$3:$DQ$20,$D86,FALSE)),0,VLOOKUP(Q$1,'delta-new'!$A$3:$DQ$20,$D86,FALSE))</f>
        <v>5210.26</v>
      </c>
      <c r="R86" s="14">
        <f>IF(ISNA(VLOOKUP(R$1,'peak-new'!$A$3:$DQ$19,$D86,FALSE)),0,VLOOKUP(R$1,'peak-new'!$A$3:$DQ$19,$D86,FALSE))</f>
        <v>0</v>
      </c>
      <c r="S86" s="10"/>
    </row>
    <row r="87" spans="1:19" s="8" customFormat="1" x14ac:dyDescent="0.2">
      <c r="A87" s="8">
        <f t="shared" si="11"/>
        <v>2008</v>
      </c>
      <c r="B87" s="8">
        <f t="shared" si="12"/>
        <v>1</v>
      </c>
      <c r="C87" s="9">
        <f t="shared" si="10"/>
        <v>39448</v>
      </c>
      <c r="D87" s="8">
        <f t="shared" si="13"/>
        <v>75</v>
      </c>
      <c r="E87" s="14">
        <f>IF(ISNA(VLOOKUP(E$1,'delta-new'!$A$3:$DQ$20,$D87,FALSE)),0,VLOOKUP(E$1,'delta-new'!$A$3:$DQ$20,$D87,FALSE))</f>
        <v>31885.279999999999</v>
      </c>
      <c r="F87" s="14">
        <f>IF(ISNA(VLOOKUP(F$1,'peak-new'!$A$3:$DQ$19,$D87,FALSE)),0,VLOOKUP(F$1,'peak-new'!$A$3:$DQ$19,$D87,FALSE))</f>
        <v>0</v>
      </c>
      <c r="G87" s="14">
        <f>IF(ISNA(VLOOKUP(G$1,'peak-new'!$A$3:$DQ$19,$D87,FALSE)),0,VLOOKUP(G$1,'peak-new'!$A$3:$DQ$19,$D87,FALSE))</f>
        <v>0</v>
      </c>
      <c r="H87" s="14">
        <f>IF(ISNA(VLOOKUP(H$1,'peak-new'!$A$3:$DQ$19,$D87,FALSE)),0,VLOOKUP(H$1,'peak-new'!$A$3:$DQ$19,$D87,FALSE))</f>
        <v>-46464</v>
      </c>
      <c r="I87" s="14">
        <f>IF(ISNA(VLOOKUP(I$1,'peak-new'!$A$3:$DQ$19,$D87,FALSE)),0,VLOOKUP(I$1,'peak-new'!$A$3:$DQ$19,$D87,FALSE))</f>
        <v>-8800</v>
      </c>
      <c r="J87" s="14">
        <f>IF(ISNA(VLOOKUP(J$1,'peak-new'!$A$3:$DQ$19,$D87,FALSE)),0,VLOOKUP(J$1,'peak-new'!$A$3:$DQ$19,$D87,FALSE))</f>
        <v>0</v>
      </c>
      <c r="K87" s="14">
        <f>IF(ISNA(VLOOKUP(K$1,'peak-new'!$A$3:$DQ$19,$D87,FALSE)),0,VLOOKUP(K$1,'peak-new'!$A$3:$DQ$19,$D87,FALSE))</f>
        <v>0</v>
      </c>
      <c r="L87" s="14">
        <f>IF(ISNA(VLOOKUP(L$1,'peak-new'!$A$3:$DQ$19,$D87,FALSE)),0,VLOOKUP(L$1,'peak-new'!$A$3:$DQ$19,$D87,FALSE))</f>
        <v>0</v>
      </c>
      <c r="M87" s="14">
        <f>IF(ISNA(VLOOKUP(M$1,'peak-new'!$A$3:$DQ$19,$D87,FALSE)),0,VLOOKUP(M$1,'peak-new'!$A$3:$DQ$19,$D87,FALSE))</f>
        <v>0</v>
      </c>
      <c r="N87" s="14">
        <f>IF(ISNA(VLOOKUP(N$1,'peak-new'!$A$3:$DQ$19,$D87,FALSE)),0,VLOOKUP(N$1,'peak-new'!$A$3:$DQ$19,$D87,FALSE))</f>
        <v>0</v>
      </c>
      <c r="O87" s="14">
        <f>IF(ISNA(VLOOKUP(O$1,'peak-new'!$A$3:$DQ$19,$D87,FALSE)),0,VLOOKUP(O$1,'peak-new'!$A$3:$DQ$19,$D87,FALSE))</f>
        <v>0</v>
      </c>
      <c r="P87" s="14">
        <f>IF(ISNA(VLOOKUP(P$1,'peak-new'!$A$3:$DQ$19,$D87,FALSE)),0,VLOOKUP(P$1,'peak-new'!$A$3:$DQ$19,$D87,FALSE))</f>
        <v>0</v>
      </c>
      <c r="Q87" s="15">
        <f>IF(ISNA(VLOOKUP(Q$1,'delta-new'!$A$3:$DQ$20,$D87,FALSE)),0,VLOOKUP(Q$1,'delta-new'!$A$3:$DQ$20,$D87,FALSE))</f>
        <v>5961.15</v>
      </c>
      <c r="R87" s="14">
        <f>IF(ISNA(VLOOKUP(R$1,'peak-new'!$A$3:$DQ$19,$D87,FALSE)),0,VLOOKUP(R$1,'peak-new'!$A$3:$DQ$19,$D87,FALSE))</f>
        <v>0</v>
      </c>
      <c r="S87" s="10"/>
    </row>
    <row r="88" spans="1:19" s="8" customFormat="1" x14ac:dyDescent="0.2">
      <c r="A88" s="8">
        <f t="shared" si="11"/>
        <v>2008</v>
      </c>
      <c r="B88" s="8">
        <f t="shared" si="12"/>
        <v>2</v>
      </c>
      <c r="C88" s="9">
        <f t="shared" si="10"/>
        <v>39479</v>
      </c>
      <c r="D88" s="8">
        <f t="shared" si="13"/>
        <v>76</v>
      </c>
      <c r="E88" s="14">
        <f>IF(ISNA(VLOOKUP(E$1,'delta-new'!$A$3:$DQ$20,$D88,FALSE)),0,VLOOKUP(E$1,'delta-new'!$A$3:$DQ$20,$D88,FALSE))</f>
        <v>30287.119999999999</v>
      </c>
      <c r="F88" s="14">
        <f>IF(ISNA(VLOOKUP(F$1,'peak-new'!$A$3:$DQ$19,$D88,FALSE)),0,VLOOKUP(F$1,'peak-new'!$A$3:$DQ$19,$D88,FALSE))</f>
        <v>0</v>
      </c>
      <c r="G88" s="14">
        <f>IF(ISNA(VLOOKUP(G$1,'peak-new'!$A$3:$DQ$19,$D88,FALSE)),0,VLOOKUP(G$1,'peak-new'!$A$3:$DQ$19,$D88,FALSE))</f>
        <v>0</v>
      </c>
      <c r="H88" s="14">
        <f>IF(ISNA(VLOOKUP(H$1,'peak-new'!$A$3:$DQ$19,$D88,FALSE)),0,VLOOKUP(H$1,'peak-new'!$A$3:$DQ$19,$D88,FALSE))</f>
        <v>-44352</v>
      </c>
      <c r="I88" s="14">
        <f>IF(ISNA(VLOOKUP(I$1,'peak-new'!$A$3:$DQ$19,$D88,FALSE)),0,VLOOKUP(I$1,'peak-new'!$A$3:$DQ$19,$D88,FALSE))</f>
        <v>-8400</v>
      </c>
      <c r="J88" s="14">
        <f>IF(ISNA(VLOOKUP(J$1,'peak-new'!$A$3:$DQ$19,$D88,FALSE)),0,VLOOKUP(J$1,'peak-new'!$A$3:$DQ$19,$D88,FALSE))</f>
        <v>0</v>
      </c>
      <c r="K88" s="14">
        <f>IF(ISNA(VLOOKUP(K$1,'peak-new'!$A$3:$DQ$19,$D88,FALSE)),0,VLOOKUP(K$1,'peak-new'!$A$3:$DQ$19,$D88,FALSE))</f>
        <v>0</v>
      </c>
      <c r="L88" s="14">
        <f>IF(ISNA(VLOOKUP(L$1,'peak-new'!$A$3:$DQ$19,$D88,FALSE)),0,VLOOKUP(L$1,'peak-new'!$A$3:$DQ$19,$D88,FALSE))</f>
        <v>0</v>
      </c>
      <c r="M88" s="14">
        <f>IF(ISNA(VLOOKUP(M$1,'peak-new'!$A$3:$DQ$19,$D88,FALSE)),0,VLOOKUP(M$1,'peak-new'!$A$3:$DQ$19,$D88,FALSE))</f>
        <v>0</v>
      </c>
      <c r="N88" s="14">
        <f>IF(ISNA(VLOOKUP(N$1,'peak-new'!$A$3:$DQ$19,$D88,FALSE)),0,VLOOKUP(N$1,'peak-new'!$A$3:$DQ$19,$D88,FALSE))</f>
        <v>0</v>
      </c>
      <c r="O88" s="14">
        <f>IF(ISNA(VLOOKUP(O$1,'peak-new'!$A$3:$DQ$19,$D88,FALSE)),0,VLOOKUP(O$1,'peak-new'!$A$3:$DQ$19,$D88,FALSE))</f>
        <v>0</v>
      </c>
      <c r="P88" s="14">
        <f>IF(ISNA(VLOOKUP(P$1,'peak-new'!$A$3:$DQ$19,$D88,FALSE)),0,VLOOKUP(P$1,'peak-new'!$A$3:$DQ$19,$D88,FALSE))</f>
        <v>0</v>
      </c>
      <c r="Q88" s="15">
        <f>IF(ISNA(VLOOKUP(Q$1,'delta-new'!$A$3:$DQ$20,$D88,FALSE)),0,VLOOKUP(Q$1,'delta-new'!$A$3:$DQ$20,$D88,FALSE))</f>
        <v>5662.36</v>
      </c>
      <c r="R88" s="14">
        <f>IF(ISNA(VLOOKUP(R$1,'peak-new'!$A$3:$DQ$19,$D88,FALSE)),0,VLOOKUP(R$1,'peak-new'!$A$3:$DQ$19,$D88,FALSE))</f>
        <v>0</v>
      </c>
      <c r="S88" s="10"/>
    </row>
    <row r="89" spans="1:19" s="8" customFormat="1" x14ac:dyDescent="0.2">
      <c r="A89" s="8">
        <f t="shared" si="11"/>
        <v>2008</v>
      </c>
      <c r="B89" s="8">
        <f t="shared" si="12"/>
        <v>3</v>
      </c>
      <c r="C89" s="9">
        <f t="shared" si="10"/>
        <v>39508</v>
      </c>
      <c r="D89" s="8">
        <f t="shared" si="13"/>
        <v>77</v>
      </c>
      <c r="E89" s="14">
        <f>IF(ISNA(VLOOKUP(E$1,'delta-new'!$A$3:$DQ$20,$D89,FALSE)),0,VLOOKUP(E$1,'delta-new'!$A$3:$DQ$20,$D89,FALSE))</f>
        <v>30128</v>
      </c>
      <c r="F89" s="14">
        <f>IF(ISNA(VLOOKUP(F$1,'peak-new'!$A$3:$DQ$19,$D89,FALSE)),0,VLOOKUP(F$1,'peak-new'!$A$3:$DQ$19,$D89,FALSE))</f>
        <v>0</v>
      </c>
      <c r="G89" s="14">
        <f>IF(ISNA(VLOOKUP(G$1,'peak-new'!$A$3:$DQ$19,$D89,FALSE)),0,VLOOKUP(G$1,'peak-new'!$A$3:$DQ$19,$D89,FALSE))</f>
        <v>0</v>
      </c>
      <c r="H89" s="14">
        <f>IF(ISNA(VLOOKUP(H$1,'peak-new'!$A$3:$DQ$19,$D89,FALSE)),0,VLOOKUP(H$1,'peak-new'!$A$3:$DQ$19,$D89,FALSE))</f>
        <v>-45696</v>
      </c>
      <c r="I89" s="14">
        <f>IF(ISNA(VLOOKUP(I$1,'peak-new'!$A$3:$DQ$19,$D89,FALSE)),0,VLOOKUP(I$1,'peak-new'!$A$3:$DQ$19,$D89,FALSE))</f>
        <v>-8400</v>
      </c>
      <c r="J89" s="14">
        <f>IF(ISNA(VLOOKUP(J$1,'peak-new'!$A$3:$DQ$19,$D89,FALSE)),0,VLOOKUP(J$1,'peak-new'!$A$3:$DQ$19,$D89,FALSE))</f>
        <v>0</v>
      </c>
      <c r="K89" s="14">
        <f>IF(ISNA(VLOOKUP(K$1,'peak-new'!$A$3:$DQ$19,$D89,FALSE)),0,VLOOKUP(K$1,'peak-new'!$A$3:$DQ$19,$D89,FALSE))</f>
        <v>0</v>
      </c>
      <c r="L89" s="14">
        <f>IF(ISNA(VLOOKUP(L$1,'peak-new'!$A$3:$DQ$19,$D89,FALSE)),0,VLOOKUP(L$1,'peak-new'!$A$3:$DQ$19,$D89,FALSE))</f>
        <v>0</v>
      </c>
      <c r="M89" s="14">
        <f>IF(ISNA(VLOOKUP(M$1,'peak-new'!$A$3:$DQ$19,$D89,FALSE)),0,VLOOKUP(M$1,'peak-new'!$A$3:$DQ$19,$D89,FALSE))</f>
        <v>0</v>
      </c>
      <c r="N89" s="14">
        <f>IF(ISNA(VLOOKUP(N$1,'peak-new'!$A$3:$DQ$19,$D89,FALSE)),0,VLOOKUP(N$1,'peak-new'!$A$3:$DQ$19,$D89,FALSE))</f>
        <v>0</v>
      </c>
      <c r="O89" s="14">
        <f>IF(ISNA(VLOOKUP(O$1,'peak-new'!$A$3:$DQ$19,$D89,FALSE)),0,VLOOKUP(O$1,'peak-new'!$A$3:$DQ$19,$D89,FALSE))</f>
        <v>0</v>
      </c>
      <c r="P89" s="14">
        <f>IF(ISNA(VLOOKUP(P$1,'peak-new'!$A$3:$DQ$19,$D89,FALSE)),0,VLOOKUP(P$1,'peak-new'!$A$3:$DQ$19,$D89,FALSE))</f>
        <v>0</v>
      </c>
      <c r="Q89" s="15">
        <f>IF(ISNA(VLOOKUP(Q$1,'delta-new'!$A$3:$DQ$20,$D89,FALSE)),0,VLOOKUP(Q$1,'delta-new'!$A$3:$DQ$20,$D89,FALSE))</f>
        <v>5632.61</v>
      </c>
      <c r="R89" s="14">
        <f>IF(ISNA(VLOOKUP(R$1,'peak-new'!$A$3:$DQ$19,$D89,FALSE)),0,VLOOKUP(R$1,'peak-new'!$A$3:$DQ$19,$D89,FALSE))</f>
        <v>0</v>
      </c>
      <c r="S89" s="10"/>
    </row>
    <row r="90" spans="1:19" s="8" customFormat="1" x14ac:dyDescent="0.2">
      <c r="A90" s="8">
        <f t="shared" si="11"/>
        <v>2008</v>
      </c>
      <c r="B90" s="8">
        <f t="shared" si="12"/>
        <v>4</v>
      </c>
      <c r="C90" s="9">
        <f t="shared" si="10"/>
        <v>39539</v>
      </c>
      <c r="D90" s="8">
        <f t="shared" si="13"/>
        <v>78</v>
      </c>
      <c r="E90" s="14">
        <f>IF(ISNA(VLOOKUP(E$1,'delta-new'!$A$3:$DQ$20,$D90,FALSE)),0,VLOOKUP(E$1,'delta-new'!$A$3:$DQ$20,$D90,FALSE))</f>
        <v>31401.33</v>
      </c>
      <c r="F90" s="14">
        <f>IF(ISNA(VLOOKUP(F$1,'peak-new'!$A$3:$DQ$19,$D90,FALSE)),0,VLOOKUP(F$1,'peak-new'!$A$3:$DQ$19,$D90,FALSE))</f>
        <v>0</v>
      </c>
      <c r="G90" s="14">
        <f>IF(ISNA(VLOOKUP(G$1,'peak-new'!$A$3:$DQ$19,$D90,FALSE)),0,VLOOKUP(G$1,'peak-new'!$A$3:$DQ$19,$D90,FALSE))</f>
        <v>0</v>
      </c>
      <c r="H90" s="14">
        <f>IF(ISNA(VLOOKUP(H$1,'peak-new'!$A$3:$DQ$19,$D90,FALSE)),0,VLOOKUP(H$1,'peak-new'!$A$3:$DQ$19,$D90,FALSE))</f>
        <v>-47520</v>
      </c>
      <c r="I90" s="14">
        <f>IF(ISNA(VLOOKUP(I$1,'peak-new'!$A$3:$DQ$19,$D90,FALSE)),0,VLOOKUP(I$1,'peak-new'!$A$3:$DQ$19,$D90,FALSE))</f>
        <v>-8800</v>
      </c>
      <c r="J90" s="14">
        <f>IF(ISNA(VLOOKUP(J$1,'peak-new'!$A$3:$DQ$19,$D90,FALSE)),0,VLOOKUP(J$1,'peak-new'!$A$3:$DQ$19,$D90,FALSE))</f>
        <v>0</v>
      </c>
      <c r="K90" s="14">
        <f>IF(ISNA(VLOOKUP(K$1,'peak-new'!$A$3:$DQ$19,$D90,FALSE)),0,VLOOKUP(K$1,'peak-new'!$A$3:$DQ$19,$D90,FALSE))</f>
        <v>0</v>
      </c>
      <c r="L90" s="14">
        <f>IF(ISNA(VLOOKUP(L$1,'peak-new'!$A$3:$DQ$19,$D90,FALSE)),0,VLOOKUP(L$1,'peak-new'!$A$3:$DQ$19,$D90,FALSE))</f>
        <v>0</v>
      </c>
      <c r="M90" s="14">
        <f>IF(ISNA(VLOOKUP(M$1,'peak-new'!$A$3:$DQ$19,$D90,FALSE)),0,VLOOKUP(M$1,'peak-new'!$A$3:$DQ$19,$D90,FALSE))</f>
        <v>0</v>
      </c>
      <c r="N90" s="14">
        <f>IF(ISNA(VLOOKUP(N$1,'peak-new'!$A$3:$DQ$19,$D90,FALSE)),0,VLOOKUP(N$1,'peak-new'!$A$3:$DQ$19,$D90,FALSE))</f>
        <v>0</v>
      </c>
      <c r="O90" s="14">
        <f>IF(ISNA(VLOOKUP(O$1,'peak-new'!$A$3:$DQ$19,$D90,FALSE)),0,VLOOKUP(O$1,'peak-new'!$A$3:$DQ$19,$D90,FALSE))</f>
        <v>0</v>
      </c>
      <c r="P90" s="14">
        <f>IF(ISNA(VLOOKUP(P$1,'peak-new'!$A$3:$DQ$19,$D90,FALSE)),0,VLOOKUP(P$1,'peak-new'!$A$3:$DQ$19,$D90,FALSE))</f>
        <v>0</v>
      </c>
      <c r="Q90" s="15">
        <f>IF(ISNA(VLOOKUP(Q$1,'delta-new'!$A$3:$DQ$20,$D90,FALSE)),0,VLOOKUP(Q$1,'delta-new'!$A$3:$DQ$20,$D90,FALSE))</f>
        <v>5614.79</v>
      </c>
      <c r="R90" s="14">
        <f>IF(ISNA(VLOOKUP(R$1,'peak-new'!$A$3:$DQ$19,$D90,FALSE)),0,VLOOKUP(R$1,'peak-new'!$A$3:$DQ$19,$D90,FALSE))</f>
        <v>0</v>
      </c>
      <c r="S90" s="10"/>
    </row>
    <row r="91" spans="1:19" s="8" customFormat="1" x14ac:dyDescent="0.2">
      <c r="A91" s="8">
        <f t="shared" si="11"/>
        <v>2008</v>
      </c>
      <c r="B91" s="8">
        <f t="shared" si="12"/>
        <v>5</v>
      </c>
      <c r="C91" s="9">
        <f t="shared" si="10"/>
        <v>39569</v>
      </c>
      <c r="D91" s="8">
        <f t="shared" si="13"/>
        <v>79</v>
      </c>
      <c r="E91" s="14">
        <f>IF(ISNA(VLOOKUP(E$1,'delta-new'!$A$3:$DQ$20,$D91,FALSE)),0,VLOOKUP(E$1,'delta-new'!$A$3:$DQ$20,$D91,FALSE))</f>
        <v>29814.85</v>
      </c>
      <c r="F91" s="14">
        <f>IF(ISNA(VLOOKUP(F$1,'peak-new'!$A$3:$DQ$19,$D91,FALSE)),0,VLOOKUP(F$1,'peak-new'!$A$3:$DQ$19,$D91,FALSE))</f>
        <v>0</v>
      </c>
      <c r="G91" s="14">
        <f>IF(ISNA(VLOOKUP(G$1,'peak-new'!$A$3:$DQ$19,$D91,FALSE)),0,VLOOKUP(G$1,'peak-new'!$A$3:$DQ$19,$D91,FALSE))</f>
        <v>0</v>
      </c>
      <c r="H91" s="14">
        <f>IF(ISNA(VLOOKUP(H$1,'peak-new'!$A$3:$DQ$19,$D91,FALSE)),0,VLOOKUP(H$1,'peak-new'!$A$3:$DQ$19,$D91,FALSE))</f>
        <v>-42336</v>
      </c>
      <c r="I91" s="14">
        <f>IF(ISNA(VLOOKUP(I$1,'peak-new'!$A$3:$DQ$19,$D91,FALSE)),0,VLOOKUP(I$1,'peak-new'!$A$3:$DQ$19,$D91,FALSE))</f>
        <v>-8400</v>
      </c>
      <c r="J91" s="14">
        <f>IF(ISNA(VLOOKUP(J$1,'peak-new'!$A$3:$DQ$19,$D91,FALSE)),0,VLOOKUP(J$1,'peak-new'!$A$3:$DQ$19,$D91,FALSE))</f>
        <v>0</v>
      </c>
      <c r="K91" s="14">
        <f>IF(ISNA(VLOOKUP(K$1,'peak-new'!$A$3:$DQ$19,$D91,FALSE)),0,VLOOKUP(K$1,'peak-new'!$A$3:$DQ$19,$D91,FALSE))</f>
        <v>0</v>
      </c>
      <c r="L91" s="14">
        <f>IF(ISNA(VLOOKUP(L$1,'peak-new'!$A$3:$DQ$19,$D91,FALSE)),0,VLOOKUP(L$1,'peak-new'!$A$3:$DQ$19,$D91,FALSE))</f>
        <v>0</v>
      </c>
      <c r="M91" s="14">
        <f>IF(ISNA(VLOOKUP(M$1,'peak-new'!$A$3:$DQ$19,$D91,FALSE)),0,VLOOKUP(M$1,'peak-new'!$A$3:$DQ$19,$D91,FALSE))</f>
        <v>0</v>
      </c>
      <c r="N91" s="14">
        <f>IF(ISNA(VLOOKUP(N$1,'peak-new'!$A$3:$DQ$19,$D91,FALSE)),0,VLOOKUP(N$1,'peak-new'!$A$3:$DQ$19,$D91,FALSE))</f>
        <v>0</v>
      </c>
      <c r="O91" s="14">
        <f>IF(ISNA(VLOOKUP(O$1,'peak-new'!$A$3:$DQ$19,$D91,FALSE)),0,VLOOKUP(O$1,'peak-new'!$A$3:$DQ$19,$D91,FALSE))</f>
        <v>0</v>
      </c>
      <c r="P91" s="14">
        <f>IF(ISNA(VLOOKUP(P$1,'peak-new'!$A$3:$DQ$19,$D91,FALSE)),0,VLOOKUP(P$1,'peak-new'!$A$3:$DQ$19,$D91,FALSE))</f>
        <v>0</v>
      </c>
      <c r="Q91" s="15">
        <f>IF(ISNA(VLOOKUP(Q$1,'delta-new'!$A$3:$DQ$20,$D91,FALSE)),0,VLOOKUP(Q$1,'delta-new'!$A$3:$DQ$20,$D91,FALSE))</f>
        <v>5331</v>
      </c>
      <c r="R91" s="14">
        <f>IF(ISNA(VLOOKUP(R$1,'peak-new'!$A$3:$DQ$19,$D91,FALSE)),0,VLOOKUP(R$1,'peak-new'!$A$3:$DQ$19,$D91,FALSE))</f>
        <v>0</v>
      </c>
      <c r="S91" s="10"/>
    </row>
    <row r="92" spans="1:19" s="8" customFormat="1" x14ac:dyDescent="0.2">
      <c r="A92" s="8">
        <f t="shared" si="11"/>
        <v>2008</v>
      </c>
      <c r="B92" s="8">
        <f t="shared" si="12"/>
        <v>6</v>
      </c>
      <c r="C92" s="9">
        <f t="shared" si="10"/>
        <v>39600</v>
      </c>
      <c r="D92" s="8">
        <f t="shared" si="13"/>
        <v>80</v>
      </c>
      <c r="E92" s="14">
        <f>IF(ISNA(VLOOKUP(E$1,'delta-new'!$A$3:$DQ$20,$D92,FALSE)),0,VLOOKUP(E$1,'delta-new'!$A$3:$DQ$20,$D92,FALSE))</f>
        <v>29660.84</v>
      </c>
      <c r="F92" s="14">
        <f>IF(ISNA(VLOOKUP(F$1,'peak-new'!$A$3:$DQ$19,$D92,FALSE)),0,VLOOKUP(F$1,'peak-new'!$A$3:$DQ$19,$D92,FALSE))</f>
        <v>0</v>
      </c>
      <c r="G92" s="14">
        <f>IF(ISNA(VLOOKUP(G$1,'peak-new'!$A$3:$DQ$19,$D92,FALSE)),0,VLOOKUP(G$1,'peak-new'!$A$3:$DQ$19,$D92,FALSE))</f>
        <v>0</v>
      </c>
      <c r="H92" s="14">
        <f>IF(ISNA(VLOOKUP(H$1,'peak-new'!$A$3:$DQ$19,$D92,FALSE)),0,VLOOKUP(H$1,'peak-new'!$A$3:$DQ$19,$D92,FALSE))</f>
        <v>-40656</v>
      </c>
      <c r="I92" s="14">
        <f>IF(ISNA(VLOOKUP(I$1,'peak-new'!$A$3:$DQ$19,$D92,FALSE)),0,VLOOKUP(I$1,'peak-new'!$A$3:$DQ$19,$D92,FALSE))</f>
        <v>-8400</v>
      </c>
      <c r="J92" s="14">
        <f>IF(ISNA(VLOOKUP(J$1,'peak-new'!$A$3:$DQ$19,$D92,FALSE)),0,VLOOKUP(J$1,'peak-new'!$A$3:$DQ$19,$D92,FALSE))</f>
        <v>0</v>
      </c>
      <c r="K92" s="14">
        <f>IF(ISNA(VLOOKUP(K$1,'peak-new'!$A$3:$DQ$19,$D92,FALSE)),0,VLOOKUP(K$1,'peak-new'!$A$3:$DQ$19,$D92,FALSE))</f>
        <v>0</v>
      </c>
      <c r="L92" s="14">
        <f>IF(ISNA(VLOOKUP(L$1,'peak-new'!$A$3:$DQ$19,$D92,FALSE)),0,VLOOKUP(L$1,'peak-new'!$A$3:$DQ$19,$D92,FALSE))</f>
        <v>0</v>
      </c>
      <c r="M92" s="14">
        <f>IF(ISNA(VLOOKUP(M$1,'peak-new'!$A$3:$DQ$19,$D92,FALSE)),0,VLOOKUP(M$1,'peak-new'!$A$3:$DQ$19,$D92,FALSE))</f>
        <v>0</v>
      </c>
      <c r="N92" s="14">
        <f>IF(ISNA(VLOOKUP(N$1,'peak-new'!$A$3:$DQ$19,$D92,FALSE)),0,VLOOKUP(N$1,'peak-new'!$A$3:$DQ$19,$D92,FALSE))</f>
        <v>0</v>
      </c>
      <c r="O92" s="14">
        <f>IF(ISNA(VLOOKUP(O$1,'peak-new'!$A$3:$DQ$19,$D92,FALSE)),0,VLOOKUP(O$1,'peak-new'!$A$3:$DQ$19,$D92,FALSE))</f>
        <v>0</v>
      </c>
      <c r="P92" s="14">
        <f>IF(ISNA(VLOOKUP(P$1,'peak-new'!$A$3:$DQ$19,$D92,FALSE)),0,VLOOKUP(P$1,'peak-new'!$A$3:$DQ$19,$D92,FALSE))</f>
        <v>0</v>
      </c>
      <c r="Q92" s="15">
        <f>IF(ISNA(VLOOKUP(Q$1,'delta-new'!$A$3:$DQ$20,$D92,FALSE)),0,VLOOKUP(Q$1,'delta-new'!$A$3:$DQ$20,$D92,FALSE))</f>
        <v>5062</v>
      </c>
      <c r="R92" s="14">
        <f>IF(ISNA(VLOOKUP(R$1,'peak-new'!$A$3:$DQ$19,$D92,FALSE)),0,VLOOKUP(R$1,'peak-new'!$A$3:$DQ$19,$D92,FALSE))</f>
        <v>0</v>
      </c>
      <c r="S92" s="10"/>
    </row>
    <row r="93" spans="1:19" s="8" customFormat="1" x14ac:dyDescent="0.2">
      <c r="A93" s="8">
        <f t="shared" si="11"/>
        <v>2008</v>
      </c>
      <c r="B93" s="8">
        <f t="shared" si="12"/>
        <v>7</v>
      </c>
      <c r="C93" s="9">
        <f t="shared" si="10"/>
        <v>39630</v>
      </c>
      <c r="D93" s="8">
        <f t="shared" si="13"/>
        <v>81</v>
      </c>
      <c r="E93" s="14">
        <f>IF(ISNA(VLOOKUP(E$1,'delta-new'!$A$3:$DQ$20,$D93,FALSE)),0,VLOOKUP(E$1,'delta-new'!$A$3:$DQ$20,$D93,FALSE))</f>
        <v>30906.54</v>
      </c>
      <c r="F93" s="14">
        <f>IF(ISNA(VLOOKUP(F$1,'peak-new'!$A$3:$DQ$19,$D93,FALSE)),0,VLOOKUP(F$1,'peak-new'!$A$3:$DQ$19,$D93,FALSE))</f>
        <v>0</v>
      </c>
      <c r="G93" s="14">
        <f>IF(ISNA(VLOOKUP(G$1,'peak-new'!$A$3:$DQ$19,$D93,FALSE)),0,VLOOKUP(G$1,'peak-new'!$A$3:$DQ$19,$D93,FALSE))</f>
        <v>0</v>
      </c>
      <c r="H93" s="14">
        <f>IF(ISNA(VLOOKUP(H$1,'peak-new'!$A$3:$DQ$19,$D93,FALSE)),0,VLOOKUP(H$1,'peak-new'!$A$3:$DQ$19,$D93,FALSE))</f>
        <v>-39776</v>
      </c>
      <c r="I93" s="14">
        <f>IF(ISNA(VLOOKUP(I$1,'peak-new'!$A$3:$DQ$19,$D93,FALSE)),0,VLOOKUP(I$1,'peak-new'!$A$3:$DQ$19,$D93,FALSE))</f>
        <v>-8800</v>
      </c>
      <c r="J93" s="14">
        <f>IF(ISNA(VLOOKUP(J$1,'peak-new'!$A$3:$DQ$19,$D93,FALSE)),0,VLOOKUP(J$1,'peak-new'!$A$3:$DQ$19,$D93,FALSE))</f>
        <v>0</v>
      </c>
      <c r="K93" s="14">
        <f>IF(ISNA(VLOOKUP(K$1,'peak-new'!$A$3:$DQ$19,$D93,FALSE)),0,VLOOKUP(K$1,'peak-new'!$A$3:$DQ$19,$D93,FALSE))</f>
        <v>0</v>
      </c>
      <c r="L93" s="14">
        <f>IF(ISNA(VLOOKUP(L$1,'peak-new'!$A$3:$DQ$19,$D93,FALSE)),0,VLOOKUP(L$1,'peak-new'!$A$3:$DQ$19,$D93,FALSE))</f>
        <v>-352</v>
      </c>
      <c r="M93" s="14">
        <f>IF(ISNA(VLOOKUP(M$1,'peak-new'!$A$3:$DQ$19,$D93,FALSE)),0,VLOOKUP(M$1,'peak-new'!$A$3:$DQ$19,$D93,FALSE))</f>
        <v>0</v>
      </c>
      <c r="N93" s="14">
        <f>IF(ISNA(VLOOKUP(N$1,'peak-new'!$A$3:$DQ$19,$D93,FALSE)),0,VLOOKUP(N$1,'peak-new'!$A$3:$DQ$19,$D93,FALSE))</f>
        <v>0</v>
      </c>
      <c r="O93" s="14">
        <f>IF(ISNA(VLOOKUP(O$1,'peak-new'!$A$3:$DQ$19,$D93,FALSE)),0,VLOOKUP(O$1,'peak-new'!$A$3:$DQ$19,$D93,FALSE))</f>
        <v>0</v>
      </c>
      <c r="P93" s="14">
        <f>IF(ISNA(VLOOKUP(P$1,'peak-new'!$A$3:$DQ$19,$D93,FALSE)),0,VLOOKUP(P$1,'peak-new'!$A$3:$DQ$19,$D93,FALSE))</f>
        <v>0</v>
      </c>
      <c r="Q93" s="15">
        <f>IF(ISNA(VLOOKUP(Q$1,'delta-new'!$A$3:$DQ$20,$D93,FALSE)),0,VLOOKUP(Q$1,'delta-new'!$A$3:$DQ$20,$D93,FALSE))</f>
        <v>5022.6099999999997</v>
      </c>
      <c r="R93" s="14">
        <f>IF(ISNA(VLOOKUP(R$1,'peak-new'!$A$3:$DQ$19,$D93,FALSE)),0,VLOOKUP(R$1,'peak-new'!$A$3:$DQ$19,$D93,FALSE))</f>
        <v>0</v>
      </c>
      <c r="S93" s="10"/>
    </row>
    <row r="94" spans="1:19" s="8" customFormat="1" x14ac:dyDescent="0.2">
      <c r="A94" s="8">
        <f t="shared" si="11"/>
        <v>2008</v>
      </c>
      <c r="B94" s="8">
        <f t="shared" si="12"/>
        <v>8</v>
      </c>
      <c r="C94" s="9">
        <f t="shared" si="10"/>
        <v>39661</v>
      </c>
      <c r="D94" s="8">
        <f t="shared" si="13"/>
        <v>82</v>
      </c>
      <c r="E94" s="14">
        <f>IF(ISNA(VLOOKUP(E$1,'delta-new'!$A$3:$DQ$20,$D94,FALSE)),0,VLOOKUP(E$1,'delta-new'!$A$3:$DQ$20,$D94,FALSE))</f>
        <v>29342.58</v>
      </c>
      <c r="F94" s="14">
        <f>IF(ISNA(VLOOKUP(F$1,'peak-new'!$A$3:$DQ$19,$D94,FALSE)),0,VLOOKUP(F$1,'peak-new'!$A$3:$DQ$19,$D94,FALSE))</f>
        <v>0</v>
      </c>
      <c r="G94" s="14">
        <f>IF(ISNA(VLOOKUP(G$1,'peak-new'!$A$3:$DQ$19,$D94,FALSE)),0,VLOOKUP(G$1,'peak-new'!$A$3:$DQ$19,$D94,FALSE))</f>
        <v>0</v>
      </c>
      <c r="H94" s="14">
        <f>IF(ISNA(VLOOKUP(H$1,'peak-new'!$A$3:$DQ$19,$D94,FALSE)),0,VLOOKUP(H$1,'peak-new'!$A$3:$DQ$19,$D94,FALSE))</f>
        <v>-37632</v>
      </c>
      <c r="I94" s="14">
        <f>IF(ISNA(VLOOKUP(I$1,'peak-new'!$A$3:$DQ$19,$D94,FALSE)),0,VLOOKUP(I$1,'peak-new'!$A$3:$DQ$19,$D94,FALSE))</f>
        <v>-8400</v>
      </c>
      <c r="J94" s="14">
        <f>IF(ISNA(VLOOKUP(J$1,'peak-new'!$A$3:$DQ$19,$D94,FALSE)),0,VLOOKUP(J$1,'peak-new'!$A$3:$DQ$19,$D94,FALSE))</f>
        <v>0</v>
      </c>
      <c r="K94" s="14">
        <f>IF(ISNA(VLOOKUP(K$1,'peak-new'!$A$3:$DQ$19,$D94,FALSE)),0,VLOOKUP(K$1,'peak-new'!$A$3:$DQ$19,$D94,FALSE))</f>
        <v>0</v>
      </c>
      <c r="L94" s="14">
        <f>IF(ISNA(VLOOKUP(L$1,'peak-new'!$A$3:$DQ$19,$D94,FALSE)),0,VLOOKUP(L$1,'peak-new'!$A$3:$DQ$19,$D94,FALSE))</f>
        <v>-336</v>
      </c>
      <c r="M94" s="14">
        <f>IF(ISNA(VLOOKUP(M$1,'peak-new'!$A$3:$DQ$19,$D94,FALSE)),0,VLOOKUP(M$1,'peak-new'!$A$3:$DQ$19,$D94,FALSE))</f>
        <v>0</v>
      </c>
      <c r="N94" s="14">
        <f>IF(ISNA(VLOOKUP(N$1,'peak-new'!$A$3:$DQ$19,$D94,FALSE)),0,VLOOKUP(N$1,'peak-new'!$A$3:$DQ$19,$D94,FALSE))</f>
        <v>0</v>
      </c>
      <c r="O94" s="14">
        <f>IF(ISNA(VLOOKUP(O$1,'peak-new'!$A$3:$DQ$19,$D94,FALSE)),0,VLOOKUP(O$1,'peak-new'!$A$3:$DQ$19,$D94,FALSE))</f>
        <v>0</v>
      </c>
      <c r="P94" s="14">
        <f>IF(ISNA(VLOOKUP(P$1,'peak-new'!$A$3:$DQ$19,$D94,FALSE)),0,VLOOKUP(P$1,'peak-new'!$A$3:$DQ$19,$D94,FALSE))</f>
        <v>0</v>
      </c>
      <c r="Q94" s="15">
        <f>IF(ISNA(VLOOKUP(Q$1,'delta-new'!$A$3:$DQ$20,$D94,FALSE)),0,VLOOKUP(Q$1,'delta-new'!$A$3:$DQ$20,$D94,FALSE))</f>
        <v>5007.71</v>
      </c>
      <c r="R94" s="14">
        <f>IF(ISNA(VLOOKUP(R$1,'peak-new'!$A$3:$DQ$19,$D94,FALSE)),0,VLOOKUP(R$1,'peak-new'!$A$3:$DQ$19,$D94,FALSE))</f>
        <v>0</v>
      </c>
      <c r="S94" s="10"/>
    </row>
    <row r="95" spans="1:19" s="8" customFormat="1" x14ac:dyDescent="0.2">
      <c r="A95" s="8">
        <f t="shared" si="11"/>
        <v>2008</v>
      </c>
      <c r="B95" s="8">
        <f t="shared" si="12"/>
        <v>9</v>
      </c>
      <c r="C95" s="9">
        <f t="shared" si="10"/>
        <v>39692</v>
      </c>
      <c r="D95" s="8">
        <f t="shared" si="13"/>
        <v>83</v>
      </c>
      <c r="E95" s="14">
        <f>IF(ISNA(VLOOKUP(E$1,'delta-new'!$A$3:$DQ$20,$D95,FALSE)),0,VLOOKUP(E$1,'delta-new'!$A$3:$DQ$20,$D95,FALSE))</f>
        <v>29188.62</v>
      </c>
      <c r="F95" s="14">
        <f>IF(ISNA(VLOOKUP(F$1,'peak-new'!$A$3:$DQ$19,$D95,FALSE)),0,VLOOKUP(F$1,'peak-new'!$A$3:$DQ$19,$D95,FALSE))</f>
        <v>0</v>
      </c>
      <c r="G95" s="14">
        <f>IF(ISNA(VLOOKUP(G$1,'peak-new'!$A$3:$DQ$19,$D95,FALSE)),0,VLOOKUP(G$1,'peak-new'!$A$3:$DQ$19,$D95,FALSE))</f>
        <v>0</v>
      </c>
      <c r="H95" s="14">
        <f>IF(ISNA(VLOOKUP(H$1,'peak-new'!$A$3:$DQ$19,$D95,FALSE)),0,VLOOKUP(H$1,'peak-new'!$A$3:$DQ$19,$D95,FALSE))</f>
        <v>-33600</v>
      </c>
      <c r="I95" s="14">
        <f>IF(ISNA(VLOOKUP(I$1,'peak-new'!$A$3:$DQ$19,$D95,FALSE)),0,VLOOKUP(I$1,'peak-new'!$A$3:$DQ$19,$D95,FALSE))</f>
        <v>-8400</v>
      </c>
      <c r="J95" s="14">
        <f>IF(ISNA(VLOOKUP(J$1,'peak-new'!$A$3:$DQ$19,$D95,FALSE)),0,VLOOKUP(J$1,'peak-new'!$A$3:$DQ$19,$D95,FALSE))</f>
        <v>0</v>
      </c>
      <c r="K95" s="14">
        <f>IF(ISNA(VLOOKUP(K$1,'peak-new'!$A$3:$DQ$19,$D95,FALSE)),0,VLOOKUP(K$1,'peak-new'!$A$3:$DQ$19,$D95,FALSE))</f>
        <v>0</v>
      </c>
      <c r="L95" s="14">
        <f>IF(ISNA(VLOOKUP(L$1,'peak-new'!$A$3:$DQ$19,$D95,FALSE)),0,VLOOKUP(L$1,'peak-new'!$A$3:$DQ$19,$D95,FALSE))</f>
        <v>0</v>
      </c>
      <c r="M95" s="14">
        <f>IF(ISNA(VLOOKUP(M$1,'peak-new'!$A$3:$DQ$19,$D95,FALSE)),0,VLOOKUP(M$1,'peak-new'!$A$3:$DQ$19,$D95,FALSE))</f>
        <v>0</v>
      </c>
      <c r="N95" s="14">
        <f>IF(ISNA(VLOOKUP(N$1,'peak-new'!$A$3:$DQ$19,$D95,FALSE)),0,VLOOKUP(N$1,'peak-new'!$A$3:$DQ$19,$D95,FALSE))</f>
        <v>0</v>
      </c>
      <c r="O95" s="14">
        <f>IF(ISNA(VLOOKUP(O$1,'peak-new'!$A$3:$DQ$19,$D95,FALSE)),0,VLOOKUP(O$1,'peak-new'!$A$3:$DQ$19,$D95,FALSE))</f>
        <v>0</v>
      </c>
      <c r="P95" s="14">
        <f>IF(ISNA(VLOOKUP(P$1,'peak-new'!$A$3:$DQ$19,$D95,FALSE)),0,VLOOKUP(P$1,'peak-new'!$A$3:$DQ$19,$D95,FALSE))</f>
        <v>0</v>
      </c>
      <c r="Q95" s="15">
        <f>IF(ISNA(VLOOKUP(Q$1,'delta-new'!$A$3:$DQ$20,$D95,FALSE)),0,VLOOKUP(Q$1,'delta-new'!$A$3:$DQ$20,$D95,FALSE))</f>
        <v>5219.1000000000004</v>
      </c>
      <c r="R95" s="14">
        <f>IF(ISNA(VLOOKUP(R$1,'peak-new'!$A$3:$DQ$19,$D95,FALSE)),0,VLOOKUP(R$1,'peak-new'!$A$3:$DQ$19,$D95,FALSE))</f>
        <v>0</v>
      </c>
      <c r="S95" s="10"/>
    </row>
    <row r="96" spans="1:19" s="8" customFormat="1" x14ac:dyDescent="0.2">
      <c r="A96" s="8">
        <f t="shared" si="11"/>
        <v>2008</v>
      </c>
      <c r="B96" s="8">
        <f t="shared" si="12"/>
        <v>10</v>
      </c>
      <c r="C96" s="9">
        <f t="shared" si="10"/>
        <v>39722</v>
      </c>
      <c r="D96" s="8">
        <f t="shared" si="13"/>
        <v>84</v>
      </c>
      <c r="E96" s="14">
        <f>IF(ISNA(VLOOKUP(E$1,'delta-new'!$A$3:$DQ$20,$D96,FALSE)),0,VLOOKUP(E$1,'delta-new'!$A$3:$DQ$20,$D96,FALSE))</f>
        <v>31794.28</v>
      </c>
      <c r="F96" s="14">
        <f>IF(ISNA(VLOOKUP(F$1,'peak-new'!$A$3:$DQ$19,$D96,FALSE)),0,VLOOKUP(F$1,'peak-new'!$A$3:$DQ$19,$D96,FALSE))</f>
        <v>0</v>
      </c>
      <c r="G96" s="14">
        <f>IF(ISNA(VLOOKUP(G$1,'peak-new'!$A$3:$DQ$19,$D96,FALSE)),0,VLOOKUP(G$1,'peak-new'!$A$3:$DQ$19,$D96,FALSE))</f>
        <v>0</v>
      </c>
      <c r="H96" s="14">
        <f>IF(ISNA(VLOOKUP(H$1,'peak-new'!$A$3:$DQ$19,$D96,FALSE)),0,VLOOKUP(H$1,'peak-new'!$A$3:$DQ$19,$D96,FALSE))</f>
        <v>-36800</v>
      </c>
      <c r="I96" s="14">
        <f>IF(ISNA(VLOOKUP(I$1,'peak-new'!$A$3:$DQ$19,$D96,FALSE)),0,VLOOKUP(I$1,'peak-new'!$A$3:$DQ$19,$D96,FALSE))</f>
        <v>-9200</v>
      </c>
      <c r="J96" s="14">
        <f>IF(ISNA(VLOOKUP(J$1,'peak-new'!$A$3:$DQ$19,$D96,FALSE)),0,VLOOKUP(J$1,'peak-new'!$A$3:$DQ$19,$D96,FALSE))</f>
        <v>0</v>
      </c>
      <c r="K96" s="14">
        <f>IF(ISNA(VLOOKUP(K$1,'peak-new'!$A$3:$DQ$19,$D96,FALSE)),0,VLOOKUP(K$1,'peak-new'!$A$3:$DQ$19,$D96,FALSE))</f>
        <v>0</v>
      </c>
      <c r="L96" s="14">
        <f>IF(ISNA(VLOOKUP(L$1,'peak-new'!$A$3:$DQ$19,$D96,FALSE)),0,VLOOKUP(L$1,'peak-new'!$A$3:$DQ$19,$D96,FALSE))</f>
        <v>0</v>
      </c>
      <c r="M96" s="14">
        <f>IF(ISNA(VLOOKUP(M$1,'peak-new'!$A$3:$DQ$19,$D96,FALSE)),0,VLOOKUP(M$1,'peak-new'!$A$3:$DQ$19,$D96,FALSE))</f>
        <v>0</v>
      </c>
      <c r="N96" s="14">
        <f>IF(ISNA(VLOOKUP(N$1,'peak-new'!$A$3:$DQ$19,$D96,FALSE)),0,VLOOKUP(N$1,'peak-new'!$A$3:$DQ$19,$D96,FALSE))</f>
        <v>0</v>
      </c>
      <c r="O96" s="14">
        <f>IF(ISNA(VLOOKUP(O$1,'peak-new'!$A$3:$DQ$19,$D96,FALSE)),0,VLOOKUP(O$1,'peak-new'!$A$3:$DQ$19,$D96,FALSE))</f>
        <v>0</v>
      </c>
      <c r="P96" s="14">
        <f>IF(ISNA(VLOOKUP(P$1,'peak-new'!$A$3:$DQ$19,$D96,FALSE)),0,VLOOKUP(P$1,'peak-new'!$A$3:$DQ$19,$D96,FALSE))</f>
        <v>0</v>
      </c>
      <c r="Q96" s="15">
        <f>IF(ISNA(VLOOKUP(Q$1,'delta-new'!$A$3:$DQ$20,$D96,FALSE)),0,VLOOKUP(Q$1,'delta-new'!$A$3:$DQ$20,$D96,FALSE))</f>
        <v>5685</v>
      </c>
      <c r="R96" s="14">
        <f>IF(ISNA(VLOOKUP(R$1,'peak-new'!$A$3:$DQ$19,$D96,FALSE)),0,VLOOKUP(R$1,'peak-new'!$A$3:$DQ$19,$D96,FALSE))</f>
        <v>0</v>
      </c>
      <c r="S96" s="10"/>
    </row>
    <row r="97" spans="1:19" s="8" customFormat="1" x14ac:dyDescent="0.2">
      <c r="A97" s="8">
        <f t="shared" si="11"/>
        <v>2008</v>
      </c>
      <c r="B97" s="8">
        <f t="shared" si="12"/>
        <v>11</v>
      </c>
      <c r="C97" s="9">
        <f t="shared" si="10"/>
        <v>39753</v>
      </c>
      <c r="D97" s="8">
        <f t="shared" si="13"/>
        <v>85</v>
      </c>
      <c r="E97" s="14">
        <f>IF(ISNA(VLOOKUP(E$1,'delta-new'!$A$3:$DQ$20,$D97,FALSE)),0,VLOOKUP(E$1,'delta-new'!$A$3:$DQ$20,$D97,FALSE))</f>
        <v>26131.47</v>
      </c>
      <c r="F97" s="14">
        <f>IF(ISNA(VLOOKUP(F$1,'peak-new'!$A$3:$DQ$19,$D97,FALSE)),0,VLOOKUP(F$1,'peak-new'!$A$3:$DQ$19,$D97,FALSE))</f>
        <v>0</v>
      </c>
      <c r="G97" s="14">
        <f>IF(ISNA(VLOOKUP(G$1,'peak-new'!$A$3:$DQ$19,$D97,FALSE)),0,VLOOKUP(G$1,'peak-new'!$A$3:$DQ$19,$D97,FALSE))</f>
        <v>0</v>
      </c>
      <c r="H97" s="14">
        <f>IF(ISNA(VLOOKUP(H$1,'peak-new'!$A$3:$DQ$19,$D97,FALSE)),0,VLOOKUP(H$1,'peak-new'!$A$3:$DQ$19,$D97,FALSE))</f>
        <v>-30400</v>
      </c>
      <c r="I97" s="14">
        <f>IF(ISNA(VLOOKUP(I$1,'peak-new'!$A$3:$DQ$19,$D97,FALSE)),0,VLOOKUP(I$1,'peak-new'!$A$3:$DQ$19,$D97,FALSE))</f>
        <v>-7600</v>
      </c>
      <c r="J97" s="14">
        <f>IF(ISNA(VLOOKUP(J$1,'peak-new'!$A$3:$DQ$19,$D97,FALSE)),0,VLOOKUP(J$1,'peak-new'!$A$3:$DQ$19,$D97,FALSE))</f>
        <v>0</v>
      </c>
      <c r="K97" s="14">
        <f>IF(ISNA(VLOOKUP(K$1,'peak-new'!$A$3:$DQ$19,$D97,FALSE)),0,VLOOKUP(K$1,'peak-new'!$A$3:$DQ$19,$D97,FALSE))</f>
        <v>0</v>
      </c>
      <c r="L97" s="14">
        <f>IF(ISNA(VLOOKUP(L$1,'peak-new'!$A$3:$DQ$19,$D97,FALSE)),0,VLOOKUP(L$1,'peak-new'!$A$3:$DQ$19,$D97,FALSE))</f>
        <v>0</v>
      </c>
      <c r="M97" s="14">
        <f>IF(ISNA(VLOOKUP(M$1,'peak-new'!$A$3:$DQ$19,$D97,FALSE)),0,VLOOKUP(M$1,'peak-new'!$A$3:$DQ$19,$D97,FALSE))</f>
        <v>0</v>
      </c>
      <c r="N97" s="14">
        <f>IF(ISNA(VLOOKUP(N$1,'peak-new'!$A$3:$DQ$19,$D97,FALSE)),0,VLOOKUP(N$1,'peak-new'!$A$3:$DQ$19,$D97,FALSE))</f>
        <v>0</v>
      </c>
      <c r="O97" s="14">
        <f>IF(ISNA(VLOOKUP(O$1,'peak-new'!$A$3:$DQ$19,$D97,FALSE)),0,VLOOKUP(O$1,'peak-new'!$A$3:$DQ$19,$D97,FALSE))</f>
        <v>0</v>
      </c>
      <c r="P97" s="14">
        <f>IF(ISNA(VLOOKUP(P$1,'peak-new'!$A$3:$DQ$19,$D97,FALSE)),0,VLOOKUP(P$1,'peak-new'!$A$3:$DQ$19,$D97,FALSE))</f>
        <v>0</v>
      </c>
      <c r="Q97" s="15">
        <f>IF(ISNA(VLOOKUP(Q$1,'delta-new'!$A$3:$DQ$20,$D97,FALSE)),0,VLOOKUP(Q$1,'delta-new'!$A$3:$DQ$20,$D97,FALSE))</f>
        <v>4672.34</v>
      </c>
      <c r="R97" s="14">
        <f>IF(ISNA(VLOOKUP(R$1,'peak-new'!$A$3:$DQ$19,$D97,FALSE)),0,VLOOKUP(R$1,'peak-new'!$A$3:$DQ$19,$D97,FALSE))</f>
        <v>0</v>
      </c>
      <c r="S97" s="10"/>
    </row>
    <row r="98" spans="1:19" s="8" customFormat="1" x14ac:dyDescent="0.2">
      <c r="A98" s="8">
        <f t="shared" si="11"/>
        <v>2008</v>
      </c>
      <c r="B98" s="8">
        <f t="shared" si="12"/>
        <v>12</v>
      </c>
      <c r="C98" s="9">
        <f t="shared" si="10"/>
        <v>39783</v>
      </c>
      <c r="D98" s="8">
        <f t="shared" si="13"/>
        <v>86</v>
      </c>
      <c r="E98" s="14">
        <f>IF(ISNA(VLOOKUP(E$1,'delta-new'!$A$3:$DQ$20,$D98,FALSE)),0,VLOOKUP(E$1,'delta-new'!$A$3:$DQ$20,$D98,FALSE))</f>
        <v>30104.14</v>
      </c>
      <c r="F98" s="14">
        <f>IF(ISNA(VLOOKUP(F$1,'peak-new'!$A$3:$DQ$19,$D98,FALSE)),0,VLOOKUP(F$1,'peak-new'!$A$3:$DQ$19,$D98,FALSE))</f>
        <v>0</v>
      </c>
      <c r="G98" s="14">
        <f>IF(ISNA(VLOOKUP(G$1,'peak-new'!$A$3:$DQ$19,$D98,FALSE)),0,VLOOKUP(G$1,'peak-new'!$A$3:$DQ$19,$D98,FALSE))</f>
        <v>0</v>
      </c>
      <c r="H98" s="14">
        <f>IF(ISNA(VLOOKUP(H$1,'peak-new'!$A$3:$DQ$19,$D98,FALSE)),0,VLOOKUP(H$1,'peak-new'!$A$3:$DQ$19,$D98,FALSE))</f>
        <v>-35200</v>
      </c>
      <c r="I98" s="14">
        <f>IF(ISNA(VLOOKUP(I$1,'peak-new'!$A$3:$DQ$19,$D98,FALSE)),0,VLOOKUP(I$1,'peak-new'!$A$3:$DQ$19,$D98,FALSE))</f>
        <v>-8800</v>
      </c>
      <c r="J98" s="14">
        <f>IF(ISNA(VLOOKUP(J$1,'peak-new'!$A$3:$DQ$19,$D98,FALSE)),0,VLOOKUP(J$1,'peak-new'!$A$3:$DQ$19,$D98,FALSE))</f>
        <v>0</v>
      </c>
      <c r="K98" s="14">
        <f>IF(ISNA(VLOOKUP(K$1,'peak-new'!$A$3:$DQ$19,$D98,FALSE)),0,VLOOKUP(K$1,'peak-new'!$A$3:$DQ$19,$D98,FALSE))</f>
        <v>0</v>
      </c>
      <c r="L98" s="14">
        <f>IF(ISNA(VLOOKUP(L$1,'peak-new'!$A$3:$DQ$19,$D98,FALSE)),0,VLOOKUP(L$1,'peak-new'!$A$3:$DQ$19,$D98,FALSE))</f>
        <v>0</v>
      </c>
      <c r="M98" s="14">
        <f>IF(ISNA(VLOOKUP(M$1,'peak-new'!$A$3:$DQ$19,$D98,FALSE)),0,VLOOKUP(M$1,'peak-new'!$A$3:$DQ$19,$D98,FALSE))</f>
        <v>0</v>
      </c>
      <c r="N98" s="14">
        <f>IF(ISNA(VLOOKUP(N$1,'peak-new'!$A$3:$DQ$19,$D98,FALSE)),0,VLOOKUP(N$1,'peak-new'!$A$3:$DQ$19,$D98,FALSE))</f>
        <v>0</v>
      </c>
      <c r="O98" s="14">
        <f>IF(ISNA(VLOOKUP(O$1,'peak-new'!$A$3:$DQ$19,$D98,FALSE)),0,VLOOKUP(O$1,'peak-new'!$A$3:$DQ$19,$D98,FALSE))</f>
        <v>0</v>
      </c>
      <c r="P98" s="14">
        <f>IF(ISNA(VLOOKUP(P$1,'peak-new'!$A$3:$DQ$19,$D98,FALSE)),0,VLOOKUP(P$1,'peak-new'!$A$3:$DQ$19,$D98,FALSE))</f>
        <v>0</v>
      </c>
      <c r="Q98" s="15">
        <f>IF(ISNA(VLOOKUP(Q$1,'delta-new'!$A$3:$DQ$20,$D98,FALSE)),0,VLOOKUP(Q$1,'delta-new'!$A$3:$DQ$20,$D98,FALSE))</f>
        <v>5383</v>
      </c>
      <c r="R98" s="14">
        <f>IF(ISNA(VLOOKUP(R$1,'peak-new'!$A$3:$DQ$19,$D98,FALSE)),0,VLOOKUP(R$1,'peak-new'!$A$3:$DQ$19,$D98,FALSE))</f>
        <v>0</v>
      </c>
      <c r="S98" s="10"/>
    </row>
    <row r="99" spans="1:19" s="8" customFormat="1" x14ac:dyDescent="0.2">
      <c r="A99" s="8">
        <f t="shared" si="11"/>
        <v>2009</v>
      </c>
      <c r="B99" s="8">
        <f t="shared" si="12"/>
        <v>1</v>
      </c>
      <c r="C99" s="9">
        <f t="shared" ref="C99:C122" si="14">DATE(A99,B99,1)</f>
        <v>39814</v>
      </c>
      <c r="D99" s="8">
        <f t="shared" si="13"/>
        <v>87</v>
      </c>
      <c r="E99" s="14">
        <f>IF(ISNA(VLOOKUP(E$1,'delta-new'!$A$3:$DQ$20,$D99,FALSE)),0,VLOOKUP(E$1,'delta-new'!$A$3:$DQ$20,$D99,FALSE))</f>
        <v>-11622.29</v>
      </c>
      <c r="F99" s="14">
        <f>IF(ISNA(VLOOKUP(F$1,'peak-new'!$A$3:$DQ$19,$D99,FALSE)),0,VLOOKUP(F$1,'peak-new'!$A$3:$DQ$19,$D99,FALSE))</f>
        <v>0</v>
      </c>
      <c r="G99" s="14">
        <f>IF(ISNA(VLOOKUP(G$1,'peak-new'!$A$3:$DQ$19,$D99,FALSE)),0,VLOOKUP(G$1,'peak-new'!$A$3:$DQ$19,$D99,FALSE))</f>
        <v>0</v>
      </c>
      <c r="H99" s="14">
        <f>IF(ISNA(VLOOKUP(H$1,'peak-new'!$A$3:$DQ$19,$D99,FALSE)),0,VLOOKUP(H$1,'peak-new'!$A$3:$DQ$19,$D99,FALSE))</f>
        <v>-50400</v>
      </c>
      <c r="I99" s="14">
        <f>IF(ISNA(VLOOKUP(I$1,'peak-new'!$A$3:$DQ$19,$D99,FALSE)),0,VLOOKUP(I$1,'peak-new'!$A$3:$DQ$19,$D99,FALSE))</f>
        <v>0</v>
      </c>
      <c r="J99" s="14">
        <f>IF(ISNA(VLOOKUP(J$1,'peak-new'!$A$3:$DQ$19,$D99,FALSE)),0,VLOOKUP(J$1,'peak-new'!$A$3:$DQ$19,$D99,FALSE))</f>
        <v>0</v>
      </c>
      <c r="K99" s="14">
        <f>IF(ISNA(VLOOKUP(K$1,'peak-new'!$A$3:$DQ$19,$D99,FALSE)),0,VLOOKUP(K$1,'peak-new'!$A$3:$DQ$19,$D99,FALSE))</f>
        <v>0</v>
      </c>
      <c r="L99" s="14">
        <f>IF(ISNA(VLOOKUP(L$1,'peak-new'!$A$3:$DQ$19,$D99,FALSE)),0,VLOOKUP(L$1,'peak-new'!$A$3:$DQ$19,$D99,FALSE))</f>
        <v>0</v>
      </c>
      <c r="M99" s="14">
        <f>IF(ISNA(VLOOKUP(M$1,'peak-new'!$A$3:$DQ$19,$D99,FALSE)),0,VLOOKUP(M$1,'peak-new'!$A$3:$DQ$19,$D99,FALSE))</f>
        <v>0</v>
      </c>
      <c r="N99" s="14">
        <f>IF(ISNA(VLOOKUP(N$1,'peak-new'!$A$3:$DQ$19,$D99,FALSE)),0,VLOOKUP(N$1,'peak-new'!$A$3:$DQ$19,$D99,FALSE))</f>
        <v>0</v>
      </c>
      <c r="O99" s="14">
        <f>IF(ISNA(VLOOKUP(O$1,'peak-new'!$A$3:$DQ$19,$D99,FALSE)),0,VLOOKUP(O$1,'peak-new'!$A$3:$DQ$19,$D99,FALSE))</f>
        <v>0</v>
      </c>
      <c r="P99" s="14">
        <f>IF(ISNA(VLOOKUP(P$1,'peak-new'!$A$3:$DQ$19,$D99,FALSE)),0,VLOOKUP(P$1,'peak-new'!$A$3:$DQ$19,$D99,FALSE))</f>
        <v>0</v>
      </c>
      <c r="Q99" s="15">
        <f>IF(ISNA(VLOOKUP(Q$1,'delta-new'!$A$3:$DQ$20,$D99,FALSE)),0,VLOOKUP(Q$1,'delta-new'!$A$3:$DQ$20,$D99,FALSE))</f>
        <v>-466</v>
      </c>
      <c r="R99" s="14">
        <f>IF(ISNA(VLOOKUP(R$1,'peak-new'!$A$3:$DQ$19,$D99,FALSE)),0,VLOOKUP(R$1,'peak-new'!$A$3:$DQ$19,$D99,FALSE))</f>
        <v>0</v>
      </c>
      <c r="S99" s="10"/>
    </row>
    <row r="100" spans="1:19" s="8" customFormat="1" x14ac:dyDescent="0.2">
      <c r="A100" s="8">
        <f t="shared" ref="A100:A122" si="15">IF(B99=12,A99+1,A99)</f>
        <v>2009</v>
      </c>
      <c r="B100" s="8">
        <f t="shared" ref="B100:B122" si="16">IF(B99=12,1,B99+1)</f>
        <v>2</v>
      </c>
      <c r="C100" s="9">
        <f t="shared" si="14"/>
        <v>39845</v>
      </c>
      <c r="D100" s="8">
        <f t="shared" si="13"/>
        <v>88</v>
      </c>
      <c r="E100" s="14">
        <f>IF(ISNA(VLOOKUP(E$1,'delta-new'!$A$3:$DQ$20,$D100,FALSE)),0,VLOOKUP(E$1,'delta-new'!$A$3:$DQ$20,$D100,FALSE))</f>
        <v>-11018.24</v>
      </c>
      <c r="F100" s="14">
        <f>IF(ISNA(VLOOKUP(F$1,'peak-new'!$A$3:$DQ$19,$D100,FALSE)),0,VLOOKUP(F$1,'peak-new'!$A$3:$DQ$19,$D100,FALSE))</f>
        <v>0</v>
      </c>
      <c r="G100" s="14">
        <f>IF(ISNA(VLOOKUP(G$1,'peak-new'!$A$3:$DQ$19,$D100,FALSE)),0,VLOOKUP(G$1,'peak-new'!$A$3:$DQ$19,$D100,FALSE))</f>
        <v>0</v>
      </c>
      <c r="H100" s="14">
        <f>IF(ISNA(VLOOKUP(H$1,'peak-new'!$A$3:$DQ$19,$D100,FALSE)),0,VLOOKUP(H$1,'peak-new'!$A$3:$DQ$19,$D100,FALSE))</f>
        <v>-48000</v>
      </c>
      <c r="I100" s="14">
        <f>IF(ISNA(VLOOKUP(I$1,'peak-new'!$A$3:$DQ$19,$D100,FALSE)),0,VLOOKUP(I$1,'peak-new'!$A$3:$DQ$19,$D100,FALSE))</f>
        <v>0</v>
      </c>
      <c r="J100" s="14">
        <f>IF(ISNA(VLOOKUP(J$1,'peak-new'!$A$3:$DQ$19,$D100,FALSE)),0,VLOOKUP(J$1,'peak-new'!$A$3:$DQ$19,$D100,FALSE))</f>
        <v>0</v>
      </c>
      <c r="K100" s="14">
        <f>IF(ISNA(VLOOKUP(K$1,'peak-new'!$A$3:$DQ$19,$D100,FALSE)),0,VLOOKUP(K$1,'peak-new'!$A$3:$DQ$19,$D100,FALSE))</f>
        <v>0</v>
      </c>
      <c r="L100" s="14">
        <f>IF(ISNA(VLOOKUP(L$1,'peak-new'!$A$3:$DQ$19,$D100,FALSE)),0,VLOOKUP(L$1,'peak-new'!$A$3:$DQ$19,$D100,FALSE))</f>
        <v>0</v>
      </c>
      <c r="M100" s="14">
        <f>IF(ISNA(VLOOKUP(M$1,'peak-new'!$A$3:$DQ$19,$D100,FALSE)),0,VLOOKUP(M$1,'peak-new'!$A$3:$DQ$19,$D100,FALSE))</f>
        <v>0</v>
      </c>
      <c r="N100" s="14">
        <f>IF(ISNA(VLOOKUP(N$1,'peak-new'!$A$3:$DQ$19,$D100,FALSE)),0,VLOOKUP(N$1,'peak-new'!$A$3:$DQ$19,$D100,FALSE))</f>
        <v>0</v>
      </c>
      <c r="O100" s="14">
        <f>IF(ISNA(VLOOKUP(O$1,'peak-new'!$A$3:$DQ$19,$D100,FALSE)),0,VLOOKUP(O$1,'peak-new'!$A$3:$DQ$19,$D100,FALSE))</f>
        <v>0</v>
      </c>
      <c r="P100" s="14">
        <f>IF(ISNA(VLOOKUP(P$1,'peak-new'!$A$3:$DQ$19,$D100,FALSE)),0,VLOOKUP(P$1,'peak-new'!$A$3:$DQ$19,$D100,FALSE))</f>
        <v>0</v>
      </c>
      <c r="Q100" s="15">
        <f>IF(ISNA(VLOOKUP(Q$1,'delta-new'!$A$3:$DQ$20,$D100,FALSE)),0,VLOOKUP(Q$1,'delta-new'!$A$3:$DQ$20,$D100,FALSE))</f>
        <v>-441.74</v>
      </c>
      <c r="R100" s="14">
        <f>IF(ISNA(VLOOKUP(R$1,'peak-new'!$A$3:$DQ$19,$D100,FALSE)),0,VLOOKUP(R$1,'peak-new'!$A$3:$DQ$19,$D100,FALSE))</f>
        <v>0</v>
      </c>
      <c r="S100" s="10"/>
    </row>
    <row r="101" spans="1:19" s="8" customFormat="1" x14ac:dyDescent="0.2">
      <c r="A101" s="8">
        <f t="shared" si="15"/>
        <v>2009</v>
      </c>
      <c r="B101" s="8">
        <f t="shared" si="16"/>
        <v>3</v>
      </c>
      <c r="C101" s="9">
        <f t="shared" si="14"/>
        <v>39873</v>
      </c>
      <c r="D101" s="8">
        <f t="shared" si="13"/>
        <v>89</v>
      </c>
      <c r="E101" s="14">
        <f>IF(ISNA(VLOOKUP(E$1,'delta-new'!$A$3:$DQ$20,$D101,FALSE)),0,VLOOKUP(E$1,'delta-new'!$A$3:$DQ$20,$D101,FALSE))</f>
        <v>-12058.54</v>
      </c>
      <c r="F101" s="14">
        <f>IF(ISNA(VLOOKUP(F$1,'peak-new'!$A$3:$DQ$19,$D101,FALSE)),0,VLOOKUP(F$1,'peak-new'!$A$3:$DQ$19,$D101,FALSE))</f>
        <v>0</v>
      </c>
      <c r="G101" s="14">
        <f>IF(ISNA(VLOOKUP(G$1,'peak-new'!$A$3:$DQ$19,$D101,FALSE)),0,VLOOKUP(G$1,'peak-new'!$A$3:$DQ$19,$D101,FALSE))</f>
        <v>0</v>
      </c>
      <c r="H101" s="14">
        <f>IF(ISNA(VLOOKUP(H$1,'peak-new'!$A$3:$DQ$19,$D101,FALSE)),0,VLOOKUP(H$1,'peak-new'!$A$3:$DQ$19,$D101,FALSE))</f>
        <v>-52800</v>
      </c>
      <c r="I101" s="14">
        <f>IF(ISNA(VLOOKUP(I$1,'peak-new'!$A$3:$DQ$19,$D101,FALSE)),0,VLOOKUP(I$1,'peak-new'!$A$3:$DQ$19,$D101,FALSE))</f>
        <v>0</v>
      </c>
      <c r="J101" s="14">
        <f>IF(ISNA(VLOOKUP(J$1,'peak-new'!$A$3:$DQ$19,$D101,FALSE)),0,VLOOKUP(J$1,'peak-new'!$A$3:$DQ$19,$D101,FALSE))</f>
        <v>0</v>
      </c>
      <c r="K101" s="14">
        <f>IF(ISNA(VLOOKUP(K$1,'peak-new'!$A$3:$DQ$19,$D101,FALSE)),0,VLOOKUP(K$1,'peak-new'!$A$3:$DQ$19,$D101,FALSE))</f>
        <v>0</v>
      </c>
      <c r="L101" s="14">
        <f>IF(ISNA(VLOOKUP(L$1,'peak-new'!$A$3:$DQ$19,$D101,FALSE)),0,VLOOKUP(L$1,'peak-new'!$A$3:$DQ$19,$D101,FALSE))</f>
        <v>0</v>
      </c>
      <c r="M101" s="14">
        <f>IF(ISNA(VLOOKUP(M$1,'peak-new'!$A$3:$DQ$19,$D101,FALSE)),0,VLOOKUP(M$1,'peak-new'!$A$3:$DQ$19,$D101,FALSE))</f>
        <v>0</v>
      </c>
      <c r="N101" s="14">
        <f>IF(ISNA(VLOOKUP(N$1,'peak-new'!$A$3:$DQ$19,$D101,FALSE)),0,VLOOKUP(N$1,'peak-new'!$A$3:$DQ$19,$D101,FALSE))</f>
        <v>0</v>
      </c>
      <c r="O101" s="14">
        <f>IF(ISNA(VLOOKUP(O$1,'peak-new'!$A$3:$DQ$19,$D101,FALSE)),0,VLOOKUP(O$1,'peak-new'!$A$3:$DQ$19,$D101,FALSE))</f>
        <v>0</v>
      </c>
      <c r="P101" s="14">
        <f>IF(ISNA(VLOOKUP(P$1,'peak-new'!$A$3:$DQ$19,$D101,FALSE)),0,VLOOKUP(P$1,'peak-new'!$A$3:$DQ$19,$D101,FALSE))</f>
        <v>0</v>
      </c>
      <c r="Q101" s="15">
        <f>IF(ISNA(VLOOKUP(Q$1,'delta-new'!$A$3:$DQ$20,$D101,FALSE)),0,VLOOKUP(Q$1,'delta-new'!$A$3:$DQ$20,$D101,FALSE))</f>
        <v>-483.37</v>
      </c>
      <c r="R101" s="14">
        <f>IF(ISNA(VLOOKUP(R$1,'peak-new'!$A$3:$DQ$19,$D101,FALSE)),0,VLOOKUP(R$1,'peak-new'!$A$3:$DQ$19,$D101,FALSE))</f>
        <v>0</v>
      </c>
      <c r="S101" s="10"/>
    </row>
    <row r="102" spans="1:19" s="8" customFormat="1" x14ac:dyDescent="0.2">
      <c r="A102" s="8">
        <f t="shared" si="15"/>
        <v>2009</v>
      </c>
      <c r="B102" s="8">
        <f t="shared" si="16"/>
        <v>4</v>
      </c>
      <c r="C102" s="9">
        <f t="shared" si="14"/>
        <v>39904</v>
      </c>
      <c r="D102" s="8">
        <f t="shared" si="13"/>
        <v>90</v>
      </c>
      <c r="E102" s="14">
        <f>IF(ISNA(VLOOKUP(E$1,'delta-new'!$A$3:$DQ$20,$D102,FALSE)),0,VLOOKUP(E$1,'delta-new'!$A$3:$DQ$20,$D102,FALSE))</f>
        <v>-11999.1</v>
      </c>
      <c r="F102" s="14">
        <f>IF(ISNA(VLOOKUP(F$1,'peak-new'!$A$3:$DQ$19,$D102,FALSE)),0,VLOOKUP(F$1,'peak-new'!$A$3:$DQ$19,$D102,FALSE))</f>
        <v>0</v>
      </c>
      <c r="G102" s="14">
        <f>IF(ISNA(VLOOKUP(G$1,'peak-new'!$A$3:$DQ$19,$D102,FALSE)),0,VLOOKUP(G$1,'peak-new'!$A$3:$DQ$19,$D102,FALSE))</f>
        <v>0</v>
      </c>
      <c r="H102" s="14">
        <f>IF(ISNA(VLOOKUP(H$1,'peak-new'!$A$3:$DQ$19,$D102,FALSE)),0,VLOOKUP(H$1,'peak-new'!$A$3:$DQ$19,$D102,FALSE))</f>
        <v>-52800</v>
      </c>
      <c r="I102" s="14">
        <f>IF(ISNA(VLOOKUP(I$1,'peak-new'!$A$3:$DQ$19,$D102,FALSE)),0,VLOOKUP(I$1,'peak-new'!$A$3:$DQ$19,$D102,FALSE))</f>
        <v>0</v>
      </c>
      <c r="J102" s="14">
        <f>IF(ISNA(VLOOKUP(J$1,'peak-new'!$A$3:$DQ$19,$D102,FALSE)),0,VLOOKUP(J$1,'peak-new'!$A$3:$DQ$19,$D102,FALSE))</f>
        <v>0</v>
      </c>
      <c r="K102" s="14">
        <f>IF(ISNA(VLOOKUP(K$1,'peak-new'!$A$3:$DQ$19,$D102,FALSE)),0,VLOOKUP(K$1,'peak-new'!$A$3:$DQ$19,$D102,FALSE))</f>
        <v>0</v>
      </c>
      <c r="L102" s="14">
        <f>IF(ISNA(VLOOKUP(L$1,'peak-new'!$A$3:$DQ$19,$D102,FALSE)),0,VLOOKUP(L$1,'peak-new'!$A$3:$DQ$19,$D102,FALSE))</f>
        <v>0</v>
      </c>
      <c r="M102" s="14">
        <f>IF(ISNA(VLOOKUP(M$1,'peak-new'!$A$3:$DQ$19,$D102,FALSE)),0,VLOOKUP(M$1,'peak-new'!$A$3:$DQ$19,$D102,FALSE))</f>
        <v>0</v>
      </c>
      <c r="N102" s="14">
        <f>IF(ISNA(VLOOKUP(N$1,'peak-new'!$A$3:$DQ$19,$D102,FALSE)),0,VLOOKUP(N$1,'peak-new'!$A$3:$DQ$19,$D102,FALSE))</f>
        <v>0</v>
      </c>
      <c r="O102" s="14">
        <f>IF(ISNA(VLOOKUP(O$1,'peak-new'!$A$3:$DQ$19,$D102,FALSE)),0,VLOOKUP(O$1,'peak-new'!$A$3:$DQ$19,$D102,FALSE))</f>
        <v>0</v>
      </c>
      <c r="P102" s="14">
        <f>IF(ISNA(VLOOKUP(P$1,'peak-new'!$A$3:$DQ$19,$D102,FALSE)),0,VLOOKUP(P$1,'peak-new'!$A$3:$DQ$19,$D102,FALSE))</f>
        <v>0</v>
      </c>
      <c r="Q102" s="15">
        <f>IF(ISNA(VLOOKUP(Q$1,'delta-new'!$A$3:$DQ$20,$D102,FALSE)),0,VLOOKUP(Q$1,'delta-new'!$A$3:$DQ$20,$D102,FALSE))</f>
        <v>-721.49</v>
      </c>
      <c r="R102" s="14">
        <f>IF(ISNA(VLOOKUP(R$1,'peak-new'!$A$3:$DQ$19,$D102,FALSE)),0,VLOOKUP(R$1,'peak-new'!$A$3:$DQ$19,$D102,FALSE))</f>
        <v>0</v>
      </c>
      <c r="S102" s="10"/>
    </row>
    <row r="103" spans="1:19" s="8" customFormat="1" x14ac:dyDescent="0.2">
      <c r="A103" s="8">
        <f t="shared" si="15"/>
        <v>2009</v>
      </c>
      <c r="B103" s="8">
        <f t="shared" si="16"/>
        <v>5</v>
      </c>
      <c r="C103" s="9">
        <f t="shared" si="14"/>
        <v>39934</v>
      </c>
      <c r="D103" s="8">
        <f t="shared" si="13"/>
        <v>91</v>
      </c>
      <c r="E103" s="14">
        <f>IF(ISNA(VLOOKUP(E$1,'delta-new'!$A$3:$DQ$20,$D103,FALSE)),0,VLOOKUP(E$1,'delta-new'!$A$3:$DQ$20,$D103,FALSE))</f>
        <v>-10852.53</v>
      </c>
      <c r="F103" s="14">
        <f>IF(ISNA(VLOOKUP(F$1,'peak-new'!$A$3:$DQ$19,$D103,FALSE)),0,VLOOKUP(F$1,'peak-new'!$A$3:$DQ$19,$D103,FALSE))</f>
        <v>0</v>
      </c>
      <c r="G103" s="14">
        <f>IF(ISNA(VLOOKUP(G$1,'peak-new'!$A$3:$DQ$19,$D103,FALSE)),0,VLOOKUP(G$1,'peak-new'!$A$3:$DQ$19,$D103,FALSE))</f>
        <v>0</v>
      </c>
      <c r="H103" s="14">
        <f>IF(ISNA(VLOOKUP(H$1,'peak-new'!$A$3:$DQ$19,$D103,FALSE)),0,VLOOKUP(H$1,'peak-new'!$A$3:$DQ$19,$D103,FALSE))</f>
        <v>-48000</v>
      </c>
      <c r="I103" s="14">
        <f>IF(ISNA(VLOOKUP(I$1,'peak-new'!$A$3:$DQ$19,$D103,FALSE)),0,VLOOKUP(I$1,'peak-new'!$A$3:$DQ$19,$D103,FALSE))</f>
        <v>0</v>
      </c>
      <c r="J103" s="14">
        <f>IF(ISNA(VLOOKUP(J$1,'peak-new'!$A$3:$DQ$19,$D103,FALSE)),0,VLOOKUP(J$1,'peak-new'!$A$3:$DQ$19,$D103,FALSE))</f>
        <v>0</v>
      </c>
      <c r="K103" s="14">
        <f>IF(ISNA(VLOOKUP(K$1,'peak-new'!$A$3:$DQ$19,$D103,FALSE)),0,VLOOKUP(K$1,'peak-new'!$A$3:$DQ$19,$D103,FALSE))</f>
        <v>0</v>
      </c>
      <c r="L103" s="14">
        <f>IF(ISNA(VLOOKUP(L$1,'peak-new'!$A$3:$DQ$19,$D103,FALSE)),0,VLOOKUP(L$1,'peak-new'!$A$3:$DQ$19,$D103,FALSE))</f>
        <v>0</v>
      </c>
      <c r="M103" s="14">
        <f>IF(ISNA(VLOOKUP(M$1,'peak-new'!$A$3:$DQ$19,$D103,FALSE)),0,VLOOKUP(M$1,'peak-new'!$A$3:$DQ$19,$D103,FALSE))</f>
        <v>0</v>
      </c>
      <c r="N103" s="14">
        <f>IF(ISNA(VLOOKUP(N$1,'peak-new'!$A$3:$DQ$19,$D103,FALSE)),0,VLOOKUP(N$1,'peak-new'!$A$3:$DQ$19,$D103,FALSE))</f>
        <v>0</v>
      </c>
      <c r="O103" s="14">
        <f>IF(ISNA(VLOOKUP(O$1,'peak-new'!$A$3:$DQ$19,$D103,FALSE)),0,VLOOKUP(O$1,'peak-new'!$A$3:$DQ$19,$D103,FALSE))</f>
        <v>0</v>
      </c>
      <c r="P103" s="14">
        <f>IF(ISNA(VLOOKUP(P$1,'peak-new'!$A$3:$DQ$19,$D103,FALSE)),0,VLOOKUP(P$1,'peak-new'!$A$3:$DQ$19,$D103,FALSE))</f>
        <v>0</v>
      </c>
      <c r="Q103" s="15">
        <f>IF(ISNA(VLOOKUP(Q$1,'delta-new'!$A$3:$DQ$20,$D103,FALSE)),0,VLOOKUP(Q$1,'delta-new'!$A$3:$DQ$20,$D103,FALSE))</f>
        <v>-652.77</v>
      </c>
      <c r="R103" s="14">
        <f>IF(ISNA(VLOOKUP(R$1,'peak-new'!$A$3:$DQ$19,$D103,FALSE)),0,VLOOKUP(R$1,'peak-new'!$A$3:$DQ$19,$D103,FALSE))</f>
        <v>0</v>
      </c>
      <c r="S103" s="10"/>
    </row>
    <row r="104" spans="1:19" s="8" customFormat="1" x14ac:dyDescent="0.2">
      <c r="A104" s="8">
        <f t="shared" si="15"/>
        <v>2009</v>
      </c>
      <c r="B104" s="8">
        <f t="shared" si="16"/>
        <v>6</v>
      </c>
      <c r="C104" s="9">
        <f t="shared" si="14"/>
        <v>39965</v>
      </c>
      <c r="D104" s="8">
        <f t="shared" ref="D104:D122" si="17">D103+1</f>
        <v>92</v>
      </c>
      <c r="E104" s="14">
        <f>IF(ISNA(VLOOKUP(E$1,'delta-new'!$A$3:$DQ$20,$D104,FALSE)),0,VLOOKUP(E$1,'delta-new'!$A$3:$DQ$20,$D104,FALSE))</f>
        <v>-11878.55</v>
      </c>
      <c r="F104" s="14">
        <f>IF(ISNA(VLOOKUP(F$1,'peak-new'!$A$3:$DQ$19,$D104,FALSE)),0,VLOOKUP(F$1,'peak-new'!$A$3:$DQ$19,$D104,FALSE))</f>
        <v>0</v>
      </c>
      <c r="G104" s="14">
        <f>IF(ISNA(VLOOKUP(G$1,'peak-new'!$A$3:$DQ$19,$D104,FALSE)),0,VLOOKUP(G$1,'peak-new'!$A$3:$DQ$19,$D104,FALSE))</f>
        <v>0</v>
      </c>
      <c r="H104" s="14">
        <f>IF(ISNA(VLOOKUP(H$1,'peak-new'!$A$3:$DQ$19,$D104,FALSE)),0,VLOOKUP(H$1,'peak-new'!$A$3:$DQ$19,$D104,FALSE))</f>
        <v>-52800</v>
      </c>
      <c r="I104" s="14">
        <f>IF(ISNA(VLOOKUP(I$1,'peak-new'!$A$3:$DQ$19,$D104,FALSE)),0,VLOOKUP(I$1,'peak-new'!$A$3:$DQ$19,$D104,FALSE))</f>
        <v>0</v>
      </c>
      <c r="J104" s="14">
        <f>IF(ISNA(VLOOKUP(J$1,'peak-new'!$A$3:$DQ$19,$D104,FALSE)),0,VLOOKUP(J$1,'peak-new'!$A$3:$DQ$19,$D104,FALSE))</f>
        <v>0</v>
      </c>
      <c r="K104" s="14">
        <f>IF(ISNA(VLOOKUP(K$1,'peak-new'!$A$3:$DQ$19,$D104,FALSE)),0,VLOOKUP(K$1,'peak-new'!$A$3:$DQ$19,$D104,FALSE))</f>
        <v>0</v>
      </c>
      <c r="L104" s="14">
        <f>IF(ISNA(VLOOKUP(L$1,'peak-new'!$A$3:$DQ$19,$D104,FALSE)),0,VLOOKUP(L$1,'peak-new'!$A$3:$DQ$19,$D104,FALSE))</f>
        <v>0</v>
      </c>
      <c r="M104" s="14">
        <f>IF(ISNA(VLOOKUP(M$1,'peak-new'!$A$3:$DQ$19,$D104,FALSE)),0,VLOOKUP(M$1,'peak-new'!$A$3:$DQ$19,$D104,FALSE))</f>
        <v>0</v>
      </c>
      <c r="N104" s="14">
        <f>IF(ISNA(VLOOKUP(N$1,'peak-new'!$A$3:$DQ$19,$D104,FALSE)),0,VLOOKUP(N$1,'peak-new'!$A$3:$DQ$19,$D104,FALSE))</f>
        <v>0</v>
      </c>
      <c r="O104" s="14">
        <f>IF(ISNA(VLOOKUP(O$1,'peak-new'!$A$3:$DQ$19,$D104,FALSE)),0,VLOOKUP(O$1,'peak-new'!$A$3:$DQ$19,$D104,FALSE))</f>
        <v>0</v>
      </c>
      <c r="P104" s="14">
        <f>IF(ISNA(VLOOKUP(P$1,'peak-new'!$A$3:$DQ$19,$D104,FALSE)),0,VLOOKUP(P$1,'peak-new'!$A$3:$DQ$19,$D104,FALSE))</f>
        <v>0</v>
      </c>
      <c r="Q104" s="15">
        <f>IF(ISNA(VLOOKUP(Q$1,'delta-new'!$A$3:$DQ$20,$D104,FALSE)),0,VLOOKUP(Q$1,'delta-new'!$A$3:$DQ$20,$D104,FALSE))</f>
        <v>-952.34</v>
      </c>
      <c r="R104" s="14">
        <f>IF(ISNA(VLOOKUP(R$1,'peak-new'!$A$3:$DQ$19,$D104,FALSE)),0,VLOOKUP(R$1,'peak-new'!$A$3:$DQ$19,$D104,FALSE))</f>
        <v>0</v>
      </c>
      <c r="S104" s="10"/>
    </row>
    <row r="105" spans="1:19" s="8" customFormat="1" x14ac:dyDescent="0.2">
      <c r="A105" s="8">
        <f t="shared" si="15"/>
        <v>2009</v>
      </c>
      <c r="B105" s="8">
        <f t="shared" si="16"/>
        <v>7</v>
      </c>
      <c r="C105" s="9">
        <f t="shared" si="14"/>
        <v>39995</v>
      </c>
      <c r="D105" s="8">
        <f t="shared" si="17"/>
        <v>93</v>
      </c>
      <c r="E105" s="14">
        <f>IF(ISNA(VLOOKUP(E$1,'delta-new'!$A$3:$DQ$20,$D105,FALSE)),0,VLOOKUP(E$1,'delta-new'!$A$3:$DQ$20,$D105,FALSE))</f>
        <v>-12354.61</v>
      </c>
      <c r="F105" s="14">
        <f>IF(ISNA(VLOOKUP(F$1,'peak-new'!$A$3:$DQ$19,$D105,FALSE)),0,VLOOKUP(F$1,'peak-new'!$A$3:$DQ$19,$D105,FALSE))</f>
        <v>0</v>
      </c>
      <c r="G105" s="14">
        <f>IF(ISNA(VLOOKUP(G$1,'peak-new'!$A$3:$DQ$19,$D105,FALSE)),0,VLOOKUP(G$1,'peak-new'!$A$3:$DQ$19,$D105,FALSE))</f>
        <v>0</v>
      </c>
      <c r="H105" s="14">
        <f>IF(ISNA(VLOOKUP(H$1,'peak-new'!$A$3:$DQ$19,$D105,FALSE)),0,VLOOKUP(H$1,'peak-new'!$A$3:$DQ$19,$D105,FALSE))</f>
        <v>-55200</v>
      </c>
      <c r="I105" s="14">
        <f>IF(ISNA(VLOOKUP(I$1,'peak-new'!$A$3:$DQ$19,$D105,FALSE)),0,VLOOKUP(I$1,'peak-new'!$A$3:$DQ$19,$D105,FALSE))</f>
        <v>0</v>
      </c>
      <c r="J105" s="14">
        <f>IF(ISNA(VLOOKUP(J$1,'peak-new'!$A$3:$DQ$19,$D105,FALSE)),0,VLOOKUP(J$1,'peak-new'!$A$3:$DQ$19,$D105,FALSE))</f>
        <v>0</v>
      </c>
      <c r="K105" s="14">
        <f>IF(ISNA(VLOOKUP(K$1,'peak-new'!$A$3:$DQ$19,$D105,FALSE)),0,VLOOKUP(K$1,'peak-new'!$A$3:$DQ$19,$D105,FALSE))</f>
        <v>0</v>
      </c>
      <c r="L105" s="14">
        <f>IF(ISNA(VLOOKUP(L$1,'peak-new'!$A$3:$DQ$19,$D105,FALSE)),0,VLOOKUP(L$1,'peak-new'!$A$3:$DQ$19,$D105,FALSE))</f>
        <v>0</v>
      </c>
      <c r="M105" s="14">
        <f>IF(ISNA(VLOOKUP(M$1,'peak-new'!$A$3:$DQ$19,$D105,FALSE)),0,VLOOKUP(M$1,'peak-new'!$A$3:$DQ$19,$D105,FALSE))</f>
        <v>0</v>
      </c>
      <c r="N105" s="14">
        <f>IF(ISNA(VLOOKUP(N$1,'peak-new'!$A$3:$DQ$19,$D105,FALSE)),0,VLOOKUP(N$1,'peak-new'!$A$3:$DQ$19,$D105,FALSE))</f>
        <v>0</v>
      </c>
      <c r="O105" s="14">
        <f>IF(ISNA(VLOOKUP(O$1,'peak-new'!$A$3:$DQ$19,$D105,FALSE)),0,VLOOKUP(O$1,'peak-new'!$A$3:$DQ$19,$D105,FALSE))</f>
        <v>0</v>
      </c>
      <c r="P105" s="14">
        <f>IF(ISNA(VLOOKUP(P$1,'peak-new'!$A$3:$DQ$19,$D105,FALSE)),0,VLOOKUP(P$1,'peak-new'!$A$3:$DQ$19,$D105,FALSE))</f>
        <v>0</v>
      </c>
      <c r="Q105" s="15">
        <f>IF(ISNA(VLOOKUP(Q$1,'delta-new'!$A$3:$DQ$20,$D105,FALSE)),0,VLOOKUP(Q$1,'delta-new'!$A$3:$DQ$20,$D105,FALSE))</f>
        <v>0</v>
      </c>
      <c r="R105" s="14">
        <f>IF(ISNA(VLOOKUP(R$1,'peak-new'!$A$3:$DQ$19,$D105,FALSE)),0,VLOOKUP(R$1,'peak-new'!$A$3:$DQ$19,$D105,FALSE))</f>
        <v>0</v>
      </c>
      <c r="S105" s="10"/>
    </row>
    <row r="106" spans="1:19" s="8" customFormat="1" x14ac:dyDescent="0.2">
      <c r="A106" s="8">
        <f t="shared" si="15"/>
        <v>2009</v>
      </c>
      <c r="B106" s="8">
        <f t="shared" si="16"/>
        <v>8</v>
      </c>
      <c r="C106" s="9">
        <f t="shared" si="14"/>
        <v>40026</v>
      </c>
      <c r="D106" s="8">
        <f t="shared" si="17"/>
        <v>94</v>
      </c>
      <c r="E106" s="14">
        <f>IF(ISNA(VLOOKUP(E$1,'delta-new'!$A$3:$DQ$20,$D106,FALSE)),0,VLOOKUP(E$1,'delta-new'!$A$3:$DQ$20,$D106,FALSE))</f>
        <v>-11222.08</v>
      </c>
      <c r="F106" s="14">
        <f>IF(ISNA(VLOOKUP(F$1,'peak-new'!$A$3:$DQ$19,$D106,FALSE)),0,VLOOKUP(F$1,'peak-new'!$A$3:$DQ$19,$D106,FALSE))</f>
        <v>0</v>
      </c>
      <c r="G106" s="14">
        <f>IF(ISNA(VLOOKUP(G$1,'peak-new'!$A$3:$DQ$19,$D106,FALSE)),0,VLOOKUP(G$1,'peak-new'!$A$3:$DQ$19,$D106,FALSE))</f>
        <v>0</v>
      </c>
      <c r="H106" s="14">
        <f>IF(ISNA(VLOOKUP(H$1,'peak-new'!$A$3:$DQ$19,$D106,FALSE)),0,VLOOKUP(H$1,'peak-new'!$A$3:$DQ$19,$D106,FALSE))</f>
        <v>-50400</v>
      </c>
      <c r="I106" s="14">
        <f>IF(ISNA(VLOOKUP(I$1,'peak-new'!$A$3:$DQ$19,$D106,FALSE)),0,VLOOKUP(I$1,'peak-new'!$A$3:$DQ$19,$D106,FALSE))</f>
        <v>0</v>
      </c>
      <c r="J106" s="14">
        <f>IF(ISNA(VLOOKUP(J$1,'peak-new'!$A$3:$DQ$19,$D106,FALSE)),0,VLOOKUP(J$1,'peak-new'!$A$3:$DQ$19,$D106,FALSE))</f>
        <v>0</v>
      </c>
      <c r="K106" s="14">
        <f>IF(ISNA(VLOOKUP(K$1,'peak-new'!$A$3:$DQ$19,$D106,FALSE)),0,VLOOKUP(K$1,'peak-new'!$A$3:$DQ$19,$D106,FALSE))</f>
        <v>0</v>
      </c>
      <c r="L106" s="14">
        <f>IF(ISNA(VLOOKUP(L$1,'peak-new'!$A$3:$DQ$19,$D106,FALSE)),0,VLOOKUP(L$1,'peak-new'!$A$3:$DQ$19,$D106,FALSE))</f>
        <v>0</v>
      </c>
      <c r="M106" s="14">
        <f>IF(ISNA(VLOOKUP(M$1,'peak-new'!$A$3:$DQ$19,$D106,FALSE)),0,VLOOKUP(M$1,'peak-new'!$A$3:$DQ$19,$D106,FALSE))</f>
        <v>0</v>
      </c>
      <c r="N106" s="14">
        <f>IF(ISNA(VLOOKUP(N$1,'peak-new'!$A$3:$DQ$19,$D106,FALSE)),0,VLOOKUP(N$1,'peak-new'!$A$3:$DQ$19,$D106,FALSE))</f>
        <v>0</v>
      </c>
      <c r="O106" s="14">
        <f>IF(ISNA(VLOOKUP(O$1,'peak-new'!$A$3:$DQ$19,$D106,FALSE)),0,VLOOKUP(O$1,'peak-new'!$A$3:$DQ$19,$D106,FALSE))</f>
        <v>0</v>
      </c>
      <c r="P106" s="14">
        <f>IF(ISNA(VLOOKUP(P$1,'peak-new'!$A$3:$DQ$19,$D106,FALSE)),0,VLOOKUP(P$1,'peak-new'!$A$3:$DQ$19,$D106,FALSE))</f>
        <v>0</v>
      </c>
      <c r="Q106" s="15">
        <f>IF(ISNA(VLOOKUP(Q$1,'delta-new'!$A$3:$DQ$20,$D106,FALSE)),0,VLOOKUP(Q$1,'delta-new'!$A$3:$DQ$20,$D106,FALSE))</f>
        <v>0</v>
      </c>
      <c r="R106" s="14">
        <f>IF(ISNA(VLOOKUP(R$1,'peak-new'!$A$3:$DQ$19,$D106,FALSE)),0,VLOOKUP(R$1,'peak-new'!$A$3:$DQ$19,$D106,FALSE))</f>
        <v>0</v>
      </c>
      <c r="S106" s="10"/>
    </row>
    <row r="107" spans="1:19" s="8" customFormat="1" x14ac:dyDescent="0.2">
      <c r="A107" s="8">
        <f t="shared" si="15"/>
        <v>2009</v>
      </c>
      <c r="B107" s="8">
        <f t="shared" si="16"/>
        <v>9</v>
      </c>
      <c r="C107" s="9">
        <f t="shared" si="14"/>
        <v>40057</v>
      </c>
      <c r="D107" s="8">
        <f t="shared" si="17"/>
        <v>95</v>
      </c>
      <c r="E107" s="14">
        <f>IF(ISNA(VLOOKUP(E$1,'delta-new'!$A$3:$DQ$20,$D107,FALSE)),0,VLOOKUP(E$1,'delta-new'!$A$3:$DQ$20,$D107,FALSE))</f>
        <v>-11165.85</v>
      </c>
      <c r="F107" s="14">
        <f>IF(ISNA(VLOOKUP(F$1,'peak-new'!$A$3:$DQ$19,$D107,FALSE)),0,VLOOKUP(F$1,'peak-new'!$A$3:$DQ$19,$D107,FALSE))</f>
        <v>0</v>
      </c>
      <c r="G107" s="14">
        <f>IF(ISNA(VLOOKUP(G$1,'peak-new'!$A$3:$DQ$19,$D107,FALSE)),0,VLOOKUP(G$1,'peak-new'!$A$3:$DQ$19,$D107,FALSE))</f>
        <v>0</v>
      </c>
      <c r="H107" s="14">
        <f>IF(ISNA(VLOOKUP(H$1,'peak-new'!$A$3:$DQ$19,$D107,FALSE)),0,VLOOKUP(H$1,'peak-new'!$A$3:$DQ$19,$D107,FALSE))</f>
        <v>-50400</v>
      </c>
      <c r="I107" s="14">
        <f>IF(ISNA(VLOOKUP(I$1,'peak-new'!$A$3:$DQ$19,$D107,FALSE)),0,VLOOKUP(I$1,'peak-new'!$A$3:$DQ$19,$D107,FALSE))</f>
        <v>0</v>
      </c>
      <c r="J107" s="14">
        <f>IF(ISNA(VLOOKUP(J$1,'peak-new'!$A$3:$DQ$19,$D107,FALSE)),0,VLOOKUP(J$1,'peak-new'!$A$3:$DQ$19,$D107,FALSE))</f>
        <v>0</v>
      </c>
      <c r="K107" s="14">
        <f>IF(ISNA(VLOOKUP(K$1,'peak-new'!$A$3:$DQ$19,$D107,FALSE)),0,VLOOKUP(K$1,'peak-new'!$A$3:$DQ$19,$D107,FALSE))</f>
        <v>0</v>
      </c>
      <c r="L107" s="14">
        <f>IF(ISNA(VLOOKUP(L$1,'peak-new'!$A$3:$DQ$19,$D107,FALSE)),0,VLOOKUP(L$1,'peak-new'!$A$3:$DQ$19,$D107,FALSE))</f>
        <v>0</v>
      </c>
      <c r="M107" s="14">
        <f>IF(ISNA(VLOOKUP(M$1,'peak-new'!$A$3:$DQ$19,$D107,FALSE)),0,VLOOKUP(M$1,'peak-new'!$A$3:$DQ$19,$D107,FALSE))</f>
        <v>0</v>
      </c>
      <c r="N107" s="14">
        <f>IF(ISNA(VLOOKUP(N$1,'peak-new'!$A$3:$DQ$19,$D107,FALSE)),0,VLOOKUP(N$1,'peak-new'!$A$3:$DQ$19,$D107,FALSE))</f>
        <v>0</v>
      </c>
      <c r="O107" s="14">
        <f>IF(ISNA(VLOOKUP(O$1,'peak-new'!$A$3:$DQ$19,$D107,FALSE)),0,VLOOKUP(O$1,'peak-new'!$A$3:$DQ$19,$D107,FALSE))</f>
        <v>0</v>
      </c>
      <c r="P107" s="14">
        <f>IF(ISNA(VLOOKUP(P$1,'peak-new'!$A$3:$DQ$19,$D107,FALSE)),0,VLOOKUP(P$1,'peak-new'!$A$3:$DQ$19,$D107,FALSE))</f>
        <v>0</v>
      </c>
      <c r="Q107" s="15">
        <f>IF(ISNA(VLOOKUP(Q$1,'delta-new'!$A$3:$DQ$20,$D107,FALSE)),0,VLOOKUP(Q$1,'delta-new'!$A$3:$DQ$20,$D107,FALSE))</f>
        <v>0</v>
      </c>
      <c r="R107" s="14">
        <f>IF(ISNA(VLOOKUP(R$1,'peak-new'!$A$3:$DQ$19,$D107,FALSE)),0,VLOOKUP(R$1,'peak-new'!$A$3:$DQ$19,$D107,FALSE))</f>
        <v>0</v>
      </c>
      <c r="S107" s="10"/>
    </row>
    <row r="108" spans="1:19" s="8" customFormat="1" x14ac:dyDescent="0.2">
      <c r="A108" s="8">
        <f t="shared" si="15"/>
        <v>2009</v>
      </c>
      <c r="B108" s="8">
        <f t="shared" si="16"/>
        <v>10</v>
      </c>
      <c r="C108" s="9">
        <f t="shared" si="14"/>
        <v>40087</v>
      </c>
      <c r="D108" s="8">
        <f t="shared" si="17"/>
        <v>96</v>
      </c>
      <c r="E108" s="14">
        <f>IF(ISNA(VLOOKUP(E$1,'delta-new'!$A$3:$DQ$20,$D108,FALSE)),0,VLOOKUP(E$1,'delta-new'!$A$3:$DQ$20,$D108,FALSE))</f>
        <v>-11636.8</v>
      </c>
      <c r="F108" s="14">
        <f>IF(ISNA(VLOOKUP(F$1,'peak-new'!$A$3:$DQ$19,$D108,FALSE)),0,VLOOKUP(F$1,'peak-new'!$A$3:$DQ$19,$D108,FALSE))</f>
        <v>0</v>
      </c>
      <c r="G108" s="14">
        <f>IF(ISNA(VLOOKUP(G$1,'peak-new'!$A$3:$DQ$19,$D108,FALSE)),0,VLOOKUP(G$1,'peak-new'!$A$3:$DQ$19,$D108,FALSE))</f>
        <v>0</v>
      </c>
      <c r="H108" s="14">
        <f>IF(ISNA(VLOOKUP(H$1,'peak-new'!$A$3:$DQ$19,$D108,FALSE)),0,VLOOKUP(H$1,'peak-new'!$A$3:$DQ$19,$D108,FALSE))</f>
        <v>-52800</v>
      </c>
      <c r="I108" s="14">
        <f>IF(ISNA(VLOOKUP(I$1,'peak-new'!$A$3:$DQ$19,$D108,FALSE)),0,VLOOKUP(I$1,'peak-new'!$A$3:$DQ$19,$D108,FALSE))</f>
        <v>0</v>
      </c>
      <c r="J108" s="14">
        <f>IF(ISNA(VLOOKUP(J$1,'peak-new'!$A$3:$DQ$19,$D108,FALSE)),0,VLOOKUP(J$1,'peak-new'!$A$3:$DQ$19,$D108,FALSE))</f>
        <v>0</v>
      </c>
      <c r="K108" s="14">
        <f>IF(ISNA(VLOOKUP(K$1,'peak-new'!$A$3:$DQ$19,$D108,FALSE)),0,VLOOKUP(K$1,'peak-new'!$A$3:$DQ$19,$D108,FALSE))</f>
        <v>0</v>
      </c>
      <c r="L108" s="14">
        <f>IF(ISNA(VLOOKUP(L$1,'peak-new'!$A$3:$DQ$19,$D108,FALSE)),0,VLOOKUP(L$1,'peak-new'!$A$3:$DQ$19,$D108,FALSE))</f>
        <v>0</v>
      </c>
      <c r="M108" s="14">
        <f>IF(ISNA(VLOOKUP(M$1,'peak-new'!$A$3:$DQ$19,$D108,FALSE)),0,VLOOKUP(M$1,'peak-new'!$A$3:$DQ$19,$D108,FALSE))</f>
        <v>0</v>
      </c>
      <c r="N108" s="14">
        <f>IF(ISNA(VLOOKUP(N$1,'peak-new'!$A$3:$DQ$19,$D108,FALSE)),0,VLOOKUP(N$1,'peak-new'!$A$3:$DQ$19,$D108,FALSE))</f>
        <v>0</v>
      </c>
      <c r="O108" s="14">
        <f>IF(ISNA(VLOOKUP(O$1,'peak-new'!$A$3:$DQ$19,$D108,FALSE)),0,VLOOKUP(O$1,'peak-new'!$A$3:$DQ$19,$D108,FALSE))</f>
        <v>0</v>
      </c>
      <c r="P108" s="14">
        <f>IF(ISNA(VLOOKUP(P$1,'peak-new'!$A$3:$DQ$19,$D108,FALSE)),0,VLOOKUP(P$1,'peak-new'!$A$3:$DQ$19,$D108,FALSE))</f>
        <v>0</v>
      </c>
      <c r="Q108" s="15">
        <f>IF(ISNA(VLOOKUP(Q$1,'delta-new'!$A$3:$DQ$20,$D108,FALSE)),0,VLOOKUP(Q$1,'delta-new'!$A$3:$DQ$20,$D108,FALSE))</f>
        <v>0</v>
      </c>
      <c r="R108" s="14">
        <f>IF(ISNA(VLOOKUP(R$1,'peak-new'!$A$3:$DQ$19,$D108,FALSE)),0,VLOOKUP(R$1,'peak-new'!$A$3:$DQ$19,$D108,FALSE))</f>
        <v>0</v>
      </c>
      <c r="S108" s="10"/>
    </row>
    <row r="109" spans="1:19" s="8" customFormat="1" x14ac:dyDescent="0.2">
      <c r="A109" s="8">
        <f t="shared" si="15"/>
        <v>2009</v>
      </c>
      <c r="B109" s="8">
        <f t="shared" si="16"/>
        <v>11</v>
      </c>
      <c r="C109" s="9">
        <f t="shared" si="14"/>
        <v>40118</v>
      </c>
      <c r="D109" s="8">
        <f t="shared" si="17"/>
        <v>97</v>
      </c>
      <c r="E109" s="14">
        <f>IF(ISNA(VLOOKUP(E$1,'delta-new'!$A$3:$DQ$20,$D109,FALSE)),0,VLOOKUP(E$1,'delta-new'!$A$3:$DQ$20,$D109,FALSE))</f>
        <v>-10525.56</v>
      </c>
      <c r="F109" s="14">
        <f>IF(ISNA(VLOOKUP(F$1,'peak-new'!$A$3:$DQ$19,$D109,FALSE)),0,VLOOKUP(F$1,'peak-new'!$A$3:$DQ$19,$D109,FALSE))</f>
        <v>0</v>
      </c>
      <c r="G109" s="14">
        <f>IF(ISNA(VLOOKUP(G$1,'peak-new'!$A$3:$DQ$19,$D109,FALSE)),0,VLOOKUP(G$1,'peak-new'!$A$3:$DQ$19,$D109,FALSE))</f>
        <v>0</v>
      </c>
      <c r="H109" s="14">
        <f>IF(ISNA(VLOOKUP(H$1,'peak-new'!$A$3:$DQ$19,$D109,FALSE)),0,VLOOKUP(H$1,'peak-new'!$A$3:$DQ$19,$D109,FALSE))</f>
        <v>-48000</v>
      </c>
      <c r="I109" s="14">
        <f>IF(ISNA(VLOOKUP(I$1,'peak-new'!$A$3:$DQ$19,$D109,FALSE)),0,VLOOKUP(I$1,'peak-new'!$A$3:$DQ$19,$D109,FALSE))</f>
        <v>0</v>
      </c>
      <c r="J109" s="14">
        <f>IF(ISNA(VLOOKUP(J$1,'peak-new'!$A$3:$DQ$19,$D109,FALSE)),0,VLOOKUP(J$1,'peak-new'!$A$3:$DQ$19,$D109,FALSE))</f>
        <v>0</v>
      </c>
      <c r="K109" s="14">
        <f>IF(ISNA(VLOOKUP(K$1,'peak-new'!$A$3:$DQ$19,$D109,FALSE)),0,VLOOKUP(K$1,'peak-new'!$A$3:$DQ$19,$D109,FALSE))</f>
        <v>0</v>
      </c>
      <c r="L109" s="14">
        <f>IF(ISNA(VLOOKUP(L$1,'peak-new'!$A$3:$DQ$19,$D109,FALSE)),0,VLOOKUP(L$1,'peak-new'!$A$3:$DQ$19,$D109,FALSE))</f>
        <v>0</v>
      </c>
      <c r="M109" s="14">
        <f>IF(ISNA(VLOOKUP(M$1,'peak-new'!$A$3:$DQ$19,$D109,FALSE)),0,VLOOKUP(M$1,'peak-new'!$A$3:$DQ$19,$D109,FALSE))</f>
        <v>0</v>
      </c>
      <c r="N109" s="14">
        <f>IF(ISNA(VLOOKUP(N$1,'peak-new'!$A$3:$DQ$19,$D109,FALSE)),0,VLOOKUP(N$1,'peak-new'!$A$3:$DQ$19,$D109,FALSE))</f>
        <v>0</v>
      </c>
      <c r="O109" s="14">
        <f>IF(ISNA(VLOOKUP(O$1,'peak-new'!$A$3:$DQ$19,$D109,FALSE)),0,VLOOKUP(O$1,'peak-new'!$A$3:$DQ$19,$D109,FALSE))</f>
        <v>0</v>
      </c>
      <c r="P109" s="14">
        <f>IF(ISNA(VLOOKUP(P$1,'peak-new'!$A$3:$DQ$19,$D109,FALSE)),0,VLOOKUP(P$1,'peak-new'!$A$3:$DQ$19,$D109,FALSE))</f>
        <v>0</v>
      </c>
      <c r="Q109" s="15">
        <f>IF(ISNA(VLOOKUP(Q$1,'delta-new'!$A$3:$DQ$20,$D109,FALSE)),0,VLOOKUP(Q$1,'delta-new'!$A$3:$DQ$20,$D109,FALSE))</f>
        <v>0</v>
      </c>
      <c r="R109" s="14">
        <f>IF(ISNA(VLOOKUP(R$1,'peak-new'!$A$3:$DQ$19,$D109,FALSE)),0,VLOOKUP(R$1,'peak-new'!$A$3:$DQ$19,$D109,FALSE))</f>
        <v>0</v>
      </c>
      <c r="S109" s="10"/>
    </row>
    <row r="110" spans="1:19" s="8" customFormat="1" x14ac:dyDescent="0.2">
      <c r="A110" s="8">
        <f t="shared" si="15"/>
        <v>2009</v>
      </c>
      <c r="B110" s="8">
        <f t="shared" si="16"/>
        <v>12</v>
      </c>
      <c r="C110" s="9">
        <f t="shared" si="14"/>
        <v>40148</v>
      </c>
      <c r="D110" s="8">
        <f t="shared" si="17"/>
        <v>98</v>
      </c>
      <c r="E110" s="14">
        <f>IF(ISNA(VLOOKUP(E$1,'delta-new'!$A$3:$DQ$20,$D110,FALSE)),0,VLOOKUP(E$1,'delta-new'!$A$3:$DQ$20,$D110,FALSE))</f>
        <v>-11517.58</v>
      </c>
      <c r="F110" s="14">
        <f>IF(ISNA(VLOOKUP(F$1,'peak-new'!$A$3:$DQ$19,$D110,FALSE)),0,VLOOKUP(F$1,'peak-new'!$A$3:$DQ$19,$D110,FALSE))</f>
        <v>0</v>
      </c>
      <c r="G110" s="14">
        <f>IF(ISNA(VLOOKUP(G$1,'peak-new'!$A$3:$DQ$19,$D110,FALSE)),0,VLOOKUP(G$1,'peak-new'!$A$3:$DQ$19,$D110,FALSE))</f>
        <v>0</v>
      </c>
      <c r="H110" s="14">
        <f>IF(ISNA(VLOOKUP(H$1,'peak-new'!$A$3:$DQ$19,$D110,FALSE)),0,VLOOKUP(H$1,'peak-new'!$A$3:$DQ$19,$D110,FALSE))</f>
        <v>-52800</v>
      </c>
      <c r="I110" s="14">
        <f>IF(ISNA(VLOOKUP(I$1,'peak-new'!$A$3:$DQ$19,$D110,FALSE)),0,VLOOKUP(I$1,'peak-new'!$A$3:$DQ$19,$D110,FALSE))</f>
        <v>0</v>
      </c>
      <c r="J110" s="14">
        <f>IF(ISNA(VLOOKUP(J$1,'peak-new'!$A$3:$DQ$19,$D110,FALSE)),0,VLOOKUP(J$1,'peak-new'!$A$3:$DQ$19,$D110,FALSE))</f>
        <v>0</v>
      </c>
      <c r="K110" s="14">
        <f>IF(ISNA(VLOOKUP(K$1,'peak-new'!$A$3:$DQ$19,$D110,FALSE)),0,VLOOKUP(K$1,'peak-new'!$A$3:$DQ$19,$D110,FALSE))</f>
        <v>0</v>
      </c>
      <c r="L110" s="14">
        <f>IF(ISNA(VLOOKUP(L$1,'peak-new'!$A$3:$DQ$19,$D110,FALSE)),0,VLOOKUP(L$1,'peak-new'!$A$3:$DQ$19,$D110,FALSE))</f>
        <v>0</v>
      </c>
      <c r="M110" s="14">
        <f>IF(ISNA(VLOOKUP(M$1,'peak-new'!$A$3:$DQ$19,$D110,FALSE)),0,VLOOKUP(M$1,'peak-new'!$A$3:$DQ$19,$D110,FALSE))</f>
        <v>0</v>
      </c>
      <c r="N110" s="14">
        <f>IF(ISNA(VLOOKUP(N$1,'peak-new'!$A$3:$DQ$19,$D110,FALSE)),0,VLOOKUP(N$1,'peak-new'!$A$3:$DQ$19,$D110,FALSE))</f>
        <v>0</v>
      </c>
      <c r="O110" s="14">
        <f>IF(ISNA(VLOOKUP(O$1,'peak-new'!$A$3:$DQ$19,$D110,FALSE)),0,VLOOKUP(O$1,'peak-new'!$A$3:$DQ$19,$D110,FALSE))</f>
        <v>0</v>
      </c>
      <c r="P110" s="14">
        <f>IF(ISNA(VLOOKUP(P$1,'peak-new'!$A$3:$DQ$19,$D110,FALSE)),0,VLOOKUP(P$1,'peak-new'!$A$3:$DQ$19,$D110,FALSE))</f>
        <v>0</v>
      </c>
      <c r="Q110" s="15">
        <f>IF(ISNA(VLOOKUP(Q$1,'delta-new'!$A$3:$DQ$20,$D110,FALSE)),0,VLOOKUP(Q$1,'delta-new'!$A$3:$DQ$20,$D110,FALSE))</f>
        <v>0</v>
      </c>
      <c r="R110" s="14">
        <f>IF(ISNA(VLOOKUP(R$1,'peak-new'!$A$3:$DQ$19,$D110,FALSE)),0,VLOOKUP(R$1,'peak-new'!$A$3:$DQ$19,$D110,FALSE))</f>
        <v>0</v>
      </c>
      <c r="S110" s="10"/>
    </row>
    <row r="111" spans="1:19" s="8" customFormat="1" x14ac:dyDescent="0.2">
      <c r="A111" s="8">
        <f t="shared" si="15"/>
        <v>2010</v>
      </c>
      <c r="B111" s="8">
        <f t="shared" si="16"/>
        <v>1</v>
      </c>
      <c r="C111" s="9">
        <f t="shared" si="14"/>
        <v>40179</v>
      </c>
      <c r="D111" s="8">
        <f t="shared" si="17"/>
        <v>99</v>
      </c>
      <c r="E111" s="14">
        <f>IF(ISNA(VLOOKUP(E$1,'delta-new'!$A$3:$DQ$20,$D111,FALSE)),0,VLOOKUP(E$1,'delta-new'!$A$3:$DQ$20,$D111,FALSE))</f>
        <v>10415.61</v>
      </c>
      <c r="F111" s="14">
        <f>IF(ISNA(VLOOKUP(F$1,'peak-new'!$A$3:$DQ$19,$D111,FALSE)),0,VLOOKUP(F$1,'peak-new'!$A$3:$DQ$19,$D111,FALSE))</f>
        <v>0</v>
      </c>
      <c r="G111" s="14">
        <f>IF(ISNA(VLOOKUP(G$1,'peak-new'!$A$3:$DQ$19,$D111,FALSE)),0,VLOOKUP(G$1,'peak-new'!$A$3:$DQ$19,$D111,FALSE))</f>
        <v>0</v>
      </c>
      <c r="H111" s="14">
        <f>IF(ISNA(VLOOKUP(H$1,'peak-new'!$A$3:$DQ$19,$D111,FALSE)),0,VLOOKUP(H$1,'peak-new'!$A$3:$DQ$19,$D111,FALSE))</f>
        <v>-32000</v>
      </c>
      <c r="I111" s="14">
        <f>IF(ISNA(VLOOKUP(I$1,'peak-new'!$A$3:$DQ$19,$D111,FALSE)),0,VLOOKUP(I$1,'peak-new'!$A$3:$DQ$19,$D111,FALSE))</f>
        <v>0</v>
      </c>
      <c r="J111" s="14">
        <f>IF(ISNA(VLOOKUP(J$1,'peak-new'!$A$3:$DQ$19,$D111,FALSE)),0,VLOOKUP(J$1,'peak-new'!$A$3:$DQ$19,$D111,FALSE))</f>
        <v>0</v>
      </c>
      <c r="K111" s="14">
        <f>IF(ISNA(VLOOKUP(K$1,'peak-new'!$A$3:$DQ$19,$D111,FALSE)),0,VLOOKUP(K$1,'peak-new'!$A$3:$DQ$19,$D111,FALSE))</f>
        <v>0</v>
      </c>
      <c r="L111" s="14">
        <f>IF(ISNA(VLOOKUP(L$1,'peak-new'!$A$3:$DQ$19,$D111,FALSE)),0,VLOOKUP(L$1,'peak-new'!$A$3:$DQ$19,$D111,FALSE))</f>
        <v>0</v>
      </c>
      <c r="M111" s="14">
        <f>IF(ISNA(VLOOKUP(M$1,'peak-new'!$A$3:$DQ$19,$D111,FALSE)),0,VLOOKUP(M$1,'peak-new'!$A$3:$DQ$19,$D111,FALSE))</f>
        <v>0</v>
      </c>
      <c r="N111" s="14">
        <f>IF(ISNA(VLOOKUP(N$1,'peak-new'!$A$3:$DQ$19,$D111,FALSE)),0,VLOOKUP(N$1,'peak-new'!$A$3:$DQ$19,$D111,FALSE))</f>
        <v>0</v>
      </c>
      <c r="O111" s="14">
        <f>IF(ISNA(VLOOKUP(O$1,'peak-new'!$A$3:$DQ$19,$D111,FALSE)),0,VLOOKUP(O$1,'peak-new'!$A$3:$DQ$19,$D111,FALSE))</f>
        <v>0</v>
      </c>
      <c r="P111" s="14">
        <f>IF(ISNA(VLOOKUP(P$1,'peak-new'!$A$3:$DQ$19,$D111,FALSE)),0,VLOOKUP(P$1,'peak-new'!$A$3:$DQ$19,$D111,FALSE))</f>
        <v>0</v>
      </c>
      <c r="Q111" s="15">
        <f>IF(ISNA(VLOOKUP(Q$1,'delta-new'!$A$3:$DQ$20,$D111,FALSE)),0,VLOOKUP(Q$1,'delta-new'!$A$3:$DQ$20,$D111,FALSE))</f>
        <v>0</v>
      </c>
      <c r="R111" s="14">
        <f>IF(ISNA(VLOOKUP(R$1,'peak-new'!$A$3:$DQ$19,$D111,FALSE)),0,VLOOKUP(R$1,'peak-new'!$A$3:$DQ$19,$D111,FALSE))</f>
        <v>0</v>
      </c>
      <c r="S111" s="10"/>
    </row>
    <row r="112" spans="1:19" s="8" customFormat="1" x14ac:dyDescent="0.2">
      <c r="A112" s="8">
        <f t="shared" si="15"/>
        <v>2010</v>
      </c>
      <c r="B112" s="8">
        <f t="shared" si="16"/>
        <v>2</v>
      </c>
      <c r="C112" s="9">
        <f t="shared" si="14"/>
        <v>40210</v>
      </c>
      <c r="D112" s="8">
        <f t="shared" si="17"/>
        <v>100</v>
      </c>
      <c r="E112" s="14">
        <f>IF(ISNA(VLOOKUP(E$1,'delta-new'!$A$3:$DQ$20,$D112,FALSE)),0,VLOOKUP(E$1,'delta-new'!$A$3:$DQ$20,$D112,FALSE))</f>
        <v>10366.11</v>
      </c>
      <c r="F112" s="14">
        <f>IF(ISNA(VLOOKUP(F$1,'peak-new'!$A$3:$DQ$19,$D112,FALSE)),0,VLOOKUP(F$1,'peak-new'!$A$3:$DQ$19,$D112,FALSE))</f>
        <v>0</v>
      </c>
      <c r="G112" s="14">
        <f>IF(ISNA(VLOOKUP(G$1,'peak-new'!$A$3:$DQ$19,$D112,FALSE)),0,VLOOKUP(G$1,'peak-new'!$A$3:$DQ$19,$D112,FALSE))</f>
        <v>0</v>
      </c>
      <c r="H112" s="14">
        <f>IF(ISNA(VLOOKUP(H$1,'peak-new'!$A$3:$DQ$19,$D112,FALSE)),0,VLOOKUP(H$1,'peak-new'!$A$3:$DQ$19,$D112,FALSE))</f>
        <v>-32000</v>
      </c>
      <c r="I112" s="14">
        <f>IF(ISNA(VLOOKUP(I$1,'peak-new'!$A$3:$DQ$19,$D112,FALSE)),0,VLOOKUP(I$1,'peak-new'!$A$3:$DQ$19,$D112,FALSE))</f>
        <v>0</v>
      </c>
      <c r="J112" s="14">
        <f>IF(ISNA(VLOOKUP(J$1,'peak-new'!$A$3:$DQ$19,$D112,FALSE)),0,VLOOKUP(J$1,'peak-new'!$A$3:$DQ$19,$D112,FALSE))</f>
        <v>0</v>
      </c>
      <c r="K112" s="14">
        <f>IF(ISNA(VLOOKUP(K$1,'peak-new'!$A$3:$DQ$19,$D112,FALSE)),0,VLOOKUP(K$1,'peak-new'!$A$3:$DQ$19,$D112,FALSE))</f>
        <v>0</v>
      </c>
      <c r="L112" s="14">
        <f>IF(ISNA(VLOOKUP(L$1,'peak-new'!$A$3:$DQ$19,$D112,FALSE)),0,VLOOKUP(L$1,'peak-new'!$A$3:$DQ$19,$D112,FALSE))</f>
        <v>0</v>
      </c>
      <c r="M112" s="14">
        <f>IF(ISNA(VLOOKUP(M$1,'peak-new'!$A$3:$DQ$19,$D112,FALSE)),0,VLOOKUP(M$1,'peak-new'!$A$3:$DQ$19,$D112,FALSE))</f>
        <v>0</v>
      </c>
      <c r="N112" s="14">
        <f>IF(ISNA(VLOOKUP(N$1,'peak-new'!$A$3:$DQ$19,$D112,FALSE)),0,VLOOKUP(N$1,'peak-new'!$A$3:$DQ$19,$D112,FALSE))</f>
        <v>0</v>
      </c>
      <c r="O112" s="14">
        <f>IF(ISNA(VLOOKUP(O$1,'peak-new'!$A$3:$DQ$19,$D112,FALSE)),0,VLOOKUP(O$1,'peak-new'!$A$3:$DQ$19,$D112,FALSE))</f>
        <v>0</v>
      </c>
      <c r="P112" s="14">
        <f>IF(ISNA(VLOOKUP(P$1,'peak-new'!$A$3:$DQ$19,$D112,FALSE)),0,VLOOKUP(P$1,'peak-new'!$A$3:$DQ$19,$D112,FALSE))</f>
        <v>0</v>
      </c>
      <c r="Q112" s="15">
        <f>IF(ISNA(VLOOKUP(Q$1,'delta-new'!$A$3:$DQ$20,$D112,FALSE)),0,VLOOKUP(Q$1,'delta-new'!$A$3:$DQ$20,$D112,FALSE))</f>
        <v>0</v>
      </c>
      <c r="R112" s="14">
        <f>IF(ISNA(VLOOKUP(R$1,'peak-new'!$A$3:$DQ$19,$D112,FALSE)),0,VLOOKUP(R$1,'peak-new'!$A$3:$DQ$19,$D112,FALSE))</f>
        <v>0</v>
      </c>
      <c r="S112" s="10"/>
    </row>
    <row r="113" spans="1:19" s="8" customFormat="1" x14ac:dyDescent="0.2">
      <c r="A113" s="8">
        <f t="shared" si="15"/>
        <v>2010</v>
      </c>
      <c r="B113" s="8">
        <f t="shared" si="16"/>
        <v>3</v>
      </c>
      <c r="C113" s="9">
        <f t="shared" si="14"/>
        <v>40238</v>
      </c>
      <c r="D113" s="8">
        <f t="shared" si="17"/>
        <v>101</v>
      </c>
      <c r="E113" s="14">
        <f>IF(ISNA(VLOOKUP(E$1,'delta-new'!$A$3:$DQ$20,$D113,FALSE)),0,VLOOKUP(E$1,'delta-new'!$A$3:$DQ$20,$D113,FALSE))</f>
        <v>11858.11</v>
      </c>
      <c r="F113" s="14">
        <f>IF(ISNA(VLOOKUP(F$1,'peak-new'!$A$3:$DQ$19,$D113,FALSE)),0,VLOOKUP(F$1,'peak-new'!$A$3:$DQ$19,$D113,FALSE))</f>
        <v>0</v>
      </c>
      <c r="G113" s="14">
        <f>IF(ISNA(VLOOKUP(G$1,'peak-new'!$A$3:$DQ$19,$D113,FALSE)),0,VLOOKUP(G$1,'peak-new'!$A$3:$DQ$19,$D113,FALSE))</f>
        <v>0</v>
      </c>
      <c r="H113" s="14">
        <f>IF(ISNA(VLOOKUP(H$1,'peak-new'!$A$3:$DQ$19,$D113,FALSE)),0,VLOOKUP(H$1,'peak-new'!$A$3:$DQ$19,$D113,FALSE))</f>
        <v>-36800</v>
      </c>
      <c r="I113" s="14">
        <f>IF(ISNA(VLOOKUP(I$1,'peak-new'!$A$3:$DQ$19,$D113,FALSE)),0,VLOOKUP(I$1,'peak-new'!$A$3:$DQ$19,$D113,FALSE))</f>
        <v>0</v>
      </c>
      <c r="J113" s="14">
        <f>IF(ISNA(VLOOKUP(J$1,'peak-new'!$A$3:$DQ$19,$D113,FALSE)),0,VLOOKUP(J$1,'peak-new'!$A$3:$DQ$19,$D113,FALSE))</f>
        <v>0</v>
      </c>
      <c r="K113" s="14">
        <f>IF(ISNA(VLOOKUP(K$1,'peak-new'!$A$3:$DQ$19,$D113,FALSE)),0,VLOOKUP(K$1,'peak-new'!$A$3:$DQ$19,$D113,FALSE))</f>
        <v>0</v>
      </c>
      <c r="L113" s="14">
        <f>IF(ISNA(VLOOKUP(L$1,'peak-new'!$A$3:$DQ$19,$D113,FALSE)),0,VLOOKUP(L$1,'peak-new'!$A$3:$DQ$19,$D113,FALSE))</f>
        <v>0</v>
      </c>
      <c r="M113" s="14">
        <f>IF(ISNA(VLOOKUP(M$1,'peak-new'!$A$3:$DQ$19,$D113,FALSE)),0,VLOOKUP(M$1,'peak-new'!$A$3:$DQ$19,$D113,FALSE))</f>
        <v>0</v>
      </c>
      <c r="N113" s="14">
        <f>IF(ISNA(VLOOKUP(N$1,'peak-new'!$A$3:$DQ$19,$D113,FALSE)),0,VLOOKUP(N$1,'peak-new'!$A$3:$DQ$19,$D113,FALSE))</f>
        <v>0</v>
      </c>
      <c r="O113" s="14">
        <f>IF(ISNA(VLOOKUP(O$1,'peak-new'!$A$3:$DQ$19,$D113,FALSE)),0,VLOOKUP(O$1,'peak-new'!$A$3:$DQ$19,$D113,FALSE))</f>
        <v>0</v>
      </c>
      <c r="P113" s="14">
        <f>IF(ISNA(VLOOKUP(P$1,'peak-new'!$A$3:$DQ$19,$D113,FALSE)),0,VLOOKUP(P$1,'peak-new'!$A$3:$DQ$19,$D113,FALSE))</f>
        <v>0</v>
      </c>
      <c r="Q113" s="15">
        <f>IF(ISNA(VLOOKUP(Q$1,'delta-new'!$A$3:$DQ$20,$D113,FALSE)),0,VLOOKUP(Q$1,'delta-new'!$A$3:$DQ$20,$D113,FALSE))</f>
        <v>0</v>
      </c>
      <c r="R113" s="14">
        <f>IF(ISNA(VLOOKUP(R$1,'peak-new'!$A$3:$DQ$19,$D113,FALSE)),0,VLOOKUP(R$1,'peak-new'!$A$3:$DQ$19,$D113,FALSE))</f>
        <v>0</v>
      </c>
      <c r="S113" s="10"/>
    </row>
    <row r="114" spans="1:19" s="8" customFormat="1" x14ac:dyDescent="0.2">
      <c r="A114" s="8">
        <f t="shared" si="15"/>
        <v>2010</v>
      </c>
      <c r="B114" s="8">
        <f t="shared" si="16"/>
        <v>4</v>
      </c>
      <c r="C114" s="9">
        <f t="shared" si="14"/>
        <v>40269</v>
      </c>
      <c r="D114" s="8">
        <f t="shared" si="17"/>
        <v>102</v>
      </c>
      <c r="E114" s="14">
        <f>IF(ISNA(VLOOKUP(E$1,'delta-new'!$A$3:$DQ$20,$D114,FALSE)),0,VLOOKUP(E$1,'delta-new'!$A$3:$DQ$20,$D114,FALSE))</f>
        <v>11284.43</v>
      </c>
      <c r="F114" s="14">
        <f>IF(ISNA(VLOOKUP(F$1,'peak-new'!$A$3:$DQ$19,$D114,FALSE)),0,VLOOKUP(F$1,'peak-new'!$A$3:$DQ$19,$D114,FALSE))</f>
        <v>0</v>
      </c>
      <c r="G114" s="14">
        <f>IF(ISNA(VLOOKUP(G$1,'peak-new'!$A$3:$DQ$19,$D114,FALSE)),0,VLOOKUP(G$1,'peak-new'!$A$3:$DQ$19,$D114,FALSE))</f>
        <v>0</v>
      </c>
      <c r="H114" s="14">
        <f>IF(ISNA(VLOOKUP(H$1,'peak-new'!$A$3:$DQ$19,$D114,FALSE)),0,VLOOKUP(H$1,'peak-new'!$A$3:$DQ$19,$D114,FALSE))</f>
        <v>-35200</v>
      </c>
      <c r="I114" s="14">
        <f>IF(ISNA(VLOOKUP(I$1,'peak-new'!$A$3:$DQ$19,$D114,FALSE)),0,VLOOKUP(I$1,'peak-new'!$A$3:$DQ$19,$D114,FALSE))</f>
        <v>0</v>
      </c>
      <c r="J114" s="14">
        <f>IF(ISNA(VLOOKUP(J$1,'peak-new'!$A$3:$DQ$19,$D114,FALSE)),0,VLOOKUP(J$1,'peak-new'!$A$3:$DQ$19,$D114,FALSE))</f>
        <v>0</v>
      </c>
      <c r="K114" s="14">
        <f>IF(ISNA(VLOOKUP(K$1,'peak-new'!$A$3:$DQ$19,$D114,FALSE)),0,VLOOKUP(K$1,'peak-new'!$A$3:$DQ$19,$D114,FALSE))</f>
        <v>0</v>
      </c>
      <c r="L114" s="14">
        <f>IF(ISNA(VLOOKUP(L$1,'peak-new'!$A$3:$DQ$19,$D114,FALSE)),0,VLOOKUP(L$1,'peak-new'!$A$3:$DQ$19,$D114,FALSE))</f>
        <v>0</v>
      </c>
      <c r="M114" s="14">
        <f>IF(ISNA(VLOOKUP(M$1,'peak-new'!$A$3:$DQ$19,$D114,FALSE)),0,VLOOKUP(M$1,'peak-new'!$A$3:$DQ$19,$D114,FALSE))</f>
        <v>0</v>
      </c>
      <c r="N114" s="14">
        <f>IF(ISNA(VLOOKUP(N$1,'peak-new'!$A$3:$DQ$19,$D114,FALSE)),0,VLOOKUP(N$1,'peak-new'!$A$3:$DQ$19,$D114,FALSE))</f>
        <v>0</v>
      </c>
      <c r="O114" s="14">
        <f>IF(ISNA(VLOOKUP(O$1,'peak-new'!$A$3:$DQ$19,$D114,FALSE)),0,VLOOKUP(O$1,'peak-new'!$A$3:$DQ$19,$D114,FALSE))</f>
        <v>0</v>
      </c>
      <c r="P114" s="14">
        <f>IF(ISNA(VLOOKUP(P$1,'peak-new'!$A$3:$DQ$19,$D114,FALSE)),0,VLOOKUP(P$1,'peak-new'!$A$3:$DQ$19,$D114,FALSE))</f>
        <v>0</v>
      </c>
      <c r="Q114" s="15">
        <f>IF(ISNA(VLOOKUP(Q$1,'delta-new'!$A$3:$DQ$20,$D114,FALSE)),0,VLOOKUP(Q$1,'delta-new'!$A$3:$DQ$20,$D114,FALSE))</f>
        <v>0</v>
      </c>
      <c r="R114" s="14">
        <f>IF(ISNA(VLOOKUP(R$1,'peak-new'!$A$3:$DQ$19,$D114,FALSE)),0,VLOOKUP(R$1,'peak-new'!$A$3:$DQ$19,$D114,FALSE))</f>
        <v>0</v>
      </c>
      <c r="S114" s="10"/>
    </row>
    <row r="115" spans="1:19" s="8" customFormat="1" x14ac:dyDescent="0.2">
      <c r="A115" s="8">
        <f t="shared" si="15"/>
        <v>2010</v>
      </c>
      <c r="B115" s="8">
        <f t="shared" si="16"/>
        <v>5</v>
      </c>
      <c r="C115" s="9">
        <f t="shared" si="14"/>
        <v>40299</v>
      </c>
      <c r="D115" s="8">
        <f t="shared" si="17"/>
        <v>103</v>
      </c>
      <c r="E115" s="14">
        <f>IF(ISNA(VLOOKUP(E$1,'delta-new'!$A$3:$DQ$20,$D115,FALSE)),0,VLOOKUP(E$1,'delta-new'!$A$3:$DQ$20,$D115,FALSE))</f>
        <v>10204.09</v>
      </c>
      <c r="F115" s="14">
        <f>IF(ISNA(VLOOKUP(F$1,'peak-new'!$A$3:$DQ$19,$D115,FALSE)),0,VLOOKUP(F$1,'peak-new'!$A$3:$DQ$19,$D115,FALSE))</f>
        <v>0</v>
      </c>
      <c r="G115" s="14">
        <f>IF(ISNA(VLOOKUP(G$1,'peak-new'!$A$3:$DQ$19,$D115,FALSE)),0,VLOOKUP(G$1,'peak-new'!$A$3:$DQ$19,$D115,FALSE))</f>
        <v>0</v>
      </c>
      <c r="H115" s="14">
        <f>IF(ISNA(VLOOKUP(H$1,'peak-new'!$A$3:$DQ$19,$D115,FALSE)),0,VLOOKUP(H$1,'peak-new'!$A$3:$DQ$19,$D115,FALSE))</f>
        <v>-32000</v>
      </c>
      <c r="I115" s="14">
        <f>IF(ISNA(VLOOKUP(I$1,'peak-new'!$A$3:$DQ$19,$D115,FALSE)),0,VLOOKUP(I$1,'peak-new'!$A$3:$DQ$19,$D115,FALSE))</f>
        <v>0</v>
      </c>
      <c r="J115" s="14">
        <f>IF(ISNA(VLOOKUP(J$1,'peak-new'!$A$3:$DQ$19,$D115,FALSE)),0,VLOOKUP(J$1,'peak-new'!$A$3:$DQ$19,$D115,FALSE))</f>
        <v>0</v>
      </c>
      <c r="K115" s="14">
        <f>IF(ISNA(VLOOKUP(K$1,'peak-new'!$A$3:$DQ$19,$D115,FALSE)),0,VLOOKUP(K$1,'peak-new'!$A$3:$DQ$19,$D115,FALSE))</f>
        <v>0</v>
      </c>
      <c r="L115" s="14">
        <f>IF(ISNA(VLOOKUP(L$1,'peak-new'!$A$3:$DQ$19,$D115,FALSE)),0,VLOOKUP(L$1,'peak-new'!$A$3:$DQ$19,$D115,FALSE))</f>
        <v>0</v>
      </c>
      <c r="M115" s="14">
        <f>IF(ISNA(VLOOKUP(M$1,'peak-new'!$A$3:$DQ$19,$D115,FALSE)),0,VLOOKUP(M$1,'peak-new'!$A$3:$DQ$19,$D115,FALSE))</f>
        <v>0</v>
      </c>
      <c r="N115" s="14">
        <f>IF(ISNA(VLOOKUP(N$1,'peak-new'!$A$3:$DQ$19,$D115,FALSE)),0,VLOOKUP(N$1,'peak-new'!$A$3:$DQ$19,$D115,FALSE))</f>
        <v>0</v>
      </c>
      <c r="O115" s="14">
        <f>IF(ISNA(VLOOKUP(O$1,'peak-new'!$A$3:$DQ$19,$D115,FALSE)),0,VLOOKUP(O$1,'peak-new'!$A$3:$DQ$19,$D115,FALSE))</f>
        <v>0</v>
      </c>
      <c r="P115" s="14">
        <f>IF(ISNA(VLOOKUP(P$1,'peak-new'!$A$3:$DQ$19,$D115,FALSE)),0,VLOOKUP(P$1,'peak-new'!$A$3:$DQ$19,$D115,FALSE))</f>
        <v>0</v>
      </c>
      <c r="Q115" s="15">
        <f>IF(ISNA(VLOOKUP(Q$1,'delta-new'!$A$3:$DQ$20,$D115,FALSE)),0,VLOOKUP(Q$1,'delta-new'!$A$3:$DQ$20,$D115,FALSE))</f>
        <v>0</v>
      </c>
      <c r="R115" s="14">
        <f>IF(ISNA(VLOOKUP(R$1,'peak-new'!$A$3:$DQ$19,$D115,FALSE)),0,VLOOKUP(R$1,'peak-new'!$A$3:$DQ$19,$D115,FALSE))</f>
        <v>0</v>
      </c>
      <c r="S115" s="10"/>
    </row>
    <row r="116" spans="1:19" s="8" customFormat="1" x14ac:dyDescent="0.2">
      <c r="A116" s="8">
        <f t="shared" si="15"/>
        <v>2010</v>
      </c>
      <c r="B116" s="8">
        <f t="shared" si="16"/>
        <v>6</v>
      </c>
      <c r="C116" s="9">
        <f t="shared" si="14"/>
        <v>40330</v>
      </c>
      <c r="D116" s="8">
        <f t="shared" si="17"/>
        <v>104</v>
      </c>
      <c r="E116" s="14">
        <f>IF(ISNA(VLOOKUP(E$1,'delta-new'!$A$3:$DQ$20,$D116,FALSE)),0,VLOOKUP(E$1,'delta-new'!$A$3:$DQ$20,$D116,FALSE))</f>
        <v>11166.62</v>
      </c>
      <c r="F116" s="14">
        <f>IF(ISNA(VLOOKUP(F$1,'peak-new'!$A$3:$DQ$19,$D116,FALSE)),0,VLOOKUP(F$1,'peak-new'!$A$3:$DQ$19,$D116,FALSE))</f>
        <v>0</v>
      </c>
      <c r="G116" s="14">
        <f>IF(ISNA(VLOOKUP(G$1,'peak-new'!$A$3:$DQ$19,$D116,FALSE)),0,VLOOKUP(G$1,'peak-new'!$A$3:$DQ$19,$D116,FALSE))</f>
        <v>0</v>
      </c>
      <c r="H116" s="14">
        <f>IF(ISNA(VLOOKUP(H$1,'peak-new'!$A$3:$DQ$19,$D116,FALSE)),0,VLOOKUP(H$1,'peak-new'!$A$3:$DQ$19,$D116,FALSE))</f>
        <v>-35200</v>
      </c>
      <c r="I116" s="14">
        <f>IF(ISNA(VLOOKUP(I$1,'peak-new'!$A$3:$DQ$19,$D116,FALSE)),0,VLOOKUP(I$1,'peak-new'!$A$3:$DQ$19,$D116,FALSE))</f>
        <v>0</v>
      </c>
      <c r="J116" s="14">
        <f>IF(ISNA(VLOOKUP(J$1,'peak-new'!$A$3:$DQ$19,$D116,FALSE)),0,VLOOKUP(J$1,'peak-new'!$A$3:$DQ$19,$D116,FALSE))</f>
        <v>0</v>
      </c>
      <c r="K116" s="14">
        <f>IF(ISNA(VLOOKUP(K$1,'peak-new'!$A$3:$DQ$19,$D116,FALSE)),0,VLOOKUP(K$1,'peak-new'!$A$3:$DQ$19,$D116,FALSE))</f>
        <v>0</v>
      </c>
      <c r="L116" s="14">
        <f>IF(ISNA(VLOOKUP(L$1,'peak-new'!$A$3:$DQ$19,$D116,FALSE)),0,VLOOKUP(L$1,'peak-new'!$A$3:$DQ$19,$D116,FALSE))</f>
        <v>0</v>
      </c>
      <c r="M116" s="14">
        <f>IF(ISNA(VLOOKUP(M$1,'peak-new'!$A$3:$DQ$19,$D116,FALSE)),0,VLOOKUP(M$1,'peak-new'!$A$3:$DQ$19,$D116,FALSE))</f>
        <v>0</v>
      </c>
      <c r="N116" s="14">
        <f>IF(ISNA(VLOOKUP(N$1,'peak-new'!$A$3:$DQ$19,$D116,FALSE)),0,VLOOKUP(N$1,'peak-new'!$A$3:$DQ$19,$D116,FALSE))</f>
        <v>0</v>
      </c>
      <c r="O116" s="14">
        <f>IF(ISNA(VLOOKUP(O$1,'peak-new'!$A$3:$DQ$19,$D116,FALSE)),0,VLOOKUP(O$1,'peak-new'!$A$3:$DQ$19,$D116,FALSE))</f>
        <v>0</v>
      </c>
      <c r="P116" s="14">
        <f>IF(ISNA(VLOOKUP(P$1,'peak-new'!$A$3:$DQ$19,$D116,FALSE)),0,VLOOKUP(P$1,'peak-new'!$A$3:$DQ$19,$D116,FALSE))</f>
        <v>0</v>
      </c>
      <c r="Q116" s="15">
        <f>IF(ISNA(VLOOKUP(Q$1,'delta-new'!$A$3:$DQ$20,$D116,FALSE)),0,VLOOKUP(Q$1,'delta-new'!$A$3:$DQ$20,$D116,FALSE))</f>
        <v>0</v>
      </c>
      <c r="R116" s="14">
        <f>IF(ISNA(VLOOKUP(R$1,'peak-new'!$A$3:$DQ$19,$D116,FALSE)),0,VLOOKUP(R$1,'peak-new'!$A$3:$DQ$19,$D116,FALSE))</f>
        <v>0</v>
      </c>
      <c r="S116" s="10"/>
    </row>
    <row r="117" spans="1:19" s="8" customFormat="1" x14ac:dyDescent="0.2">
      <c r="A117" s="8">
        <f t="shared" si="15"/>
        <v>2010</v>
      </c>
      <c r="B117" s="8">
        <f t="shared" si="16"/>
        <v>7</v>
      </c>
      <c r="C117" s="9">
        <f t="shared" si="14"/>
        <v>40360</v>
      </c>
      <c r="D117" s="8">
        <f t="shared" si="17"/>
        <v>105</v>
      </c>
      <c r="E117" s="14">
        <f>IF(ISNA(VLOOKUP(E$1,'delta-new'!$A$3:$DQ$20,$D117,FALSE)),0,VLOOKUP(E$1,'delta-new'!$A$3:$DQ$20,$D117,FALSE))</f>
        <v>10602.09</v>
      </c>
      <c r="F117" s="14">
        <f>IF(ISNA(VLOOKUP(F$1,'peak-new'!$A$3:$DQ$19,$D117,FALSE)),0,VLOOKUP(F$1,'peak-new'!$A$3:$DQ$19,$D117,FALSE))</f>
        <v>0</v>
      </c>
      <c r="G117" s="14">
        <f>IF(ISNA(VLOOKUP(G$1,'peak-new'!$A$3:$DQ$19,$D117,FALSE)),0,VLOOKUP(G$1,'peak-new'!$A$3:$DQ$19,$D117,FALSE))</f>
        <v>0</v>
      </c>
      <c r="H117" s="14">
        <f>IF(ISNA(VLOOKUP(H$1,'peak-new'!$A$3:$DQ$19,$D117,FALSE)),0,VLOOKUP(H$1,'peak-new'!$A$3:$DQ$19,$D117,FALSE))</f>
        <v>-33600</v>
      </c>
      <c r="I117" s="14">
        <f>IF(ISNA(VLOOKUP(I$1,'peak-new'!$A$3:$DQ$19,$D117,FALSE)),0,VLOOKUP(I$1,'peak-new'!$A$3:$DQ$19,$D117,FALSE))</f>
        <v>0</v>
      </c>
      <c r="J117" s="14">
        <f>IF(ISNA(VLOOKUP(J$1,'peak-new'!$A$3:$DQ$19,$D117,FALSE)),0,VLOOKUP(J$1,'peak-new'!$A$3:$DQ$19,$D117,FALSE))</f>
        <v>0</v>
      </c>
      <c r="K117" s="14">
        <f>IF(ISNA(VLOOKUP(K$1,'peak-new'!$A$3:$DQ$19,$D117,FALSE)),0,VLOOKUP(K$1,'peak-new'!$A$3:$DQ$19,$D117,FALSE))</f>
        <v>0</v>
      </c>
      <c r="L117" s="14">
        <f>IF(ISNA(VLOOKUP(L$1,'peak-new'!$A$3:$DQ$19,$D117,FALSE)),0,VLOOKUP(L$1,'peak-new'!$A$3:$DQ$19,$D117,FALSE))</f>
        <v>0</v>
      </c>
      <c r="M117" s="14">
        <f>IF(ISNA(VLOOKUP(M$1,'peak-new'!$A$3:$DQ$19,$D117,FALSE)),0,VLOOKUP(M$1,'peak-new'!$A$3:$DQ$19,$D117,FALSE))</f>
        <v>0</v>
      </c>
      <c r="N117" s="14">
        <f>IF(ISNA(VLOOKUP(N$1,'peak-new'!$A$3:$DQ$19,$D117,FALSE)),0,VLOOKUP(N$1,'peak-new'!$A$3:$DQ$19,$D117,FALSE))</f>
        <v>0</v>
      </c>
      <c r="O117" s="14">
        <f>IF(ISNA(VLOOKUP(O$1,'peak-new'!$A$3:$DQ$19,$D117,FALSE)),0,VLOOKUP(O$1,'peak-new'!$A$3:$DQ$19,$D117,FALSE))</f>
        <v>0</v>
      </c>
      <c r="P117" s="14">
        <f>IF(ISNA(VLOOKUP(P$1,'peak-new'!$A$3:$DQ$19,$D117,FALSE)),0,VLOOKUP(P$1,'peak-new'!$A$3:$DQ$19,$D117,FALSE))</f>
        <v>0</v>
      </c>
      <c r="Q117" s="15">
        <f>IF(ISNA(VLOOKUP(Q$1,'delta-new'!$A$3:$DQ$20,$D117,FALSE)),0,VLOOKUP(Q$1,'delta-new'!$A$3:$DQ$20,$D117,FALSE))</f>
        <v>0</v>
      </c>
      <c r="R117" s="14">
        <f>IF(ISNA(VLOOKUP(R$1,'peak-new'!$A$3:$DQ$19,$D117,FALSE)),0,VLOOKUP(R$1,'peak-new'!$A$3:$DQ$19,$D117,FALSE))</f>
        <v>0</v>
      </c>
      <c r="S117" s="10"/>
    </row>
    <row r="118" spans="1:19" s="8" customFormat="1" x14ac:dyDescent="0.2">
      <c r="A118" s="8">
        <f t="shared" si="15"/>
        <v>2010</v>
      </c>
      <c r="B118" s="8">
        <f t="shared" si="16"/>
        <v>8</v>
      </c>
      <c r="C118" s="9">
        <f t="shared" si="14"/>
        <v>40391</v>
      </c>
      <c r="D118" s="8">
        <f t="shared" si="17"/>
        <v>106</v>
      </c>
      <c r="E118" s="14">
        <f>IF(ISNA(VLOOKUP(E$1,'delta-new'!$A$3:$DQ$20,$D118,FALSE)),0,VLOOKUP(E$1,'delta-new'!$A$3:$DQ$20,$D118,FALSE))</f>
        <v>11047.4</v>
      </c>
      <c r="F118" s="14">
        <f>IF(ISNA(VLOOKUP(F$1,'peak-new'!$A$3:$DQ$19,$D118,FALSE)),0,VLOOKUP(F$1,'peak-new'!$A$3:$DQ$19,$D118,FALSE))</f>
        <v>0</v>
      </c>
      <c r="G118" s="14">
        <f>IF(ISNA(VLOOKUP(G$1,'peak-new'!$A$3:$DQ$19,$D118,FALSE)),0,VLOOKUP(G$1,'peak-new'!$A$3:$DQ$19,$D118,FALSE))</f>
        <v>0</v>
      </c>
      <c r="H118" s="14">
        <f>IF(ISNA(VLOOKUP(H$1,'peak-new'!$A$3:$DQ$19,$D118,FALSE)),0,VLOOKUP(H$1,'peak-new'!$A$3:$DQ$19,$D118,FALSE))</f>
        <v>-35200</v>
      </c>
      <c r="I118" s="14">
        <f>IF(ISNA(VLOOKUP(I$1,'peak-new'!$A$3:$DQ$19,$D118,FALSE)),0,VLOOKUP(I$1,'peak-new'!$A$3:$DQ$19,$D118,FALSE))</f>
        <v>0</v>
      </c>
      <c r="J118" s="14">
        <f>IF(ISNA(VLOOKUP(J$1,'peak-new'!$A$3:$DQ$19,$D118,FALSE)),0,VLOOKUP(J$1,'peak-new'!$A$3:$DQ$19,$D118,FALSE))</f>
        <v>0</v>
      </c>
      <c r="K118" s="14">
        <f>IF(ISNA(VLOOKUP(K$1,'peak-new'!$A$3:$DQ$19,$D118,FALSE)),0,VLOOKUP(K$1,'peak-new'!$A$3:$DQ$19,$D118,FALSE))</f>
        <v>0</v>
      </c>
      <c r="L118" s="14">
        <f>IF(ISNA(VLOOKUP(L$1,'peak-new'!$A$3:$DQ$19,$D118,FALSE)),0,VLOOKUP(L$1,'peak-new'!$A$3:$DQ$19,$D118,FALSE))</f>
        <v>0</v>
      </c>
      <c r="M118" s="14">
        <f>IF(ISNA(VLOOKUP(M$1,'peak-new'!$A$3:$DQ$19,$D118,FALSE)),0,VLOOKUP(M$1,'peak-new'!$A$3:$DQ$19,$D118,FALSE))</f>
        <v>0</v>
      </c>
      <c r="N118" s="14">
        <f>IF(ISNA(VLOOKUP(N$1,'peak-new'!$A$3:$DQ$19,$D118,FALSE)),0,VLOOKUP(N$1,'peak-new'!$A$3:$DQ$19,$D118,FALSE))</f>
        <v>0</v>
      </c>
      <c r="O118" s="14">
        <f>IF(ISNA(VLOOKUP(O$1,'peak-new'!$A$3:$DQ$19,$D118,FALSE)),0,VLOOKUP(O$1,'peak-new'!$A$3:$DQ$19,$D118,FALSE))</f>
        <v>0</v>
      </c>
      <c r="P118" s="14">
        <f>IF(ISNA(VLOOKUP(P$1,'peak-new'!$A$3:$DQ$19,$D118,FALSE)),0,VLOOKUP(P$1,'peak-new'!$A$3:$DQ$19,$D118,FALSE))</f>
        <v>0</v>
      </c>
      <c r="Q118" s="15">
        <f>IF(ISNA(VLOOKUP(Q$1,'delta-new'!$A$3:$DQ$20,$D118,FALSE)),0,VLOOKUP(Q$1,'delta-new'!$A$3:$DQ$20,$D118,FALSE))</f>
        <v>0</v>
      </c>
      <c r="R118" s="14">
        <f>IF(ISNA(VLOOKUP(R$1,'peak-new'!$A$3:$DQ$19,$D118,FALSE)),0,VLOOKUP(R$1,'peak-new'!$A$3:$DQ$19,$D118,FALSE))</f>
        <v>0</v>
      </c>
      <c r="S118" s="10"/>
    </row>
    <row r="119" spans="1:19" s="8" customFormat="1" x14ac:dyDescent="0.2">
      <c r="A119" s="8">
        <f t="shared" si="15"/>
        <v>2010</v>
      </c>
      <c r="B119" s="8">
        <f t="shared" si="16"/>
        <v>9</v>
      </c>
      <c r="C119" s="9">
        <f t="shared" si="14"/>
        <v>40422</v>
      </c>
      <c r="D119" s="8">
        <f t="shared" si="17"/>
        <v>107</v>
      </c>
      <c r="E119" s="14">
        <f>IF(ISNA(VLOOKUP(E$1,'delta-new'!$A$3:$DQ$20,$D119,FALSE)),0,VLOOKUP(E$1,'delta-new'!$A$3:$DQ$20,$D119,FALSE))</f>
        <v>10490.35</v>
      </c>
      <c r="F119" s="14">
        <f>IF(ISNA(VLOOKUP(F$1,'peak-new'!$A$3:$DQ$19,$D119,FALSE)),0,VLOOKUP(F$1,'peak-new'!$A$3:$DQ$19,$D119,FALSE))</f>
        <v>0</v>
      </c>
      <c r="G119" s="14">
        <f>IF(ISNA(VLOOKUP(G$1,'peak-new'!$A$3:$DQ$19,$D119,FALSE)),0,VLOOKUP(G$1,'peak-new'!$A$3:$DQ$19,$D119,FALSE))</f>
        <v>0</v>
      </c>
      <c r="H119" s="14">
        <f>IF(ISNA(VLOOKUP(H$1,'peak-new'!$A$3:$DQ$19,$D119,FALSE)),0,VLOOKUP(H$1,'peak-new'!$A$3:$DQ$19,$D119,FALSE))</f>
        <v>-33600</v>
      </c>
      <c r="I119" s="14">
        <f>IF(ISNA(VLOOKUP(I$1,'peak-new'!$A$3:$DQ$19,$D119,FALSE)),0,VLOOKUP(I$1,'peak-new'!$A$3:$DQ$19,$D119,FALSE))</f>
        <v>0</v>
      </c>
      <c r="J119" s="14">
        <f>IF(ISNA(VLOOKUP(J$1,'peak-new'!$A$3:$DQ$19,$D119,FALSE)),0,VLOOKUP(J$1,'peak-new'!$A$3:$DQ$19,$D119,FALSE))</f>
        <v>0</v>
      </c>
      <c r="K119" s="14">
        <f>IF(ISNA(VLOOKUP(K$1,'peak-new'!$A$3:$DQ$19,$D119,FALSE)),0,VLOOKUP(K$1,'peak-new'!$A$3:$DQ$19,$D119,FALSE))</f>
        <v>0</v>
      </c>
      <c r="L119" s="14">
        <f>IF(ISNA(VLOOKUP(L$1,'peak-new'!$A$3:$DQ$19,$D119,FALSE)),0,VLOOKUP(L$1,'peak-new'!$A$3:$DQ$19,$D119,FALSE))</f>
        <v>0</v>
      </c>
      <c r="M119" s="14">
        <f>IF(ISNA(VLOOKUP(M$1,'peak-new'!$A$3:$DQ$19,$D119,FALSE)),0,VLOOKUP(M$1,'peak-new'!$A$3:$DQ$19,$D119,FALSE))</f>
        <v>0</v>
      </c>
      <c r="N119" s="14">
        <f>IF(ISNA(VLOOKUP(N$1,'peak-new'!$A$3:$DQ$19,$D119,FALSE)),0,VLOOKUP(N$1,'peak-new'!$A$3:$DQ$19,$D119,FALSE))</f>
        <v>0</v>
      </c>
      <c r="O119" s="14">
        <f>IF(ISNA(VLOOKUP(O$1,'peak-new'!$A$3:$DQ$19,$D119,FALSE)),0,VLOOKUP(O$1,'peak-new'!$A$3:$DQ$19,$D119,FALSE))</f>
        <v>0</v>
      </c>
      <c r="P119" s="14">
        <f>IF(ISNA(VLOOKUP(P$1,'peak-new'!$A$3:$DQ$19,$D119,FALSE)),0,VLOOKUP(P$1,'peak-new'!$A$3:$DQ$19,$D119,FALSE))</f>
        <v>0</v>
      </c>
      <c r="Q119" s="15">
        <f>IF(ISNA(VLOOKUP(Q$1,'delta-new'!$A$3:$DQ$20,$D119,FALSE)),0,VLOOKUP(Q$1,'delta-new'!$A$3:$DQ$20,$D119,FALSE))</f>
        <v>0</v>
      </c>
      <c r="R119" s="14">
        <f>IF(ISNA(VLOOKUP(R$1,'peak-new'!$A$3:$DQ$19,$D119,FALSE)),0,VLOOKUP(R$1,'peak-new'!$A$3:$DQ$19,$D119,FALSE))</f>
        <v>0</v>
      </c>
      <c r="S119" s="10"/>
    </row>
    <row r="120" spans="1:19" s="8" customFormat="1" x14ac:dyDescent="0.2">
      <c r="A120" s="8">
        <f t="shared" si="15"/>
        <v>2010</v>
      </c>
      <c r="B120" s="8">
        <f t="shared" si="16"/>
        <v>10</v>
      </c>
      <c r="C120" s="9">
        <f t="shared" si="14"/>
        <v>40452</v>
      </c>
      <c r="D120" s="8">
        <f t="shared" si="17"/>
        <v>108</v>
      </c>
      <c r="E120" s="14">
        <f>IF(ISNA(VLOOKUP(E$1,'delta-new'!$A$3:$DQ$20,$D120,FALSE)),0,VLOOKUP(E$1,'delta-new'!$A$3:$DQ$20,$D120,FALSE))</f>
        <v>10433.76</v>
      </c>
      <c r="F120" s="14">
        <f>IF(ISNA(VLOOKUP(F$1,'peak-new'!$A$3:$DQ$19,$D120,FALSE)),0,VLOOKUP(F$1,'peak-new'!$A$3:$DQ$19,$D120,FALSE))</f>
        <v>0</v>
      </c>
      <c r="G120" s="14">
        <f>IF(ISNA(VLOOKUP(G$1,'peak-new'!$A$3:$DQ$19,$D120,FALSE)),0,VLOOKUP(G$1,'peak-new'!$A$3:$DQ$19,$D120,FALSE))</f>
        <v>0</v>
      </c>
      <c r="H120" s="14">
        <f>IF(ISNA(VLOOKUP(H$1,'peak-new'!$A$3:$DQ$19,$D120,FALSE)),0,VLOOKUP(H$1,'peak-new'!$A$3:$DQ$19,$D120,FALSE))</f>
        <v>-33600</v>
      </c>
      <c r="I120" s="14">
        <f>IF(ISNA(VLOOKUP(I$1,'peak-new'!$A$3:$DQ$19,$D120,FALSE)),0,VLOOKUP(I$1,'peak-new'!$A$3:$DQ$19,$D120,FALSE))</f>
        <v>0</v>
      </c>
      <c r="J120" s="14">
        <f>IF(ISNA(VLOOKUP(J$1,'peak-new'!$A$3:$DQ$19,$D120,FALSE)),0,VLOOKUP(J$1,'peak-new'!$A$3:$DQ$19,$D120,FALSE))</f>
        <v>0</v>
      </c>
      <c r="K120" s="14">
        <f>IF(ISNA(VLOOKUP(K$1,'peak-new'!$A$3:$DQ$19,$D120,FALSE)),0,VLOOKUP(K$1,'peak-new'!$A$3:$DQ$19,$D120,FALSE))</f>
        <v>0</v>
      </c>
      <c r="L120" s="14">
        <f>IF(ISNA(VLOOKUP(L$1,'peak-new'!$A$3:$DQ$19,$D120,FALSE)),0,VLOOKUP(L$1,'peak-new'!$A$3:$DQ$19,$D120,FALSE))</f>
        <v>0</v>
      </c>
      <c r="M120" s="14">
        <f>IF(ISNA(VLOOKUP(M$1,'peak-new'!$A$3:$DQ$19,$D120,FALSE)),0,VLOOKUP(M$1,'peak-new'!$A$3:$DQ$19,$D120,FALSE))</f>
        <v>0</v>
      </c>
      <c r="N120" s="14">
        <f>IF(ISNA(VLOOKUP(N$1,'peak-new'!$A$3:$DQ$19,$D120,FALSE)),0,VLOOKUP(N$1,'peak-new'!$A$3:$DQ$19,$D120,FALSE))</f>
        <v>0</v>
      </c>
      <c r="O120" s="14">
        <f>IF(ISNA(VLOOKUP(O$1,'peak-new'!$A$3:$DQ$19,$D120,FALSE)),0,VLOOKUP(O$1,'peak-new'!$A$3:$DQ$19,$D120,FALSE))</f>
        <v>0</v>
      </c>
      <c r="P120" s="14">
        <f>IF(ISNA(VLOOKUP(P$1,'peak-new'!$A$3:$DQ$19,$D120,FALSE)),0,VLOOKUP(P$1,'peak-new'!$A$3:$DQ$19,$D120,FALSE))</f>
        <v>0</v>
      </c>
      <c r="Q120" s="15">
        <f>IF(ISNA(VLOOKUP(Q$1,'delta-new'!$A$3:$DQ$20,$D120,FALSE)),0,VLOOKUP(Q$1,'delta-new'!$A$3:$DQ$20,$D120,FALSE))</f>
        <v>0</v>
      </c>
      <c r="R120" s="14">
        <f>IF(ISNA(VLOOKUP(R$1,'peak-new'!$A$3:$DQ$19,$D120,FALSE)),0,VLOOKUP(R$1,'peak-new'!$A$3:$DQ$19,$D120,FALSE))</f>
        <v>0</v>
      </c>
      <c r="S120" s="10"/>
    </row>
    <row r="121" spans="1:19" s="8" customFormat="1" x14ac:dyDescent="0.2">
      <c r="A121" s="8">
        <f t="shared" si="15"/>
        <v>2010</v>
      </c>
      <c r="B121" s="8">
        <f t="shared" si="16"/>
        <v>11</v>
      </c>
      <c r="C121" s="9">
        <f t="shared" si="14"/>
        <v>40483</v>
      </c>
      <c r="D121" s="8">
        <f t="shared" si="17"/>
        <v>109</v>
      </c>
      <c r="E121" s="14">
        <f>IF(ISNA(VLOOKUP(E$1,'delta-new'!$A$3:$DQ$20,$D121,FALSE)),0,VLOOKUP(E$1,'delta-new'!$A$3:$DQ$20,$D121,FALSE))</f>
        <v>10379.11</v>
      </c>
      <c r="F121" s="14">
        <f>IF(ISNA(VLOOKUP(F$1,'peak-new'!$A$3:$DQ$19,$D121,FALSE)),0,VLOOKUP(F$1,'peak-new'!$A$3:$DQ$19,$D121,FALSE))</f>
        <v>0</v>
      </c>
      <c r="G121" s="14">
        <f>IF(ISNA(VLOOKUP(G$1,'peak-new'!$A$3:$DQ$19,$D121,FALSE)),0,VLOOKUP(G$1,'peak-new'!$A$3:$DQ$19,$D121,FALSE))</f>
        <v>0</v>
      </c>
      <c r="H121" s="14">
        <f>IF(ISNA(VLOOKUP(H$1,'peak-new'!$A$3:$DQ$19,$D121,FALSE)),0,VLOOKUP(H$1,'peak-new'!$A$3:$DQ$19,$D121,FALSE))</f>
        <v>-33600</v>
      </c>
      <c r="I121" s="14">
        <f>IF(ISNA(VLOOKUP(I$1,'peak-new'!$A$3:$DQ$19,$D121,FALSE)),0,VLOOKUP(I$1,'peak-new'!$A$3:$DQ$19,$D121,FALSE))</f>
        <v>0</v>
      </c>
      <c r="J121" s="14">
        <f>IF(ISNA(VLOOKUP(J$1,'peak-new'!$A$3:$DQ$19,$D121,FALSE)),0,VLOOKUP(J$1,'peak-new'!$A$3:$DQ$19,$D121,FALSE))</f>
        <v>0</v>
      </c>
      <c r="K121" s="14">
        <f>IF(ISNA(VLOOKUP(K$1,'peak-new'!$A$3:$DQ$19,$D121,FALSE)),0,VLOOKUP(K$1,'peak-new'!$A$3:$DQ$19,$D121,FALSE))</f>
        <v>0</v>
      </c>
      <c r="L121" s="14">
        <f>IF(ISNA(VLOOKUP(L$1,'peak-new'!$A$3:$DQ$19,$D121,FALSE)),0,VLOOKUP(L$1,'peak-new'!$A$3:$DQ$19,$D121,FALSE))</f>
        <v>0</v>
      </c>
      <c r="M121" s="14">
        <f>IF(ISNA(VLOOKUP(M$1,'peak-new'!$A$3:$DQ$19,$D121,FALSE)),0,VLOOKUP(M$1,'peak-new'!$A$3:$DQ$19,$D121,FALSE))</f>
        <v>0</v>
      </c>
      <c r="N121" s="14">
        <f>IF(ISNA(VLOOKUP(N$1,'peak-new'!$A$3:$DQ$19,$D121,FALSE)),0,VLOOKUP(N$1,'peak-new'!$A$3:$DQ$19,$D121,FALSE))</f>
        <v>0</v>
      </c>
      <c r="O121" s="14">
        <f>IF(ISNA(VLOOKUP(O$1,'peak-new'!$A$3:$DQ$19,$D121,FALSE)),0,VLOOKUP(O$1,'peak-new'!$A$3:$DQ$19,$D121,FALSE))</f>
        <v>0</v>
      </c>
      <c r="P121" s="14">
        <f>IF(ISNA(VLOOKUP(P$1,'peak-new'!$A$3:$DQ$19,$D121,FALSE)),0,VLOOKUP(P$1,'peak-new'!$A$3:$DQ$19,$D121,FALSE))</f>
        <v>0</v>
      </c>
      <c r="Q121" s="15">
        <f>IF(ISNA(VLOOKUP(Q$1,'delta-new'!$A$3:$DQ$20,$D121,FALSE)),0,VLOOKUP(Q$1,'delta-new'!$A$3:$DQ$20,$D121,FALSE))</f>
        <v>0</v>
      </c>
      <c r="R121" s="14">
        <f>IF(ISNA(VLOOKUP(R$1,'peak-new'!$A$3:$DQ$19,$D121,FALSE)),0,VLOOKUP(R$1,'peak-new'!$A$3:$DQ$19,$D121,FALSE))</f>
        <v>0</v>
      </c>
      <c r="S121" s="10"/>
    </row>
    <row r="122" spans="1:19" s="8" customFormat="1" x14ac:dyDescent="0.2">
      <c r="A122" s="8">
        <f t="shared" si="15"/>
        <v>2010</v>
      </c>
      <c r="B122" s="8">
        <f t="shared" si="16"/>
        <v>12</v>
      </c>
      <c r="C122" s="9">
        <f t="shared" si="14"/>
        <v>40513</v>
      </c>
      <c r="D122" s="8">
        <f t="shared" si="17"/>
        <v>110</v>
      </c>
      <c r="E122" s="14">
        <f>IF(ISNA(VLOOKUP(E$1,'delta-new'!$A$3:$DQ$20,$D122,FALSE)),0,VLOOKUP(E$1,'delta-new'!$A$3:$DQ$20,$D122,FALSE))</f>
        <v>11305.89</v>
      </c>
      <c r="F122" s="14">
        <f>IF(ISNA(VLOOKUP(F$1,'peak-new'!$A$3:$DQ$19,$D122,FALSE)),0,VLOOKUP(F$1,'peak-new'!$A$3:$DQ$19,$D122,FALSE))</f>
        <v>0</v>
      </c>
      <c r="G122" s="14">
        <f>IF(ISNA(VLOOKUP(G$1,'peak-new'!$A$3:$DQ$19,$D122,FALSE)),0,VLOOKUP(G$1,'peak-new'!$A$3:$DQ$19,$D122,FALSE))</f>
        <v>0</v>
      </c>
      <c r="H122" s="14">
        <f>IF(ISNA(VLOOKUP(H$1,'peak-new'!$A$3:$DQ$19,$D122,FALSE)),0,VLOOKUP(H$1,'peak-new'!$A$3:$DQ$19,$D122,FALSE))</f>
        <v>-36800</v>
      </c>
      <c r="I122" s="14">
        <f>IF(ISNA(VLOOKUP(I$1,'peak-new'!$A$3:$DQ$19,$D122,FALSE)),0,VLOOKUP(I$1,'peak-new'!$A$3:$DQ$19,$D122,FALSE))</f>
        <v>0</v>
      </c>
      <c r="J122" s="14">
        <f>IF(ISNA(VLOOKUP(J$1,'peak-new'!$A$3:$DQ$19,$D122,FALSE)),0,VLOOKUP(J$1,'peak-new'!$A$3:$DQ$19,$D122,FALSE))</f>
        <v>0</v>
      </c>
      <c r="K122" s="14">
        <f>IF(ISNA(VLOOKUP(K$1,'peak-new'!$A$3:$DQ$19,$D122,FALSE)),0,VLOOKUP(K$1,'peak-new'!$A$3:$DQ$19,$D122,FALSE))</f>
        <v>0</v>
      </c>
      <c r="L122" s="14">
        <f>IF(ISNA(VLOOKUP(L$1,'peak-new'!$A$3:$DQ$19,$D122,FALSE)),0,VLOOKUP(L$1,'peak-new'!$A$3:$DQ$19,$D122,FALSE))</f>
        <v>0</v>
      </c>
      <c r="M122" s="14">
        <f>IF(ISNA(VLOOKUP(M$1,'peak-new'!$A$3:$DQ$19,$D122,FALSE)),0,VLOOKUP(M$1,'peak-new'!$A$3:$DQ$19,$D122,FALSE))</f>
        <v>0</v>
      </c>
      <c r="N122" s="14">
        <f>IF(ISNA(VLOOKUP(N$1,'peak-new'!$A$3:$DQ$19,$D122,FALSE)),0,VLOOKUP(N$1,'peak-new'!$A$3:$DQ$19,$D122,FALSE))</f>
        <v>0</v>
      </c>
      <c r="O122" s="14">
        <f>IF(ISNA(VLOOKUP(O$1,'peak-new'!$A$3:$DQ$19,$D122,FALSE)),0,VLOOKUP(O$1,'peak-new'!$A$3:$DQ$19,$D122,FALSE))</f>
        <v>0</v>
      </c>
      <c r="P122" s="14">
        <f>IF(ISNA(VLOOKUP(P$1,'peak-new'!$A$3:$DQ$19,$D122,FALSE)),0,VLOOKUP(P$1,'peak-new'!$A$3:$DQ$19,$D122,FALSE))</f>
        <v>0</v>
      </c>
      <c r="Q122" s="15">
        <f>IF(ISNA(VLOOKUP(Q$1,'delta-new'!$A$3:$DQ$20,$D122,FALSE)),0,VLOOKUP(Q$1,'delta-new'!$A$3:$DQ$20,$D122,FALSE))</f>
        <v>0</v>
      </c>
      <c r="R122" s="14">
        <f>IF(ISNA(VLOOKUP(R$1,'peak-new'!$A$3:$DQ$19,$D122,FALSE)),0,VLOOKUP(R$1,'peak-new'!$A$3:$DQ$19,$D122,FALSE))</f>
        <v>0</v>
      </c>
      <c r="S122" s="10"/>
    </row>
    <row r="123" spans="1:19" s="8" customFormat="1" x14ac:dyDescent="0.2">
      <c r="C123" s="9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5"/>
      <c r="R123" s="14"/>
      <c r="S123" s="10"/>
    </row>
    <row r="124" spans="1:19" s="5" customFormat="1" x14ac:dyDescent="0.2">
      <c r="A124" s="5" t="s">
        <v>41</v>
      </c>
      <c r="E124" s="13" t="str">
        <f t="shared" ref="E124:R124" si="18">E$1</f>
        <v>CINERGY</v>
      </c>
      <c r="F124" s="13" t="str">
        <f t="shared" si="18"/>
        <v>AMEREN</v>
      </c>
      <c r="G124" s="13" t="str">
        <f t="shared" si="18"/>
        <v>ERCOT</v>
      </c>
      <c r="H124" s="13" t="str">
        <f t="shared" si="18"/>
        <v>INTO COMED</v>
      </c>
      <c r="I124" s="13" t="str">
        <f t="shared" si="18"/>
        <v>INTO TVA</v>
      </c>
      <c r="J124" s="13" t="str">
        <f t="shared" si="18"/>
        <v>MAPP</v>
      </c>
      <c r="K124" s="13" t="str">
        <f t="shared" si="18"/>
        <v>NEPOOL</v>
      </c>
      <c r="L124" s="13" t="str">
        <f t="shared" si="18"/>
        <v>INTO AEP</v>
      </c>
      <c r="M124" s="13" t="str">
        <f t="shared" si="18"/>
        <v>NY Zone A</v>
      </c>
      <c r="N124" s="13"/>
      <c r="O124" s="13" t="str">
        <f t="shared" si="18"/>
        <v>SOCO</v>
      </c>
      <c r="P124" s="13" t="str">
        <f t="shared" si="18"/>
        <v>NSP</v>
      </c>
      <c r="Q124" s="13" t="str">
        <f t="shared" si="18"/>
        <v>ENTERGY</v>
      </c>
      <c r="R124" s="13" t="str">
        <f t="shared" si="18"/>
        <v>WESTERN HUB</v>
      </c>
    </row>
    <row r="125" spans="1:19" s="8" customFormat="1" x14ac:dyDescent="0.2">
      <c r="C125" s="9">
        <f t="shared" ref="C125:C156" si="19">C3</f>
        <v>36892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9" s="8" customFormat="1" x14ac:dyDescent="0.2">
      <c r="C126" s="9">
        <f t="shared" si="19"/>
        <v>36923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9" s="8" customFormat="1" x14ac:dyDescent="0.2">
      <c r="C127" s="9">
        <f t="shared" si="19"/>
        <v>36951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1:19" s="8" customFormat="1" x14ac:dyDescent="0.2">
      <c r="C128" s="9">
        <f t="shared" si="19"/>
        <v>36982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3:18" s="8" customFormat="1" x14ac:dyDescent="0.2">
      <c r="C129" s="9">
        <f t="shared" si="19"/>
        <v>37012</v>
      </c>
      <c r="E129" s="14">
        <f>E7/VLOOKUP($C129,calendar!$A$2:$D$121,4,FALSE)</f>
        <v>0</v>
      </c>
      <c r="F129" s="14">
        <f>F7/VLOOKUP($C129,calendar!$A$2:$D$121,4,FALSE)</f>
        <v>0</v>
      </c>
      <c r="G129" s="14">
        <f>G7/VLOOKUP($C129,calendar!$A$2:$D$121,4,FALSE)</f>
        <v>0</v>
      </c>
      <c r="H129" s="14">
        <f>H7/VLOOKUP($C129,calendar!$A$2:$D$121,4,FALSE)</f>
        <v>0</v>
      </c>
      <c r="I129" s="14">
        <f>I7/VLOOKUP($C129,calendar!$A$2:$D$121,4,FALSE)</f>
        <v>0</v>
      </c>
      <c r="J129" s="14">
        <f>J7/VLOOKUP($C129,calendar!$A$2:$D$121,4,FALSE)</f>
        <v>0</v>
      </c>
      <c r="K129" s="14">
        <f>K7/VLOOKUP($C129,calendar!$A$2:$D$121,4,FALSE)</f>
        <v>0</v>
      </c>
      <c r="L129" s="14">
        <f>L7/VLOOKUP($C129,calendar!$A$2:$D$121,4,FALSE)</f>
        <v>0</v>
      </c>
      <c r="M129" s="14">
        <f>M7/VLOOKUP($C129,calendar!$A$2:$D$121,4,FALSE)</f>
        <v>0</v>
      </c>
      <c r="N129" s="14">
        <f>N7/VLOOKUP($C129,calendar!$A$2:$D$121,4,FALSE)</f>
        <v>0</v>
      </c>
      <c r="O129" s="14">
        <f>O7/VLOOKUP($C129,calendar!$A$2:$D$121,4,FALSE)</f>
        <v>0</v>
      </c>
      <c r="P129" s="14">
        <f>P7/VLOOKUP($C129,calendar!$A$2:$D$121,4,FALSE)</f>
        <v>0</v>
      </c>
      <c r="Q129" s="14">
        <f>Q7/VLOOKUP($C129,calendar!$A$2:$D$121,4,FALSE)</f>
        <v>0</v>
      </c>
      <c r="R129" s="14">
        <f>R7/VLOOKUP($C129,calendar!$A$2:$D$121,4,FALSE)</f>
        <v>0</v>
      </c>
    </row>
    <row r="130" spans="3:18" s="8" customFormat="1" x14ac:dyDescent="0.2">
      <c r="C130" s="9">
        <f t="shared" si="19"/>
        <v>37043</v>
      </c>
      <c r="E130" s="14">
        <f>E8/VLOOKUP($C130,calendar!$A$2:$D$121,4,FALSE)</f>
        <v>0</v>
      </c>
      <c r="F130" s="14">
        <f>F8/VLOOKUP($C130,calendar!$A$2:$D$121,4,FALSE)</f>
        <v>0</v>
      </c>
      <c r="G130" s="14">
        <f>G8/VLOOKUP($C130,calendar!$A$2:$D$121,4,FALSE)</f>
        <v>0</v>
      </c>
      <c r="H130" s="14">
        <f>H8/VLOOKUP($C130,calendar!$A$2:$D$121,4,FALSE)</f>
        <v>0</v>
      </c>
      <c r="I130" s="14">
        <f>I8/VLOOKUP($C130,calendar!$A$2:$D$121,4,FALSE)</f>
        <v>0</v>
      </c>
      <c r="J130" s="14">
        <f>J8/VLOOKUP($C130,calendar!$A$2:$D$121,4,FALSE)</f>
        <v>0</v>
      </c>
      <c r="K130" s="14">
        <f>K8/VLOOKUP($C130,calendar!$A$2:$D$121,4,FALSE)</f>
        <v>0</v>
      </c>
      <c r="L130" s="14">
        <f>L8/VLOOKUP($C130,calendar!$A$2:$D$121,4,FALSE)</f>
        <v>0</v>
      </c>
      <c r="M130" s="14">
        <f>M8/VLOOKUP($C130,calendar!$A$2:$D$121,4,FALSE)</f>
        <v>0</v>
      </c>
      <c r="N130" s="14">
        <f>N8/VLOOKUP($C130,calendar!$A$2:$D$121,4,FALSE)</f>
        <v>0</v>
      </c>
      <c r="O130" s="14">
        <f>O8/VLOOKUP($C130,calendar!$A$2:$D$121,4,FALSE)</f>
        <v>0</v>
      </c>
      <c r="P130" s="14">
        <f>P8/VLOOKUP($C130,calendar!$A$2:$D$121,4,FALSE)</f>
        <v>0</v>
      </c>
      <c r="Q130" s="14">
        <f>Q8/VLOOKUP($C130,calendar!$A$2:$D$121,4,FALSE)</f>
        <v>0</v>
      </c>
      <c r="R130" s="14">
        <f>R8/VLOOKUP($C130,calendar!$A$2:$D$121,4,FALSE)</f>
        <v>0</v>
      </c>
    </row>
    <row r="131" spans="3:18" s="8" customFormat="1" x14ac:dyDescent="0.2">
      <c r="C131" s="9">
        <f t="shared" si="19"/>
        <v>37073</v>
      </c>
      <c r="E131" s="14">
        <f>E9/VLOOKUP($C131,calendar!$A$2:$D$121,4,FALSE)</f>
        <v>0</v>
      </c>
      <c r="F131" s="14">
        <f>F9/VLOOKUP($C131,calendar!$A$2:$D$121,4,FALSE)</f>
        <v>0</v>
      </c>
      <c r="G131" s="14">
        <f>G9/VLOOKUP($C131,calendar!$A$2:$D$121,4,FALSE)</f>
        <v>0</v>
      </c>
      <c r="H131" s="14">
        <f>H9/VLOOKUP($C131,calendar!$A$2:$D$121,4,FALSE)</f>
        <v>0</v>
      </c>
      <c r="I131" s="14">
        <f>I9/VLOOKUP($C131,calendar!$A$2:$D$121,4,FALSE)</f>
        <v>0</v>
      </c>
      <c r="J131" s="14">
        <f>J9/VLOOKUP($C131,calendar!$A$2:$D$121,4,FALSE)</f>
        <v>0</v>
      </c>
      <c r="K131" s="14">
        <f>K9/VLOOKUP($C131,calendar!$A$2:$D$121,4,FALSE)</f>
        <v>0</v>
      </c>
      <c r="L131" s="14">
        <f>L9/VLOOKUP($C131,calendar!$A$2:$D$121,4,FALSE)</f>
        <v>0</v>
      </c>
      <c r="M131" s="14">
        <f>M9/VLOOKUP($C131,calendar!$A$2:$D$121,4,FALSE)</f>
        <v>0</v>
      </c>
      <c r="N131" s="14">
        <f>N9/VLOOKUP($C131,calendar!$A$2:$D$121,4,FALSE)</f>
        <v>0</v>
      </c>
      <c r="O131" s="14">
        <f>O9/VLOOKUP($C131,calendar!$A$2:$D$121,4,FALSE)</f>
        <v>0</v>
      </c>
      <c r="P131" s="14">
        <f>P9/VLOOKUP($C131,calendar!$A$2:$D$121,4,FALSE)</f>
        <v>0</v>
      </c>
      <c r="Q131" s="14">
        <f>Q9/VLOOKUP($C131,calendar!$A$2:$D$121,4,FALSE)</f>
        <v>0</v>
      </c>
      <c r="R131" s="14">
        <f>R9/VLOOKUP($C131,calendar!$A$2:$D$121,4,FALSE)</f>
        <v>0</v>
      </c>
    </row>
    <row r="132" spans="3:18" s="8" customFormat="1" x14ac:dyDescent="0.2">
      <c r="C132" s="9">
        <f t="shared" si="19"/>
        <v>37104</v>
      </c>
      <c r="E132" s="14">
        <f>E10/VLOOKUP($C132,calendar!$A$2:$D$121,4,FALSE)</f>
        <v>0</v>
      </c>
      <c r="F132" s="14">
        <f>F10/VLOOKUP($C132,calendar!$A$2:$D$121,4,FALSE)</f>
        <v>0</v>
      </c>
      <c r="G132" s="14">
        <f>G10/VLOOKUP($C132,calendar!$A$2:$D$121,4,FALSE)</f>
        <v>0</v>
      </c>
      <c r="H132" s="14">
        <f>H10/VLOOKUP($C132,calendar!$A$2:$D$121,4,FALSE)</f>
        <v>0</v>
      </c>
      <c r="I132" s="14">
        <f>I10/VLOOKUP($C132,calendar!$A$2:$D$121,4,FALSE)</f>
        <v>0</v>
      </c>
      <c r="J132" s="14">
        <f>J10/VLOOKUP($C132,calendar!$A$2:$D$121,4,FALSE)</f>
        <v>0</v>
      </c>
      <c r="K132" s="14">
        <f>K10/VLOOKUP($C132,calendar!$A$2:$D$121,4,FALSE)</f>
        <v>0</v>
      </c>
      <c r="L132" s="14">
        <f>L10/VLOOKUP($C132,calendar!$A$2:$D$121,4,FALSE)</f>
        <v>0</v>
      </c>
      <c r="M132" s="14">
        <f>M10/VLOOKUP($C132,calendar!$A$2:$D$121,4,FALSE)</f>
        <v>0</v>
      </c>
      <c r="N132" s="14">
        <f>N10/VLOOKUP($C132,calendar!$A$2:$D$121,4,FALSE)</f>
        <v>0</v>
      </c>
      <c r="O132" s="14">
        <f>O10/VLOOKUP($C132,calendar!$A$2:$D$121,4,FALSE)</f>
        <v>0</v>
      </c>
      <c r="P132" s="14">
        <f>P10/VLOOKUP($C132,calendar!$A$2:$D$121,4,FALSE)</f>
        <v>0</v>
      </c>
      <c r="Q132" s="14">
        <f>Q10/VLOOKUP($C132,calendar!$A$2:$D$121,4,FALSE)</f>
        <v>0</v>
      </c>
      <c r="R132" s="14">
        <f>R10/VLOOKUP($C132,calendar!$A$2:$D$121,4,FALSE)</f>
        <v>0</v>
      </c>
    </row>
    <row r="133" spans="3:18" s="8" customFormat="1" x14ac:dyDescent="0.2">
      <c r="C133" s="9">
        <f t="shared" si="19"/>
        <v>37135</v>
      </c>
      <c r="E133" s="14">
        <v>0</v>
      </c>
      <c r="F133" s="14">
        <f>F11/VLOOKUP($C133,calendar!$A$2:$D$121,4,FALSE)</f>
        <v>0</v>
      </c>
      <c r="G133" s="14">
        <f>G11/VLOOKUP($C133,calendar!$A$2:$D$121,4,FALSE)</f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f>M11/VLOOKUP($C133,calendar!$A$2:$D$121,4,FALSE)</f>
        <v>0</v>
      </c>
      <c r="N133" s="14">
        <f>N11/VLOOKUP($C133,calendar!$A$2:$D$121,4,FALSE)</f>
        <v>0</v>
      </c>
      <c r="O133" s="14">
        <v>0</v>
      </c>
      <c r="P133" s="14">
        <v>0</v>
      </c>
      <c r="Q133" s="14">
        <v>0</v>
      </c>
      <c r="R133" s="14">
        <v>0</v>
      </c>
    </row>
    <row r="134" spans="3:18" s="8" customFormat="1" x14ac:dyDescent="0.2">
      <c r="C134" s="9">
        <f t="shared" si="19"/>
        <v>37165</v>
      </c>
      <c r="E134" s="14">
        <f>E12/VLOOKUP($C134,calendar!$A$2:$D$121,4,FALSE)</f>
        <v>0</v>
      </c>
      <c r="F134" s="14">
        <f>F12/VLOOKUP($C134,calendar!$A$2:$D$121,4,FALSE)</f>
        <v>0</v>
      </c>
      <c r="G134" s="14">
        <f>G12/VLOOKUP($C134,calendar!$A$2:$D$121,4,FALSE)</f>
        <v>0</v>
      </c>
      <c r="H134" s="14">
        <f>H12/VLOOKUP($C134,calendar!$A$2:$D$121,4,FALSE)</f>
        <v>0</v>
      </c>
      <c r="I134" s="14">
        <f>I12/VLOOKUP($C134,calendar!$A$2:$D$121,4,FALSE)</f>
        <v>0</v>
      </c>
      <c r="J134" s="14">
        <f>J12/VLOOKUP($C134,calendar!$A$2:$D$121,4,FALSE)</f>
        <v>0</v>
      </c>
      <c r="K134" s="14">
        <f>K12/VLOOKUP($C134,calendar!$A$2:$D$121,4,FALSE)</f>
        <v>0</v>
      </c>
      <c r="L134" s="14">
        <f>L12/VLOOKUP($C134,calendar!$A$2:$D$121,4,FALSE)</f>
        <v>0</v>
      </c>
      <c r="M134" s="14">
        <f>M12/VLOOKUP($C134,calendar!$A$2:$D$121,4,FALSE)</f>
        <v>0</v>
      </c>
      <c r="N134" s="14">
        <f>N12/VLOOKUP($C134,calendar!$A$2:$D$121,4,FALSE)</f>
        <v>0</v>
      </c>
      <c r="O134" s="14">
        <f>O12/VLOOKUP($C134,calendar!$A$2:$D$121,4,FALSE)</f>
        <v>0</v>
      </c>
      <c r="P134" s="14">
        <f>P12/VLOOKUP($C134,calendar!$A$2:$D$121,4,FALSE)</f>
        <v>0</v>
      </c>
      <c r="Q134" s="14">
        <f>Q12/VLOOKUP($C134,calendar!$A$2:$D$121,4,FALSE)</f>
        <v>0</v>
      </c>
      <c r="R134" s="14">
        <f>R12/VLOOKUP($C134,calendar!$A$2:$D$121,4,FALSE)</f>
        <v>0</v>
      </c>
    </row>
    <row r="135" spans="3:18" s="8" customFormat="1" x14ac:dyDescent="0.2">
      <c r="C135" s="9">
        <f t="shared" si="19"/>
        <v>37196</v>
      </c>
      <c r="E135" s="14">
        <f>E13/VLOOKUP($C135,calendar!$A$2:$D$121,4,FALSE)</f>
        <v>0</v>
      </c>
      <c r="F135" s="14">
        <f>F13/VLOOKUP($C135,calendar!$A$2:$D$121,4,FALSE)</f>
        <v>0</v>
      </c>
      <c r="G135" s="14">
        <f>G13/VLOOKUP($C135,calendar!$A$2:$D$121,4,FALSE)</f>
        <v>0</v>
      </c>
      <c r="H135" s="14">
        <f>H13/VLOOKUP($C135,calendar!$A$2:$D$121,4,FALSE)</f>
        <v>0</v>
      </c>
      <c r="I135" s="14">
        <f>I13/VLOOKUP($C135,calendar!$A$2:$D$121,4,FALSE)</f>
        <v>0</v>
      </c>
      <c r="J135" s="14">
        <f>J13/VLOOKUP($C135,calendar!$A$2:$D$121,4,FALSE)</f>
        <v>0</v>
      </c>
      <c r="K135" s="14">
        <f>K13/VLOOKUP($C135,calendar!$A$2:$D$121,4,FALSE)</f>
        <v>0</v>
      </c>
      <c r="L135" s="14">
        <f>L13/VLOOKUP($C135,calendar!$A$2:$D$121,4,FALSE)</f>
        <v>0</v>
      </c>
      <c r="M135" s="14" t="e">
        <f>M13/VLOOKUP($C135,calendar!$A$2:$D$121,4,FALSE)</f>
        <v>#VALUE!</v>
      </c>
      <c r="N135" s="14" t="e">
        <f>N13/VLOOKUP($C135,calendar!$A$2:$D$121,4,FALSE)</f>
        <v>#VALUE!</v>
      </c>
      <c r="O135" s="14">
        <f>O13/VLOOKUP($C135,calendar!$A$2:$D$121,4,FALSE)</f>
        <v>0</v>
      </c>
      <c r="P135" s="14">
        <f>P13/VLOOKUP($C135,calendar!$A$2:$D$121,4,FALSE)</f>
        <v>0</v>
      </c>
      <c r="Q135" s="14">
        <f>Q13/VLOOKUP($C135,calendar!$A$2:$D$121,4,FALSE)</f>
        <v>0</v>
      </c>
      <c r="R135" s="14">
        <f>R13/VLOOKUP($C135,calendar!$A$2:$D$121,4,FALSE)</f>
        <v>0</v>
      </c>
    </row>
    <row r="136" spans="3:18" s="8" customFormat="1" x14ac:dyDescent="0.2">
      <c r="C136" s="9">
        <f t="shared" si="19"/>
        <v>37226</v>
      </c>
      <c r="E136" s="14">
        <f>E14/VLOOKUP($C136,calendar!$A$2:$D$121,4,FALSE)</f>
        <v>1348.5</v>
      </c>
      <c r="F136" s="14">
        <f>F14/VLOOKUP($C136,calendar!$A$2:$D$121,4,FALSE)</f>
        <v>0</v>
      </c>
      <c r="G136" s="14">
        <f>G14/VLOOKUP($C136,calendar!$A$2:$D$121,4,FALSE)</f>
        <v>0</v>
      </c>
      <c r="H136" s="14">
        <f>H14/VLOOKUP($C136,calendar!$A$2:$D$121,4,FALSE)</f>
        <v>177.5</v>
      </c>
      <c r="I136" s="14">
        <f>I14/VLOOKUP($C136,calendar!$A$2:$D$121,4,FALSE)</f>
        <v>45</v>
      </c>
      <c r="J136" s="14">
        <f>J14/VLOOKUP($C136,calendar!$A$2:$D$121,4,FALSE)</f>
        <v>0</v>
      </c>
      <c r="K136" s="14">
        <f>K14/VLOOKUP($C136,calendar!$A$2:$D$121,4,FALSE)</f>
        <v>225</v>
      </c>
      <c r="L136" s="14">
        <f>L14/VLOOKUP($C136,calendar!$A$2:$D$121,4,FALSE)</f>
        <v>0</v>
      </c>
      <c r="M136" s="14">
        <f>M14/VLOOKUP($C136,calendar!$A$2:$D$121,4,FALSE)</f>
        <v>450</v>
      </c>
      <c r="N136" s="14">
        <f>N14/VLOOKUP($C136,calendar!$A$2:$D$121,4,FALSE)</f>
        <v>450</v>
      </c>
      <c r="O136" s="14">
        <f>O14/VLOOKUP($C136,calendar!$A$2:$D$121,4,FALSE)</f>
        <v>45</v>
      </c>
      <c r="P136" s="14">
        <f>P14/VLOOKUP($C136,calendar!$A$2:$D$121,4,FALSE)</f>
        <v>0</v>
      </c>
      <c r="Q136" s="14">
        <f>Q14/VLOOKUP($C136,calendar!$A$2:$D$121,4,FALSE)</f>
        <v>0</v>
      </c>
      <c r="R136" s="14">
        <f>R14/VLOOKUP($C136,calendar!$A$2:$D$121,4,FALSE)</f>
        <v>90</v>
      </c>
    </row>
    <row r="137" spans="3:18" s="8" customFormat="1" x14ac:dyDescent="0.2">
      <c r="C137" s="9">
        <f t="shared" si="19"/>
        <v>37257</v>
      </c>
      <c r="E137" s="14">
        <f>E15/VLOOKUP($C137,calendar!$A$2:$D$121,4,FALSE)</f>
        <v>-2373.4186363636363</v>
      </c>
      <c r="F137" s="14">
        <f>F15/VLOOKUP($C137,calendar!$A$2:$D$121,4,FALSE)</f>
        <v>0</v>
      </c>
      <c r="G137" s="14">
        <f>G15/VLOOKUP($C137,calendar!$A$2:$D$121,4,FALSE)</f>
        <v>0</v>
      </c>
      <c r="H137" s="14">
        <f>H15/VLOOKUP($C137,calendar!$A$2:$D$121,4,FALSE)</f>
        <v>-970</v>
      </c>
      <c r="I137" s="14">
        <f>I15/VLOOKUP($C137,calendar!$A$2:$D$121,4,FALSE)</f>
        <v>-550</v>
      </c>
      <c r="J137" s="14">
        <f>J15/VLOOKUP($C137,calendar!$A$2:$D$121,4,FALSE)</f>
        <v>0</v>
      </c>
      <c r="K137" s="14">
        <f>K15/VLOOKUP($C137,calendar!$A$2:$D$121,4,FALSE)</f>
        <v>1000</v>
      </c>
      <c r="L137" s="14">
        <f>L15/VLOOKUP($C137,calendar!$A$2:$D$121,4,FALSE)</f>
        <v>27</v>
      </c>
      <c r="M137" s="14">
        <f>M15/VLOOKUP($C137,calendar!$A$2:$D$121,4,FALSE)</f>
        <v>1000</v>
      </c>
      <c r="N137" s="14">
        <f>N15/VLOOKUP($C137,calendar!$A$2:$D$121,4,FALSE)</f>
        <v>1050</v>
      </c>
      <c r="O137" s="14">
        <f>O15/VLOOKUP($C137,calendar!$A$2:$D$121,4,FALSE)</f>
        <v>0</v>
      </c>
      <c r="P137" s="14">
        <f>P15/VLOOKUP($C137,calendar!$A$2:$D$121,4,FALSE)</f>
        <v>50</v>
      </c>
      <c r="Q137" s="14">
        <f>Q15/VLOOKUP($C137,calendar!$A$2:$D$121,4,FALSE)</f>
        <v>0</v>
      </c>
      <c r="R137" s="14">
        <f>R15/VLOOKUP($C137,calendar!$A$2:$D$121,4,FALSE)</f>
        <v>1150</v>
      </c>
    </row>
    <row r="138" spans="3:18" s="8" customFormat="1" x14ac:dyDescent="0.2">
      <c r="C138" s="9">
        <f t="shared" si="19"/>
        <v>37288</v>
      </c>
      <c r="E138" s="14">
        <f>E16/VLOOKUP($C138,calendar!$A$2:$D$121,4,FALSE)</f>
        <v>-2376.852625</v>
      </c>
      <c r="F138" s="14">
        <f>F16/VLOOKUP($C138,calendar!$A$2:$D$121,4,FALSE)</f>
        <v>0</v>
      </c>
      <c r="G138" s="14">
        <f>G16/VLOOKUP($C138,calendar!$A$2:$D$121,4,FALSE)</f>
        <v>0</v>
      </c>
      <c r="H138" s="14">
        <f>H16/VLOOKUP($C138,calendar!$A$2:$D$121,4,FALSE)</f>
        <v>-920</v>
      </c>
      <c r="I138" s="14">
        <f>I16/VLOOKUP($C138,calendar!$A$2:$D$121,4,FALSE)</f>
        <v>-500</v>
      </c>
      <c r="J138" s="14">
        <f>J16/VLOOKUP($C138,calendar!$A$2:$D$121,4,FALSE)</f>
        <v>0</v>
      </c>
      <c r="K138" s="14">
        <f>K16/VLOOKUP($C138,calendar!$A$2:$D$121,4,FALSE)</f>
        <v>1000</v>
      </c>
      <c r="L138" s="14">
        <f>L16/VLOOKUP($C138,calendar!$A$2:$D$121,4,FALSE)</f>
        <v>27</v>
      </c>
      <c r="M138" s="14">
        <f>M16/VLOOKUP($C138,calendar!$A$2:$D$121,4,FALSE)</f>
        <v>1000</v>
      </c>
      <c r="N138" s="14">
        <f>N16/VLOOKUP($C138,calendar!$A$2:$D$121,4,FALSE)</f>
        <v>1050</v>
      </c>
      <c r="O138" s="14">
        <f>O16/VLOOKUP($C138,calendar!$A$2:$D$121,4,FALSE)</f>
        <v>0</v>
      </c>
      <c r="P138" s="14">
        <f>P16/VLOOKUP($C138,calendar!$A$2:$D$121,4,FALSE)</f>
        <v>50</v>
      </c>
      <c r="Q138" s="14">
        <f>Q16/VLOOKUP($C138,calendar!$A$2:$D$121,4,FALSE)</f>
        <v>0</v>
      </c>
      <c r="R138" s="14">
        <f>R16/VLOOKUP($C138,calendar!$A$2:$D$121,4,FALSE)</f>
        <v>1150</v>
      </c>
    </row>
    <row r="139" spans="3:18" s="8" customFormat="1" x14ac:dyDescent="0.2">
      <c r="C139" s="9">
        <f t="shared" si="19"/>
        <v>37316</v>
      </c>
      <c r="E139" s="14">
        <f>E17/VLOOKUP($C139,calendar!$A$2:$D$121,4,FALSE)</f>
        <v>-2267.4846130952378</v>
      </c>
      <c r="F139" s="14">
        <f>F17/VLOOKUP($C139,calendar!$A$2:$D$121,4,FALSE)</f>
        <v>0</v>
      </c>
      <c r="G139" s="14">
        <f>G17/VLOOKUP($C139,calendar!$A$2:$D$121,4,FALSE)</f>
        <v>0</v>
      </c>
      <c r="H139" s="14">
        <f>H17/VLOOKUP($C139,calendar!$A$2:$D$121,4,FALSE)</f>
        <v>-70</v>
      </c>
      <c r="I139" s="14">
        <f>I17/VLOOKUP($C139,calendar!$A$2:$D$121,4,FALSE)</f>
        <v>-150</v>
      </c>
      <c r="J139" s="14">
        <f>J17/VLOOKUP($C139,calendar!$A$2:$D$121,4,FALSE)</f>
        <v>0</v>
      </c>
      <c r="K139" s="14">
        <f>K17/VLOOKUP($C139,calendar!$A$2:$D$121,4,FALSE)</f>
        <v>0</v>
      </c>
      <c r="L139" s="14">
        <f>L17/VLOOKUP($C139,calendar!$A$2:$D$121,4,FALSE)</f>
        <v>27</v>
      </c>
      <c r="M139" s="14">
        <f>M17/VLOOKUP($C139,calendar!$A$2:$D$121,4,FALSE)</f>
        <v>250</v>
      </c>
      <c r="N139" s="14">
        <f>N17/VLOOKUP($C139,calendar!$A$2:$D$121,4,FALSE)</f>
        <v>250</v>
      </c>
      <c r="O139" s="14">
        <f>O17/VLOOKUP($C139,calendar!$A$2:$D$121,4,FALSE)</f>
        <v>150</v>
      </c>
      <c r="P139" s="14">
        <f>P17/VLOOKUP($C139,calendar!$A$2:$D$121,4,FALSE)</f>
        <v>-100</v>
      </c>
      <c r="Q139" s="14">
        <f>Q17/VLOOKUP($C139,calendar!$A$2:$D$121,4,FALSE)</f>
        <v>0</v>
      </c>
      <c r="R139" s="14">
        <f>R17/VLOOKUP($C139,calendar!$A$2:$D$121,4,FALSE)</f>
        <v>150</v>
      </c>
    </row>
    <row r="140" spans="3:18" s="8" customFormat="1" x14ac:dyDescent="0.2">
      <c r="C140" s="9">
        <f t="shared" si="19"/>
        <v>37347</v>
      </c>
      <c r="E140" s="14">
        <f>E18/VLOOKUP($C140,calendar!$A$2:$D$121,4,FALSE)</f>
        <v>-2266.8784943181818</v>
      </c>
      <c r="F140" s="14">
        <f>F18/VLOOKUP($C140,calendar!$A$2:$D$121,4,FALSE)</f>
        <v>0</v>
      </c>
      <c r="G140" s="14">
        <f>G18/VLOOKUP($C140,calendar!$A$2:$D$121,4,FALSE)</f>
        <v>0</v>
      </c>
      <c r="H140" s="14">
        <f>H18/VLOOKUP($C140,calendar!$A$2:$D$121,4,FALSE)</f>
        <v>-70</v>
      </c>
      <c r="I140" s="14">
        <f>I18/VLOOKUP($C140,calendar!$A$2:$D$121,4,FALSE)</f>
        <v>-150</v>
      </c>
      <c r="J140" s="14">
        <f>J18/VLOOKUP($C140,calendar!$A$2:$D$121,4,FALSE)</f>
        <v>0</v>
      </c>
      <c r="K140" s="14">
        <f>K18/VLOOKUP($C140,calendar!$A$2:$D$121,4,FALSE)</f>
        <v>0</v>
      </c>
      <c r="L140" s="14">
        <f>L18/VLOOKUP($C140,calendar!$A$2:$D$121,4,FALSE)</f>
        <v>27</v>
      </c>
      <c r="M140" s="14">
        <f>M18/VLOOKUP($C140,calendar!$A$2:$D$121,4,FALSE)</f>
        <v>250</v>
      </c>
      <c r="N140" s="14">
        <f>N18/VLOOKUP($C140,calendar!$A$2:$D$121,4,FALSE)</f>
        <v>250</v>
      </c>
      <c r="O140" s="14">
        <f>O18/VLOOKUP($C140,calendar!$A$2:$D$121,4,FALSE)</f>
        <v>150</v>
      </c>
      <c r="P140" s="14">
        <f>P18/VLOOKUP($C140,calendar!$A$2:$D$121,4,FALSE)</f>
        <v>-100</v>
      </c>
      <c r="Q140" s="14">
        <f>Q18/VLOOKUP($C140,calendar!$A$2:$D$121,4,FALSE)</f>
        <v>148.63974431818181</v>
      </c>
      <c r="R140" s="14">
        <f>R18/VLOOKUP($C140,calendar!$A$2:$D$121,4,FALSE)</f>
        <v>150</v>
      </c>
    </row>
    <row r="141" spans="3:18" s="8" customFormat="1" x14ac:dyDescent="0.2">
      <c r="C141" s="9">
        <f t="shared" si="19"/>
        <v>37377</v>
      </c>
      <c r="E141" s="14">
        <f>E19/VLOOKUP($C141,calendar!$A$2:$D$121,4,FALSE)</f>
        <v>-1780.2954545454545</v>
      </c>
      <c r="F141" s="14">
        <f>F19/VLOOKUP($C141,calendar!$A$2:$D$121,4,FALSE)</f>
        <v>0</v>
      </c>
      <c r="G141" s="14">
        <f>G19/VLOOKUP($C141,calendar!$A$2:$D$121,4,FALSE)</f>
        <v>0</v>
      </c>
      <c r="H141" s="14">
        <f>H19/VLOOKUP($C141,calendar!$A$2:$D$121,4,FALSE)</f>
        <v>-70</v>
      </c>
      <c r="I141" s="14">
        <f>I19/VLOOKUP($C141,calendar!$A$2:$D$121,4,FALSE)</f>
        <v>-100</v>
      </c>
      <c r="J141" s="14">
        <f>J19/VLOOKUP($C141,calendar!$A$2:$D$121,4,FALSE)</f>
        <v>0</v>
      </c>
      <c r="K141" s="14">
        <f>K19/VLOOKUP($C141,calendar!$A$2:$D$121,4,FALSE)</f>
        <v>0</v>
      </c>
      <c r="L141" s="14">
        <f>L19/VLOOKUP($C141,calendar!$A$2:$D$121,4,FALSE)</f>
        <v>27</v>
      </c>
      <c r="M141" s="14">
        <f>M19/VLOOKUP($C141,calendar!$A$2:$D$121,4,FALSE)</f>
        <v>250</v>
      </c>
      <c r="N141" s="14">
        <f>N19/VLOOKUP($C141,calendar!$A$2:$D$121,4,FALSE)</f>
        <v>150</v>
      </c>
      <c r="O141" s="14">
        <f>O19/VLOOKUP($C141,calendar!$A$2:$D$121,4,FALSE)</f>
        <v>350</v>
      </c>
      <c r="P141" s="14">
        <f>P19/VLOOKUP($C141,calendar!$A$2:$D$121,4,FALSE)</f>
        <v>0</v>
      </c>
      <c r="Q141" s="14">
        <f>Q19/VLOOKUP($C141,calendar!$A$2:$D$121,4,FALSE)</f>
        <v>0</v>
      </c>
      <c r="R141" s="14">
        <f>R19/VLOOKUP($C141,calendar!$A$2:$D$121,4,FALSE)</f>
        <v>50</v>
      </c>
    </row>
    <row r="142" spans="3:18" s="8" customFormat="1" x14ac:dyDescent="0.2">
      <c r="C142" s="9">
        <f t="shared" si="19"/>
        <v>37408</v>
      </c>
      <c r="E142" s="14">
        <f>E20/VLOOKUP($C142,calendar!$A$2:$D$121,4,FALSE)</f>
        <v>-2396.26728125</v>
      </c>
      <c r="F142" s="14">
        <f>F20/VLOOKUP($C142,calendar!$A$2:$D$121,4,FALSE)</f>
        <v>0</v>
      </c>
      <c r="G142" s="14">
        <f>G20/VLOOKUP($C142,calendar!$A$2:$D$121,4,FALSE)</f>
        <v>0</v>
      </c>
      <c r="H142" s="14">
        <f>H20/VLOOKUP($C142,calendar!$A$2:$D$121,4,FALSE)</f>
        <v>100</v>
      </c>
      <c r="I142" s="14">
        <f>I20/VLOOKUP($C142,calendar!$A$2:$D$121,4,FALSE)</f>
        <v>-200</v>
      </c>
      <c r="J142" s="14">
        <f>J20/VLOOKUP($C142,calendar!$A$2:$D$121,4,FALSE)</f>
        <v>0</v>
      </c>
      <c r="K142" s="14">
        <f>K20/VLOOKUP($C142,calendar!$A$2:$D$121,4,FALSE)</f>
        <v>0</v>
      </c>
      <c r="L142" s="14">
        <f>L20/VLOOKUP($C142,calendar!$A$2:$D$121,4,FALSE)</f>
        <v>27</v>
      </c>
      <c r="M142" s="14">
        <f>M20/VLOOKUP($C142,calendar!$A$2:$D$121,4,FALSE)</f>
        <v>500</v>
      </c>
      <c r="N142" s="14">
        <f>N20/VLOOKUP($C142,calendar!$A$2:$D$121,4,FALSE)</f>
        <v>150</v>
      </c>
      <c r="O142" s="14">
        <f>O20/VLOOKUP($C142,calendar!$A$2:$D$121,4,FALSE)</f>
        <v>250</v>
      </c>
      <c r="P142" s="14">
        <f>P20/VLOOKUP($C142,calendar!$A$2:$D$121,4,FALSE)</f>
        <v>0</v>
      </c>
      <c r="Q142" s="14">
        <f>Q20/VLOOKUP($C142,calendar!$A$2:$D$121,4,FALSE)</f>
        <v>0</v>
      </c>
      <c r="R142" s="14">
        <f>R20/VLOOKUP($C142,calendar!$A$2:$D$121,4,FALSE)</f>
        <v>50</v>
      </c>
    </row>
    <row r="143" spans="3:18" s="8" customFormat="1" x14ac:dyDescent="0.2">
      <c r="C143" s="9">
        <f t="shared" si="19"/>
        <v>37438</v>
      </c>
      <c r="E143" s="14">
        <f>E21/VLOOKUP($C143,calendar!$A$2:$D$121,4,FALSE)</f>
        <v>-1487.5454545454545</v>
      </c>
      <c r="F143" s="14">
        <f>F21/VLOOKUP($C143,calendar!$A$2:$D$121,4,FALSE)</f>
        <v>0</v>
      </c>
      <c r="G143" s="14">
        <f>G21/VLOOKUP($C143,calendar!$A$2:$D$121,4,FALSE)</f>
        <v>0</v>
      </c>
      <c r="H143" s="14">
        <f>H21/VLOOKUP($C143,calendar!$A$2:$D$121,4,FALSE)</f>
        <v>-300</v>
      </c>
      <c r="I143" s="14">
        <f>I21/VLOOKUP($C143,calendar!$A$2:$D$121,4,FALSE)</f>
        <v>-300</v>
      </c>
      <c r="J143" s="14">
        <f>J21/VLOOKUP($C143,calendar!$A$2:$D$121,4,FALSE)</f>
        <v>0</v>
      </c>
      <c r="K143" s="14">
        <f>K21/VLOOKUP($C143,calendar!$A$2:$D$121,4,FALSE)</f>
        <v>50</v>
      </c>
      <c r="L143" s="14">
        <f>L21/VLOOKUP($C143,calendar!$A$2:$D$121,4,FALSE)</f>
        <v>26</v>
      </c>
      <c r="M143" s="14">
        <f>M21/VLOOKUP($C143,calendar!$A$2:$D$121,4,FALSE)</f>
        <v>2750</v>
      </c>
      <c r="N143" s="14">
        <f>N21/VLOOKUP($C143,calendar!$A$2:$D$121,4,FALSE)</f>
        <v>650</v>
      </c>
      <c r="O143" s="14">
        <f>O21/VLOOKUP($C143,calendar!$A$2:$D$121,4,FALSE)</f>
        <v>350</v>
      </c>
      <c r="P143" s="14">
        <f>P21/VLOOKUP($C143,calendar!$A$2:$D$121,4,FALSE)</f>
        <v>-50</v>
      </c>
      <c r="Q143" s="14">
        <f>Q21/VLOOKUP($C143,calendar!$A$2:$D$121,4,FALSE)</f>
        <v>0</v>
      </c>
      <c r="R143" s="14">
        <f>R21/VLOOKUP($C143,calendar!$A$2:$D$121,4,FALSE)</f>
        <v>-700</v>
      </c>
    </row>
    <row r="144" spans="3:18" s="8" customFormat="1" x14ac:dyDescent="0.2">
      <c r="C144" s="9">
        <f t="shared" si="19"/>
        <v>37469</v>
      </c>
      <c r="E144" s="14">
        <f>E22/VLOOKUP($C144,calendar!$A$2:$D$121,4,FALSE)</f>
        <v>-1506.1639772727272</v>
      </c>
      <c r="F144" s="14">
        <f>F22/VLOOKUP($C144,calendar!$A$2:$D$121,4,FALSE)</f>
        <v>0</v>
      </c>
      <c r="G144" s="14">
        <f>G22/VLOOKUP($C144,calendar!$A$2:$D$121,4,FALSE)</f>
        <v>0</v>
      </c>
      <c r="H144" s="14">
        <f>H22/VLOOKUP($C144,calendar!$A$2:$D$121,4,FALSE)</f>
        <v>-300</v>
      </c>
      <c r="I144" s="14">
        <f>I22/VLOOKUP($C144,calendar!$A$2:$D$121,4,FALSE)</f>
        <v>-300</v>
      </c>
      <c r="J144" s="14">
        <f>J22/VLOOKUP($C144,calendar!$A$2:$D$121,4,FALSE)</f>
        <v>0</v>
      </c>
      <c r="K144" s="14">
        <f>K22/VLOOKUP($C144,calendar!$A$2:$D$121,4,FALSE)</f>
        <v>50</v>
      </c>
      <c r="L144" s="14">
        <f>L22/VLOOKUP($C144,calendar!$A$2:$D$121,4,FALSE)</f>
        <v>26</v>
      </c>
      <c r="M144" s="14">
        <f>M22/VLOOKUP($C144,calendar!$A$2:$D$121,4,FALSE)</f>
        <v>2750</v>
      </c>
      <c r="N144" s="14">
        <f>N22/VLOOKUP($C144,calendar!$A$2:$D$121,4,FALSE)</f>
        <v>650</v>
      </c>
      <c r="O144" s="14">
        <f>O22/VLOOKUP($C144,calendar!$A$2:$D$121,4,FALSE)</f>
        <v>350</v>
      </c>
      <c r="P144" s="14">
        <f>P22/VLOOKUP($C144,calendar!$A$2:$D$121,4,FALSE)</f>
        <v>-50</v>
      </c>
      <c r="Q144" s="14">
        <f>Q22/VLOOKUP($C144,calendar!$A$2:$D$121,4,FALSE)</f>
        <v>0</v>
      </c>
      <c r="R144" s="14">
        <f>R22/VLOOKUP($C144,calendar!$A$2:$D$121,4,FALSE)</f>
        <v>-700</v>
      </c>
    </row>
    <row r="145" spans="3:18" s="8" customFormat="1" x14ac:dyDescent="0.2">
      <c r="C145" s="9">
        <f t="shared" si="19"/>
        <v>37500</v>
      </c>
      <c r="E145" s="14">
        <f>E23/VLOOKUP($C145,calendar!$A$2:$D$121,4,FALSE)</f>
        <v>-2134.93228125</v>
      </c>
      <c r="F145" s="14">
        <f>F23/VLOOKUP($C145,calendar!$A$2:$D$121,4,FALSE)</f>
        <v>0</v>
      </c>
      <c r="G145" s="14">
        <f>G23/VLOOKUP($C145,calendar!$A$2:$D$121,4,FALSE)</f>
        <v>0</v>
      </c>
      <c r="H145" s="14">
        <f>H23/VLOOKUP($C145,calendar!$A$2:$D$121,4,FALSE)</f>
        <v>500</v>
      </c>
      <c r="I145" s="14">
        <f>I23/VLOOKUP($C145,calendar!$A$2:$D$121,4,FALSE)</f>
        <v>50</v>
      </c>
      <c r="J145" s="14">
        <f>J23/VLOOKUP($C145,calendar!$A$2:$D$121,4,FALSE)</f>
        <v>0</v>
      </c>
      <c r="K145" s="14">
        <f>K23/VLOOKUP($C145,calendar!$A$2:$D$121,4,FALSE)</f>
        <v>0</v>
      </c>
      <c r="L145" s="14">
        <f>L23/VLOOKUP($C145,calendar!$A$2:$D$121,4,FALSE)</f>
        <v>27</v>
      </c>
      <c r="M145" s="14">
        <f>M23/VLOOKUP($C145,calendar!$A$2:$D$121,4,FALSE)</f>
        <v>250</v>
      </c>
      <c r="N145" s="14">
        <f>N23/VLOOKUP($C145,calendar!$A$2:$D$121,4,FALSE)</f>
        <v>150</v>
      </c>
      <c r="O145" s="14">
        <f>O23/VLOOKUP($C145,calendar!$A$2:$D$121,4,FALSE)</f>
        <v>50</v>
      </c>
      <c r="P145" s="14">
        <f>P23/VLOOKUP($C145,calendar!$A$2:$D$121,4,FALSE)</f>
        <v>0</v>
      </c>
      <c r="Q145" s="14">
        <f>Q23/VLOOKUP($C145,calendar!$A$2:$D$121,4,FALSE)</f>
        <v>0</v>
      </c>
      <c r="R145" s="14">
        <f>R23/VLOOKUP($C145,calendar!$A$2:$D$121,4,FALSE)</f>
        <v>-50</v>
      </c>
    </row>
    <row r="146" spans="3:18" s="8" customFormat="1" x14ac:dyDescent="0.2">
      <c r="C146" s="9">
        <f t="shared" si="19"/>
        <v>37530</v>
      </c>
      <c r="E146" s="14">
        <f>E24/VLOOKUP($C146,calendar!$A$2:$D$121,4,FALSE)</f>
        <v>-616.39673913043475</v>
      </c>
      <c r="F146" s="14">
        <f>F24/VLOOKUP($C146,calendar!$A$2:$D$121,4,FALSE)</f>
        <v>0</v>
      </c>
      <c r="G146" s="14">
        <f>G24/VLOOKUP($C146,calendar!$A$2:$D$121,4,FALSE)</f>
        <v>0</v>
      </c>
      <c r="H146" s="14">
        <f>H24/VLOOKUP($C146,calendar!$A$2:$D$121,4,FALSE)</f>
        <v>250</v>
      </c>
      <c r="I146" s="14">
        <f>I24/VLOOKUP($C146,calendar!$A$2:$D$121,4,FALSE)</f>
        <v>0</v>
      </c>
      <c r="J146" s="14">
        <f>J24/VLOOKUP($C146,calendar!$A$2:$D$121,4,FALSE)</f>
        <v>0</v>
      </c>
      <c r="K146" s="14">
        <f>K24/VLOOKUP($C146,calendar!$A$2:$D$121,4,FALSE)</f>
        <v>500</v>
      </c>
      <c r="L146" s="14">
        <f>L24/VLOOKUP($C146,calendar!$A$2:$D$121,4,FALSE)</f>
        <v>27</v>
      </c>
      <c r="M146" s="14">
        <f>M24/VLOOKUP($C146,calendar!$A$2:$D$121,4,FALSE)</f>
        <v>500</v>
      </c>
      <c r="N146" s="14">
        <f>N24/VLOOKUP($C146,calendar!$A$2:$D$121,4,FALSE)</f>
        <v>600</v>
      </c>
      <c r="O146" s="14">
        <f>O24/VLOOKUP($C146,calendar!$A$2:$D$121,4,FALSE)</f>
        <v>850</v>
      </c>
      <c r="P146" s="14">
        <f>P24/VLOOKUP($C146,calendar!$A$2:$D$121,4,FALSE)</f>
        <v>0</v>
      </c>
      <c r="Q146" s="14">
        <f>Q24/VLOOKUP($C146,calendar!$A$2:$D$121,4,FALSE)</f>
        <v>-97.812826086956534</v>
      </c>
      <c r="R146" s="14">
        <f>R24/VLOOKUP($C146,calendar!$A$2:$D$121,4,FALSE)</f>
        <v>0</v>
      </c>
    </row>
    <row r="147" spans="3:18" s="8" customFormat="1" x14ac:dyDescent="0.2">
      <c r="C147" s="9">
        <f t="shared" si="19"/>
        <v>37561</v>
      </c>
      <c r="E147" s="14">
        <f>E25/VLOOKUP($C147,calendar!$A$2:$D$121,4,FALSE)</f>
        <v>-614.77640625000004</v>
      </c>
      <c r="F147" s="14">
        <f>F25/VLOOKUP($C147,calendar!$A$2:$D$121,4,FALSE)</f>
        <v>0</v>
      </c>
      <c r="G147" s="14">
        <f>G25/VLOOKUP($C147,calendar!$A$2:$D$121,4,FALSE)</f>
        <v>0</v>
      </c>
      <c r="H147" s="14">
        <f>H25/VLOOKUP($C147,calendar!$A$2:$D$121,4,FALSE)</f>
        <v>250</v>
      </c>
      <c r="I147" s="14">
        <f>I25/VLOOKUP($C147,calendar!$A$2:$D$121,4,FALSE)</f>
        <v>0</v>
      </c>
      <c r="J147" s="14">
        <f>J25/VLOOKUP($C147,calendar!$A$2:$D$121,4,FALSE)</f>
        <v>0</v>
      </c>
      <c r="K147" s="14">
        <f>K25/VLOOKUP($C147,calendar!$A$2:$D$121,4,FALSE)</f>
        <v>500</v>
      </c>
      <c r="L147" s="14">
        <f>L25/VLOOKUP($C147,calendar!$A$2:$D$121,4,FALSE)</f>
        <v>27</v>
      </c>
      <c r="M147" s="14">
        <f>M25/VLOOKUP($C147,calendar!$A$2:$D$121,4,FALSE)</f>
        <v>500</v>
      </c>
      <c r="N147" s="14">
        <f>N25/VLOOKUP($C147,calendar!$A$2:$D$121,4,FALSE)</f>
        <v>600</v>
      </c>
      <c r="O147" s="14">
        <f>O25/VLOOKUP($C147,calendar!$A$2:$D$121,4,FALSE)</f>
        <v>850</v>
      </c>
      <c r="P147" s="14">
        <f>P25/VLOOKUP($C147,calendar!$A$2:$D$121,4,FALSE)</f>
        <v>0</v>
      </c>
      <c r="Q147" s="14">
        <f>Q25/VLOOKUP($C147,calendar!$A$2:$D$121,4,FALSE)</f>
        <v>-97.554437499999992</v>
      </c>
      <c r="R147" s="14">
        <f>R25/VLOOKUP($C147,calendar!$A$2:$D$121,4,FALSE)</f>
        <v>0</v>
      </c>
    </row>
    <row r="148" spans="3:18" s="8" customFormat="1" x14ac:dyDescent="0.2">
      <c r="C148" s="9">
        <f t="shared" si="19"/>
        <v>37591</v>
      </c>
      <c r="E148" s="14">
        <f>E26/VLOOKUP($C148,calendar!$A$2:$D$121,4,FALSE)</f>
        <v>-612.974880952381</v>
      </c>
      <c r="F148" s="14">
        <f>F26/VLOOKUP($C148,calendar!$A$2:$D$121,4,FALSE)</f>
        <v>0</v>
      </c>
      <c r="G148" s="14">
        <f>G26/VLOOKUP($C148,calendar!$A$2:$D$121,4,FALSE)</f>
        <v>0</v>
      </c>
      <c r="H148" s="14">
        <f>H26/VLOOKUP($C148,calendar!$A$2:$D$121,4,FALSE)</f>
        <v>250</v>
      </c>
      <c r="I148" s="14">
        <f>I26/VLOOKUP($C148,calendar!$A$2:$D$121,4,FALSE)</f>
        <v>0</v>
      </c>
      <c r="J148" s="14">
        <f>J26/VLOOKUP($C148,calendar!$A$2:$D$121,4,FALSE)</f>
        <v>0</v>
      </c>
      <c r="K148" s="14">
        <f>K26/VLOOKUP($C148,calendar!$A$2:$D$121,4,FALSE)</f>
        <v>500</v>
      </c>
      <c r="L148" s="14">
        <f>L26/VLOOKUP($C148,calendar!$A$2:$D$121,4,FALSE)</f>
        <v>27</v>
      </c>
      <c r="M148" s="14">
        <f>M26/VLOOKUP($C148,calendar!$A$2:$D$121,4,FALSE)</f>
        <v>500</v>
      </c>
      <c r="N148" s="14">
        <f>N26/VLOOKUP($C148,calendar!$A$2:$D$121,4,FALSE)</f>
        <v>600</v>
      </c>
      <c r="O148" s="14">
        <f>O26/VLOOKUP($C148,calendar!$A$2:$D$121,4,FALSE)</f>
        <v>850</v>
      </c>
      <c r="P148" s="14">
        <f>P26/VLOOKUP($C148,calendar!$A$2:$D$121,4,FALSE)</f>
        <v>0</v>
      </c>
      <c r="Q148" s="14">
        <f>Q26/VLOOKUP($C148,calendar!$A$2:$D$121,4,FALSE)</f>
        <v>-97.269345238095241</v>
      </c>
      <c r="R148" s="14">
        <f>R26/VLOOKUP($C148,calendar!$A$2:$D$121,4,FALSE)</f>
        <v>0</v>
      </c>
    </row>
    <row r="149" spans="3:18" s="8" customFormat="1" x14ac:dyDescent="0.2">
      <c r="C149" s="9">
        <f t="shared" si="19"/>
        <v>37622</v>
      </c>
      <c r="E149" s="14">
        <f>E27/VLOOKUP($C149,calendar!$A$2:$D$121,4,FALSE)</f>
        <v>-559.50957386363632</v>
      </c>
      <c r="F149" s="14">
        <f>F27/VLOOKUP($C149,calendar!$A$2:$D$121,4,FALSE)</f>
        <v>0</v>
      </c>
      <c r="G149" s="14">
        <f>G27/VLOOKUP($C149,calendar!$A$2:$D$121,4,FALSE)</f>
        <v>0</v>
      </c>
      <c r="H149" s="14">
        <f>H27/VLOOKUP($C149,calendar!$A$2:$D$121,4,FALSE)</f>
        <v>-950</v>
      </c>
      <c r="I149" s="14">
        <f>I27/VLOOKUP($C149,calendar!$A$2:$D$121,4,FALSE)</f>
        <v>-50</v>
      </c>
      <c r="J149" s="14">
        <f>J27/VLOOKUP($C149,calendar!$A$2:$D$121,4,FALSE)</f>
        <v>0</v>
      </c>
      <c r="K149" s="14">
        <f>K27/VLOOKUP($C149,calendar!$A$2:$D$121,4,FALSE)</f>
        <v>-50</v>
      </c>
      <c r="L149" s="14">
        <f>L27/VLOOKUP($C149,calendar!$A$2:$D$121,4,FALSE)</f>
        <v>27</v>
      </c>
      <c r="M149" s="14">
        <f>M27/VLOOKUP($C149,calendar!$A$2:$D$121,4,FALSE)</f>
        <v>250</v>
      </c>
      <c r="N149" s="14">
        <f>N27/VLOOKUP($C149,calendar!$A$2:$D$121,4,FALSE)</f>
        <v>0</v>
      </c>
      <c r="O149" s="14">
        <f>O27/VLOOKUP($C149,calendar!$A$2:$D$121,4,FALSE)</f>
        <v>50</v>
      </c>
      <c r="P149" s="14">
        <f>P27/VLOOKUP($C149,calendar!$A$2:$D$121,4,FALSE)</f>
        <v>0</v>
      </c>
      <c r="Q149" s="14">
        <f>Q27/VLOOKUP($C149,calendar!$A$2:$D$121,4,FALSE)</f>
        <v>145.4530965909091</v>
      </c>
      <c r="R149" s="14">
        <f>R27/VLOOKUP($C149,calendar!$A$2:$D$121,4,FALSE)</f>
        <v>0</v>
      </c>
    </row>
    <row r="150" spans="3:18" s="8" customFormat="1" x14ac:dyDescent="0.2">
      <c r="C150" s="9">
        <f t="shared" si="19"/>
        <v>37653</v>
      </c>
      <c r="E150" s="14">
        <f>E28/VLOOKUP($C150,calendar!$A$2:$D$121,4,FALSE)</f>
        <v>-557.87946875</v>
      </c>
      <c r="F150" s="14">
        <f>F28/VLOOKUP($C150,calendar!$A$2:$D$121,4,FALSE)</f>
        <v>0</v>
      </c>
      <c r="G150" s="14">
        <f>G28/VLOOKUP($C150,calendar!$A$2:$D$121,4,FALSE)</f>
        <v>0</v>
      </c>
      <c r="H150" s="14">
        <f>H28/VLOOKUP($C150,calendar!$A$2:$D$121,4,FALSE)</f>
        <v>-950</v>
      </c>
      <c r="I150" s="14">
        <f>I28/VLOOKUP($C150,calendar!$A$2:$D$121,4,FALSE)</f>
        <v>-50</v>
      </c>
      <c r="J150" s="14">
        <f>J28/VLOOKUP($C150,calendar!$A$2:$D$121,4,FALSE)</f>
        <v>0</v>
      </c>
      <c r="K150" s="14">
        <f>K28/VLOOKUP($C150,calendar!$A$2:$D$121,4,FALSE)</f>
        <v>-50</v>
      </c>
      <c r="L150" s="14">
        <f>L28/VLOOKUP($C150,calendar!$A$2:$D$121,4,FALSE)</f>
        <v>27</v>
      </c>
      <c r="M150" s="14">
        <f>M28/VLOOKUP($C150,calendar!$A$2:$D$121,4,FALSE)</f>
        <v>250</v>
      </c>
      <c r="N150" s="14">
        <f>N28/VLOOKUP($C150,calendar!$A$2:$D$121,4,FALSE)</f>
        <v>0</v>
      </c>
      <c r="O150" s="14">
        <f>O28/VLOOKUP($C150,calendar!$A$2:$D$121,4,FALSE)</f>
        <v>50</v>
      </c>
      <c r="P150" s="14">
        <f>P28/VLOOKUP($C150,calendar!$A$2:$D$121,4,FALSE)</f>
        <v>0</v>
      </c>
      <c r="Q150" s="14">
        <f>Q28/VLOOKUP($C150,calendar!$A$2:$D$121,4,FALSE)</f>
        <v>145.0293125</v>
      </c>
      <c r="R150" s="14">
        <f>R28/VLOOKUP($C150,calendar!$A$2:$D$121,4,FALSE)</f>
        <v>0</v>
      </c>
    </row>
    <row r="151" spans="3:18" s="8" customFormat="1" x14ac:dyDescent="0.2">
      <c r="C151" s="9">
        <f t="shared" si="19"/>
        <v>37681</v>
      </c>
      <c r="E151" s="14">
        <f>E29/VLOOKUP($C151,calendar!$A$2:$D$121,4,FALSE)</f>
        <v>-459.64845238095239</v>
      </c>
      <c r="F151" s="14">
        <f>F29/VLOOKUP($C151,calendar!$A$2:$D$121,4,FALSE)</f>
        <v>0</v>
      </c>
      <c r="G151" s="14">
        <f>G29/VLOOKUP($C151,calendar!$A$2:$D$121,4,FALSE)</f>
        <v>0</v>
      </c>
      <c r="H151" s="14">
        <f>H29/VLOOKUP($C151,calendar!$A$2:$D$121,4,FALSE)</f>
        <v>-750</v>
      </c>
      <c r="I151" s="14">
        <f>I29/VLOOKUP($C151,calendar!$A$2:$D$121,4,FALSE)</f>
        <v>-50</v>
      </c>
      <c r="J151" s="14">
        <f>J29/VLOOKUP($C151,calendar!$A$2:$D$121,4,FALSE)</f>
        <v>0</v>
      </c>
      <c r="K151" s="14">
        <f>K29/VLOOKUP($C151,calendar!$A$2:$D$121,4,FALSE)</f>
        <v>-50</v>
      </c>
      <c r="L151" s="14">
        <f>L29/VLOOKUP($C151,calendar!$A$2:$D$121,4,FALSE)</f>
        <v>27</v>
      </c>
      <c r="M151" s="14">
        <f>M29/VLOOKUP($C151,calendar!$A$2:$D$121,4,FALSE)</f>
        <v>250</v>
      </c>
      <c r="N151" s="14">
        <f>N29/VLOOKUP($C151,calendar!$A$2:$D$121,4,FALSE)</f>
        <v>0</v>
      </c>
      <c r="O151" s="14">
        <f>O29/VLOOKUP($C151,calendar!$A$2:$D$121,4,FALSE)</f>
        <v>50</v>
      </c>
      <c r="P151" s="14">
        <f>P29/VLOOKUP($C151,calendar!$A$2:$D$121,4,FALSE)</f>
        <v>0</v>
      </c>
      <c r="Q151" s="14">
        <f>Q29/VLOOKUP($C151,calendar!$A$2:$D$121,4,FALSE)</f>
        <v>289.08708333333334</v>
      </c>
      <c r="R151" s="14">
        <f>R29/VLOOKUP($C151,calendar!$A$2:$D$121,4,FALSE)</f>
        <v>350</v>
      </c>
    </row>
    <row r="152" spans="3:18" s="8" customFormat="1" x14ac:dyDescent="0.2">
      <c r="C152" s="9">
        <f t="shared" si="19"/>
        <v>37712</v>
      </c>
      <c r="E152" s="14">
        <f>E30/VLOOKUP($C152,calendar!$A$2:$D$121,4,FALSE)</f>
        <v>-458.10028409090904</v>
      </c>
      <c r="F152" s="14">
        <f>F30/VLOOKUP($C152,calendar!$A$2:$D$121,4,FALSE)</f>
        <v>0</v>
      </c>
      <c r="G152" s="14">
        <f>G30/VLOOKUP($C152,calendar!$A$2:$D$121,4,FALSE)</f>
        <v>0</v>
      </c>
      <c r="H152" s="14">
        <f>H30/VLOOKUP($C152,calendar!$A$2:$D$121,4,FALSE)</f>
        <v>-750</v>
      </c>
      <c r="I152" s="14">
        <f>I30/VLOOKUP($C152,calendar!$A$2:$D$121,4,FALSE)</f>
        <v>-50</v>
      </c>
      <c r="J152" s="14">
        <f>J30/VLOOKUP($C152,calendar!$A$2:$D$121,4,FALSE)</f>
        <v>0</v>
      </c>
      <c r="K152" s="14">
        <f>K30/VLOOKUP($C152,calendar!$A$2:$D$121,4,FALSE)</f>
        <v>-50</v>
      </c>
      <c r="L152" s="14">
        <f>L30/VLOOKUP($C152,calendar!$A$2:$D$121,4,FALSE)</f>
        <v>27</v>
      </c>
      <c r="M152" s="14">
        <f>M30/VLOOKUP($C152,calendar!$A$2:$D$121,4,FALSE)</f>
        <v>250</v>
      </c>
      <c r="N152" s="14">
        <f>N30/VLOOKUP($C152,calendar!$A$2:$D$121,4,FALSE)</f>
        <v>0</v>
      </c>
      <c r="O152" s="14">
        <f>O30/VLOOKUP($C152,calendar!$A$2:$D$121,4,FALSE)</f>
        <v>50</v>
      </c>
      <c r="P152" s="14">
        <f>P30/VLOOKUP($C152,calendar!$A$2:$D$121,4,FALSE)</f>
        <v>0</v>
      </c>
      <c r="Q152" s="14">
        <f>Q30/VLOOKUP($C152,calendar!$A$2:$D$121,4,FALSE)</f>
        <v>288.11338068181817</v>
      </c>
      <c r="R152" s="14">
        <f>R30/VLOOKUP($C152,calendar!$A$2:$D$121,4,FALSE)</f>
        <v>350</v>
      </c>
    </row>
    <row r="153" spans="3:18" s="8" customFormat="1" x14ac:dyDescent="0.2">
      <c r="C153" s="9">
        <f t="shared" si="19"/>
        <v>37742</v>
      </c>
      <c r="E153" s="14">
        <f>E31/VLOOKUP($C153,calendar!$A$2:$D$121,4,FALSE)</f>
        <v>-731.56294642857142</v>
      </c>
      <c r="F153" s="14">
        <f>F31/VLOOKUP($C153,calendar!$A$2:$D$121,4,FALSE)</f>
        <v>0</v>
      </c>
      <c r="G153" s="14">
        <f>G31/VLOOKUP($C153,calendar!$A$2:$D$121,4,FALSE)</f>
        <v>0</v>
      </c>
      <c r="H153" s="14">
        <f>H31/VLOOKUP($C153,calendar!$A$2:$D$121,4,FALSE)</f>
        <v>-750</v>
      </c>
      <c r="I153" s="14">
        <f>I31/VLOOKUP($C153,calendar!$A$2:$D$121,4,FALSE)</f>
        <v>-100</v>
      </c>
      <c r="J153" s="14">
        <f>J31/VLOOKUP($C153,calendar!$A$2:$D$121,4,FALSE)</f>
        <v>0</v>
      </c>
      <c r="K153" s="14">
        <f>K31/VLOOKUP($C153,calendar!$A$2:$D$121,4,FALSE)</f>
        <v>-50</v>
      </c>
      <c r="L153" s="14">
        <f>L31/VLOOKUP($C153,calendar!$A$2:$D$121,4,FALSE)</f>
        <v>27</v>
      </c>
      <c r="M153" s="14">
        <f>M31/VLOOKUP($C153,calendar!$A$2:$D$121,4,FALSE)</f>
        <v>250</v>
      </c>
      <c r="N153" s="14">
        <f>N31/VLOOKUP($C153,calendar!$A$2:$D$121,4,FALSE)</f>
        <v>0</v>
      </c>
      <c r="O153" s="14">
        <f>O31/VLOOKUP($C153,calendar!$A$2:$D$121,4,FALSE)</f>
        <v>50</v>
      </c>
      <c r="P153" s="14">
        <f>P31/VLOOKUP($C153,calendar!$A$2:$D$121,4,FALSE)</f>
        <v>0</v>
      </c>
      <c r="Q153" s="14">
        <f>Q31/VLOOKUP($C153,calendar!$A$2:$D$121,4,FALSE)</f>
        <v>-47.845833333333339</v>
      </c>
      <c r="R153" s="14">
        <f>R31/VLOOKUP($C153,calendar!$A$2:$D$121,4,FALSE)</f>
        <v>500</v>
      </c>
    </row>
    <row r="154" spans="3:18" s="8" customFormat="1" x14ac:dyDescent="0.2">
      <c r="C154" s="9">
        <f t="shared" si="19"/>
        <v>37773</v>
      </c>
      <c r="E154" s="14">
        <f>E32/VLOOKUP($C154,calendar!$A$2:$D$121,4,FALSE)</f>
        <v>-550.15803571428569</v>
      </c>
      <c r="F154" s="14">
        <f>F32/VLOOKUP($C154,calendar!$A$2:$D$121,4,FALSE)</f>
        <v>0</v>
      </c>
      <c r="G154" s="14">
        <f>G32/VLOOKUP($C154,calendar!$A$2:$D$121,4,FALSE)</f>
        <v>0</v>
      </c>
      <c r="H154" s="14">
        <f>H32/VLOOKUP($C154,calendar!$A$2:$D$121,4,FALSE)</f>
        <v>-750</v>
      </c>
      <c r="I154" s="14">
        <f>I32/VLOOKUP($C154,calendar!$A$2:$D$121,4,FALSE)</f>
        <v>50</v>
      </c>
      <c r="J154" s="14">
        <f>J32/VLOOKUP($C154,calendar!$A$2:$D$121,4,FALSE)</f>
        <v>0</v>
      </c>
      <c r="K154" s="14">
        <f>K32/VLOOKUP($C154,calendar!$A$2:$D$121,4,FALSE)</f>
        <v>-100</v>
      </c>
      <c r="L154" s="14">
        <f>L32/VLOOKUP($C154,calendar!$A$2:$D$121,4,FALSE)</f>
        <v>27</v>
      </c>
      <c r="M154" s="14">
        <f>M32/VLOOKUP($C154,calendar!$A$2:$D$121,4,FALSE)</f>
        <v>250</v>
      </c>
      <c r="N154" s="14">
        <f>N32/VLOOKUP($C154,calendar!$A$2:$D$121,4,FALSE)</f>
        <v>0</v>
      </c>
      <c r="O154" s="14">
        <f>O32/VLOOKUP($C154,calendar!$A$2:$D$121,4,FALSE)</f>
        <v>100</v>
      </c>
      <c r="P154" s="14">
        <f>P32/VLOOKUP($C154,calendar!$A$2:$D$121,4,FALSE)</f>
        <v>0</v>
      </c>
      <c r="Q154" s="14">
        <f>Q32/VLOOKUP($C154,calendar!$A$2:$D$121,4,FALSE)</f>
        <v>-47.674017857142857</v>
      </c>
      <c r="R154" s="14">
        <f>R32/VLOOKUP($C154,calendar!$A$2:$D$121,4,FALSE)</f>
        <v>650</v>
      </c>
    </row>
    <row r="155" spans="3:18" s="8" customFormat="1" x14ac:dyDescent="0.2">
      <c r="C155" s="9">
        <f t="shared" si="19"/>
        <v>37803</v>
      </c>
      <c r="E155" s="14">
        <f>E33/VLOOKUP($C155,calendar!$A$2:$D$121,4,FALSE)</f>
        <v>-841.80178977272726</v>
      </c>
      <c r="F155" s="14">
        <f>F33/VLOOKUP($C155,calendar!$A$2:$D$121,4,FALSE)</f>
        <v>0</v>
      </c>
      <c r="G155" s="14">
        <f>G33/VLOOKUP($C155,calendar!$A$2:$D$121,4,FALSE)</f>
        <v>0</v>
      </c>
      <c r="H155" s="14">
        <f>H33/VLOOKUP($C155,calendar!$A$2:$D$121,4,FALSE)</f>
        <v>-1150</v>
      </c>
      <c r="I155" s="14">
        <f>I33/VLOOKUP($C155,calendar!$A$2:$D$121,4,FALSE)</f>
        <v>50</v>
      </c>
      <c r="J155" s="14">
        <f>J33/VLOOKUP($C155,calendar!$A$2:$D$121,4,FALSE)</f>
        <v>0</v>
      </c>
      <c r="K155" s="14">
        <f>K33/VLOOKUP($C155,calendar!$A$2:$D$121,4,FALSE)</f>
        <v>-100</v>
      </c>
      <c r="L155" s="14">
        <f>L33/VLOOKUP($C155,calendar!$A$2:$D$121,4,FALSE)</f>
        <v>26</v>
      </c>
      <c r="M155" s="14">
        <f>M33/VLOOKUP($C155,calendar!$A$2:$D$121,4,FALSE)</f>
        <v>150</v>
      </c>
      <c r="N155" s="14">
        <f>N33/VLOOKUP($C155,calendar!$A$2:$D$121,4,FALSE)</f>
        <v>0</v>
      </c>
      <c r="O155" s="14">
        <f>O33/VLOOKUP($C155,calendar!$A$2:$D$121,4,FALSE)</f>
        <v>100</v>
      </c>
      <c r="P155" s="14">
        <f>P33/VLOOKUP($C155,calendar!$A$2:$D$121,4,FALSE)</f>
        <v>0</v>
      </c>
      <c r="Q155" s="14">
        <f>Q33/VLOOKUP($C155,calendar!$A$2:$D$121,4,FALSE)</f>
        <v>-47.491477272727273</v>
      </c>
      <c r="R155" s="14">
        <f>R33/VLOOKUP($C155,calendar!$A$2:$D$121,4,FALSE)</f>
        <v>-150</v>
      </c>
    </row>
    <row r="156" spans="3:18" s="8" customFormat="1" x14ac:dyDescent="0.2">
      <c r="C156" s="9">
        <f t="shared" si="19"/>
        <v>37834</v>
      </c>
      <c r="E156" s="14">
        <f>E34/VLOOKUP($C156,calendar!$A$2:$D$121,4,FALSE)</f>
        <v>-862.32380952380947</v>
      </c>
      <c r="F156" s="14">
        <f>F34/VLOOKUP($C156,calendar!$A$2:$D$121,4,FALSE)</f>
        <v>0</v>
      </c>
      <c r="G156" s="14">
        <f>G34/VLOOKUP($C156,calendar!$A$2:$D$121,4,FALSE)</f>
        <v>0</v>
      </c>
      <c r="H156" s="14">
        <f>H34/VLOOKUP($C156,calendar!$A$2:$D$121,4,FALSE)</f>
        <v>-1150</v>
      </c>
      <c r="I156" s="14">
        <f>I34/VLOOKUP($C156,calendar!$A$2:$D$121,4,FALSE)</f>
        <v>50</v>
      </c>
      <c r="J156" s="14">
        <f>J34/VLOOKUP($C156,calendar!$A$2:$D$121,4,FALSE)</f>
        <v>0</v>
      </c>
      <c r="K156" s="14">
        <f>K34/VLOOKUP($C156,calendar!$A$2:$D$121,4,FALSE)</f>
        <v>-100</v>
      </c>
      <c r="L156" s="14">
        <f>L34/VLOOKUP($C156,calendar!$A$2:$D$121,4,FALSE)</f>
        <v>26</v>
      </c>
      <c r="M156" s="14">
        <f>M34/VLOOKUP($C156,calendar!$A$2:$D$121,4,FALSE)</f>
        <v>150</v>
      </c>
      <c r="N156" s="14">
        <f>N34/VLOOKUP($C156,calendar!$A$2:$D$121,4,FALSE)</f>
        <v>0</v>
      </c>
      <c r="O156" s="14">
        <f>O34/VLOOKUP($C156,calendar!$A$2:$D$121,4,FALSE)</f>
        <v>100</v>
      </c>
      <c r="P156" s="14">
        <f>P34/VLOOKUP($C156,calendar!$A$2:$D$121,4,FALSE)</f>
        <v>0</v>
      </c>
      <c r="Q156" s="14">
        <f>Q34/VLOOKUP($C156,calendar!$A$2:$D$121,4,FALSE)</f>
        <v>-47.304613095238096</v>
      </c>
      <c r="R156" s="14">
        <f>R34/VLOOKUP($C156,calendar!$A$2:$D$121,4,FALSE)</f>
        <v>-150</v>
      </c>
    </row>
    <row r="157" spans="3:18" s="8" customFormat="1" x14ac:dyDescent="0.2">
      <c r="C157" s="9">
        <f t="shared" ref="C157:C188" si="20">C35</f>
        <v>37865</v>
      </c>
      <c r="E157" s="14">
        <f>E35/VLOOKUP($C157,calendar!$A$2:$D$121,4,FALSE)</f>
        <v>-355.29684523809527</v>
      </c>
      <c r="F157" s="14">
        <f>F35/VLOOKUP($C157,calendar!$A$2:$D$121,4,FALSE)</f>
        <v>0</v>
      </c>
      <c r="G157" s="14">
        <f>G35/VLOOKUP($C157,calendar!$A$2:$D$121,4,FALSE)</f>
        <v>0</v>
      </c>
      <c r="H157" s="14">
        <f>H35/VLOOKUP($C157,calendar!$A$2:$D$121,4,FALSE)</f>
        <v>-650</v>
      </c>
      <c r="I157" s="14">
        <f>I35/VLOOKUP($C157,calendar!$A$2:$D$121,4,FALSE)</f>
        <v>-50</v>
      </c>
      <c r="J157" s="14">
        <f>J35/VLOOKUP($C157,calendar!$A$2:$D$121,4,FALSE)</f>
        <v>0</v>
      </c>
      <c r="K157" s="14">
        <f>K35/VLOOKUP($C157,calendar!$A$2:$D$121,4,FALSE)</f>
        <v>-50</v>
      </c>
      <c r="L157" s="14">
        <f>L35/VLOOKUP($C157,calendar!$A$2:$D$121,4,FALSE)</f>
        <v>27</v>
      </c>
      <c r="M157" s="14">
        <f>M35/VLOOKUP($C157,calendar!$A$2:$D$121,4,FALSE)</f>
        <v>250</v>
      </c>
      <c r="N157" s="14">
        <f>N35/VLOOKUP($C157,calendar!$A$2:$D$121,4,FALSE)</f>
        <v>0</v>
      </c>
      <c r="O157" s="14">
        <f>O35/VLOOKUP($C157,calendar!$A$2:$D$121,4,FALSE)</f>
        <v>100</v>
      </c>
      <c r="P157" s="14">
        <f>P35/VLOOKUP($C157,calendar!$A$2:$D$121,4,FALSE)</f>
        <v>0</v>
      </c>
      <c r="Q157" s="14">
        <f>Q35/VLOOKUP($C157,calendar!$A$2:$D$121,4,FALSE)</f>
        <v>-47.121607142857144</v>
      </c>
      <c r="R157" s="14">
        <f>R35/VLOOKUP($C157,calendar!$A$2:$D$121,4,FALSE)</f>
        <v>400</v>
      </c>
    </row>
    <row r="158" spans="3:18" s="8" customFormat="1" x14ac:dyDescent="0.2">
      <c r="C158" s="9">
        <f t="shared" si="20"/>
        <v>37895</v>
      </c>
      <c r="E158" s="14">
        <f>E36/VLOOKUP($C158,calendar!$A$2:$D$121,4,FALSE)</f>
        <v>-119.1988043478261</v>
      </c>
      <c r="F158" s="14">
        <f>F36/VLOOKUP($C158,calendar!$A$2:$D$121,4,FALSE)</f>
        <v>0</v>
      </c>
      <c r="G158" s="14">
        <f>G36/VLOOKUP($C158,calendar!$A$2:$D$121,4,FALSE)</f>
        <v>0</v>
      </c>
      <c r="H158" s="14">
        <f>H36/VLOOKUP($C158,calendar!$A$2:$D$121,4,FALSE)</f>
        <v>-600</v>
      </c>
      <c r="I158" s="14">
        <f>I36/VLOOKUP($C158,calendar!$A$2:$D$121,4,FALSE)</f>
        <v>100</v>
      </c>
      <c r="J158" s="14">
        <f>J36/VLOOKUP($C158,calendar!$A$2:$D$121,4,FALSE)</f>
        <v>0</v>
      </c>
      <c r="K158" s="14">
        <f>K36/VLOOKUP($C158,calendar!$A$2:$D$121,4,FALSE)</f>
        <v>-50</v>
      </c>
      <c r="L158" s="14">
        <f>L36/VLOOKUP($C158,calendar!$A$2:$D$121,4,FALSE)</f>
        <v>27</v>
      </c>
      <c r="M158" s="14">
        <f>M36/VLOOKUP($C158,calendar!$A$2:$D$121,4,FALSE)</f>
        <v>250</v>
      </c>
      <c r="N158" s="14">
        <f>N36/VLOOKUP($C158,calendar!$A$2:$D$121,4,FALSE)</f>
        <v>0</v>
      </c>
      <c r="O158" s="14">
        <f>O36/VLOOKUP($C158,calendar!$A$2:$D$121,4,FALSE)</f>
        <v>100</v>
      </c>
      <c r="P158" s="14">
        <f>P36/VLOOKUP($C158,calendar!$A$2:$D$121,4,FALSE)</f>
        <v>0</v>
      </c>
      <c r="Q158" s="14">
        <f>Q36/VLOOKUP($C158,calendar!$A$2:$D$121,4,FALSE)</f>
        <v>140.7860054347826</v>
      </c>
      <c r="R158" s="14">
        <f>R36/VLOOKUP($C158,calendar!$A$2:$D$121,4,FALSE)</f>
        <v>500</v>
      </c>
    </row>
    <row r="159" spans="3:18" s="8" customFormat="1" x14ac:dyDescent="0.2">
      <c r="C159" s="9">
        <f t="shared" si="20"/>
        <v>37926</v>
      </c>
      <c r="E159" s="14">
        <f>E37/VLOOKUP($C159,calendar!$A$2:$D$121,4,FALSE)</f>
        <v>-118.71575657894736</v>
      </c>
      <c r="F159" s="14">
        <f>F37/VLOOKUP($C159,calendar!$A$2:$D$121,4,FALSE)</f>
        <v>0</v>
      </c>
      <c r="G159" s="14">
        <f>G37/VLOOKUP($C159,calendar!$A$2:$D$121,4,FALSE)</f>
        <v>0</v>
      </c>
      <c r="H159" s="14">
        <f>H37/VLOOKUP($C159,calendar!$A$2:$D$121,4,FALSE)</f>
        <v>-600</v>
      </c>
      <c r="I159" s="14">
        <f>I37/VLOOKUP($C159,calendar!$A$2:$D$121,4,FALSE)</f>
        <v>100</v>
      </c>
      <c r="J159" s="14">
        <f>J37/VLOOKUP($C159,calendar!$A$2:$D$121,4,FALSE)</f>
        <v>0</v>
      </c>
      <c r="K159" s="14">
        <f>K37/VLOOKUP($C159,calendar!$A$2:$D$121,4,FALSE)</f>
        <v>-50</v>
      </c>
      <c r="L159" s="14">
        <f>L37/VLOOKUP($C159,calendar!$A$2:$D$121,4,FALSE)</f>
        <v>27</v>
      </c>
      <c r="M159" s="14">
        <f>M37/VLOOKUP($C159,calendar!$A$2:$D$121,4,FALSE)</f>
        <v>250</v>
      </c>
      <c r="N159" s="14">
        <f>N37/VLOOKUP($C159,calendar!$A$2:$D$121,4,FALSE)</f>
        <v>0</v>
      </c>
      <c r="O159" s="14">
        <f>O37/VLOOKUP($C159,calendar!$A$2:$D$121,4,FALSE)</f>
        <v>100</v>
      </c>
      <c r="P159" s="14">
        <f>P37/VLOOKUP($C159,calendar!$A$2:$D$121,4,FALSE)</f>
        <v>0</v>
      </c>
      <c r="Q159" s="14">
        <f>Q37/VLOOKUP($C159,calendar!$A$2:$D$121,4,FALSE)</f>
        <v>140.21549342105263</v>
      </c>
      <c r="R159" s="14">
        <f>R37/VLOOKUP($C159,calendar!$A$2:$D$121,4,FALSE)</f>
        <v>500</v>
      </c>
    </row>
    <row r="160" spans="3:18" s="8" customFormat="1" x14ac:dyDescent="0.2">
      <c r="C160" s="9">
        <f t="shared" si="20"/>
        <v>37956</v>
      </c>
      <c r="E160" s="14">
        <f>E38/VLOOKUP($C160,calendar!$A$2:$D$121,4,FALSE)</f>
        <v>-118.21022727272727</v>
      </c>
      <c r="F160" s="14">
        <f>F38/VLOOKUP($C160,calendar!$A$2:$D$121,4,FALSE)</f>
        <v>0</v>
      </c>
      <c r="G160" s="14">
        <f>G38/VLOOKUP($C160,calendar!$A$2:$D$121,4,FALSE)</f>
        <v>0</v>
      </c>
      <c r="H160" s="14">
        <f>H38/VLOOKUP($C160,calendar!$A$2:$D$121,4,FALSE)</f>
        <v>-600</v>
      </c>
      <c r="I160" s="14">
        <f>I38/VLOOKUP($C160,calendar!$A$2:$D$121,4,FALSE)</f>
        <v>100</v>
      </c>
      <c r="J160" s="14">
        <f>J38/VLOOKUP($C160,calendar!$A$2:$D$121,4,FALSE)</f>
        <v>0</v>
      </c>
      <c r="K160" s="14">
        <f>K38/VLOOKUP($C160,calendar!$A$2:$D$121,4,FALSE)</f>
        <v>-50</v>
      </c>
      <c r="L160" s="14">
        <f>L38/VLOOKUP($C160,calendar!$A$2:$D$121,4,FALSE)</f>
        <v>27</v>
      </c>
      <c r="M160" s="14">
        <f>M38/VLOOKUP($C160,calendar!$A$2:$D$121,4,FALSE)</f>
        <v>250</v>
      </c>
      <c r="N160" s="14">
        <f>N38/VLOOKUP($C160,calendar!$A$2:$D$121,4,FALSE)</f>
        <v>0</v>
      </c>
      <c r="O160" s="14">
        <f>O38/VLOOKUP($C160,calendar!$A$2:$D$121,4,FALSE)</f>
        <v>100</v>
      </c>
      <c r="P160" s="14">
        <f>P38/VLOOKUP($C160,calendar!$A$2:$D$121,4,FALSE)</f>
        <v>0</v>
      </c>
      <c r="Q160" s="14">
        <f>Q38/VLOOKUP($C160,calendar!$A$2:$D$121,4,FALSE)</f>
        <v>139.61823863636366</v>
      </c>
      <c r="R160" s="14">
        <f>R38/VLOOKUP($C160,calendar!$A$2:$D$121,4,FALSE)</f>
        <v>500</v>
      </c>
    </row>
    <row r="161" spans="3:18" s="8" customFormat="1" x14ac:dyDescent="0.2">
      <c r="C161" s="9">
        <f t="shared" si="20"/>
        <v>37987</v>
      </c>
      <c r="E161" s="14">
        <f>E39/VLOOKUP($C161,calendar!$A$2:$D$121,4,FALSE)</f>
        <v>21.314880952380953</v>
      </c>
      <c r="F161" s="14">
        <f>F39/VLOOKUP($C161,calendar!$A$2:$D$121,4,FALSE)</f>
        <v>0</v>
      </c>
      <c r="G161" s="14">
        <f>G39/VLOOKUP($C161,calendar!$A$2:$D$121,4,FALSE)</f>
        <v>0</v>
      </c>
      <c r="H161" s="14">
        <f>H39/VLOOKUP($C161,calendar!$A$2:$D$121,4,FALSE)</f>
        <v>0</v>
      </c>
      <c r="I161" s="14">
        <f>I39/VLOOKUP($C161,calendar!$A$2:$D$121,4,FALSE)</f>
        <v>100</v>
      </c>
      <c r="J161" s="14">
        <f>J39/VLOOKUP($C161,calendar!$A$2:$D$121,4,FALSE)</f>
        <v>0</v>
      </c>
      <c r="K161" s="14">
        <f>K39/VLOOKUP($C161,calendar!$A$2:$D$121,4,FALSE)</f>
        <v>0</v>
      </c>
      <c r="L161" s="14">
        <f>L39/VLOOKUP($C161,calendar!$A$2:$D$121,4,FALSE)</f>
        <v>0</v>
      </c>
      <c r="M161" s="14">
        <f>M39/VLOOKUP($C161,calendar!$A$2:$D$121,4,FALSE)</f>
        <v>-50</v>
      </c>
      <c r="N161" s="14">
        <f>N39/VLOOKUP($C161,calendar!$A$2:$D$121,4,FALSE)</f>
        <v>0</v>
      </c>
      <c r="O161" s="14">
        <f>O39/VLOOKUP($C161,calendar!$A$2:$D$121,4,FALSE)</f>
        <v>0</v>
      </c>
      <c r="P161" s="14">
        <f>P39/VLOOKUP($C161,calendar!$A$2:$D$121,4,FALSE)</f>
        <v>0</v>
      </c>
      <c r="Q161" s="14">
        <f>Q39/VLOOKUP($C161,calendar!$A$2:$D$121,4,FALSE)</f>
        <v>-1.8571428571428572</v>
      </c>
      <c r="R161" s="14">
        <f>R39/VLOOKUP($C161,calendar!$A$2:$D$121,4,FALSE)</f>
        <v>200</v>
      </c>
    </row>
    <row r="162" spans="3:18" s="8" customFormat="1" x14ac:dyDescent="0.2">
      <c r="C162" s="9">
        <f t="shared" si="20"/>
        <v>38018</v>
      </c>
      <c r="E162" s="14">
        <f>E40/VLOOKUP($C162,calendar!$A$2:$D$121,4,FALSE)</f>
        <v>21.227062499999999</v>
      </c>
      <c r="F162" s="14">
        <f>F40/VLOOKUP($C162,calendar!$A$2:$D$121,4,FALSE)</f>
        <v>0</v>
      </c>
      <c r="G162" s="14">
        <f>G40/VLOOKUP($C162,calendar!$A$2:$D$121,4,FALSE)</f>
        <v>0</v>
      </c>
      <c r="H162" s="14">
        <f>H40/VLOOKUP($C162,calendar!$A$2:$D$121,4,FALSE)</f>
        <v>0</v>
      </c>
      <c r="I162" s="14">
        <f>I40/VLOOKUP($C162,calendar!$A$2:$D$121,4,FALSE)</f>
        <v>100</v>
      </c>
      <c r="J162" s="14">
        <f>J40/VLOOKUP($C162,calendar!$A$2:$D$121,4,FALSE)</f>
        <v>0</v>
      </c>
      <c r="K162" s="14">
        <f>K40/VLOOKUP($C162,calendar!$A$2:$D$121,4,FALSE)</f>
        <v>0</v>
      </c>
      <c r="L162" s="14">
        <f>L40/VLOOKUP($C162,calendar!$A$2:$D$121,4,FALSE)</f>
        <v>0</v>
      </c>
      <c r="M162" s="14">
        <f>M40/VLOOKUP($C162,calendar!$A$2:$D$121,4,FALSE)</f>
        <v>-50</v>
      </c>
      <c r="N162" s="14">
        <f>N40/VLOOKUP($C162,calendar!$A$2:$D$121,4,FALSE)</f>
        <v>0</v>
      </c>
      <c r="O162" s="14">
        <f>O40/VLOOKUP($C162,calendar!$A$2:$D$121,4,FALSE)</f>
        <v>0</v>
      </c>
      <c r="P162" s="14">
        <f>P40/VLOOKUP($C162,calendar!$A$2:$D$121,4,FALSE)</f>
        <v>0</v>
      </c>
      <c r="Q162" s="14">
        <f>Q40/VLOOKUP($C162,calendar!$A$2:$D$121,4,FALSE)</f>
        <v>-1.8497812499999999</v>
      </c>
      <c r="R162" s="14">
        <f>R40/VLOOKUP($C162,calendar!$A$2:$D$121,4,FALSE)</f>
        <v>200</v>
      </c>
    </row>
    <row r="163" spans="3:18" s="8" customFormat="1" x14ac:dyDescent="0.2">
      <c r="C163" s="9">
        <f t="shared" si="20"/>
        <v>38047</v>
      </c>
      <c r="E163" s="14">
        <f>E41/VLOOKUP($C163,calendar!$A$2:$D$121,4,FALSE)</f>
        <v>21.133532608695653</v>
      </c>
      <c r="F163" s="14">
        <f>F41/VLOOKUP($C163,calendar!$A$2:$D$121,4,FALSE)</f>
        <v>0</v>
      </c>
      <c r="G163" s="14">
        <f>G41/VLOOKUP($C163,calendar!$A$2:$D$121,4,FALSE)</f>
        <v>0</v>
      </c>
      <c r="H163" s="14">
        <f>H41/VLOOKUP($C163,calendar!$A$2:$D$121,4,FALSE)</f>
        <v>0</v>
      </c>
      <c r="I163" s="14">
        <f>I41/VLOOKUP($C163,calendar!$A$2:$D$121,4,FALSE)</f>
        <v>100</v>
      </c>
      <c r="J163" s="14">
        <f>J41/VLOOKUP($C163,calendar!$A$2:$D$121,4,FALSE)</f>
        <v>0</v>
      </c>
      <c r="K163" s="14">
        <f>K41/VLOOKUP($C163,calendar!$A$2:$D$121,4,FALSE)</f>
        <v>0</v>
      </c>
      <c r="L163" s="14">
        <f>L41/VLOOKUP($C163,calendar!$A$2:$D$121,4,FALSE)</f>
        <v>0</v>
      </c>
      <c r="M163" s="14">
        <f>M41/VLOOKUP($C163,calendar!$A$2:$D$121,4,FALSE)</f>
        <v>-50</v>
      </c>
      <c r="N163" s="14">
        <f>N41/VLOOKUP($C163,calendar!$A$2:$D$121,4,FALSE)</f>
        <v>0</v>
      </c>
      <c r="O163" s="14">
        <f>O41/VLOOKUP($C163,calendar!$A$2:$D$121,4,FALSE)</f>
        <v>0</v>
      </c>
      <c r="P163" s="14">
        <f>P41/VLOOKUP($C163,calendar!$A$2:$D$121,4,FALSE)</f>
        <v>0</v>
      </c>
      <c r="Q163" s="14">
        <f>Q41/VLOOKUP($C163,calendar!$A$2:$D$121,4,FALSE)</f>
        <v>-1.8410869565217391</v>
      </c>
      <c r="R163" s="14">
        <f>R41/VLOOKUP($C163,calendar!$A$2:$D$121,4,FALSE)</f>
        <v>200</v>
      </c>
    </row>
    <row r="164" spans="3:18" s="8" customFormat="1" x14ac:dyDescent="0.2">
      <c r="C164" s="9">
        <f t="shared" si="20"/>
        <v>38078</v>
      </c>
      <c r="E164" s="14">
        <f>E42/VLOOKUP($C164,calendar!$A$2:$D$121,4,FALSE)</f>
        <v>21.04221590909091</v>
      </c>
      <c r="F164" s="14">
        <f>F42/VLOOKUP($C164,calendar!$A$2:$D$121,4,FALSE)</f>
        <v>0</v>
      </c>
      <c r="G164" s="14">
        <f>G42/VLOOKUP($C164,calendar!$A$2:$D$121,4,FALSE)</f>
        <v>0</v>
      </c>
      <c r="H164" s="14">
        <f>H42/VLOOKUP($C164,calendar!$A$2:$D$121,4,FALSE)</f>
        <v>0</v>
      </c>
      <c r="I164" s="14">
        <f>I42/VLOOKUP($C164,calendar!$A$2:$D$121,4,FALSE)</f>
        <v>100</v>
      </c>
      <c r="J164" s="14">
        <f>J42/VLOOKUP($C164,calendar!$A$2:$D$121,4,FALSE)</f>
        <v>0</v>
      </c>
      <c r="K164" s="14">
        <f>K42/VLOOKUP($C164,calendar!$A$2:$D$121,4,FALSE)</f>
        <v>0</v>
      </c>
      <c r="L164" s="14">
        <f>L42/VLOOKUP($C164,calendar!$A$2:$D$121,4,FALSE)</f>
        <v>0</v>
      </c>
      <c r="M164" s="14">
        <f>M42/VLOOKUP($C164,calendar!$A$2:$D$121,4,FALSE)</f>
        <v>-50</v>
      </c>
      <c r="N164" s="14">
        <f>N42/VLOOKUP($C164,calendar!$A$2:$D$121,4,FALSE)</f>
        <v>0</v>
      </c>
      <c r="O164" s="14">
        <f>O42/VLOOKUP($C164,calendar!$A$2:$D$121,4,FALSE)</f>
        <v>0</v>
      </c>
      <c r="P164" s="14">
        <f>P42/VLOOKUP($C164,calendar!$A$2:$D$121,4,FALSE)</f>
        <v>0</v>
      </c>
      <c r="Q164" s="14">
        <f>Q42/VLOOKUP($C164,calendar!$A$2:$D$121,4,FALSE)</f>
        <v>-2.7498295454545456</v>
      </c>
      <c r="R164" s="14">
        <f>R42/VLOOKUP($C164,calendar!$A$2:$D$121,4,FALSE)</f>
        <v>200</v>
      </c>
    </row>
    <row r="165" spans="3:18" s="8" customFormat="1" x14ac:dyDescent="0.2">
      <c r="C165" s="9">
        <f t="shared" si="20"/>
        <v>38108</v>
      </c>
      <c r="E165" s="14">
        <f>E43/VLOOKUP($C165,calendar!$A$2:$D$121,4,FALSE)</f>
        <v>20.947125</v>
      </c>
      <c r="F165" s="14">
        <f>F43/VLOOKUP($C165,calendar!$A$2:$D$121,4,FALSE)</f>
        <v>0</v>
      </c>
      <c r="G165" s="14">
        <f>G43/VLOOKUP($C165,calendar!$A$2:$D$121,4,FALSE)</f>
        <v>0</v>
      </c>
      <c r="H165" s="14">
        <f>H43/VLOOKUP($C165,calendar!$A$2:$D$121,4,FALSE)</f>
        <v>0</v>
      </c>
      <c r="I165" s="14">
        <f>I43/VLOOKUP($C165,calendar!$A$2:$D$121,4,FALSE)</f>
        <v>100</v>
      </c>
      <c r="J165" s="14">
        <f>J43/VLOOKUP($C165,calendar!$A$2:$D$121,4,FALSE)</f>
        <v>0</v>
      </c>
      <c r="K165" s="14">
        <f>K43/VLOOKUP($C165,calendar!$A$2:$D$121,4,FALSE)</f>
        <v>0</v>
      </c>
      <c r="L165" s="14">
        <f>L43/VLOOKUP($C165,calendar!$A$2:$D$121,4,FALSE)</f>
        <v>0</v>
      </c>
      <c r="M165" s="14">
        <f>M43/VLOOKUP($C165,calendar!$A$2:$D$121,4,FALSE)</f>
        <v>-50</v>
      </c>
      <c r="N165" s="14">
        <f>N43/VLOOKUP($C165,calendar!$A$2:$D$121,4,FALSE)</f>
        <v>0</v>
      </c>
      <c r="O165" s="14">
        <f>O43/VLOOKUP($C165,calendar!$A$2:$D$121,4,FALSE)</f>
        <v>0</v>
      </c>
      <c r="P165" s="14">
        <f>P43/VLOOKUP($C165,calendar!$A$2:$D$121,4,FALSE)</f>
        <v>0</v>
      </c>
      <c r="Q165" s="14">
        <f>Q43/VLOOKUP($C165,calendar!$A$2:$D$121,4,FALSE)</f>
        <v>-2.7374999999999998</v>
      </c>
      <c r="R165" s="14">
        <f>R43/VLOOKUP($C165,calendar!$A$2:$D$121,4,FALSE)</f>
        <v>200</v>
      </c>
    </row>
    <row r="166" spans="3:18" s="8" customFormat="1" x14ac:dyDescent="0.2">
      <c r="C166" s="9">
        <f t="shared" si="20"/>
        <v>38139</v>
      </c>
      <c r="E166" s="14">
        <f>E44/VLOOKUP($C166,calendar!$A$2:$D$121,4,FALSE)</f>
        <v>-477.85329545454539</v>
      </c>
      <c r="F166" s="14">
        <f>F44/VLOOKUP($C166,calendar!$A$2:$D$121,4,FALSE)</f>
        <v>0</v>
      </c>
      <c r="G166" s="14">
        <f>G44/VLOOKUP($C166,calendar!$A$2:$D$121,4,FALSE)</f>
        <v>0</v>
      </c>
      <c r="H166" s="14">
        <f>H44/VLOOKUP($C166,calendar!$A$2:$D$121,4,FALSE)</f>
        <v>0</v>
      </c>
      <c r="I166" s="14">
        <f>I44/VLOOKUP($C166,calendar!$A$2:$D$121,4,FALSE)</f>
        <v>100</v>
      </c>
      <c r="J166" s="14">
        <f>J44/VLOOKUP($C166,calendar!$A$2:$D$121,4,FALSE)</f>
        <v>0</v>
      </c>
      <c r="K166" s="14">
        <f>K44/VLOOKUP($C166,calendar!$A$2:$D$121,4,FALSE)</f>
        <v>0</v>
      </c>
      <c r="L166" s="14">
        <f>L44/VLOOKUP($C166,calendar!$A$2:$D$121,4,FALSE)</f>
        <v>0</v>
      </c>
      <c r="M166" s="14">
        <f>M44/VLOOKUP($C166,calendar!$A$2:$D$121,4,FALSE)</f>
        <v>-50</v>
      </c>
      <c r="N166" s="14">
        <f>N44/VLOOKUP($C166,calendar!$A$2:$D$121,4,FALSE)</f>
        <v>0</v>
      </c>
      <c r="O166" s="14">
        <f>O44/VLOOKUP($C166,calendar!$A$2:$D$121,4,FALSE)</f>
        <v>0</v>
      </c>
      <c r="P166" s="14">
        <f>P44/VLOOKUP($C166,calendar!$A$2:$D$121,4,FALSE)</f>
        <v>0</v>
      </c>
      <c r="Q166" s="14">
        <f>Q44/VLOOKUP($C166,calendar!$A$2:$D$121,4,FALSE)</f>
        <v>-230.31897727272727</v>
      </c>
      <c r="R166" s="14">
        <f>R44/VLOOKUP($C166,calendar!$A$2:$D$121,4,FALSE)</f>
        <v>200</v>
      </c>
    </row>
    <row r="167" spans="3:18" s="8" customFormat="1" x14ac:dyDescent="0.2">
      <c r="C167" s="9">
        <f t="shared" si="20"/>
        <v>38169</v>
      </c>
      <c r="E167" s="14">
        <f>E45/VLOOKUP($C167,calendar!$A$2:$D$121,4,FALSE)</f>
        <v>-114.62636904761905</v>
      </c>
      <c r="F167" s="14">
        <f>F45/VLOOKUP($C167,calendar!$A$2:$D$121,4,FALSE)</f>
        <v>0</v>
      </c>
      <c r="G167" s="14">
        <f>G45/VLOOKUP($C167,calendar!$A$2:$D$121,4,FALSE)</f>
        <v>0</v>
      </c>
      <c r="H167" s="14">
        <f>H45/VLOOKUP($C167,calendar!$A$2:$D$121,4,FALSE)</f>
        <v>0</v>
      </c>
      <c r="I167" s="14">
        <f>I45/VLOOKUP($C167,calendar!$A$2:$D$121,4,FALSE)</f>
        <v>100</v>
      </c>
      <c r="J167" s="14">
        <f>J45/VLOOKUP($C167,calendar!$A$2:$D$121,4,FALSE)</f>
        <v>0</v>
      </c>
      <c r="K167" s="14">
        <f>K45/VLOOKUP($C167,calendar!$A$2:$D$121,4,FALSE)</f>
        <v>0</v>
      </c>
      <c r="L167" s="14">
        <f>L45/VLOOKUP($C167,calendar!$A$2:$D$121,4,FALSE)</f>
        <v>-1</v>
      </c>
      <c r="M167" s="14">
        <f>M45/VLOOKUP($C167,calendar!$A$2:$D$121,4,FALSE)</f>
        <v>-50</v>
      </c>
      <c r="N167" s="14">
        <f>N45/VLOOKUP($C167,calendar!$A$2:$D$121,4,FALSE)</f>
        <v>0</v>
      </c>
      <c r="O167" s="14">
        <f>O45/VLOOKUP($C167,calendar!$A$2:$D$121,4,FALSE)</f>
        <v>0</v>
      </c>
      <c r="P167" s="14">
        <f>P45/VLOOKUP($C167,calendar!$A$2:$D$121,4,FALSE)</f>
        <v>0</v>
      </c>
      <c r="Q167" s="14">
        <f>Q45/VLOOKUP($C167,calendar!$A$2:$D$121,4,FALSE)</f>
        <v>-94.77928571428572</v>
      </c>
      <c r="R167" s="14">
        <f>R45/VLOOKUP($C167,calendar!$A$2:$D$121,4,FALSE)</f>
        <v>350</v>
      </c>
    </row>
    <row r="168" spans="3:18" s="8" customFormat="1" x14ac:dyDescent="0.2">
      <c r="C168" s="9">
        <f t="shared" si="20"/>
        <v>38200</v>
      </c>
      <c r="E168" s="14">
        <f>E46/VLOOKUP($C168,calendar!$A$2:$D$121,4,FALSE)</f>
        <v>-114.09394886363636</v>
      </c>
      <c r="F168" s="14">
        <f>F46/VLOOKUP($C168,calendar!$A$2:$D$121,4,FALSE)</f>
        <v>0</v>
      </c>
      <c r="G168" s="14">
        <f>G46/VLOOKUP($C168,calendar!$A$2:$D$121,4,FALSE)</f>
        <v>0</v>
      </c>
      <c r="H168" s="14">
        <f>H46/VLOOKUP($C168,calendar!$A$2:$D$121,4,FALSE)</f>
        <v>0</v>
      </c>
      <c r="I168" s="14">
        <f>I46/VLOOKUP($C168,calendar!$A$2:$D$121,4,FALSE)</f>
        <v>100</v>
      </c>
      <c r="J168" s="14">
        <f>J46/VLOOKUP($C168,calendar!$A$2:$D$121,4,FALSE)</f>
        <v>0</v>
      </c>
      <c r="K168" s="14">
        <f>K46/VLOOKUP($C168,calendar!$A$2:$D$121,4,FALSE)</f>
        <v>0</v>
      </c>
      <c r="L168" s="14">
        <f>L46/VLOOKUP($C168,calendar!$A$2:$D$121,4,FALSE)</f>
        <v>-1</v>
      </c>
      <c r="M168" s="14">
        <f>M46/VLOOKUP($C168,calendar!$A$2:$D$121,4,FALSE)</f>
        <v>-50</v>
      </c>
      <c r="N168" s="14">
        <f>N46/VLOOKUP($C168,calendar!$A$2:$D$121,4,FALSE)</f>
        <v>0</v>
      </c>
      <c r="O168" s="14">
        <f>O46/VLOOKUP($C168,calendar!$A$2:$D$121,4,FALSE)</f>
        <v>0</v>
      </c>
      <c r="P168" s="14">
        <f>P46/VLOOKUP($C168,calendar!$A$2:$D$121,4,FALSE)</f>
        <v>0</v>
      </c>
      <c r="Q168" s="14">
        <f>Q46/VLOOKUP($C168,calendar!$A$2:$D$121,4,FALSE)</f>
        <v>-93.437727272727273</v>
      </c>
      <c r="R168" s="14">
        <f>R46/VLOOKUP($C168,calendar!$A$2:$D$121,4,FALSE)</f>
        <v>350</v>
      </c>
    </row>
    <row r="169" spans="3:18" s="8" customFormat="1" x14ac:dyDescent="0.2">
      <c r="C169" s="9">
        <f t="shared" si="20"/>
        <v>38231</v>
      </c>
      <c r="E169" s="14">
        <f>E47/VLOOKUP($C169,calendar!$A$2:$D$121,4,FALSE)</f>
        <v>20.569613095238097</v>
      </c>
      <c r="F169" s="14">
        <f>F47/VLOOKUP($C169,calendar!$A$2:$D$121,4,FALSE)</f>
        <v>0</v>
      </c>
      <c r="G169" s="14">
        <f>G47/VLOOKUP($C169,calendar!$A$2:$D$121,4,FALSE)</f>
        <v>0</v>
      </c>
      <c r="H169" s="14">
        <f>H47/VLOOKUP($C169,calendar!$A$2:$D$121,4,FALSE)</f>
        <v>0</v>
      </c>
      <c r="I169" s="14">
        <f>I47/VLOOKUP($C169,calendar!$A$2:$D$121,4,FALSE)</f>
        <v>100</v>
      </c>
      <c r="J169" s="14">
        <f>J47/VLOOKUP($C169,calendar!$A$2:$D$121,4,FALSE)</f>
        <v>0</v>
      </c>
      <c r="K169" s="14">
        <f>K47/VLOOKUP($C169,calendar!$A$2:$D$121,4,FALSE)</f>
        <v>0</v>
      </c>
      <c r="L169" s="14">
        <f>L47/VLOOKUP($C169,calendar!$A$2:$D$121,4,FALSE)</f>
        <v>0</v>
      </c>
      <c r="M169" s="14">
        <f>M47/VLOOKUP($C169,calendar!$A$2:$D$121,4,FALSE)</f>
        <v>-50</v>
      </c>
      <c r="N169" s="14">
        <f>N47/VLOOKUP($C169,calendar!$A$2:$D$121,4,FALSE)</f>
        <v>0</v>
      </c>
      <c r="O169" s="14">
        <f>O47/VLOOKUP($C169,calendar!$A$2:$D$121,4,FALSE)</f>
        <v>0</v>
      </c>
      <c r="P169" s="14">
        <f>P47/VLOOKUP($C169,calendar!$A$2:$D$121,4,FALSE)</f>
        <v>0</v>
      </c>
      <c r="Q169" s="14">
        <f>Q47/VLOOKUP($C169,calendar!$A$2:$D$121,4,FALSE)</f>
        <v>-2.6882440476190474</v>
      </c>
      <c r="R169" s="14">
        <f>R47/VLOOKUP($C169,calendar!$A$2:$D$121,4,FALSE)</f>
        <v>200</v>
      </c>
    </row>
    <row r="170" spans="3:18" s="8" customFormat="1" x14ac:dyDescent="0.2">
      <c r="C170" s="9">
        <f t="shared" si="20"/>
        <v>38261</v>
      </c>
      <c r="E170" s="14">
        <f>E48/VLOOKUP($C170,calendar!$A$2:$D$121,4,FALSE)</f>
        <v>20.472797619047618</v>
      </c>
      <c r="F170" s="14">
        <f>F48/VLOOKUP($C170,calendar!$A$2:$D$121,4,FALSE)</f>
        <v>0</v>
      </c>
      <c r="G170" s="14">
        <f>G48/VLOOKUP($C170,calendar!$A$2:$D$121,4,FALSE)</f>
        <v>0</v>
      </c>
      <c r="H170" s="14">
        <f>H48/VLOOKUP($C170,calendar!$A$2:$D$121,4,FALSE)</f>
        <v>0</v>
      </c>
      <c r="I170" s="14">
        <f>I48/VLOOKUP($C170,calendar!$A$2:$D$121,4,FALSE)</f>
        <v>100</v>
      </c>
      <c r="J170" s="14">
        <f>J48/VLOOKUP($C170,calendar!$A$2:$D$121,4,FALSE)</f>
        <v>0</v>
      </c>
      <c r="K170" s="14">
        <f>K48/VLOOKUP($C170,calendar!$A$2:$D$121,4,FALSE)</f>
        <v>0</v>
      </c>
      <c r="L170" s="14">
        <f>L48/VLOOKUP($C170,calendar!$A$2:$D$121,4,FALSE)</f>
        <v>0</v>
      </c>
      <c r="M170" s="14">
        <f>M48/VLOOKUP($C170,calendar!$A$2:$D$121,4,FALSE)</f>
        <v>-50</v>
      </c>
      <c r="N170" s="14">
        <f>N48/VLOOKUP($C170,calendar!$A$2:$D$121,4,FALSE)</f>
        <v>0</v>
      </c>
      <c r="O170" s="14">
        <f>O48/VLOOKUP($C170,calendar!$A$2:$D$121,4,FALSE)</f>
        <v>0</v>
      </c>
      <c r="P170" s="14">
        <f>P48/VLOOKUP($C170,calendar!$A$2:$D$121,4,FALSE)</f>
        <v>0</v>
      </c>
      <c r="Q170" s="14">
        <f>Q48/VLOOKUP($C170,calendar!$A$2:$D$121,4,FALSE)</f>
        <v>-2.6764880952380952</v>
      </c>
      <c r="R170" s="14">
        <f>R48/VLOOKUP($C170,calendar!$A$2:$D$121,4,FALSE)</f>
        <v>200</v>
      </c>
    </row>
    <row r="171" spans="3:18" s="8" customFormat="1" x14ac:dyDescent="0.2">
      <c r="C171" s="9">
        <f t="shared" si="20"/>
        <v>38292</v>
      </c>
      <c r="E171" s="14">
        <f>E49/VLOOKUP($C171,calendar!$A$2:$D$121,4,FALSE)</f>
        <v>20.378630952380952</v>
      </c>
      <c r="F171" s="14">
        <f>F49/VLOOKUP($C171,calendar!$A$2:$D$121,4,FALSE)</f>
        <v>0</v>
      </c>
      <c r="G171" s="14">
        <f>G49/VLOOKUP($C171,calendar!$A$2:$D$121,4,FALSE)</f>
        <v>0</v>
      </c>
      <c r="H171" s="14">
        <f>H49/VLOOKUP($C171,calendar!$A$2:$D$121,4,FALSE)</f>
        <v>0</v>
      </c>
      <c r="I171" s="14">
        <f>I49/VLOOKUP($C171,calendar!$A$2:$D$121,4,FALSE)</f>
        <v>100</v>
      </c>
      <c r="J171" s="14">
        <f>J49/VLOOKUP($C171,calendar!$A$2:$D$121,4,FALSE)</f>
        <v>0</v>
      </c>
      <c r="K171" s="14">
        <f>K49/VLOOKUP($C171,calendar!$A$2:$D$121,4,FALSE)</f>
        <v>0</v>
      </c>
      <c r="L171" s="14">
        <f>L49/VLOOKUP($C171,calendar!$A$2:$D$121,4,FALSE)</f>
        <v>0</v>
      </c>
      <c r="M171" s="14">
        <f>M49/VLOOKUP($C171,calendar!$A$2:$D$121,4,FALSE)</f>
        <v>-50</v>
      </c>
      <c r="N171" s="14">
        <f>N49/VLOOKUP($C171,calendar!$A$2:$D$121,4,FALSE)</f>
        <v>0</v>
      </c>
      <c r="O171" s="14">
        <f>O49/VLOOKUP($C171,calendar!$A$2:$D$121,4,FALSE)</f>
        <v>0</v>
      </c>
      <c r="P171" s="14">
        <f>P49/VLOOKUP($C171,calendar!$A$2:$D$121,4,FALSE)</f>
        <v>0</v>
      </c>
      <c r="Q171" s="14">
        <f>Q49/VLOOKUP($C171,calendar!$A$2:$D$121,4,FALSE)</f>
        <v>-2.6633928571428571</v>
      </c>
      <c r="R171" s="14">
        <f>R49/VLOOKUP($C171,calendar!$A$2:$D$121,4,FALSE)</f>
        <v>200</v>
      </c>
    </row>
    <row r="172" spans="3:18" s="8" customFormat="1" x14ac:dyDescent="0.2">
      <c r="C172" s="9">
        <f t="shared" si="20"/>
        <v>38322</v>
      </c>
      <c r="E172" s="14">
        <f>E50/VLOOKUP($C172,calendar!$A$2:$D$121,4,FALSE)</f>
        <v>20.281195652173913</v>
      </c>
      <c r="F172" s="14">
        <f>F50/VLOOKUP($C172,calendar!$A$2:$D$121,4,FALSE)</f>
        <v>0</v>
      </c>
      <c r="G172" s="14">
        <f>G50/VLOOKUP($C172,calendar!$A$2:$D$121,4,FALSE)</f>
        <v>0</v>
      </c>
      <c r="H172" s="14">
        <f>H50/VLOOKUP($C172,calendar!$A$2:$D$121,4,FALSE)</f>
        <v>0</v>
      </c>
      <c r="I172" s="14">
        <f>I50/VLOOKUP($C172,calendar!$A$2:$D$121,4,FALSE)</f>
        <v>100</v>
      </c>
      <c r="J172" s="14">
        <f>J50/VLOOKUP($C172,calendar!$A$2:$D$121,4,FALSE)</f>
        <v>0</v>
      </c>
      <c r="K172" s="14">
        <f>K50/VLOOKUP($C172,calendar!$A$2:$D$121,4,FALSE)</f>
        <v>0</v>
      </c>
      <c r="L172" s="14">
        <f>L50/VLOOKUP($C172,calendar!$A$2:$D$121,4,FALSE)</f>
        <v>0</v>
      </c>
      <c r="M172" s="14">
        <f>M50/VLOOKUP($C172,calendar!$A$2:$D$121,4,FALSE)</f>
        <v>-50</v>
      </c>
      <c r="N172" s="14">
        <f>N50/VLOOKUP($C172,calendar!$A$2:$D$121,4,FALSE)</f>
        <v>0</v>
      </c>
      <c r="O172" s="14">
        <f>O50/VLOOKUP($C172,calendar!$A$2:$D$121,4,FALSE)</f>
        <v>0</v>
      </c>
      <c r="P172" s="14">
        <f>P50/VLOOKUP($C172,calendar!$A$2:$D$121,4,FALSE)</f>
        <v>0</v>
      </c>
      <c r="Q172" s="14">
        <f>Q50/VLOOKUP($C172,calendar!$A$2:$D$121,4,FALSE)</f>
        <v>-2.6507065217391306</v>
      </c>
      <c r="R172" s="14">
        <f>R50/VLOOKUP($C172,calendar!$A$2:$D$121,4,FALSE)</f>
        <v>200</v>
      </c>
    </row>
    <row r="173" spans="3:18" s="8" customFormat="1" x14ac:dyDescent="0.2">
      <c r="C173" s="9">
        <f t="shared" si="20"/>
        <v>38353</v>
      </c>
      <c r="E173" s="14">
        <f>E51/VLOOKUP($C173,calendar!$A$2:$D$121,4,FALSE)</f>
        <v>-67.569285714285712</v>
      </c>
      <c r="F173" s="14">
        <f>F51/VLOOKUP($C173,calendar!$A$2:$D$121,4,FALSE)</f>
        <v>0</v>
      </c>
      <c r="G173" s="14">
        <f>G51/VLOOKUP($C173,calendar!$A$2:$D$121,4,FALSE)</f>
        <v>0</v>
      </c>
      <c r="H173" s="14">
        <f>H51/VLOOKUP($C173,calendar!$A$2:$D$121,4,FALSE)</f>
        <v>-50</v>
      </c>
      <c r="I173" s="14">
        <f>I51/VLOOKUP($C173,calendar!$A$2:$D$121,4,FALSE)</f>
        <v>25</v>
      </c>
      <c r="J173" s="14">
        <f>J51/VLOOKUP($C173,calendar!$A$2:$D$121,4,FALSE)</f>
        <v>0</v>
      </c>
      <c r="K173" s="14">
        <f>K51/VLOOKUP($C173,calendar!$A$2:$D$121,4,FALSE)</f>
        <v>0</v>
      </c>
      <c r="L173" s="14">
        <f>L51/VLOOKUP($C173,calendar!$A$2:$D$121,4,FALSE)</f>
        <v>0</v>
      </c>
      <c r="M173" s="14">
        <f>M51/VLOOKUP($C173,calendar!$A$2:$D$121,4,FALSE)</f>
        <v>0</v>
      </c>
      <c r="N173" s="14">
        <f>N51/VLOOKUP($C173,calendar!$A$2:$D$121,4,FALSE)</f>
        <v>0</v>
      </c>
      <c r="O173" s="14">
        <f>O51/VLOOKUP($C173,calendar!$A$2:$D$121,4,FALSE)</f>
        <v>0</v>
      </c>
      <c r="P173" s="14">
        <f>P51/VLOOKUP($C173,calendar!$A$2:$D$121,4,FALSE)</f>
        <v>0</v>
      </c>
      <c r="Q173" s="14">
        <f>Q51/VLOOKUP($C173,calendar!$A$2:$D$121,4,FALSE)</f>
        <v>107.93175595238095</v>
      </c>
      <c r="R173" s="14">
        <f>R51/VLOOKUP($C173,calendar!$A$2:$D$121,4,FALSE)</f>
        <v>50</v>
      </c>
    </row>
    <row r="174" spans="3:18" s="8" customFormat="1" x14ac:dyDescent="0.2">
      <c r="C174" s="9">
        <f t="shared" si="20"/>
        <v>38384</v>
      </c>
      <c r="E174" s="14">
        <f>E52/VLOOKUP($C174,calendar!$A$2:$D$121,4,FALSE)</f>
        <v>-67.273749999999993</v>
      </c>
      <c r="F174" s="14">
        <f>F52/VLOOKUP($C174,calendar!$A$2:$D$121,4,FALSE)</f>
        <v>0</v>
      </c>
      <c r="G174" s="14">
        <f>G52/VLOOKUP($C174,calendar!$A$2:$D$121,4,FALSE)</f>
        <v>0</v>
      </c>
      <c r="H174" s="14">
        <f>H52/VLOOKUP($C174,calendar!$A$2:$D$121,4,FALSE)</f>
        <v>-50</v>
      </c>
      <c r="I174" s="14">
        <f>I52/VLOOKUP($C174,calendar!$A$2:$D$121,4,FALSE)</f>
        <v>25</v>
      </c>
      <c r="J174" s="14">
        <f>J52/VLOOKUP($C174,calendar!$A$2:$D$121,4,FALSE)</f>
        <v>0</v>
      </c>
      <c r="K174" s="14">
        <f>K52/VLOOKUP($C174,calendar!$A$2:$D$121,4,FALSE)</f>
        <v>0</v>
      </c>
      <c r="L174" s="14">
        <f>L52/VLOOKUP($C174,calendar!$A$2:$D$121,4,FALSE)</f>
        <v>0</v>
      </c>
      <c r="M174" s="14">
        <f>M52/VLOOKUP($C174,calendar!$A$2:$D$121,4,FALSE)</f>
        <v>0</v>
      </c>
      <c r="N174" s="14">
        <f>N52/VLOOKUP($C174,calendar!$A$2:$D$121,4,FALSE)</f>
        <v>0</v>
      </c>
      <c r="O174" s="14">
        <f>O52/VLOOKUP($C174,calendar!$A$2:$D$121,4,FALSE)</f>
        <v>0</v>
      </c>
      <c r="P174" s="14">
        <f>P52/VLOOKUP($C174,calendar!$A$2:$D$121,4,FALSE)</f>
        <v>0</v>
      </c>
      <c r="Q174" s="14">
        <f>Q52/VLOOKUP($C174,calendar!$A$2:$D$121,4,FALSE)</f>
        <v>107.4596875</v>
      </c>
      <c r="R174" s="14">
        <f>R52/VLOOKUP($C174,calendar!$A$2:$D$121,4,FALSE)</f>
        <v>50</v>
      </c>
    </row>
    <row r="175" spans="3:18" s="8" customFormat="1" x14ac:dyDescent="0.2">
      <c r="C175" s="9">
        <f t="shared" si="20"/>
        <v>38412</v>
      </c>
      <c r="E175" s="14">
        <f>E53/VLOOKUP($C175,calendar!$A$2:$D$121,4,FALSE)</f>
        <v>-66.949646739130444</v>
      </c>
      <c r="F175" s="14">
        <f>F53/VLOOKUP($C175,calendar!$A$2:$D$121,4,FALSE)</f>
        <v>0</v>
      </c>
      <c r="G175" s="14">
        <f>G53/VLOOKUP($C175,calendar!$A$2:$D$121,4,FALSE)</f>
        <v>0</v>
      </c>
      <c r="H175" s="14">
        <f>H53/VLOOKUP($C175,calendar!$A$2:$D$121,4,FALSE)</f>
        <v>-50</v>
      </c>
      <c r="I175" s="14">
        <f>I53/VLOOKUP($C175,calendar!$A$2:$D$121,4,FALSE)</f>
        <v>25</v>
      </c>
      <c r="J175" s="14">
        <f>J53/VLOOKUP($C175,calendar!$A$2:$D$121,4,FALSE)</f>
        <v>0</v>
      </c>
      <c r="K175" s="14">
        <f>K53/VLOOKUP($C175,calendar!$A$2:$D$121,4,FALSE)</f>
        <v>0</v>
      </c>
      <c r="L175" s="14">
        <f>L53/VLOOKUP($C175,calendar!$A$2:$D$121,4,FALSE)</f>
        <v>0</v>
      </c>
      <c r="M175" s="14">
        <f>M53/VLOOKUP($C175,calendar!$A$2:$D$121,4,FALSE)</f>
        <v>0</v>
      </c>
      <c r="N175" s="14">
        <f>N53/VLOOKUP($C175,calendar!$A$2:$D$121,4,FALSE)</f>
        <v>0</v>
      </c>
      <c r="O175" s="14">
        <f>O53/VLOOKUP($C175,calendar!$A$2:$D$121,4,FALSE)</f>
        <v>0</v>
      </c>
      <c r="P175" s="14">
        <f>P53/VLOOKUP($C175,calendar!$A$2:$D$121,4,FALSE)</f>
        <v>0</v>
      </c>
      <c r="Q175" s="14">
        <f>Q53/VLOOKUP($C175,calendar!$A$2:$D$121,4,FALSE)</f>
        <v>106.94203804347826</v>
      </c>
      <c r="R175" s="14">
        <f>R53/VLOOKUP($C175,calendar!$A$2:$D$121,4,FALSE)</f>
        <v>50</v>
      </c>
    </row>
    <row r="176" spans="3:18" s="8" customFormat="1" x14ac:dyDescent="0.2">
      <c r="C176" s="9">
        <f t="shared" si="20"/>
        <v>38443</v>
      </c>
      <c r="E176" s="14">
        <f>E54/VLOOKUP($C176,calendar!$A$2:$D$121,4,FALSE)</f>
        <v>-66.63568452380953</v>
      </c>
      <c r="F176" s="14">
        <f>F54/VLOOKUP($C176,calendar!$A$2:$D$121,4,FALSE)</f>
        <v>0</v>
      </c>
      <c r="G176" s="14">
        <f>G54/VLOOKUP($C176,calendar!$A$2:$D$121,4,FALSE)</f>
        <v>0</v>
      </c>
      <c r="H176" s="14">
        <f>H54/VLOOKUP($C176,calendar!$A$2:$D$121,4,FALSE)</f>
        <v>-50</v>
      </c>
      <c r="I176" s="14">
        <f>I54/VLOOKUP($C176,calendar!$A$2:$D$121,4,FALSE)</f>
        <v>25</v>
      </c>
      <c r="J176" s="14">
        <f>J54/VLOOKUP($C176,calendar!$A$2:$D$121,4,FALSE)</f>
        <v>0</v>
      </c>
      <c r="K176" s="14">
        <f>K54/VLOOKUP($C176,calendar!$A$2:$D$121,4,FALSE)</f>
        <v>0</v>
      </c>
      <c r="L176" s="14">
        <f>L54/VLOOKUP($C176,calendar!$A$2:$D$121,4,FALSE)</f>
        <v>0</v>
      </c>
      <c r="M176" s="14">
        <f>M54/VLOOKUP($C176,calendar!$A$2:$D$121,4,FALSE)</f>
        <v>0</v>
      </c>
      <c r="N176" s="14">
        <f>N54/VLOOKUP($C176,calendar!$A$2:$D$121,4,FALSE)</f>
        <v>0</v>
      </c>
      <c r="O176" s="14">
        <f>O54/VLOOKUP($C176,calendar!$A$2:$D$121,4,FALSE)</f>
        <v>0</v>
      </c>
      <c r="P176" s="14">
        <f>P54/VLOOKUP($C176,calendar!$A$2:$D$121,4,FALSE)</f>
        <v>0</v>
      </c>
      <c r="Q176" s="14">
        <f>Q54/VLOOKUP($C176,calendar!$A$2:$D$121,4,FALSE)</f>
        <v>105.5728869047619</v>
      </c>
      <c r="R176" s="14">
        <f>R54/VLOOKUP($C176,calendar!$A$2:$D$121,4,FALSE)</f>
        <v>50</v>
      </c>
    </row>
    <row r="177" spans="3:18" s="8" customFormat="1" x14ac:dyDescent="0.2">
      <c r="C177" s="9">
        <f t="shared" si="20"/>
        <v>38473</v>
      </c>
      <c r="E177" s="14">
        <f>E55/VLOOKUP($C177,calendar!$A$2:$D$121,4,FALSE)</f>
        <v>-66.31113095238095</v>
      </c>
      <c r="F177" s="14">
        <f>F55/VLOOKUP($C177,calendar!$A$2:$D$121,4,FALSE)</f>
        <v>0</v>
      </c>
      <c r="G177" s="14">
        <f>G55/VLOOKUP($C177,calendar!$A$2:$D$121,4,FALSE)</f>
        <v>0</v>
      </c>
      <c r="H177" s="14">
        <f>H55/VLOOKUP($C177,calendar!$A$2:$D$121,4,FALSE)</f>
        <v>-50</v>
      </c>
      <c r="I177" s="14">
        <f>I55/VLOOKUP($C177,calendar!$A$2:$D$121,4,FALSE)</f>
        <v>25</v>
      </c>
      <c r="J177" s="14">
        <f>J55/VLOOKUP($C177,calendar!$A$2:$D$121,4,FALSE)</f>
        <v>0</v>
      </c>
      <c r="K177" s="14">
        <f>K55/VLOOKUP($C177,calendar!$A$2:$D$121,4,FALSE)</f>
        <v>0</v>
      </c>
      <c r="L177" s="14">
        <f>L55/VLOOKUP($C177,calendar!$A$2:$D$121,4,FALSE)</f>
        <v>0</v>
      </c>
      <c r="M177" s="14">
        <f>M55/VLOOKUP($C177,calendar!$A$2:$D$121,4,FALSE)</f>
        <v>0</v>
      </c>
      <c r="N177" s="14">
        <f>N55/VLOOKUP($C177,calendar!$A$2:$D$121,4,FALSE)</f>
        <v>0</v>
      </c>
      <c r="O177" s="14">
        <f>O55/VLOOKUP($C177,calendar!$A$2:$D$121,4,FALSE)</f>
        <v>0</v>
      </c>
      <c r="P177" s="14">
        <f>P55/VLOOKUP($C177,calendar!$A$2:$D$121,4,FALSE)</f>
        <v>0</v>
      </c>
      <c r="Q177" s="14">
        <f>Q55/VLOOKUP($C177,calendar!$A$2:$D$121,4,FALSE)</f>
        <v>105.05910714285714</v>
      </c>
      <c r="R177" s="14">
        <f>R55/VLOOKUP($C177,calendar!$A$2:$D$121,4,FALSE)</f>
        <v>50</v>
      </c>
    </row>
    <row r="178" spans="3:18" s="8" customFormat="1" x14ac:dyDescent="0.2">
      <c r="C178" s="9">
        <f t="shared" si="20"/>
        <v>38504</v>
      </c>
      <c r="E178" s="14">
        <f>E56/VLOOKUP($C178,calendar!$A$2:$D$121,4,FALSE)</f>
        <v>-108.85511363636364</v>
      </c>
      <c r="F178" s="14">
        <f>F56/VLOOKUP($C178,calendar!$A$2:$D$121,4,FALSE)</f>
        <v>0</v>
      </c>
      <c r="G178" s="14">
        <f>G56/VLOOKUP($C178,calendar!$A$2:$D$121,4,FALSE)</f>
        <v>0</v>
      </c>
      <c r="H178" s="14">
        <f>H56/VLOOKUP($C178,calendar!$A$2:$D$121,4,FALSE)</f>
        <v>-50</v>
      </c>
      <c r="I178" s="14">
        <f>I56/VLOOKUP($C178,calendar!$A$2:$D$121,4,FALSE)</f>
        <v>25</v>
      </c>
      <c r="J178" s="14">
        <f>J56/VLOOKUP($C178,calendar!$A$2:$D$121,4,FALSE)</f>
        <v>0</v>
      </c>
      <c r="K178" s="14">
        <f>K56/VLOOKUP($C178,calendar!$A$2:$D$121,4,FALSE)</f>
        <v>0</v>
      </c>
      <c r="L178" s="14">
        <f>L56/VLOOKUP($C178,calendar!$A$2:$D$121,4,FALSE)</f>
        <v>0</v>
      </c>
      <c r="M178" s="14">
        <f>M56/VLOOKUP($C178,calendar!$A$2:$D$121,4,FALSE)</f>
        <v>0</v>
      </c>
      <c r="N178" s="14">
        <f>N56/VLOOKUP($C178,calendar!$A$2:$D$121,4,FALSE)</f>
        <v>0</v>
      </c>
      <c r="O178" s="14">
        <f>O56/VLOOKUP($C178,calendar!$A$2:$D$121,4,FALSE)</f>
        <v>0</v>
      </c>
      <c r="P178" s="14">
        <f>P56/VLOOKUP($C178,calendar!$A$2:$D$121,4,FALSE)</f>
        <v>0</v>
      </c>
      <c r="Q178" s="14">
        <f>Q56/VLOOKUP($C178,calendar!$A$2:$D$121,4,FALSE)</f>
        <v>103.70576704545455</v>
      </c>
      <c r="R178" s="14">
        <f>R56/VLOOKUP($C178,calendar!$A$2:$D$121,4,FALSE)</f>
        <v>50</v>
      </c>
    </row>
    <row r="179" spans="3:18" s="8" customFormat="1" x14ac:dyDescent="0.2">
      <c r="C179" s="9">
        <f t="shared" si="20"/>
        <v>38534</v>
      </c>
      <c r="E179" s="14">
        <f>E57/VLOOKUP($C179,calendar!$A$2:$D$121,4,FALSE)</f>
        <v>-65.674999999999997</v>
      </c>
      <c r="F179" s="14">
        <f>F57/VLOOKUP($C179,calendar!$A$2:$D$121,4,FALSE)</f>
        <v>0</v>
      </c>
      <c r="G179" s="14">
        <f>G57/VLOOKUP($C179,calendar!$A$2:$D$121,4,FALSE)</f>
        <v>0</v>
      </c>
      <c r="H179" s="14">
        <f>H57/VLOOKUP($C179,calendar!$A$2:$D$121,4,FALSE)</f>
        <v>-50</v>
      </c>
      <c r="I179" s="14">
        <f>I57/VLOOKUP($C179,calendar!$A$2:$D$121,4,FALSE)</f>
        <v>25</v>
      </c>
      <c r="J179" s="14">
        <f>J57/VLOOKUP($C179,calendar!$A$2:$D$121,4,FALSE)</f>
        <v>0</v>
      </c>
      <c r="K179" s="14">
        <f>K57/VLOOKUP($C179,calendar!$A$2:$D$121,4,FALSE)</f>
        <v>0</v>
      </c>
      <c r="L179" s="14">
        <f>L57/VLOOKUP($C179,calendar!$A$2:$D$121,4,FALSE)</f>
        <v>-1</v>
      </c>
      <c r="M179" s="14">
        <f>M57/VLOOKUP($C179,calendar!$A$2:$D$121,4,FALSE)</f>
        <v>0</v>
      </c>
      <c r="N179" s="14">
        <f>N57/VLOOKUP($C179,calendar!$A$2:$D$121,4,FALSE)</f>
        <v>0</v>
      </c>
      <c r="O179" s="14">
        <f>O57/VLOOKUP($C179,calendar!$A$2:$D$121,4,FALSE)</f>
        <v>0</v>
      </c>
      <c r="P179" s="14">
        <f>P57/VLOOKUP($C179,calendar!$A$2:$D$121,4,FALSE)</f>
        <v>0</v>
      </c>
      <c r="Q179" s="14">
        <f>Q57/VLOOKUP($C179,calendar!$A$2:$D$121,4,FALSE)</f>
        <v>102.340625</v>
      </c>
      <c r="R179" s="14">
        <f>R57/VLOOKUP($C179,calendar!$A$2:$D$121,4,FALSE)</f>
        <v>50</v>
      </c>
    </row>
    <row r="180" spans="3:18" s="8" customFormat="1" x14ac:dyDescent="0.2">
      <c r="C180" s="9">
        <f t="shared" si="20"/>
        <v>38565</v>
      </c>
      <c r="E180" s="14">
        <f>E58/VLOOKUP($C180,calendar!$A$2:$D$121,4,FALSE)</f>
        <v>-65.350543478260875</v>
      </c>
      <c r="F180" s="14">
        <f>F58/VLOOKUP($C180,calendar!$A$2:$D$121,4,FALSE)</f>
        <v>0</v>
      </c>
      <c r="G180" s="14">
        <f>G58/VLOOKUP($C180,calendar!$A$2:$D$121,4,FALSE)</f>
        <v>0</v>
      </c>
      <c r="H180" s="14">
        <f>H58/VLOOKUP($C180,calendar!$A$2:$D$121,4,FALSE)</f>
        <v>-50</v>
      </c>
      <c r="I180" s="14">
        <f>I58/VLOOKUP($C180,calendar!$A$2:$D$121,4,FALSE)</f>
        <v>25</v>
      </c>
      <c r="J180" s="14">
        <f>J58/VLOOKUP($C180,calendar!$A$2:$D$121,4,FALSE)</f>
        <v>0</v>
      </c>
      <c r="K180" s="14">
        <f>K58/VLOOKUP($C180,calendar!$A$2:$D$121,4,FALSE)</f>
        <v>0</v>
      </c>
      <c r="L180" s="14">
        <f>L58/VLOOKUP($C180,calendar!$A$2:$D$121,4,FALSE)</f>
        <v>-1</v>
      </c>
      <c r="M180" s="14">
        <f>M58/VLOOKUP($C180,calendar!$A$2:$D$121,4,FALSE)</f>
        <v>0</v>
      </c>
      <c r="N180" s="14">
        <f>N58/VLOOKUP($C180,calendar!$A$2:$D$121,4,FALSE)</f>
        <v>0</v>
      </c>
      <c r="O180" s="14">
        <f>O58/VLOOKUP($C180,calendar!$A$2:$D$121,4,FALSE)</f>
        <v>0</v>
      </c>
      <c r="P180" s="14">
        <f>P58/VLOOKUP($C180,calendar!$A$2:$D$121,4,FALSE)</f>
        <v>0</v>
      </c>
      <c r="Q180" s="14">
        <f>Q58/VLOOKUP($C180,calendar!$A$2:$D$121,4,FALSE)</f>
        <v>102.6875</v>
      </c>
      <c r="R180" s="14">
        <f>R58/VLOOKUP($C180,calendar!$A$2:$D$121,4,FALSE)</f>
        <v>50</v>
      </c>
    </row>
    <row r="181" spans="3:18" s="8" customFormat="1" x14ac:dyDescent="0.2">
      <c r="C181" s="9">
        <f t="shared" si="20"/>
        <v>38596</v>
      </c>
      <c r="E181" s="14">
        <f>E59/VLOOKUP($C181,calendar!$A$2:$D$121,4,FALSE)</f>
        <v>-65.039017857142852</v>
      </c>
      <c r="F181" s="14">
        <f>F59/VLOOKUP($C181,calendar!$A$2:$D$121,4,FALSE)</f>
        <v>0</v>
      </c>
      <c r="G181" s="14">
        <f>G59/VLOOKUP($C181,calendar!$A$2:$D$121,4,FALSE)</f>
        <v>0</v>
      </c>
      <c r="H181" s="14">
        <f>H59/VLOOKUP($C181,calendar!$A$2:$D$121,4,FALSE)</f>
        <v>-50</v>
      </c>
      <c r="I181" s="14">
        <f>I59/VLOOKUP($C181,calendar!$A$2:$D$121,4,FALSE)</f>
        <v>25</v>
      </c>
      <c r="J181" s="14">
        <f>J59/VLOOKUP($C181,calendar!$A$2:$D$121,4,FALSE)</f>
        <v>0</v>
      </c>
      <c r="K181" s="14">
        <f>K59/VLOOKUP($C181,calendar!$A$2:$D$121,4,FALSE)</f>
        <v>0</v>
      </c>
      <c r="L181" s="14">
        <f>L59/VLOOKUP($C181,calendar!$A$2:$D$121,4,FALSE)</f>
        <v>0</v>
      </c>
      <c r="M181" s="14">
        <f>M59/VLOOKUP($C181,calendar!$A$2:$D$121,4,FALSE)</f>
        <v>0</v>
      </c>
      <c r="N181" s="14">
        <f>N59/VLOOKUP($C181,calendar!$A$2:$D$121,4,FALSE)</f>
        <v>0</v>
      </c>
      <c r="O181" s="14">
        <f>O59/VLOOKUP($C181,calendar!$A$2:$D$121,4,FALSE)</f>
        <v>0</v>
      </c>
      <c r="P181" s="14">
        <f>P59/VLOOKUP($C181,calendar!$A$2:$D$121,4,FALSE)</f>
        <v>0</v>
      </c>
      <c r="Q181" s="14">
        <f>Q59/VLOOKUP($C181,calendar!$A$2:$D$121,4,FALSE)</f>
        <v>103.0436011904762</v>
      </c>
      <c r="R181" s="14">
        <f>R59/VLOOKUP($C181,calendar!$A$2:$D$121,4,FALSE)</f>
        <v>50</v>
      </c>
    </row>
    <row r="182" spans="3:18" s="8" customFormat="1" x14ac:dyDescent="0.2">
      <c r="C182" s="9">
        <f t="shared" si="20"/>
        <v>38626</v>
      </c>
      <c r="E182" s="14">
        <f>E60/VLOOKUP($C182,calendar!$A$2:$D$121,4,FALSE)</f>
        <v>-64.717023809523809</v>
      </c>
      <c r="F182" s="14">
        <f>F60/VLOOKUP($C182,calendar!$A$2:$D$121,4,FALSE)</f>
        <v>0</v>
      </c>
      <c r="G182" s="14">
        <f>G60/VLOOKUP($C182,calendar!$A$2:$D$121,4,FALSE)</f>
        <v>0</v>
      </c>
      <c r="H182" s="14">
        <f>H60/VLOOKUP($C182,calendar!$A$2:$D$121,4,FALSE)</f>
        <v>-50</v>
      </c>
      <c r="I182" s="14">
        <f>I60/VLOOKUP($C182,calendar!$A$2:$D$121,4,FALSE)</f>
        <v>25</v>
      </c>
      <c r="J182" s="14">
        <f>J60/VLOOKUP($C182,calendar!$A$2:$D$121,4,FALSE)</f>
        <v>0</v>
      </c>
      <c r="K182" s="14">
        <f>K60/VLOOKUP($C182,calendar!$A$2:$D$121,4,FALSE)</f>
        <v>0</v>
      </c>
      <c r="L182" s="14">
        <f>L60/VLOOKUP($C182,calendar!$A$2:$D$121,4,FALSE)</f>
        <v>0</v>
      </c>
      <c r="M182" s="14">
        <f>M60/VLOOKUP($C182,calendar!$A$2:$D$121,4,FALSE)</f>
        <v>0</v>
      </c>
      <c r="N182" s="14">
        <f>N60/VLOOKUP($C182,calendar!$A$2:$D$121,4,FALSE)</f>
        <v>0</v>
      </c>
      <c r="O182" s="14">
        <f>O60/VLOOKUP($C182,calendar!$A$2:$D$121,4,FALSE)</f>
        <v>0</v>
      </c>
      <c r="P182" s="14">
        <f>P60/VLOOKUP($C182,calendar!$A$2:$D$121,4,FALSE)</f>
        <v>0</v>
      </c>
      <c r="Q182" s="14">
        <f>Q60/VLOOKUP($C182,calendar!$A$2:$D$121,4,FALSE)</f>
        <v>102.53339285714286</v>
      </c>
      <c r="R182" s="14">
        <f>R60/VLOOKUP($C182,calendar!$A$2:$D$121,4,FALSE)</f>
        <v>50</v>
      </c>
    </row>
    <row r="183" spans="3:18" s="8" customFormat="1" x14ac:dyDescent="0.2">
      <c r="C183" s="9">
        <f t="shared" si="20"/>
        <v>38657</v>
      </c>
      <c r="E183" s="14">
        <f>E61/VLOOKUP($C183,calendar!$A$2:$D$121,4,FALSE)</f>
        <v>-64.408363095238087</v>
      </c>
      <c r="F183" s="14">
        <f>F61/VLOOKUP($C183,calendar!$A$2:$D$121,4,FALSE)</f>
        <v>0</v>
      </c>
      <c r="G183" s="14">
        <f>G61/VLOOKUP($C183,calendar!$A$2:$D$121,4,FALSE)</f>
        <v>0</v>
      </c>
      <c r="H183" s="14">
        <f>H61/VLOOKUP($C183,calendar!$A$2:$D$121,4,FALSE)</f>
        <v>-50</v>
      </c>
      <c r="I183" s="14">
        <f>I61/VLOOKUP($C183,calendar!$A$2:$D$121,4,FALSE)</f>
        <v>25</v>
      </c>
      <c r="J183" s="14">
        <f>J61/VLOOKUP($C183,calendar!$A$2:$D$121,4,FALSE)</f>
        <v>0</v>
      </c>
      <c r="K183" s="14">
        <f>K61/VLOOKUP($C183,calendar!$A$2:$D$121,4,FALSE)</f>
        <v>0</v>
      </c>
      <c r="L183" s="14">
        <f>L61/VLOOKUP($C183,calendar!$A$2:$D$121,4,FALSE)</f>
        <v>0</v>
      </c>
      <c r="M183" s="14">
        <f>M61/VLOOKUP($C183,calendar!$A$2:$D$121,4,FALSE)</f>
        <v>0</v>
      </c>
      <c r="N183" s="14">
        <f>N61/VLOOKUP($C183,calendar!$A$2:$D$121,4,FALSE)</f>
        <v>0</v>
      </c>
      <c r="O183" s="14">
        <f>O61/VLOOKUP($C183,calendar!$A$2:$D$121,4,FALSE)</f>
        <v>0</v>
      </c>
      <c r="P183" s="14">
        <f>P61/VLOOKUP($C183,calendar!$A$2:$D$121,4,FALSE)</f>
        <v>0</v>
      </c>
      <c r="Q183" s="14">
        <f>Q61/VLOOKUP($C183,calendar!$A$2:$D$121,4,FALSE)</f>
        <v>102.04443452380953</v>
      </c>
      <c r="R183" s="14">
        <f>R61/VLOOKUP($C183,calendar!$A$2:$D$121,4,FALSE)</f>
        <v>50</v>
      </c>
    </row>
    <row r="184" spans="3:18" s="8" customFormat="1" x14ac:dyDescent="0.2">
      <c r="C184" s="9">
        <f t="shared" si="20"/>
        <v>38687</v>
      </c>
      <c r="E184" s="14">
        <f>E62/VLOOKUP($C184,calendar!$A$2:$D$121,4,FALSE)</f>
        <v>-64.099464285714276</v>
      </c>
      <c r="F184" s="14">
        <f>F62/VLOOKUP($C184,calendar!$A$2:$D$121,4,FALSE)</f>
        <v>0</v>
      </c>
      <c r="G184" s="14">
        <f>G62/VLOOKUP($C184,calendar!$A$2:$D$121,4,FALSE)</f>
        <v>0</v>
      </c>
      <c r="H184" s="14">
        <f>H62/VLOOKUP($C184,calendar!$A$2:$D$121,4,FALSE)</f>
        <v>-50</v>
      </c>
      <c r="I184" s="14">
        <f>I62/VLOOKUP($C184,calendar!$A$2:$D$121,4,FALSE)</f>
        <v>25</v>
      </c>
      <c r="J184" s="14">
        <f>J62/VLOOKUP($C184,calendar!$A$2:$D$121,4,FALSE)</f>
        <v>0</v>
      </c>
      <c r="K184" s="14">
        <f>K62/VLOOKUP($C184,calendar!$A$2:$D$121,4,FALSE)</f>
        <v>0</v>
      </c>
      <c r="L184" s="14">
        <f>L62/VLOOKUP($C184,calendar!$A$2:$D$121,4,FALSE)</f>
        <v>0</v>
      </c>
      <c r="M184" s="14">
        <f>M62/VLOOKUP($C184,calendar!$A$2:$D$121,4,FALSE)</f>
        <v>0</v>
      </c>
      <c r="N184" s="14">
        <f>N62/VLOOKUP($C184,calendar!$A$2:$D$121,4,FALSE)</f>
        <v>0</v>
      </c>
      <c r="O184" s="14">
        <f>O62/VLOOKUP($C184,calendar!$A$2:$D$121,4,FALSE)</f>
        <v>0</v>
      </c>
      <c r="P184" s="14">
        <f>P62/VLOOKUP($C184,calendar!$A$2:$D$121,4,FALSE)</f>
        <v>0</v>
      </c>
      <c r="Q184" s="14">
        <f>Q62/VLOOKUP($C184,calendar!$A$2:$D$121,4,FALSE)</f>
        <v>101.55598214285713</v>
      </c>
      <c r="R184" s="14">
        <f>R62/VLOOKUP($C184,calendar!$A$2:$D$121,4,FALSE)</f>
        <v>50</v>
      </c>
    </row>
    <row r="185" spans="3:18" s="8" customFormat="1" x14ac:dyDescent="0.2">
      <c r="C185" s="9">
        <f t="shared" si="20"/>
        <v>38718</v>
      </c>
      <c r="E185" s="14">
        <f>E63/VLOOKUP($C185,calendar!$A$2:$D$121,4,FALSE)</f>
        <v>19.055624999999999</v>
      </c>
      <c r="F185" s="14">
        <f>F63/VLOOKUP($C185,calendar!$A$2:$D$121,4,FALSE)</f>
        <v>0</v>
      </c>
      <c r="G185" s="14">
        <f>G63/VLOOKUP($C185,calendar!$A$2:$D$121,4,FALSE)</f>
        <v>0</v>
      </c>
      <c r="H185" s="14">
        <f>H63/VLOOKUP($C185,calendar!$A$2:$D$121,4,FALSE)</f>
        <v>-282</v>
      </c>
      <c r="I185" s="14">
        <f>I63/VLOOKUP($C185,calendar!$A$2:$D$121,4,FALSE)</f>
        <v>-25</v>
      </c>
      <c r="J185" s="14">
        <f>J63/VLOOKUP($C185,calendar!$A$2:$D$121,4,FALSE)</f>
        <v>0</v>
      </c>
      <c r="K185" s="14">
        <f>K63/VLOOKUP($C185,calendar!$A$2:$D$121,4,FALSE)</f>
        <v>0</v>
      </c>
      <c r="L185" s="14">
        <f>L63/VLOOKUP($C185,calendar!$A$2:$D$121,4,FALSE)</f>
        <v>0</v>
      </c>
      <c r="M185" s="14">
        <f>M63/VLOOKUP($C185,calendar!$A$2:$D$121,4,FALSE)</f>
        <v>0</v>
      </c>
      <c r="N185" s="14">
        <f>N63/VLOOKUP($C185,calendar!$A$2:$D$121,4,FALSE)</f>
        <v>0</v>
      </c>
      <c r="O185" s="14">
        <f>O63/VLOOKUP($C185,calendar!$A$2:$D$121,4,FALSE)</f>
        <v>0</v>
      </c>
      <c r="P185" s="14">
        <f>P63/VLOOKUP($C185,calendar!$A$2:$D$121,4,FALSE)</f>
        <v>0</v>
      </c>
      <c r="Q185" s="14">
        <f>Q63/VLOOKUP($C185,calendar!$A$2:$D$121,4,FALSE)</f>
        <v>101.9027976190476</v>
      </c>
      <c r="R185" s="14">
        <f>R63/VLOOKUP($C185,calendar!$A$2:$D$121,4,FALSE)</f>
        <v>0</v>
      </c>
    </row>
    <row r="186" spans="3:18" s="8" customFormat="1" x14ac:dyDescent="0.2">
      <c r="C186" s="9">
        <f t="shared" si="20"/>
        <v>38749</v>
      </c>
      <c r="E186" s="14">
        <f>E64/VLOOKUP($C186,calendar!$A$2:$D$121,4,FALSE)</f>
        <v>18.973156249999999</v>
      </c>
      <c r="F186" s="14">
        <f>F64/VLOOKUP($C186,calendar!$A$2:$D$121,4,FALSE)</f>
        <v>0</v>
      </c>
      <c r="G186" s="14">
        <f>G64/VLOOKUP($C186,calendar!$A$2:$D$121,4,FALSE)</f>
        <v>0</v>
      </c>
      <c r="H186" s="14">
        <f>H64/VLOOKUP($C186,calendar!$A$2:$D$121,4,FALSE)</f>
        <v>-282</v>
      </c>
      <c r="I186" s="14">
        <f>I64/VLOOKUP($C186,calendar!$A$2:$D$121,4,FALSE)</f>
        <v>-25</v>
      </c>
      <c r="J186" s="14">
        <f>J64/VLOOKUP($C186,calendar!$A$2:$D$121,4,FALSE)</f>
        <v>0</v>
      </c>
      <c r="K186" s="14">
        <f>K64/VLOOKUP($C186,calendar!$A$2:$D$121,4,FALSE)</f>
        <v>0</v>
      </c>
      <c r="L186" s="14">
        <f>L64/VLOOKUP($C186,calendar!$A$2:$D$121,4,FALSE)</f>
        <v>0</v>
      </c>
      <c r="M186" s="14">
        <f>M64/VLOOKUP($C186,calendar!$A$2:$D$121,4,FALSE)</f>
        <v>0</v>
      </c>
      <c r="N186" s="14">
        <f>N64/VLOOKUP($C186,calendar!$A$2:$D$121,4,FALSE)</f>
        <v>0</v>
      </c>
      <c r="O186" s="14">
        <f>O64/VLOOKUP($C186,calendar!$A$2:$D$121,4,FALSE)</f>
        <v>0</v>
      </c>
      <c r="P186" s="14">
        <f>P64/VLOOKUP($C186,calendar!$A$2:$D$121,4,FALSE)</f>
        <v>0</v>
      </c>
      <c r="Q186" s="14">
        <f>Q64/VLOOKUP($C186,calendar!$A$2:$D$121,4,FALSE)</f>
        <v>101.46187499999999</v>
      </c>
      <c r="R186" s="14">
        <f>R64/VLOOKUP($C186,calendar!$A$2:$D$121,4,FALSE)</f>
        <v>0</v>
      </c>
    </row>
    <row r="187" spans="3:18" s="8" customFormat="1" x14ac:dyDescent="0.2">
      <c r="C187" s="9">
        <f t="shared" si="20"/>
        <v>38777</v>
      </c>
      <c r="E187" s="14">
        <f>E65/VLOOKUP($C187,calendar!$A$2:$D$121,4,FALSE)</f>
        <v>18.881576086956521</v>
      </c>
      <c r="F187" s="14">
        <f>F65/VLOOKUP($C187,calendar!$A$2:$D$121,4,FALSE)</f>
        <v>0</v>
      </c>
      <c r="G187" s="14">
        <f>G65/VLOOKUP($C187,calendar!$A$2:$D$121,4,FALSE)</f>
        <v>0</v>
      </c>
      <c r="H187" s="14">
        <f>H65/VLOOKUP($C187,calendar!$A$2:$D$121,4,FALSE)</f>
        <v>-286</v>
      </c>
      <c r="I187" s="14">
        <f>I65/VLOOKUP($C187,calendar!$A$2:$D$121,4,FALSE)</f>
        <v>-25</v>
      </c>
      <c r="J187" s="14">
        <f>J65/VLOOKUP($C187,calendar!$A$2:$D$121,4,FALSE)</f>
        <v>0</v>
      </c>
      <c r="K187" s="14">
        <f>K65/VLOOKUP($C187,calendar!$A$2:$D$121,4,FALSE)</f>
        <v>0</v>
      </c>
      <c r="L187" s="14">
        <f>L65/VLOOKUP($C187,calendar!$A$2:$D$121,4,FALSE)</f>
        <v>0</v>
      </c>
      <c r="M187" s="14">
        <f>M65/VLOOKUP($C187,calendar!$A$2:$D$121,4,FALSE)</f>
        <v>0</v>
      </c>
      <c r="N187" s="14">
        <f>N65/VLOOKUP($C187,calendar!$A$2:$D$121,4,FALSE)</f>
        <v>0</v>
      </c>
      <c r="O187" s="14">
        <f>O65/VLOOKUP($C187,calendar!$A$2:$D$121,4,FALSE)</f>
        <v>0</v>
      </c>
      <c r="P187" s="14">
        <f>P65/VLOOKUP($C187,calendar!$A$2:$D$121,4,FALSE)</f>
        <v>0</v>
      </c>
      <c r="Q187" s="14">
        <f>Q65/VLOOKUP($C187,calendar!$A$2:$D$121,4,FALSE)</f>
        <v>100.97211956521738</v>
      </c>
      <c r="R187" s="14">
        <f>R65/VLOOKUP($C187,calendar!$A$2:$D$121,4,FALSE)</f>
        <v>0</v>
      </c>
    </row>
    <row r="188" spans="3:18" s="8" customFormat="1" x14ac:dyDescent="0.2">
      <c r="C188" s="9">
        <f t="shared" si="20"/>
        <v>38808</v>
      </c>
      <c r="E188" s="14">
        <f>E66/VLOOKUP($C188,calendar!$A$2:$D$121,4,FALSE)</f>
        <v>18.79265625</v>
      </c>
      <c r="F188" s="14">
        <f>F66/VLOOKUP($C188,calendar!$A$2:$D$121,4,FALSE)</f>
        <v>0</v>
      </c>
      <c r="G188" s="14">
        <f>G66/VLOOKUP($C188,calendar!$A$2:$D$121,4,FALSE)</f>
        <v>0</v>
      </c>
      <c r="H188" s="14">
        <f>H66/VLOOKUP($C188,calendar!$A$2:$D$121,4,FALSE)</f>
        <v>-285</v>
      </c>
      <c r="I188" s="14">
        <f>I66/VLOOKUP($C188,calendar!$A$2:$D$121,4,FALSE)</f>
        <v>-25</v>
      </c>
      <c r="J188" s="14">
        <f>J66/VLOOKUP($C188,calendar!$A$2:$D$121,4,FALSE)</f>
        <v>0</v>
      </c>
      <c r="K188" s="14">
        <f>K66/VLOOKUP($C188,calendar!$A$2:$D$121,4,FALSE)</f>
        <v>0</v>
      </c>
      <c r="L188" s="14">
        <f>L66/VLOOKUP($C188,calendar!$A$2:$D$121,4,FALSE)</f>
        <v>0</v>
      </c>
      <c r="M188" s="14">
        <f>M66/VLOOKUP($C188,calendar!$A$2:$D$121,4,FALSE)</f>
        <v>0</v>
      </c>
      <c r="N188" s="14">
        <f>N66/VLOOKUP($C188,calendar!$A$2:$D$121,4,FALSE)</f>
        <v>0</v>
      </c>
      <c r="O188" s="14">
        <f>O66/VLOOKUP($C188,calendar!$A$2:$D$121,4,FALSE)</f>
        <v>0</v>
      </c>
      <c r="P188" s="14">
        <f>P66/VLOOKUP($C188,calendar!$A$2:$D$121,4,FALSE)</f>
        <v>0</v>
      </c>
      <c r="Q188" s="14">
        <f>Q66/VLOOKUP($C188,calendar!$A$2:$D$121,4,FALSE)</f>
        <v>99.677062500000005</v>
      </c>
      <c r="R188" s="14">
        <f>R66/VLOOKUP($C188,calendar!$A$2:$D$121,4,FALSE)</f>
        <v>0</v>
      </c>
    </row>
    <row r="189" spans="3:18" s="8" customFormat="1" x14ac:dyDescent="0.2">
      <c r="C189" s="9">
        <f t="shared" ref="C189:C220" si="21">C67</f>
        <v>38838</v>
      </c>
      <c r="E189" s="14">
        <f>E67/VLOOKUP($C189,calendar!$A$2:$D$121,4,FALSE)</f>
        <v>18.700482954545453</v>
      </c>
      <c r="F189" s="14">
        <f>F67/VLOOKUP($C189,calendar!$A$2:$D$121,4,FALSE)</f>
        <v>0</v>
      </c>
      <c r="G189" s="14">
        <f>G67/VLOOKUP($C189,calendar!$A$2:$D$121,4,FALSE)</f>
        <v>0</v>
      </c>
      <c r="H189" s="14">
        <f>H67/VLOOKUP($C189,calendar!$A$2:$D$121,4,FALSE)</f>
        <v>-276</v>
      </c>
      <c r="I189" s="14">
        <f>I67/VLOOKUP($C189,calendar!$A$2:$D$121,4,FALSE)</f>
        <v>-25</v>
      </c>
      <c r="J189" s="14">
        <f>J67/VLOOKUP($C189,calendar!$A$2:$D$121,4,FALSE)</f>
        <v>0</v>
      </c>
      <c r="K189" s="14">
        <f>K67/VLOOKUP($C189,calendar!$A$2:$D$121,4,FALSE)</f>
        <v>0</v>
      </c>
      <c r="L189" s="14">
        <f>L67/VLOOKUP($C189,calendar!$A$2:$D$121,4,FALSE)</f>
        <v>0</v>
      </c>
      <c r="M189" s="14">
        <f>M67/VLOOKUP($C189,calendar!$A$2:$D$121,4,FALSE)</f>
        <v>0</v>
      </c>
      <c r="N189" s="14">
        <f>N67/VLOOKUP($C189,calendar!$A$2:$D$121,4,FALSE)</f>
        <v>0</v>
      </c>
      <c r="O189" s="14">
        <f>O67/VLOOKUP($C189,calendar!$A$2:$D$121,4,FALSE)</f>
        <v>0</v>
      </c>
      <c r="P189" s="14">
        <f>P67/VLOOKUP($C189,calendar!$A$2:$D$121,4,FALSE)</f>
        <v>0</v>
      </c>
      <c r="Q189" s="14">
        <f>Q67/VLOOKUP($C189,calendar!$A$2:$D$121,4,FALSE)</f>
        <v>99.188863636363649</v>
      </c>
      <c r="R189" s="14">
        <f>R67/VLOOKUP($C189,calendar!$A$2:$D$121,4,FALSE)</f>
        <v>0</v>
      </c>
    </row>
    <row r="190" spans="3:18" s="8" customFormat="1" x14ac:dyDescent="0.2">
      <c r="C190" s="9">
        <f t="shared" si="21"/>
        <v>38869</v>
      </c>
      <c r="E190" s="14">
        <f>E68/VLOOKUP($C190,calendar!$A$2:$D$121,4,FALSE)</f>
        <v>18.611022727272726</v>
      </c>
      <c r="F190" s="14">
        <f>F68/VLOOKUP($C190,calendar!$A$2:$D$121,4,FALSE)</f>
        <v>0</v>
      </c>
      <c r="G190" s="14">
        <f>G68/VLOOKUP($C190,calendar!$A$2:$D$121,4,FALSE)</f>
        <v>0</v>
      </c>
      <c r="H190" s="14">
        <f>H68/VLOOKUP($C190,calendar!$A$2:$D$121,4,FALSE)</f>
        <v>-271</v>
      </c>
      <c r="I190" s="14">
        <f>I68/VLOOKUP($C190,calendar!$A$2:$D$121,4,FALSE)</f>
        <v>-25</v>
      </c>
      <c r="J190" s="14">
        <f>J68/VLOOKUP($C190,calendar!$A$2:$D$121,4,FALSE)</f>
        <v>0</v>
      </c>
      <c r="K190" s="14">
        <f>K68/VLOOKUP($C190,calendar!$A$2:$D$121,4,FALSE)</f>
        <v>0</v>
      </c>
      <c r="L190" s="14">
        <f>L68/VLOOKUP($C190,calendar!$A$2:$D$121,4,FALSE)</f>
        <v>0</v>
      </c>
      <c r="M190" s="14">
        <f>M68/VLOOKUP($C190,calendar!$A$2:$D$121,4,FALSE)</f>
        <v>0</v>
      </c>
      <c r="N190" s="14">
        <f>N68/VLOOKUP($C190,calendar!$A$2:$D$121,4,FALSE)</f>
        <v>0</v>
      </c>
      <c r="O190" s="14">
        <f>O68/VLOOKUP($C190,calendar!$A$2:$D$121,4,FALSE)</f>
        <v>0</v>
      </c>
      <c r="P190" s="14">
        <f>P68/VLOOKUP($C190,calendar!$A$2:$D$121,4,FALSE)</f>
        <v>0</v>
      </c>
      <c r="Q190" s="14">
        <f>Q68/VLOOKUP($C190,calendar!$A$2:$D$121,4,FALSE)</f>
        <v>97.904914772727267</v>
      </c>
      <c r="R190" s="14">
        <f>R68/VLOOKUP($C190,calendar!$A$2:$D$121,4,FALSE)</f>
        <v>0</v>
      </c>
    </row>
    <row r="191" spans="3:18" s="8" customFormat="1" x14ac:dyDescent="0.2">
      <c r="C191" s="9">
        <f t="shared" si="21"/>
        <v>38899</v>
      </c>
      <c r="E191" s="14">
        <f>E69/VLOOKUP($C191,calendar!$A$2:$D$121,4,FALSE)</f>
        <v>18.518281250000001</v>
      </c>
      <c r="F191" s="14">
        <f>F69/VLOOKUP($C191,calendar!$A$2:$D$121,4,FALSE)</f>
        <v>0</v>
      </c>
      <c r="G191" s="14">
        <f>G69/VLOOKUP($C191,calendar!$A$2:$D$121,4,FALSE)</f>
        <v>0</v>
      </c>
      <c r="H191" s="14">
        <f>H69/VLOOKUP($C191,calendar!$A$2:$D$121,4,FALSE)</f>
        <v>-263</v>
      </c>
      <c r="I191" s="14">
        <f>I69/VLOOKUP($C191,calendar!$A$2:$D$121,4,FALSE)</f>
        <v>-25</v>
      </c>
      <c r="J191" s="14">
        <f>J69/VLOOKUP($C191,calendar!$A$2:$D$121,4,FALSE)</f>
        <v>0</v>
      </c>
      <c r="K191" s="14">
        <f>K69/VLOOKUP($C191,calendar!$A$2:$D$121,4,FALSE)</f>
        <v>0</v>
      </c>
      <c r="L191" s="14">
        <f>L69/VLOOKUP($C191,calendar!$A$2:$D$121,4,FALSE)</f>
        <v>-1</v>
      </c>
      <c r="M191" s="14">
        <f>M69/VLOOKUP($C191,calendar!$A$2:$D$121,4,FALSE)</f>
        <v>0</v>
      </c>
      <c r="N191" s="14">
        <f>N69/VLOOKUP($C191,calendar!$A$2:$D$121,4,FALSE)</f>
        <v>0</v>
      </c>
      <c r="O191" s="14">
        <f>O69/VLOOKUP($C191,calendar!$A$2:$D$121,4,FALSE)</f>
        <v>0</v>
      </c>
      <c r="P191" s="14">
        <f>P69/VLOOKUP($C191,calendar!$A$2:$D$121,4,FALSE)</f>
        <v>0</v>
      </c>
      <c r="Q191" s="14">
        <f>Q69/VLOOKUP($C191,calendar!$A$2:$D$121,4,FALSE)</f>
        <v>96.608624999999989</v>
      </c>
      <c r="R191" s="14">
        <f>R69/VLOOKUP($C191,calendar!$A$2:$D$121,4,FALSE)</f>
        <v>0</v>
      </c>
    </row>
    <row r="192" spans="3:18" s="8" customFormat="1" x14ac:dyDescent="0.2">
      <c r="C192" s="9">
        <f t="shared" si="21"/>
        <v>38930</v>
      </c>
      <c r="E192" s="14">
        <f>E70/VLOOKUP($C192,calendar!$A$2:$D$121,4,FALSE)</f>
        <v>18.425271739130434</v>
      </c>
      <c r="F192" s="14">
        <f>F70/VLOOKUP($C192,calendar!$A$2:$D$121,4,FALSE)</f>
        <v>0</v>
      </c>
      <c r="G192" s="14">
        <f>G70/VLOOKUP($C192,calendar!$A$2:$D$121,4,FALSE)</f>
        <v>0</v>
      </c>
      <c r="H192" s="14">
        <f>H70/VLOOKUP($C192,calendar!$A$2:$D$121,4,FALSE)</f>
        <v>-262</v>
      </c>
      <c r="I192" s="14">
        <f>I70/VLOOKUP($C192,calendar!$A$2:$D$121,4,FALSE)</f>
        <v>-25</v>
      </c>
      <c r="J192" s="14">
        <f>J70/VLOOKUP($C192,calendar!$A$2:$D$121,4,FALSE)</f>
        <v>0</v>
      </c>
      <c r="K192" s="14">
        <f>K70/VLOOKUP($C192,calendar!$A$2:$D$121,4,FALSE)</f>
        <v>0</v>
      </c>
      <c r="L192" s="14">
        <f>L70/VLOOKUP($C192,calendar!$A$2:$D$121,4,FALSE)</f>
        <v>-1</v>
      </c>
      <c r="M192" s="14">
        <f>M70/VLOOKUP($C192,calendar!$A$2:$D$121,4,FALSE)</f>
        <v>0</v>
      </c>
      <c r="N192" s="14">
        <f>N70/VLOOKUP($C192,calendar!$A$2:$D$121,4,FALSE)</f>
        <v>0</v>
      </c>
      <c r="O192" s="14">
        <f>O70/VLOOKUP($C192,calendar!$A$2:$D$121,4,FALSE)</f>
        <v>0</v>
      </c>
      <c r="P192" s="14">
        <f>P70/VLOOKUP($C192,calendar!$A$2:$D$121,4,FALSE)</f>
        <v>0</v>
      </c>
      <c r="Q192" s="14">
        <f>Q70/VLOOKUP($C192,calendar!$A$2:$D$121,4,FALSE)</f>
        <v>96.926630434782609</v>
      </c>
      <c r="R192" s="14">
        <f>R70/VLOOKUP($C192,calendar!$A$2:$D$121,4,FALSE)</f>
        <v>0</v>
      </c>
    </row>
    <row r="193" spans="3:18" s="8" customFormat="1" x14ac:dyDescent="0.2">
      <c r="C193" s="9">
        <f t="shared" si="21"/>
        <v>38961</v>
      </c>
      <c r="E193" s="14">
        <f>E71/VLOOKUP($C193,calendar!$A$2:$D$121,4,FALSE)</f>
        <v>18.335000000000001</v>
      </c>
      <c r="F193" s="14">
        <f>F71/VLOOKUP($C193,calendar!$A$2:$D$121,4,FALSE)</f>
        <v>0</v>
      </c>
      <c r="G193" s="14">
        <f>G71/VLOOKUP($C193,calendar!$A$2:$D$121,4,FALSE)</f>
        <v>0</v>
      </c>
      <c r="H193" s="14">
        <f>H71/VLOOKUP($C193,calendar!$A$2:$D$121,4,FALSE)</f>
        <v>-278</v>
      </c>
      <c r="I193" s="14">
        <f>I71/VLOOKUP($C193,calendar!$A$2:$D$121,4,FALSE)</f>
        <v>-25</v>
      </c>
      <c r="J193" s="14">
        <f>J71/VLOOKUP($C193,calendar!$A$2:$D$121,4,FALSE)</f>
        <v>0</v>
      </c>
      <c r="K193" s="14">
        <f>K71/VLOOKUP($C193,calendar!$A$2:$D$121,4,FALSE)</f>
        <v>0</v>
      </c>
      <c r="L193" s="14">
        <f>L71/VLOOKUP($C193,calendar!$A$2:$D$121,4,FALSE)</f>
        <v>0</v>
      </c>
      <c r="M193" s="14">
        <f>M71/VLOOKUP($C193,calendar!$A$2:$D$121,4,FALSE)</f>
        <v>0</v>
      </c>
      <c r="N193" s="14">
        <f>N71/VLOOKUP($C193,calendar!$A$2:$D$121,4,FALSE)</f>
        <v>0</v>
      </c>
      <c r="O193" s="14">
        <f>O71/VLOOKUP($C193,calendar!$A$2:$D$121,4,FALSE)</f>
        <v>0</v>
      </c>
      <c r="P193" s="14">
        <f>P71/VLOOKUP($C193,calendar!$A$2:$D$121,4,FALSE)</f>
        <v>0</v>
      </c>
      <c r="Q193" s="14">
        <f>Q71/VLOOKUP($C193,calendar!$A$2:$D$121,4,FALSE)</f>
        <v>97.24971875</v>
      </c>
      <c r="R193" s="14">
        <f>R71/VLOOKUP($C193,calendar!$A$2:$D$121,4,FALSE)</f>
        <v>0</v>
      </c>
    </row>
    <row r="194" spans="3:18" s="8" customFormat="1" x14ac:dyDescent="0.2">
      <c r="C194" s="9">
        <f t="shared" si="21"/>
        <v>38991</v>
      </c>
      <c r="E194" s="14">
        <f>E72/VLOOKUP($C194,calendar!$A$2:$D$121,4,FALSE)</f>
        <v>18.241477272727273</v>
      </c>
      <c r="F194" s="14">
        <f>F72/VLOOKUP($C194,calendar!$A$2:$D$121,4,FALSE)</f>
        <v>0</v>
      </c>
      <c r="G194" s="14">
        <f>G72/VLOOKUP($C194,calendar!$A$2:$D$121,4,FALSE)</f>
        <v>0</v>
      </c>
      <c r="H194" s="14">
        <f>H72/VLOOKUP($C194,calendar!$A$2:$D$121,4,FALSE)</f>
        <v>-279</v>
      </c>
      <c r="I194" s="14">
        <f>I72/VLOOKUP($C194,calendar!$A$2:$D$121,4,FALSE)</f>
        <v>-25</v>
      </c>
      <c r="J194" s="14">
        <f>J72/VLOOKUP($C194,calendar!$A$2:$D$121,4,FALSE)</f>
        <v>0</v>
      </c>
      <c r="K194" s="14">
        <f>K72/VLOOKUP($C194,calendar!$A$2:$D$121,4,FALSE)</f>
        <v>0</v>
      </c>
      <c r="L194" s="14">
        <f>L72/VLOOKUP($C194,calendar!$A$2:$D$121,4,FALSE)</f>
        <v>0</v>
      </c>
      <c r="M194" s="14">
        <f>M72/VLOOKUP($C194,calendar!$A$2:$D$121,4,FALSE)</f>
        <v>0</v>
      </c>
      <c r="N194" s="14">
        <f>N72/VLOOKUP($C194,calendar!$A$2:$D$121,4,FALSE)</f>
        <v>0</v>
      </c>
      <c r="O194" s="14">
        <f>O72/VLOOKUP($C194,calendar!$A$2:$D$121,4,FALSE)</f>
        <v>0</v>
      </c>
      <c r="P194" s="14">
        <f>P72/VLOOKUP($C194,calendar!$A$2:$D$121,4,FALSE)</f>
        <v>0</v>
      </c>
      <c r="Q194" s="14">
        <f>Q72/VLOOKUP($C194,calendar!$A$2:$D$121,4,FALSE)</f>
        <v>96.754034090909087</v>
      </c>
      <c r="R194" s="14">
        <f>R72/VLOOKUP($C194,calendar!$A$2:$D$121,4,FALSE)</f>
        <v>0</v>
      </c>
    </row>
    <row r="195" spans="3:18" s="8" customFormat="1" x14ac:dyDescent="0.2">
      <c r="C195" s="9">
        <f t="shared" si="21"/>
        <v>39022</v>
      </c>
      <c r="E195" s="14">
        <f>E73/VLOOKUP($C195,calendar!$A$2:$D$121,4,FALSE)</f>
        <v>18.153869047619047</v>
      </c>
      <c r="F195" s="14">
        <f>F73/VLOOKUP($C195,calendar!$A$2:$D$121,4,FALSE)</f>
        <v>0</v>
      </c>
      <c r="G195" s="14">
        <f>G73/VLOOKUP($C195,calendar!$A$2:$D$121,4,FALSE)</f>
        <v>0</v>
      </c>
      <c r="H195" s="14">
        <f>H73/VLOOKUP($C195,calendar!$A$2:$D$121,4,FALSE)</f>
        <v>-280</v>
      </c>
      <c r="I195" s="14">
        <f>I73/VLOOKUP($C195,calendar!$A$2:$D$121,4,FALSE)</f>
        <v>-25</v>
      </c>
      <c r="J195" s="14">
        <f>J73/VLOOKUP($C195,calendar!$A$2:$D$121,4,FALSE)</f>
        <v>0</v>
      </c>
      <c r="K195" s="14">
        <f>K73/VLOOKUP($C195,calendar!$A$2:$D$121,4,FALSE)</f>
        <v>0</v>
      </c>
      <c r="L195" s="14">
        <f>L73/VLOOKUP($C195,calendar!$A$2:$D$121,4,FALSE)</f>
        <v>0</v>
      </c>
      <c r="M195" s="14">
        <f>M73/VLOOKUP($C195,calendar!$A$2:$D$121,4,FALSE)</f>
        <v>0</v>
      </c>
      <c r="N195" s="14">
        <f>N73/VLOOKUP($C195,calendar!$A$2:$D$121,4,FALSE)</f>
        <v>0</v>
      </c>
      <c r="O195" s="14">
        <f>O73/VLOOKUP($C195,calendar!$A$2:$D$121,4,FALSE)</f>
        <v>0</v>
      </c>
      <c r="P195" s="14">
        <f>P73/VLOOKUP($C195,calendar!$A$2:$D$121,4,FALSE)</f>
        <v>0</v>
      </c>
      <c r="Q195" s="14">
        <f>Q73/VLOOKUP($C195,calendar!$A$2:$D$121,4,FALSE)</f>
        <v>96.289642857142852</v>
      </c>
      <c r="R195" s="14">
        <f>R73/VLOOKUP($C195,calendar!$A$2:$D$121,4,FALSE)</f>
        <v>0</v>
      </c>
    </row>
    <row r="196" spans="3:18" s="8" customFormat="1" x14ac:dyDescent="0.2">
      <c r="C196" s="9">
        <f t="shared" si="21"/>
        <v>39052</v>
      </c>
      <c r="E196" s="14">
        <f>E74/VLOOKUP($C196,calendar!$A$2:$D$121,4,FALSE)</f>
        <v>18.065625000000001</v>
      </c>
      <c r="F196" s="14">
        <f>F74/VLOOKUP($C196,calendar!$A$2:$D$121,4,FALSE)</f>
        <v>0</v>
      </c>
      <c r="G196" s="14">
        <f>G74/VLOOKUP($C196,calendar!$A$2:$D$121,4,FALSE)</f>
        <v>0</v>
      </c>
      <c r="H196" s="14">
        <f>H74/VLOOKUP($C196,calendar!$A$2:$D$121,4,FALSE)</f>
        <v>-279</v>
      </c>
      <c r="I196" s="14">
        <f>I74/VLOOKUP($C196,calendar!$A$2:$D$121,4,FALSE)</f>
        <v>-25</v>
      </c>
      <c r="J196" s="14">
        <f>J74/VLOOKUP($C196,calendar!$A$2:$D$121,4,FALSE)</f>
        <v>0</v>
      </c>
      <c r="K196" s="14">
        <f>K74/VLOOKUP($C196,calendar!$A$2:$D$121,4,FALSE)</f>
        <v>0</v>
      </c>
      <c r="L196" s="14">
        <f>L74/VLOOKUP($C196,calendar!$A$2:$D$121,4,FALSE)</f>
        <v>0</v>
      </c>
      <c r="M196" s="14">
        <f>M74/VLOOKUP($C196,calendar!$A$2:$D$121,4,FALSE)</f>
        <v>0</v>
      </c>
      <c r="N196" s="14">
        <f>N74/VLOOKUP($C196,calendar!$A$2:$D$121,4,FALSE)</f>
        <v>0</v>
      </c>
      <c r="O196" s="14">
        <f>O74/VLOOKUP($C196,calendar!$A$2:$D$121,4,FALSE)</f>
        <v>0</v>
      </c>
      <c r="P196" s="14">
        <f>P74/VLOOKUP($C196,calendar!$A$2:$D$121,4,FALSE)</f>
        <v>0</v>
      </c>
      <c r="Q196" s="14">
        <f>Q74/VLOOKUP($C196,calendar!$A$2:$D$121,4,FALSE)</f>
        <v>95.822374999999994</v>
      </c>
      <c r="R196" s="14">
        <f>R74/VLOOKUP($C196,calendar!$A$2:$D$121,4,FALSE)</f>
        <v>0</v>
      </c>
    </row>
    <row r="197" spans="3:18" s="8" customFormat="1" x14ac:dyDescent="0.2">
      <c r="C197" s="9">
        <f t="shared" si="21"/>
        <v>39083</v>
      </c>
      <c r="E197" s="14">
        <f>E75/VLOOKUP($C197,calendar!$A$2:$D$121,4,FALSE)</f>
        <v>135.22443181818181</v>
      </c>
      <c r="F197" s="14">
        <f>F75/VLOOKUP($C197,calendar!$A$2:$D$121,4,FALSE)</f>
        <v>0</v>
      </c>
      <c r="G197" s="14">
        <f>G75/VLOOKUP($C197,calendar!$A$2:$D$121,4,FALSE)</f>
        <v>0</v>
      </c>
      <c r="H197" s="14">
        <f>H75/VLOOKUP($C197,calendar!$A$2:$D$121,4,FALSE)</f>
        <v>-232</v>
      </c>
      <c r="I197" s="14">
        <f>I75/VLOOKUP($C197,calendar!$A$2:$D$121,4,FALSE)</f>
        <v>-25</v>
      </c>
      <c r="J197" s="14">
        <f>J75/VLOOKUP($C197,calendar!$A$2:$D$121,4,FALSE)</f>
        <v>0</v>
      </c>
      <c r="K197" s="14">
        <f>K75/VLOOKUP($C197,calendar!$A$2:$D$121,4,FALSE)</f>
        <v>0</v>
      </c>
      <c r="L197" s="14">
        <f>L75/VLOOKUP($C197,calendar!$A$2:$D$121,4,FALSE)</f>
        <v>0</v>
      </c>
      <c r="M197" s="14">
        <f>M75/VLOOKUP($C197,calendar!$A$2:$D$121,4,FALSE)</f>
        <v>0</v>
      </c>
      <c r="N197" s="14">
        <f>N75/VLOOKUP($C197,calendar!$A$2:$D$121,4,FALSE)</f>
        <v>0</v>
      </c>
      <c r="O197" s="14">
        <f>O75/VLOOKUP($C197,calendar!$A$2:$D$121,4,FALSE)</f>
        <v>0</v>
      </c>
      <c r="P197" s="14">
        <f>P75/VLOOKUP($C197,calendar!$A$2:$D$121,4,FALSE)</f>
        <v>0</v>
      </c>
      <c r="Q197" s="14">
        <f>Q75/VLOOKUP($C197,calendar!$A$2:$D$121,4,FALSE)</f>
        <v>17.97463068181818</v>
      </c>
      <c r="R197" s="14">
        <f>R75/VLOOKUP($C197,calendar!$A$2:$D$121,4,FALSE)</f>
        <v>0</v>
      </c>
    </row>
    <row r="198" spans="3:18" s="8" customFormat="1" x14ac:dyDescent="0.2">
      <c r="C198" s="9">
        <f t="shared" si="21"/>
        <v>39114</v>
      </c>
      <c r="E198" s="14">
        <f>E76/VLOOKUP($C198,calendar!$A$2:$D$121,4,FALSE)</f>
        <v>134.62700000000001</v>
      </c>
      <c r="F198" s="14">
        <f>F76/VLOOKUP($C198,calendar!$A$2:$D$121,4,FALSE)</f>
        <v>0</v>
      </c>
      <c r="G198" s="14">
        <f>G76/VLOOKUP($C198,calendar!$A$2:$D$121,4,FALSE)</f>
        <v>0</v>
      </c>
      <c r="H198" s="14">
        <f>H76/VLOOKUP($C198,calendar!$A$2:$D$121,4,FALSE)</f>
        <v>-232</v>
      </c>
      <c r="I198" s="14">
        <f>I76/VLOOKUP($C198,calendar!$A$2:$D$121,4,FALSE)</f>
        <v>-25</v>
      </c>
      <c r="J198" s="14">
        <f>J76/VLOOKUP($C198,calendar!$A$2:$D$121,4,FALSE)</f>
        <v>0</v>
      </c>
      <c r="K198" s="14">
        <f>K76/VLOOKUP($C198,calendar!$A$2:$D$121,4,FALSE)</f>
        <v>0</v>
      </c>
      <c r="L198" s="14">
        <f>L76/VLOOKUP($C198,calendar!$A$2:$D$121,4,FALSE)</f>
        <v>0</v>
      </c>
      <c r="M198" s="14">
        <f>M76/VLOOKUP($C198,calendar!$A$2:$D$121,4,FALSE)</f>
        <v>0</v>
      </c>
      <c r="N198" s="14">
        <f>N76/VLOOKUP($C198,calendar!$A$2:$D$121,4,FALSE)</f>
        <v>0</v>
      </c>
      <c r="O198" s="14">
        <f>O76/VLOOKUP($C198,calendar!$A$2:$D$121,4,FALSE)</f>
        <v>0</v>
      </c>
      <c r="P198" s="14">
        <f>P76/VLOOKUP($C198,calendar!$A$2:$D$121,4,FALSE)</f>
        <v>0</v>
      </c>
      <c r="Q198" s="14">
        <f>Q76/VLOOKUP($C198,calendar!$A$2:$D$121,4,FALSE)</f>
        <v>17.895187499999999</v>
      </c>
      <c r="R198" s="14">
        <f>R76/VLOOKUP($C198,calendar!$A$2:$D$121,4,FALSE)</f>
        <v>0</v>
      </c>
    </row>
    <row r="199" spans="3:18" s="8" customFormat="1" x14ac:dyDescent="0.2">
      <c r="C199" s="9">
        <f t="shared" si="21"/>
        <v>39142</v>
      </c>
      <c r="E199" s="14">
        <f>E77/VLOOKUP($C199,calendar!$A$2:$D$121,4,FALSE)</f>
        <v>133.96482954545456</v>
      </c>
      <c r="F199" s="14">
        <f>F77/VLOOKUP($C199,calendar!$A$2:$D$121,4,FALSE)</f>
        <v>0</v>
      </c>
      <c r="G199" s="14">
        <f>G77/VLOOKUP($C199,calendar!$A$2:$D$121,4,FALSE)</f>
        <v>0</v>
      </c>
      <c r="H199" s="14">
        <f>H77/VLOOKUP($C199,calendar!$A$2:$D$121,4,FALSE)</f>
        <v>-236</v>
      </c>
      <c r="I199" s="14">
        <f>I77/VLOOKUP($C199,calendar!$A$2:$D$121,4,FALSE)</f>
        <v>-25</v>
      </c>
      <c r="J199" s="14">
        <f>J77/VLOOKUP($C199,calendar!$A$2:$D$121,4,FALSE)</f>
        <v>0</v>
      </c>
      <c r="K199" s="14">
        <f>K77/VLOOKUP($C199,calendar!$A$2:$D$121,4,FALSE)</f>
        <v>0</v>
      </c>
      <c r="L199" s="14">
        <f>L77/VLOOKUP($C199,calendar!$A$2:$D$121,4,FALSE)</f>
        <v>0</v>
      </c>
      <c r="M199" s="14">
        <f>M77/VLOOKUP($C199,calendar!$A$2:$D$121,4,FALSE)</f>
        <v>0</v>
      </c>
      <c r="N199" s="14">
        <f>N77/VLOOKUP($C199,calendar!$A$2:$D$121,4,FALSE)</f>
        <v>0</v>
      </c>
      <c r="O199" s="14">
        <f>O77/VLOOKUP($C199,calendar!$A$2:$D$121,4,FALSE)</f>
        <v>0</v>
      </c>
      <c r="P199" s="14">
        <f>P77/VLOOKUP($C199,calendar!$A$2:$D$121,4,FALSE)</f>
        <v>0</v>
      </c>
      <c r="Q199" s="14">
        <f>Q77/VLOOKUP($C199,calendar!$A$2:$D$121,4,FALSE)</f>
        <v>17.806818181818183</v>
      </c>
      <c r="R199" s="14">
        <f>R77/VLOOKUP($C199,calendar!$A$2:$D$121,4,FALSE)</f>
        <v>0</v>
      </c>
    </row>
    <row r="200" spans="3:18" s="8" customFormat="1" x14ac:dyDescent="0.2">
      <c r="C200" s="9">
        <f t="shared" si="21"/>
        <v>39173</v>
      </c>
      <c r="E200" s="14">
        <f>E78/VLOOKUP($C200,calendar!$A$2:$D$121,4,FALSE)</f>
        <v>133.32351190476189</v>
      </c>
      <c r="F200" s="14">
        <f>F78/VLOOKUP($C200,calendar!$A$2:$D$121,4,FALSE)</f>
        <v>0</v>
      </c>
      <c r="G200" s="14">
        <f>G78/VLOOKUP($C200,calendar!$A$2:$D$121,4,FALSE)</f>
        <v>0</v>
      </c>
      <c r="H200" s="14">
        <f>H78/VLOOKUP($C200,calendar!$A$2:$D$121,4,FALSE)</f>
        <v>-235</v>
      </c>
      <c r="I200" s="14">
        <f>I78/VLOOKUP($C200,calendar!$A$2:$D$121,4,FALSE)</f>
        <v>-25</v>
      </c>
      <c r="J200" s="14">
        <f>J78/VLOOKUP($C200,calendar!$A$2:$D$121,4,FALSE)</f>
        <v>0</v>
      </c>
      <c r="K200" s="14">
        <f>K78/VLOOKUP($C200,calendar!$A$2:$D$121,4,FALSE)</f>
        <v>0</v>
      </c>
      <c r="L200" s="14">
        <f>L78/VLOOKUP($C200,calendar!$A$2:$D$121,4,FALSE)</f>
        <v>0</v>
      </c>
      <c r="M200" s="14">
        <f>M78/VLOOKUP($C200,calendar!$A$2:$D$121,4,FALSE)</f>
        <v>0</v>
      </c>
      <c r="N200" s="14">
        <f>N78/VLOOKUP($C200,calendar!$A$2:$D$121,4,FALSE)</f>
        <v>0</v>
      </c>
      <c r="O200" s="14">
        <f>O78/VLOOKUP($C200,calendar!$A$2:$D$121,4,FALSE)</f>
        <v>0</v>
      </c>
      <c r="P200" s="14">
        <f>P78/VLOOKUP($C200,calendar!$A$2:$D$121,4,FALSE)</f>
        <v>0</v>
      </c>
      <c r="Q200" s="14">
        <f>Q78/VLOOKUP($C200,calendar!$A$2:$D$121,4,FALSE)</f>
        <v>16.949613095238096</v>
      </c>
      <c r="R200" s="14">
        <f>R78/VLOOKUP($C200,calendar!$A$2:$D$121,4,FALSE)</f>
        <v>0</v>
      </c>
    </row>
    <row r="201" spans="3:18" s="8" customFormat="1" x14ac:dyDescent="0.2">
      <c r="C201" s="9">
        <f t="shared" si="21"/>
        <v>39203</v>
      </c>
      <c r="E201" s="14">
        <f>E79/VLOOKUP($C201,calendar!$A$2:$D$121,4,FALSE)</f>
        <v>132.6603125</v>
      </c>
      <c r="F201" s="14">
        <f>F79/VLOOKUP($C201,calendar!$A$2:$D$121,4,FALSE)</f>
        <v>0</v>
      </c>
      <c r="G201" s="14">
        <f>G79/VLOOKUP($C201,calendar!$A$2:$D$121,4,FALSE)</f>
        <v>0</v>
      </c>
      <c r="H201" s="14">
        <f>H79/VLOOKUP($C201,calendar!$A$2:$D$121,4,FALSE)</f>
        <v>-226</v>
      </c>
      <c r="I201" s="14">
        <f>I79/VLOOKUP($C201,calendar!$A$2:$D$121,4,FALSE)</f>
        <v>-25</v>
      </c>
      <c r="J201" s="14">
        <f>J79/VLOOKUP($C201,calendar!$A$2:$D$121,4,FALSE)</f>
        <v>0</v>
      </c>
      <c r="K201" s="14">
        <f>K79/VLOOKUP($C201,calendar!$A$2:$D$121,4,FALSE)</f>
        <v>0</v>
      </c>
      <c r="L201" s="14">
        <f>L79/VLOOKUP($C201,calendar!$A$2:$D$121,4,FALSE)</f>
        <v>0</v>
      </c>
      <c r="M201" s="14">
        <f>M79/VLOOKUP($C201,calendar!$A$2:$D$121,4,FALSE)</f>
        <v>0</v>
      </c>
      <c r="N201" s="14">
        <f>N79/VLOOKUP($C201,calendar!$A$2:$D$121,4,FALSE)</f>
        <v>0</v>
      </c>
      <c r="O201" s="14">
        <f>O79/VLOOKUP($C201,calendar!$A$2:$D$121,4,FALSE)</f>
        <v>0</v>
      </c>
      <c r="P201" s="14">
        <f>P79/VLOOKUP($C201,calendar!$A$2:$D$121,4,FALSE)</f>
        <v>0</v>
      </c>
      <c r="Q201" s="14">
        <f>Q79/VLOOKUP($C201,calendar!$A$2:$D$121,4,FALSE)</f>
        <v>16.865284090909089</v>
      </c>
      <c r="R201" s="14">
        <f>R79/VLOOKUP($C201,calendar!$A$2:$D$121,4,FALSE)</f>
        <v>0</v>
      </c>
    </row>
    <row r="202" spans="3:18" s="8" customFormat="1" x14ac:dyDescent="0.2">
      <c r="C202" s="9">
        <f t="shared" si="21"/>
        <v>39234</v>
      </c>
      <c r="E202" s="14">
        <f>E80/VLOOKUP($C202,calendar!$A$2:$D$121,4,FALSE)</f>
        <v>132.01806547619049</v>
      </c>
      <c r="F202" s="14">
        <f>F80/VLOOKUP($C202,calendar!$A$2:$D$121,4,FALSE)</f>
        <v>0</v>
      </c>
      <c r="G202" s="14">
        <f>G80/VLOOKUP($C202,calendar!$A$2:$D$121,4,FALSE)</f>
        <v>0</v>
      </c>
      <c r="H202" s="14">
        <f>H80/VLOOKUP($C202,calendar!$A$2:$D$121,4,FALSE)</f>
        <v>-221</v>
      </c>
      <c r="I202" s="14">
        <f>I80/VLOOKUP($C202,calendar!$A$2:$D$121,4,FALSE)</f>
        <v>-25</v>
      </c>
      <c r="J202" s="14">
        <f>J80/VLOOKUP($C202,calendar!$A$2:$D$121,4,FALSE)</f>
        <v>0</v>
      </c>
      <c r="K202" s="14">
        <f>K80/VLOOKUP($C202,calendar!$A$2:$D$121,4,FALSE)</f>
        <v>0</v>
      </c>
      <c r="L202" s="14">
        <f>L80/VLOOKUP($C202,calendar!$A$2:$D$121,4,FALSE)</f>
        <v>0</v>
      </c>
      <c r="M202" s="14">
        <f>M80/VLOOKUP($C202,calendar!$A$2:$D$121,4,FALSE)</f>
        <v>0</v>
      </c>
      <c r="N202" s="14">
        <f>N80/VLOOKUP($C202,calendar!$A$2:$D$121,4,FALSE)</f>
        <v>0</v>
      </c>
      <c r="O202" s="14">
        <f>O80/VLOOKUP($C202,calendar!$A$2:$D$121,4,FALSE)</f>
        <v>0</v>
      </c>
      <c r="P202" s="14">
        <f>P80/VLOOKUP($C202,calendar!$A$2:$D$121,4,FALSE)</f>
        <v>0</v>
      </c>
      <c r="Q202" s="14">
        <f>Q80/VLOOKUP($C202,calendar!$A$2:$D$121,4,FALSE)</f>
        <v>16.019880952380952</v>
      </c>
      <c r="R202" s="14">
        <f>R80/VLOOKUP($C202,calendar!$A$2:$D$121,4,FALSE)</f>
        <v>0</v>
      </c>
    </row>
    <row r="203" spans="3:18" s="8" customFormat="1" x14ac:dyDescent="0.2">
      <c r="C203" s="9">
        <f t="shared" si="21"/>
        <v>39264</v>
      </c>
      <c r="E203" s="14">
        <f>E81/VLOOKUP($C203,calendar!$A$2:$D$121,4,FALSE)</f>
        <v>131.35395833333334</v>
      </c>
      <c r="F203" s="14">
        <f>F81/VLOOKUP($C203,calendar!$A$2:$D$121,4,FALSE)</f>
        <v>0</v>
      </c>
      <c r="G203" s="14">
        <f>G81/VLOOKUP($C203,calendar!$A$2:$D$121,4,FALSE)</f>
        <v>0</v>
      </c>
      <c r="H203" s="14">
        <f>H81/VLOOKUP($C203,calendar!$A$2:$D$121,4,FALSE)</f>
        <v>-213</v>
      </c>
      <c r="I203" s="14">
        <f>I81/VLOOKUP($C203,calendar!$A$2:$D$121,4,FALSE)</f>
        <v>-25</v>
      </c>
      <c r="J203" s="14">
        <f>J81/VLOOKUP($C203,calendar!$A$2:$D$121,4,FALSE)</f>
        <v>0</v>
      </c>
      <c r="K203" s="14">
        <f>K81/VLOOKUP($C203,calendar!$A$2:$D$121,4,FALSE)</f>
        <v>0</v>
      </c>
      <c r="L203" s="14">
        <f>L81/VLOOKUP($C203,calendar!$A$2:$D$121,4,FALSE)</f>
        <v>-1</v>
      </c>
      <c r="M203" s="14">
        <f>M81/VLOOKUP($C203,calendar!$A$2:$D$121,4,FALSE)</f>
        <v>0</v>
      </c>
      <c r="N203" s="14">
        <f>N81/VLOOKUP($C203,calendar!$A$2:$D$121,4,FALSE)</f>
        <v>0</v>
      </c>
      <c r="O203" s="14">
        <f>O81/VLOOKUP($C203,calendar!$A$2:$D$121,4,FALSE)</f>
        <v>0</v>
      </c>
      <c r="P203" s="14">
        <f>P81/VLOOKUP($C203,calendar!$A$2:$D$121,4,FALSE)</f>
        <v>0</v>
      </c>
      <c r="Q203" s="14">
        <f>Q81/VLOOKUP($C203,calendar!$A$2:$D$121,4,FALSE)</f>
        <v>15.177380952380954</v>
      </c>
      <c r="R203" s="14">
        <f>R81/VLOOKUP($C203,calendar!$A$2:$D$121,4,FALSE)</f>
        <v>0</v>
      </c>
    </row>
    <row r="204" spans="3:18" s="8" customFormat="1" x14ac:dyDescent="0.2">
      <c r="C204" s="9">
        <f t="shared" si="21"/>
        <v>39295</v>
      </c>
      <c r="E204" s="14">
        <f>E82/VLOOKUP($C204,calendar!$A$2:$D$121,4,FALSE)</f>
        <v>130.68948369565217</v>
      </c>
      <c r="F204" s="14">
        <f>F82/VLOOKUP($C204,calendar!$A$2:$D$121,4,FALSE)</f>
        <v>0</v>
      </c>
      <c r="G204" s="14">
        <f>G82/VLOOKUP($C204,calendar!$A$2:$D$121,4,FALSE)</f>
        <v>0</v>
      </c>
      <c r="H204" s="14">
        <f>H82/VLOOKUP($C204,calendar!$A$2:$D$121,4,FALSE)</f>
        <v>-212</v>
      </c>
      <c r="I204" s="14">
        <f>I82/VLOOKUP($C204,calendar!$A$2:$D$121,4,FALSE)</f>
        <v>-25</v>
      </c>
      <c r="J204" s="14">
        <f>J82/VLOOKUP($C204,calendar!$A$2:$D$121,4,FALSE)</f>
        <v>0</v>
      </c>
      <c r="K204" s="14">
        <f>K82/VLOOKUP($C204,calendar!$A$2:$D$121,4,FALSE)</f>
        <v>0</v>
      </c>
      <c r="L204" s="14">
        <f>L82/VLOOKUP($C204,calendar!$A$2:$D$121,4,FALSE)</f>
        <v>-1</v>
      </c>
      <c r="M204" s="14">
        <f>M82/VLOOKUP($C204,calendar!$A$2:$D$121,4,FALSE)</f>
        <v>0</v>
      </c>
      <c r="N204" s="14">
        <f>N82/VLOOKUP($C204,calendar!$A$2:$D$121,4,FALSE)</f>
        <v>0</v>
      </c>
      <c r="O204" s="14">
        <f>O82/VLOOKUP($C204,calendar!$A$2:$D$121,4,FALSE)</f>
        <v>0</v>
      </c>
      <c r="P204" s="14">
        <f>P82/VLOOKUP($C204,calendar!$A$2:$D$121,4,FALSE)</f>
        <v>0</v>
      </c>
      <c r="Q204" s="14">
        <f>Q82/VLOOKUP($C204,calendar!$A$2:$D$121,4,FALSE)</f>
        <v>15.859076086956522</v>
      </c>
      <c r="R204" s="14">
        <f>R82/VLOOKUP($C204,calendar!$A$2:$D$121,4,FALSE)</f>
        <v>0</v>
      </c>
    </row>
    <row r="205" spans="3:18" s="8" customFormat="1" x14ac:dyDescent="0.2">
      <c r="C205" s="9">
        <f t="shared" si="21"/>
        <v>39326</v>
      </c>
      <c r="E205" s="14">
        <f>E83/VLOOKUP($C205,calendar!$A$2:$D$121,4,FALSE)</f>
        <v>130.04605263157896</v>
      </c>
      <c r="F205" s="14">
        <f>F83/VLOOKUP($C205,calendar!$A$2:$D$121,4,FALSE)</f>
        <v>0</v>
      </c>
      <c r="G205" s="14">
        <f>G83/VLOOKUP($C205,calendar!$A$2:$D$121,4,FALSE)</f>
        <v>0</v>
      </c>
      <c r="H205" s="14">
        <f>H83/VLOOKUP($C205,calendar!$A$2:$D$121,4,FALSE)</f>
        <v>-228</v>
      </c>
      <c r="I205" s="14">
        <f>I83/VLOOKUP($C205,calendar!$A$2:$D$121,4,FALSE)</f>
        <v>-25</v>
      </c>
      <c r="J205" s="14">
        <f>J83/VLOOKUP($C205,calendar!$A$2:$D$121,4,FALSE)</f>
        <v>0</v>
      </c>
      <c r="K205" s="14">
        <f>K83/VLOOKUP($C205,calendar!$A$2:$D$121,4,FALSE)</f>
        <v>0</v>
      </c>
      <c r="L205" s="14">
        <f>L83/VLOOKUP($C205,calendar!$A$2:$D$121,4,FALSE)</f>
        <v>0</v>
      </c>
      <c r="M205" s="14">
        <f>M83/VLOOKUP($C205,calendar!$A$2:$D$121,4,FALSE)</f>
        <v>0</v>
      </c>
      <c r="N205" s="14">
        <f>N83/VLOOKUP($C205,calendar!$A$2:$D$121,4,FALSE)</f>
        <v>0</v>
      </c>
      <c r="O205" s="14">
        <f>O83/VLOOKUP($C205,calendar!$A$2:$D$121,4,FALSE)</f>
        <v>0</v>
      </c>
      <c r="P205" s="14">
        <f>P83/VLOOKUP($C205,calendar!$A$2:$D$121,4,FALSE)</f>
        <v>0</v>
      </c>
      <c r="Q205" s="14">
        <f>Q83/VLOOKUP($C205,calendar!$A$2:$D$121,4,FALSE)</f>
        <v>16.532072368421051</v>
      </c>
      <c r="R205" s="14">
        <f>R83/VLOOKUP($C205,calendar!$A$2:$D$121,4,FALSE)</f>
        <v>0</v>
      </c>
    </row>
    <row r="206" spans="3:18" s="8" customFormat="1" x14ac:dyDescent="0.2">
      <c r="C206" s="9">
        <f t="shared" si="21"/>
        <v>39356</v>
      </c>
      <c r="E206" s="14">
        <f>E84/VLOOKUP($C206,calendar!$A$2:$D$121,4,FALSE)</f>
        <v>129.38097826086957</v>
      </c>
      <c r="F206" s="14">
        <f>F84/VLOOKUP($C206,calendar!$A$2:$D$121,4,FALSE)</f>
        <v>0</v>
      </c>
      <c r="G206" s="14">
        <f>G84/VLOOKUP($C206,calendar!$A$2:$D$121,4,FALSE)</f>
        <v>0</v>
      </c>
      <c r="H206" s="14">
        <f>H84/VLOOKUP($C206,calendar!$A$2:$D$121,4,FALSE)</f>
        <v>-229</v>
      </c>
      <c r="I206" s="14">
        <f>I84/VLOOKUP($C206,calendar!$A$2:$D$121,4,FALSE)</f>
        <v>-25</v>
      </c>
      <c r="J206" s="14">
        <f>J84/VLOOKUP($C206,calendar!$A$2:$D$121,4,FALSE)</f>
        <v>0</v>
      </c>
      <c r="K206" s="14">
        <f>K84/VLOOKUP($C206,calendar!$A$2:$D$121,4,FALSE)</f>
        <v>0</v>
      </c>
      <c r="L206" s="14">
        <f>L84/VLOOKUP($C206,calendar!$A$2:$D$121,4,FALSE)</f>
        <v>0</v>
      </c>
      <c r="M206" s="14">
        <f>M84/VLOOKUP($C206,calendar!$A$2:$D$121,4,FALSE)</f>
        <v>0</v>
      </c>
      <c r="N206" s="14">
        <f>N84/VLOOKUP($C206,calendar!$A$2:$D$121,4,FALSE)</f>
        <v>0</v>
      </c>
      <c r="O206" s="14">
        <f>O84/VLOOKUP($C206,calendar!$A$2:$D$121,4,FALSE)</f>
        <v>0</v>
      </c>
      <c r="P206" s="14">
        <f>P84/VLOOKUP($C206,calendar!$A$2:$D$121,4,FALSE)</f>
        <v>0</v>
      </c>
      <c r="Q206" s="14">
        <f>Q84/VLOOKUP($C206,calendar!$A$2:$D$121,4,FALSE)</f>
        <v>16.448369565217391</v>
      </c>
      <c r="R206" s="14">
        <f>R84/VLOOKUP($C206,calendar!$A$2:$D$121,4,FALSE)</f>
        <v>0</v>
      </c>
    </row>
    <row r="207" spans="3:18" s="8" customFormat="1" x14ac:dyDescent="0.2">
      <c r="C207" s="9">
        <f t="shared" si="21"/>
        <v>39387</v>
      </c>
      <c r="E207" s="14">
        <f>E85/VLOOKUP($C207,calendar!$A$2:$D$121,4,FALSE)</f>
        <v>128.73705357142859</v>
      </c>
      <c r="F207" s="14">
        <f>F85/VLOOKUP($C207,calendar!$A$2:$D$121,4,FALSE)</f>
        <v>0</v>
      </c>
      <c r="G207" s="14">
        <f>G85/VLOOKUP($C207,calendar!$A$2:$D$121,4,FALSE)</f>
        <v>0</v>
      </c>
      <c r="H207" s="14">
        <f>H85/VLOOKUP($C207,calendar!$A$2:$D$121,4,FALSE)</f>
        <v>-230</v>
      </c>
      <c r="I207" s="14">
        <f>I85/VLOOKUP($C207,calendar!$A$2:$D$121,4,FALSE)</f>
        <v>-25</v>
      </c>
      <c r="J207" s="14">
        <f>J85/VLOOKUP($C207,calendar!$A$2:$D$121,4,FALSE)</f>
        <v>0</v>
      </c>
      <c r="K207" s="14">
        <f>K85/VLOOKUP($C207,calendar!$A$2:$D$121,4,FALSE)</f>
        <v>0</v>
      </c>
      <c r="L207" s="14">
        <f>L85/VLOOKUP($C207,calendar!$A$2:$D$121,4,FALSE)</f>
        <v>0</v>
      </c>
      <c r="M207" s="14">
        <f>M85/VLOOKUP($C207,calendar!$A$2:$D$121,4,FALSE)</f>
        <v>0</v>
      </c>
      <c r="N207" s="14">
        <f>N85/VLOOKUP($C207,calendar!$A$2:$D$121,4,FALSE)</f>
        <v>0</v>
      </c>
      <c r="O207" s="14">
        <f>O85/VLOOKUP($C207,calendar!$A$2:$D$121,4,FALSE)</f>
        <v>0</v>
      </c>
      <c r="P207" s="14">
        <f>P85/VLOOKUP($C207,calendar!$A$2:$D$121,4,FALSE)</f>
        <v>0</v>
      </c>
      <c r="Q207" s="14">
        <f>Q85/VLOOKUP($C207,calendar!$A$2:$D$121,4,FALSE)</f>
        <v>16.366339285714286</v>
      </c>
      <c r="R207" s="14">
        <f>R85/VLOOKUP($C207,calendar!$A$2:$D$121,4,FALSE)</f>
        <v>0</v>
      </c>
    </row>
    <row r="208" spans="3:18" s="8" customFormat="1" x14ac:dyDescent="0.2">
      <c r="C208" s="9">
        <f t="shared" si="21"/>
        <v>39417</v>
      </c>
      <c r="E208" s="14">
        <f>E86/VLOOKUP($C208,calendar!$A$2:$D$121,4,FALSE)</f>
        <v>128.0714375</v>
      </c>
      <c r="F208" s="14">
        <f>F86/VLOOKUP($C208,calendar!$A$2:$D$121,4,FALSE)</f>
        <v>0</v>
      </c>
      <c r="G208" s="14">
        <f>G86/VLOOKUP($C208,calendar!$A$2:$D$121,4,FALSE)</f>
        <v>0</v>
      </c>
      <c r="H208" s="14">
        <f>H86/VLOOKUP($C208,calendar!$A$2:$D$121,4,FALSE)</f>
        <v>-229</v>
      </c>
      <c r="I208" s="14">
        <f>I86/VLOOKUP($C208,calendar!$A$2:$D$121,4,FALSE)</f>
        <v>-25</v>
      </c>
      <c r="J208" s="14">
        <f>J86/VLOOKUP($C208,calendar!$A$2:$D$121,4,FALSE)</f>
        <v>0</v>
      </c>
      <c r="K208" s="14">
        <f>K86/VLOOKUP($C208,calendar!$A$2:$D$121,4,FALSE)</f>
        <v>0</v>
      </c>
      <c r="L208" s="14">
        <f>L86/VLOOKUP($C208,calendar!$A$2:$D$121,4,FALSE)</f>
        <v>0</v>
      </c>
      <c r="M208" s="14">
        <f>M86/VLOOKUP($C208,calendar!$A$2:$D$121,4,FALSE)</f>
        <v>0</v>
      </c>
      <c r="N208" s="14">
        <f>N86/VLOOKUP($C208,calendar!$A$2:$D$121,4,FALSE)</f>
        <v>0</v>
      </c>
      <c r="O208" s="14">
        <f>O86/VLOOKUP($C208,calendar!$A$2:$D$121,4,FALSE)</f>
        <v>0</v>
      </c>
      <c r="P208" s="14">
        <f>P86/VLOOKUP($C208,calendar!$A$2:$D$121,4,FALSE)</f>
        <v>0</v>
      </c>
      <c r="Q208" s="14">
        <f>Q86/VLOOKUP($C208,calendar!$A$2:$D$121,4,FALSE)</f>
        <v>16.282062500000002</v>
      </c>
      <c r="R208" s="14">
        <f>R86/VLOOKUP($C208,calendar!$A$2:$D$121,4,FALSE)</f>
        <v>0</v>
      </c>
    </row>
    <row r="209" spans="3:18" s="8" customFormat="1" x14ac:dyDescent="0.2">
      <c r="C209" s="9">
        <f t="shared" si="21"/>
        <v>39448</v>
      </c>
      <c r="E209" s="14">
        <f>E87/VLOOKUP($C209,calendar!$A$2:$D$121,4,FALSE)</f>
        <v>90.583181818181814</v>
      </c>
      <c r="F209" s="14">
        <f>F87/VLOOKUP($C209,calendar!$A$2:$D$121,4,FALSE)</f>
        <v>0</v>
      </c>
      <c r="G209" s="14">
        <f>G87/VLOOKUP($C209,calendar!$A$2:$D$121,4,FALSE)</f>
        <v>0</v>
      </c>
      <c r="H209" s="14">
        <f>H87/VLOOKUP($C209,calendar!$A$2:$D$121,4,FALSE)</f>
        <v>-132</v>
      </c>
      <c r="I209" s="14">
        <f>I87/VLOOKUP($C209,calendar!$A$2:$D$121,4,FALSE)</f>
        <v>-25</v>
      </c>
      <c r="J209" s="14">
        <f>J87/VLOOKUP($C209,calendar!$A$2:$D$121,4,FALSE)</f>
        <v>0</v>
      </c>
      <c r="K209" s="14">
        <f>K87/VLOOKUP($C209,calendar!$A$2:$D$121,4,FALSE)</f>
        <v>0</v>
      </c>
      <c r="L209" s="14">
        <f>L87/VLOOKUP($C209,calendar!$A$2:$D$121,4,FALSE)</f>
        <v>0</v>
      </c>
      <c r="M209" s="14">
        <f>M87/VLOOKUP($C209,calendar!$A$2:$D$121,4,FALSE)</f>
        <v>0</v>
      </c>
      <c r="N209" s="14">
        <f>N87/VLOOKUP($C209,calendar!$A$2:$D$121,4,FALSE)</f>
        <v>0</v>
      </c>
      <c r="O209" s="14">
        <f>O87/VLOOKUP($C209,calendar!$A$2:$D$121,4,FALSE)</f>
        <v>0</v>
      </c>
      <c r="P209" s="14">
        <f>P87/VLOOKUP($C209,calendar!$A$2:$D$121,4,FALSE)</f>
        <v>0</v>
      </c>
      <c r="Q209" s="14">
        <f>Q87/VLOOKUP($C209,calendar!$A$2:$D$121,4,FALSE)</f>
        <v>16.935085227272726</v>
      </c>
      <c r="R209" s="14">
        <f>R87/VLOOKUP($C209,calendar!$A$2:$D$121,4,FALSE)</f>
        <v>0</v>
      </c>
    </row>
    <row r="210" spans="3:18" s="8" customFormat="1" x14ac:dyDescent="0.2">
      <c r="C210" s="9">
        <f t="shared" si="21"/>
        <v>39479</v>
      </c>
      <c r="E210" s="14">
        <f>E88/VLOOKUP($C210,calendar!$A$2:$D$121,4,FALSE)</f>
        <v>90.140238095238089</v>
      </c>
      <c r="F210" s="14">
        <f>F88/VLOOKUP($C210,calendar!$A$2:$D$121,4,FALSE)</f>
        <v>0</v>
      </c>
      <c r="G210" s="14">
        <f>G88/VLOOKUP($C210,calendar!$A$2:$D$121,4,FALSE)</f>
        <v>0</v>
      </c>
      <c r="H210" s="14">
        <f>H88/VLOOKUP($C210,calendar!$A$2:$D$121,4,FALSE)</f>
        <v>-132</v>
      </c>
      <c r="I210" s="14">
        <f>I88/VLOOKUP($C210,calendar!$A$2:$D$121,4,FALSE)</f>
        <v>-25</v>
      </c>
      <c r="J210" s="14">
        <f>J88/VLOOKUP($C210,calendar!$A$2:$D$121,4,FALSE)</f>
        <v>0</v>
      </c>
      <c r="K210" s="14">
        <f>K88/VLOOKUP($C210,calendar!$A$2:$D$121,4,FALSE)</f>
        <v>0</v>
      </c>
      <c r="L210" s="14">
        <f>L88/VLOOKUP($C210,calendar!$A$2:$D$121,4,FALSE)</f>
        <v>0</v>
      </c>
      <c r="M210" s="14">
        <f>M88/VLOOKUP($C210,calendar!$A$2:$D$121,4,FALSE)</f>
        <v>0</v>
      </c>
      <c r="N210" s="14">
        <f>N88/VLOOKUP($C210,calendar!$A$2:$D$121,4,FALSE)</f>
        <v>0</v>
      </c>
      <c r="O210" s="14">
        <f>O88/VLOOKUP($C210,calendar!$A$2:$D$121,4,FALSE)</f>
        <v>0</v>
      </c>
      <c r="P210" s="14">
        <f>P88/VLOOKUP($C210,calendar!$A$2:$D$121,4,FALSE)</f>
        <v>0</v>
      </c>
      <c r="Q210" s="14">
        <f>Q88/VLOOKUP($C210,calendar!$A$2:$D$121,4,FALSE)</f>
        <v>16.852261904761903</v>
      </c>
      <c r="R210" s="14">
        <f>R88/VLOOKUP($C210,calendar!$A$2:$D$121,4,FALSE)</f>
        <v>0</v>
      </c>
    </row>
    <row r="211" spans="3:18" s="8" customFormat="1" x14ac:dyDescent="0.2">
      <c r="C211" s="9">
        <f t="shared" si="21"/>
        <v>39508</v>
      </c>
      <c r="E211" s="14">
        <f>E89/VLOOKUP($C211,calendar!$A$2:$D$121,4,FALSE)</f>
        <v>89.666666666666671</v>
      </c>
      <c r="F211" s="14">
        <f>F89/VLOOKUP($C211,calendar!$A$2:$D$121,4,FALSE)</f>
        <v>0</v>
      </c>
      <c r="G211" s="14">
        <f>G89/VLOOKUP($C211,calendar!$A$2:$D$121,4,FALSE)</f>
        <v>0</v>
      </c>
      <c r="H211" s="14">
        <f>H89/VLOOKUP($C211,calendar!$A$2:$D$121,4,FALSE)</f>
        <v>-136</v>
      </c>
      <c r="I211" s="14">
        <f>I89/VLOOKUP($C211,calendar!$A$2:$D$121,4,FALSE)</f>
        <v>-25</v>
      </c>
      <c r="J211" s="14">
        <f>J89/VLOOKUP($C211,calendar!$A$2:$D$121,4,FALSE)</f>
        <v>0</v>
      </c>
      <c r="K211" s="14">
        <f>K89/VLOOKUP($C211,calendar!$A$2:$D$121,4,FALSE)</f>
        <v>0</v>
      </c>
      <c r="L211" s="14">
        <f>L89/VLOOKUP($C211,calendar!$A$2:$D$121,4,FALSE)</f>
        <v>0</v>
      </c>
      <c r="M211" s="14">
        <f>M89/VLOOKUP($C211,calendar!$A$2:$D$121,4,FALSE)</f>
        <v>0</v>
      </c>
      <c r="N211" s="14">
        <f>N89/VLOOKUP($C211,calendar!$A$2:$D$121,4,FALSE)</f>
        <v>0</v>
      </c>
      <c r="O211" s="14">
        <f>O89/VLOOKUP($C211,calendar!$A$2:$D$121,4,FALSE)</f>
        <v>0</v>
      </c>
      <c r="P211" s="14">
        <f>P89/VLOOKUP($C211,calendar!$A$2:$D$121,4,FALSE)</f>
        <v>0</v>
      </c>
      <c r="Q211" s="14">
        <f>Q89/VLOOKUP($C211,calendar!$A$2:$D$121,4,FALSE)</f>
        <v>16.763720238095239</v>
      </c>
      <c r="R211" s="14">
        <f>R89/VLOOKUP($C211,calendar!$A$2:$D$121,4,FALSE)</f>
        <v>0</v>
      </c>
    </row>
    <row r="212" spans="3:18" s="8" customFormat="1" x14ac:dyDescent="0.2">
      <c r="C212" s="9">
        <f t="shared" si="21"/>
        <v>39539</v>
      </c>
      <c r="E212" s="14">
        <f>E90/VLOOKUP($C212,calendar!$A$2:$D$121,4,FALSE)</f>
        <v>89.208323863636366</v>
      </c>
      <c r="F212" s="14">
        <f>F90/VLOOKUP($C212,calendar!$A$2:$D$121,4,FALSE)</f>
        <v>0</v>
      </c>
      <c r="G212" s="14">
        <f>G90/VLOOKUP($C212,calendar!$A$2:$D$121,4,FALSE)</f>
        <v>0</v>
      </c>
      <c r="H212" s="14">
        <f>H90/VLOOKUP($C212,calendar!$A$2:$D$121,4,FALSE)</f>
        <v>-135</v>
      </c>
      <c r="I212" s="14">
        <f>I90/VLOOKUP($C212,calendar!$A$2:$D$121,4,FALSE)</f>
        <v>-25</v>
      </c>
      <c r="J212" s="14">
        <f>J90/VLOOKUP($C212,calendar!$A$2:$D$121,4,FALSE)</f>
        <v>0</v>
      </c>
      <c r="K212" s="14">
        <f>K90/VLOOKUP($C212,calendar!$A$2:$D$121,4,FALSE)</f>
        <v>0</v>
      </c>
      <c r="L212" s="14">
        <f>L90/VLOOKUP($C212,calendar!$A$2:$D$121,4,FALSE)</f>
        <v>0</v>
      </c>
      <c r="M212" s="14">
        <f>M90/VLOOKUP($C212,calendar!$A$2:$D$121,4,FALSE)</f>
        <v>0</v>
      </c>
      <c r="N212" s="14">
        <f>N90/VLOOKUP($C212,calendar!$A$2:$D$121,4,FALSE)</f>
        <v>0</v>
      </c>
      <c r="O212" s="14">
        <f>O90/VLOOKUP($C212,calendar!$A$2:$D$121,4,FALSE)</f>
        <v>0</v>
      </c>
      <c r="P212" s="14">
        <f>P90/VLOOKUP($C212,calendar!$A$2:$D$121,4,FALSE)</f>
        <v>0</v>
      </c>
      <c r="Q212" s="14">
        <f>Q90/VLOOKUP($C212,calendar!$A$2:$D$121,4,FALSE)</f>
        <v>15.951107954545455</v>
      </c>
      <c r="R212" s="14">
        <f>R90/VLOOKUP($C212,calendar!$A$2:$D$121,4,FALSE)</f>
        <v>0</v>
      </c>
    </row>
    <row r="213" spans="3:18" s="8" customFormat="1" x14ac:dyDescent="0.2">
      <c r="C213" s="9">
        <f t="shared" si="21"/>
        <v>39569</v>
      </c>
      <c r="E213" s="14">
        <f>E91/VLOOKUP($C213,calendar!$A$2:$D$121,4,FALSE)</f>
        <v>88.734672619047615</v>
      </c>
      <c r="F213" s="14">
        <f>F91/VLOOKUP($C213,calendar!$A$2:$D$121,4,FALSE)</f>
        <v>0</v>
      </c>
      <c r="G213" s="14">
        <f>G91/VLOOKUP($C213,calendar!$A$2:$D$121,4,FALSE)</f>
        <v>0</v>
      </c>
      <c r="H213" s="14">
        <f>H91/VLOOKUP($C213,calendar!$A$2:$D$121,4,FALSE)</f>
        <v>-126</v>
      </c>
      <c r="I213" s="14">
        <f>I91/VLOOKUP($C213,calendar!$A$2:$D$121,4,FALSE)</f>
        <v>-25</v>
      </c>
      <c r="J213" s="14">
        <f>J91/VLOOKUP($C213,calendar!$A$2:$D$121,4,FALSE)</f>
        <v>0</v>
      </c>
      <c r="K213" s="14">
        <f>K91/VLOOKUP($C213,calendar!$A$2:$D$121,4,FALSE)</f>
        <v>0</v>
      </c>
      <c r="L213" s="14">
        <f>L91/VLOOKUP($C213,calendar!$A$2:$D$121,4,FALSE)</f>
        <v>0</v>
      </c>
      <c r="M213" s="14">
        <f>M91/VLOOKUP($C213,calendar!$A$2:$D$121,4,FALSE)</f>
        <v>0</v>
      </c>
      <c r="N213" s="14">
        <f>N91/VLOOKUP($C213,calendar!$A$2:$D$121,4,FALSE)</f>
        <v>0</v>
      </c>
      <c r="O213" s="14">
        <f>O91/VLOOKUP($C213,calendar!$A$2:$D$121,4,FALSE)</f>
        <v>0</v>
      </c>
      <c r="P213" s="14">
        <f>P91/VLOOKUP($C213,calendar!$A$2:$D$121,4,FALSE)</f>
        <v>0</v>
      </c>
      <c r="Q213" s="14">
        <f>Q91/VLOOKUP($C213,calendar!$A$2:$D$121,4,FALSE)</f>
        <v>15.866071428571429</v>
      </c>
      <c r="R213" s="14">
        <f>R91/VLOOKUP($C213,calendar!$A$2:$D$121,4,FALSE)</f>
        <v>0</v>
      </c>
    </row>
    <row r="214" spans="3:18" s="8" customFormat="1" x14ac:dyDescent="0.2">
      <c r="C214" s="9">
        <f t="shared" si="21"/>
        <v>39600</v>
      </c>
      <c r="E214" s="14">
        <f>E92/VLOOKUP($C214,calendar!$A$2:$D$121,4,FALSE)</f>
        <v>88.27630952380953</v>
      </c>
      <c r="F214" s="14">
        <f>F92/VLOOKUP($C214,calendar!$A$2:$D$121,4,FALSE)</f>
        <v>0</v>
      </c>
      <c r="G214" s="14">
        <f>G92/VLOOKUP($C214,calendar!$A$2:$D$121,4,FALSE)</f>
        <v>0</v>
      </c>
      <c r="H214" s="14">
        <f>H92/VLOOKUP($C214,calendar!$A$2:$D$121,4,FALSE)</f>
        <v>-121</v>
      </c>
      <c r="I214" s="14">
        <f>I92/VLOOKUP($C214,calendar!$A$2:$D$121,4,FALSE)</f>
        <v>-25</v>
      </c>
      <c r="J214" s="14">
        <f>J92/VLOOKUP($C214,calendar!$A$2:$D$121,4,FALSE)</f>
        <v>0</v>
      </c>
      <c r="K214" s="14">
        <f>K92/VLOOKUP($C214,calendar!$A$2:$D$121,4,FALSE)</f>
        <v>0</v>
      </c>
      <c r="L214" s="14">
        <f>L92/VLOOKUP($C214,calendar!$A$2:$D$121,4,FALSE)</f>
        <v>0</v>
      </c>
      <c r="M214" s="14">
        <f>M92/VLOOKUP($C214,calendar!$A$2:$D$121,4,FALSE)</f>
        <v>0</v>
      </c>
      <c r="N214" s="14">
        <f>N92/VLOOKUP($C214,calendar!$A$2:$D$121,4,FALSE)</f>
        <v>0</v>
      </c>
      <c r="O214" s="14">
        <f>O92/VLOOKUP($C214,calendar!$A$2:$D$121,4,FALSE)</f>
        <v>0</v>
      </c>
      <c r="P214" s="14">
        <f>P92/VLOOKUP($C214,calendar!$A$2:$D$121,4,FALSE)</f>
        <v>0</v>
      </c>
      <c r="Q214" s="14">
        <f>Q92/VLOOKUP($C214,calendar!$A$2:$D$121,4,FALSE)</f>
        <v>15.06547619047619</v>
      </c>
      <c r="R214" s="14">
        <f>R92/VLOOKUP($C214,calendar!$A$2:$D$121,4,FALSE)</f>
        <v>0</v>
      </c>
    </row>
    <row r="215" spans="3:18" s="8" customFormat="1" x14ac:dyDescent="0.2">
      <c r="C215" s="9">
        <f t="shared" si="21"/>
        <v>39630</v>
      </c>
      <c r="E215" s="14">
        <f>E93/VLOOKUP($C215,calendar!$A$2:$D$121,4,FALSE)</f>
        <v>87.802670454545463</v>
      </c>
      <c r="F215" s="14">
        <f>F93/VLOOKUP($C215,calendar!$A$2:$D$121,4,FALSE)</f>
        <v>0</v>
      </c>
      <c r="G215" s="14">
        <f>G93/VLOOKUP($C215,calendar!$A$2:$D$121,4,FALSE)</f>
        <v>0</v>
      </c>
      <c r="H215" s="14">
        <f>H93/VLOOKUP($C215,calendar!$A$2:$D$121,4,FALSE)</f>
        <v>-113</v>
      </c>
      <c r="I215" s="14">
        <f>I93/VLOOKUP($C215,calendar!$A$2:$D$121,4,FALSE)</f>
        <v>-25</v>
      </c>
      <c r="J215" s="14">
        <f>J93/VLOOKUP($C215,calendar!$A$2:$D$121,4,FALSE)</f>
        <v>0</v>
      </c>
      <c r="K215" s="14">
        <f>K93/VLOOKUP($C215,calendar!$A$2:$D$121,4,FALSE)</f>
        <v>0</v>
      </c>
      <c r="L215" s="14">
        <f>L93/VLOOKUP($C215,calendar!$A$2:$D$121,4,FALSE)</f>
        <v>-1</v>
      </c>
      <c r="M215" s="14">
        <f>M93/VLOOKUP($C215,calendar!$A$2:$D$121,4,FALSE)</f>
        <v>0</v>
      </c>
      <c r="N215" s="14">
        <f>N93/VLOOKUP($C215,calendar!$A$2:$D$121,4,FALSE)</f>
        <v>0</v>
      </c>
      <c r="O215" s="14">
        <f>O93/VLOOKUP($C215,calendar!$A$2:$D$121,4,FALSE)</f>
        <v>0</v>
      </c>
      <c r="P215" s="14">
        <f>P93/VLOOKUP($C215,calendar!$A$2:$D$121,4,FALSE)</f>
        <v>0</v>
      </c>
      <c r="Q215" s="14">
        <f>Q93/VLOOKUP($C215,calendar!$A$2:$D$121,4,FALSE)</f>
        <v>14.268778409090908</v>
      </c>
      <c r="R215" s="14">
        <f>R93/VLOOKUP($C215,calendar!$A$2:$D$121,4,FALSE)</f>
        <v>0</v>
      </c>
    </row>
    <row r="216" spans="3:18" s="8" customFormat="1" x14ac:dyDescent="0.2">
      <c r="C216" s="9">
        <f t="shared" si="21"/>
        <v>39661</v>
      </c>
      <c r="E216" s="14">
        <f>E94/VLOOKUP($C216,calendar!$A$2:$D$121,4,FALSE)</f>
        <v>87.329107142857154</v>
      </c>
      <c r="F216" s="14">
        <f>F94/VLOOKUP($C216,calendar!$A$2:$D$121,4,FALSE)</f>
        <v>0</v>
      </c>
      <c r="G216" s="14">
        <f>G94/VLOOKUP($C216,calendar!$A$2:$D$121,4,FALSE)</f>
        <v>0</v>
      </c>
      <c r="H216" s="14">
        <f>H94/VLOOKUP($C216,calendar!$A$2:$D$121,4,FALSE)</f>
        <v>-112</v>
      </c>
      <c r="I216" s="14">
        <f>I94/VLOOKUP($C216,calendar!$A$2:$D$121,4,FALSE)</f>
        <v>-25</v>
      </c>
      <c r="J216" s="14">
        <f>J94/VLOOKUP($C216,calendar!$A$2:$D$121,4,FALSE)</f>
        <v>0</v>
      </c>
      <c r="K216" s="14">
        <f>K94/VLOOKUP($C216,calendar!$A$2:$D$121,4,FALSE)</f>
        <v>0</v>
      </c>
      <c r="L216" s="14">
        <f>L94/VLOOKUP($C216,calendar!$A$2:$D$121,4,FALSE)</f>
        <v>-1</v>
      </c>
      <c r="M216" s="14">
        <f>M94/VLOOKUP($C216,calendar!$A$2:$D$121,4,FALSE)</f>
        <v>0</v>
      </c>
      <c r="N216" s="14">
        <f>N94/VLOOKUP($C216,calendar!$A$2:$D$121,4,FALSE)</f>
        <v>0</v>
      </c>
      <c r="O216" s="14">
        <f>O94/VLOOKUP($C216,calendar!$A$2:$D$121,4,FALSE)</f>
        <v>0</v>
      </c>
      <c r="P216" s="14">
        <f>P94/VLOOKUP($C216,calendar!$A$2:$D$121,4,FALSE)</f>
        <v>0</v>
      </c>
      <c r="Q216" s="14">
        <f>Q94/VLOOKUP($C216,calendar!$A$2:$D$121,4,FALSE)</f>
        <v>14.90389880952381</v>
      </c>
      <c r="R216" s="14">
        <f>R94/VLOOKUP($C216,calendar!$A$2:$D$121,4,FALSE)</f>
        <v>0</v>
      </c>
    </row>
    <row r="217" spans="3:18" s="8" customFormat="1" x14ac:dyDescent="0.2">
      <c r="C217" s="9">
        <f t="shared" si="21"/>
        <v>39692</v>
      </c>
      <c r="E217" s="14">
        <f>E95/VLOOKUP($C217,calendar!$A$2:$D$121,4,FALSE)</f>
        <v>86.870892857142849</v>
      </c>
      <c r="F217" s="14">
        <f>F95/VLOOKUP($C217,calendar!$A$2:$D$121,4,FALSE)</f>
        <v>0</v>
      </c>
      <c r="G217" s="14">
        <f>G95/VLOOKUP($C217,calendar!$A$2:$D$121,4,FALSE)</f>
        <v>0</v>
      </c>
      <c r="H217" s="14">
        <f>H95/VLOOKUP($C217,calendar!$A$2:$D$121,4,FALSE)</f>
        <v>-100</v>
      </c>
      <c r="I217" s="14">
        <f>I95/VLOOKUP($C217,calendar!$A$2:$D$121,4,FALSE)</f>
        <v>-25</v>
      </c>
      <c r="J217" s="14">
        <f>J95/VLOOKUP($C217,calendar!$A$2:$D$121,4,FALSE)</f>
        <v>0</v>
      </c>
      <c r="K217" s="14">
        <f>K95/VLOOKUP($C217,calendar!$A$2:$D$121,4,FALSE)</f>
        <v>0</v>
      </c>
      <c r="L217" s="14">
        <f>L95/VLOOKUP($C217,calendar!$A$2:$D$121,4,FALSE)</f>
        <v>0</v>
      </c>
      <c r="M217" s="14">
        <f>M95/VLOOKUP($C217,calendar!$A$2:$D$121,4,FALSE)</f>
        <v>0</v>
      </c>
      <c r="N217" s="14">
        <f>N95/VLOOKUP($C217,calendar!$A$2:$D$121,4,FALSE)</f>
        <v>0</v>
      </c>
      <c r="O217" s="14">
        <f>O95/VLOOKUP($C217,calendar!$A$2:$D$121,4,FALSE)</f>
        <v>0</v>
      </c>
      <c r="P217" s="14">
        <f>P95/VLOOKUP($C217,calendar!$A$2:$D$121,4,FALSE)</f>
        <v>0</v>
      </c>
      <c r="Q217" s="14">
        <f>Q95/VLOOKUP($C217,calendar!$A$2:$D$121,4,FALSE)</f>
        <v>15.533035714285715</v>
      </c>
      <c r="R217" s="14">
        <f>R95/VLOOKUP($C217,calendar!$A$2:$D$121,4,FALSE)</f>
        <v>0</v>
      </c>
    </row>
    <row r="218" spans="3:18" s="8" customFormat="1" x14ac:dyDescent="0.2">
      <c r="C218" s="9">
        <f t="shared" si="21"/>
        <v>39722</v>
      </c>
      <c r="E218" s="14">
        <f>E96/VLOOKUP($C218,calendar!$A$2:$D$121,4,FALSE)</f>
        <v>86.397499999999994</v>
      </c>
      <c r="F218" s="14">
        <f>F96/VLOOKUP($C218,calendar!$A$2:$D$121,4,FALSE)</f>
        <v>0</v>
      </c>
      <c r="G218" s="14">
        <f>G96/VLOOKUP($C218,calendar!$A$2:$D$121,4,FALSE)</f>
        <v>0</v>
      </c>
      <c r="H218" s="14">
        <f>H96/VLOOKUP($C218,calendar!$A$2:$D$121,4,FALSE)</f>
        <v>-100</v>
      </c>
      <c r="I218" s="14">
        <f>I96/VLOOKUP($C218,calendar!$A$2:$D$121,4,FALSE)</f>
        <v>-25</v>
      </c>
      <c r="J218" s="14">
        <f>J96/VLOOKUP($C218,calendar!$A$2:$D$121,4,FALSE)</f>
        <v>0</v>
      </c>
      <c r="K218" s="14">
        <f>K96/VLOOKUP($C218,calendar!$A$2:$D$121,4,FALSE)</f>
        <v>0</v>
      </c>
      <c r="L218" s="14">
        <f>L96/VLOOKUP($C218,calendar!$A$2:$D$121,4,FALSE)</f>
        <v>0</v>
      </c>
      <c r="M218" s="14">
        <f>M96/VLOOKUP($C218,calendar!$A$2:$D$121,4,FALSE)</f>
        <v>0</v>
      </c>
      <c r="N218" s="14">
        <f>N96/VLOOKUP($C218,calendar!$A$2:$D$121,4,FALSE)</f>
        <v>0</v>
      </c>
      <c r="O218" s="14">
        <f>O96/VLOOKUP($C218,calendar!$A$2:$D$121,4,FALSE)</f>
        <v>0</v>
      </c>
      <c r="P218" s="14">
        <f>P96/VLOOKUP($C218,calendar!$A$2:$D$121,4,FALSE)</f>
        <v>0</v>
      </c>
      <c r="Q218" s="14">
        <f>Q96/VLOOKUP($C218,calendar!$A$2:$D$121,4,FALSE)</f>
        <v>15.448369565217391</v>
      </c>
      <c r="R218" s="14">
        <f>R96/VLOOKUP($C218,calendar!$A$2:$D$121,4,FALSE)</f>
        <v>0</v>
      </c>
    </row>
    <row r="219" spans="3:18" s="8" customFormat="1" x14ac:dyDescent="0.2">
      <c r="C219" s="9">
        <f t="shared" si="21"/>
        <v>39753</v>
      </c>
      <c r="E219" s="14">
        <f>E97/VLOOKUP($C219,calendar!$A$2:$D$121,4,FALSE)</f>
        <v>85.958782894736842</v>
      </c>
      <c r="F219" s="14">
        <f>F97/VLOOKUP($C219,calendar!$A$2:$D$121,4,FALSE)</f>
        <v>0</v>
      </c>
      <c r="G219" s="14">
        <f>G97/VLOOKUP($C219,calendar!$A$2:$D$121,4,FALSE)</f>
        <v>0</v>
      </c>
      <c r="H219" s="14">
        <f>H97/VLOOKUP($C219,calendar!$A$2:$D$121,4,FALSE)</f>
        <v>-100</v>
      </c>
      <c r="I219" s="14">
        <f>I97/VLOOKUP($C219,calendar!$A$2:$D$121,4,FALSE)</f>
        <v>-25</v>
      </c>
      <c r="J219" s="14">
        <f>J97/VLOOKUP($C219,calendar!$A$2:$D$121,4,FALSE)</f>
        <v>0</v>
      </c>
      <c r="K219" s="14">
        <f>K97/VLOOKUP($C219,calendar!$A$2:$D$121,4,FALSE)</f>
        <v>0</v>
      </c>
      <c r="L219" s="14">
        <f>L97/VLOOKUP($C219,calendar!$A$2:$D$121,4,FALSE)</f>
        <v>0</v>
      </c>
      <c r="M219" s="14">
        <f>M97/VLOOKUP($C219,calendar!$A$2:$D$121,4,FALSE)</f>
        <v>0</v>
      </c>
      <c r="N219" s="14">
        <f>N97/VLOOKUP($C219,calendar!$A$2:$D$121,4,FALSE)</f>
        <v>0</v>
      </c>
      <c r="O219" s="14">
        <f>O97/VLOOKUP($C219,calendar!$A$2:$D$121,4,FALSE)</f>
        <v>0</v>
      </c>
      <c r="P219" s="14">
        <f>P97/VLOOKUP($C219,calendar!$A$2:$D$121,4,FALSE)</f>
        <v>0</v>
      </c>
      <c r="Q219" s="14">
        <f>Q97/VLOOKUP($C219,calendar!$A$2:$D$121,4,FALSE)</f>
        <v>15.369539473684211</v>
      </c>
      <c r="R219" s="14">
        <f>R97/VLOOKUP($C219,calendar!$A$2:$D$121,4,FALSE)</f>
        <v>0</v>
      </c>
    </row>
    <row r="220" spans="3:18" s="8" customFormat="1" x14ac:dyDescent="0.2">
      <c r="C220" s="9">
        <f t="shared" si="21"/>
        <v>39783</v>
      </c>
      <c r="E220" s="14">
        <f>E98/VLOOKUP($C220,calendar!$A$2:$D$121,4,FALSE)</f>
        <v>85.523124999999993</v>
      </c>
      <c r="F220" s="14">
        <f>F98/VLOOKUP($C220,calendar!$A$2:$D$121,4,FALSE)</f>
        <v>0</v>
      </c>
      <c r="G220" s="14">
        <f>G98/VLOOKUP($C220,calendar!$A$2:$D$121,4,FALSE)</f>
        <v>0</v>
      </c>
      <c r="H220" s="14">
        <f>H98/VLOOKUP($C220,calendar!$A$2:$D$121,4,FALSE)</f>
        <v>-100</v>
      </c>
      <c r="I220" s="14">
        <f>I98/VLOOKUP($C220,calendar!$A$2:$D$121,4,FALSE)</f>
        <v>-25</v>
      </c>
      <c r="J220" s="14">
        <f>J98/VLOOKUP($C220,calendar!$A$2:$D$121,4,FALSE)</f>
        <v>0</v>
      </c>
      <c r="K220" s="14">
        <f>K98/VLOOKUP($C220,calendar!$A$2:$D$121,4,FALSE)</f>
        <v>0</v>
      </c>
      <c r="L220" s="14">
        <f>L98/VLOOKUP($C220,calendar!$A$2:$D$121,4,FALSE)</f>
        <v>0</v>
      </c>
      <c r="M220" s="14">
        <f>M98/VLOOKUP($C220,calendar!$A$2:$D$121,4,FALSE)</f>
        <v>0</v>
      </c>
      <c r="N220" s="14">
        <f>N98/VLOOKUP($C220,calendar!$A$2:$D$121,4,FALSE)</f>
        <v>0</v>
      </c>
      <c r="O220" s="14">
        <f>O98/VLOOKUP($C220,calendar!$A$2:$D$121,4,FALSE)</f>
        <v>0</v>
      </c>
      <c r="P220" s="14">
        <f>P98/VLOOKUP($C220,calendar!$A$2:$D$121,4,FALSE)</f>
        <v>0</v>
      </c>
      <c r="Q220" s="14">
        <f>Q98/VLOOKUP($C220,calendar!$A$2:$D$121,4,FALSE)</f>
        <v>15.292613636363637</v>
      </c>
      <c r="R220" s="14">
        <f>R98/VLOOKUP($C220,calendar!$A$2:$D$121,4,FALSE)</f>
        <v>0</v>
      </c>
    </row>
    <row r="221" spans="3:18" s="8" customFormat="1" x14ac:dyDescent="0.2">
      <c r="C221" s="9">
        <f t="shared" ref="C221:C244" si="22">C99</f>
        <v>39814</v>
      </c>
      <c r="E221" s="14">
        <f>E99/VLOOKUP($C221,calendar!$A$2:$D$121,4,FALSE)</f>
        <v>-34.590148809523811</v>
      </c>
      <c r="F221" s="14">
        <f>F99/VLOOKUP($C221,calendar!$A$2:$D$121,4,FALSE)</f>
        <v>0</v>
      </c>
      <c r="G221" s="14">
        <f>G99/VLOOKUP($C221,calendar!$A$2:$D$121,4,FALSE)</f>
        <v>0</v>
      </c>
      <c r="H221" s="14">
        <f>H99/VLOOKUP($C221,calendar!$A$2:$D$121,4,FALSE)</f>
        <v>-150</v>
      </c>
      <c r="I221" s="14">
        <f>I99/VLOOKUP($C221,calendar!$A$2:$D$121,4,FALSE)</f>
        <v>0</v>
      </c>
      <c r="J221" s="14">
        <f>J99/VLOOKUP($C221,calendar!$A$2:$D$121,4,FALSE)</f>
        <v>0</v>
      </c>
      <c r="K221" s="14">
        <f>K99/VLOOKUP($C221,calendar!$A$2:$D$121,4,FALSE)</f>
        <v>0</v>
      </c>
      <c r="L221" s="14">
        <f>L99/VLOOKUP($C221,calendar!$A$2:$D$121,4,FALSE)</f>
        <v>0</v>
      </c>
      <c r="M221" s="14">
        <f>M99/VLOOKUP($C221,calendar!$A$2:$D$121,4,FALSE)</f>
        <v>0</v>
      </c>
      <c r="N221" s="14">
        <f>N99/VLOOKUP($C221,calendar!$A$2:$D$121,4,FALSE)</f>
        <v>0</v>
      </c>
      <c r="O221" s="14">
        <f>O99/VLOOKUP($C221,calendar!$A$2:$D$121,4,FALSE)</f>
        <v>0</v>
      </c>
      <c r="P221" s="14">
        <f>P99/VLOOKUP($C221,calendar!$A$2:$D$121,4,FALSE)</f>
        <v>0</v>
      </c>
      <c r="Q221" s="14">
        <f>Q99/VLOOKUP($C221,calendar!$A$2:$D$121,4,FALSE)</f>
        <v>-1.3869047619047619</v>
      </c>
      <c r="R221" s="14">
        <f>R99/VLOOKUP($C221,calendar!$A$2:$D$121,4,FALSE)</f>
        <v>0</v>
      </c>
    </row>
    <row r="222" spans="3:18" s="8" customFormat="1" x14ac:dyDescent="0.2">
      <c r="C222" s="9">
        <f t="shared" si="22"/>
        <v>39845</v>
      </c>
      <c r="E222" s="14">
        <f>E100/VLOOKUP($C222,calendar!$A$2:$D$121,4,FALSE)</f>
        <v>-34.432000000000002</v>
      </c>
      <c r="F222" s="14">
        <f>F100/VLOOKUP($C222,calendar!$A$2:$D$121,4,FALSE)</f>
        <v>0</v>
      </c>
      <c r="G222" s="14">
        <f>G100/VLOOKUP($C222,calendar!$A$2:$D$121,4,FALSE)</f>
        <v>0</v>
      </c>
      <c r="H222" s="14">
        <f>H100/VLOOKUP($C222,calendar!$A$2:$D$121,4,FALSE)</f>
        <v>-150</v>
      </c>
      <c r="I222" s="14">
        <f>I100/VLOOKUP($C222,calendar!$A$2:$D$121,4,FALSE)</f>
        <v>0</v>
      </c>
      <c r="J222" s="14">
        <f>J100/VLOOKUP($C222,calendar!$A$2:$D$121,4,FALSE)</f>
        <v>0</v>
      </c>
      <c r="K222" s="14">
        <f>K100/VLOOKUP($C222,calendar!$A$2:$D$121,4,FALSE)</f>
        <v>0</v>
      </c>
      <c r="L222" s="14">
        <f>L100/VLOOKUP($C222,calendar!$A$2:$D$121,4,FALSE)</f>
        <v>0</v>
      </c>
      <c r="M222" s="14">
        <f>M100/VLOOKUP($C222,calendar!$A$2:$D$121,4,FALSE)</f>
        <v>0</v>
      </c>
      <c r="N222" s="14">
        <f>N100/VLOOKUP($C222,calendar!$A$2:$D$121,4,FALSE)</f>
        <v>0</v>
      </c>
      <c r="O222" s="14">
        <f>O100/VLOOKUP($C222,calendar!$A$2:$D$121,4,FALSE)</f>
        <v>0</v>
      </c>
      <c r="P222" s="14">
        <f>P100/VLOOKUP($C222,calendar!$A$2:$D$121,4,FALSE)</f>
        <v>0</v>
      </c>
      <c r="Q222" s="14">
        <f>Q100/VLOOKUP($C222,calendar!$A$2:$D$121,4,FALSE)</f>
        <v>-1.3804375</v>
      </c>
      <c r="R222" s="14">
        <f>R100/VLOOKUP($C222,calendar!$A$2:$D$121,4,FALSE)</f>
        <v>0</v>
      </c>
    </row>
    <row r="223" spans="3:18" s="8" customFormat="1" x14ac:dyDescent="0.2">
      <c r="C223" s="9">
        <f t="shared" si="22"/>
        <v>39873</v>
      </c>
      <c r="E223" s="14">
        <f>E101/VLOOKUP($C223,calendar!$A$2:$D$121,4,FALSE)</f>
        <v>-34.25721590909091</v>
      </c>
      <c r="F223" s="14">
        <f>F101/VLOOKUP($C223,calendar!$A$2:$D$121,4,FALSE)</f>
        <v>0</v>
      </c>
      <c r="G223" s="14">
        <f>G101/VLOOKUP($C223,calendar!$A$2:$D$121,4,FALSE)</f>
        <v>0</v>
      </c>
      <c r="H223" s="14">
        <f>H101/VLOOKUP($C223,calendar!$A$2:$D$121,4,FALSE)</f>
        <v>-150</v>
      </c>
      <c r="I223" s="14">
        <f>I101/VLOOKUP($C223,calendar!$A$2:$D$121,4,FALSE)</f>
        <v>0</v>
      </c>
      <c r="J223" s="14">
        <f>J101/VLOOKUP($C223,calendar!$A$2:$D$121,4,FALSE)</f>
        <v>0</v>
      </c>
      <c r="K223" s="14">
        <f>K101/VLOOKUP($C223,calendar!$A$2:$D$121,4,FALSE)</f>
        <v>0</v>
      </c>
      <c r="L223" s="14">
        <f>L101/VLOOKUP($C223,calendar!$A$2:$D$121,4,FALSE)</f>
        <v>0</v>
      </c>
      <c r="M223" s="14">
        <f>M101/VLOOKUP($C223,calendar!$A$2:$D$121,4,FALSE)</f>
        <v>0</v>
      </c>
      <c r="N223" s="14">
        <f>N101/VLOOKUP($C223,calendar!$A$2:$D$121,4,FALSE)</f>
        <v>0</v>
      </c>
      <c r="O223" s="14">
        <f>O101/VLOOKUP($C223,calendar!$A$2:$D$121,4,FALSE)</f>
        <v>0</v>
      </c>
      <c r="P223" s="14">
        <f>P101/VLOOKUP($C223,calendar!$A$2:$D$121,4,FALSE)</f>
        <v>0</v>
      </c>
      <c r="Q223" s="14">
        <f>Q101/VLOOKUP($C223,calendar!$A$2:$D$121,4,FALSE)</f>
        <v>-1.3732102272727273</v>
      </c>
      <c r="R223" s="14">
        <f>R101/VLOOKUP($C223,calendar!$A$2:$D$121,4,FALSE)</f>
        <v>0</v>
      </c>
    </row>
    <row r="224" spans="3:18" s="8" customFormat="1" x14ac:dyDescent="0.2">
      <c r="C224" s="9">
        <f t="shared" si="22"/>
        <v>39904</v>
      </c>
      <c r="E224" s="14">
        <f>E102/VLOOKUP($C224,calendar!$A$2:$D$121,4,FALSE)</f>
        <v>-34.088352272727271</v>
      </c>
      <c r="F224" s="14">
        <f>F102/VLOOKUP($C224,calendar!$A$2:$D$121,4,FALSE)</f>
        <v>0</v>
      </c>
      <c r="G224" s="14">
        <f>G102/VLOOKUP($C224,calendar!$A$2:$D$121,4,FALSE)</f>
        <v>0</v>
      </c>
      <c r="H224" s="14">
        <f>H102/VLOOKUP($C224,calendar!$A$2:$D$121,4,FALSE)</f>
        <v>-150</v>
      </c>
      <c r="I224" s="14">
        <f>I102/VLOOKUP($C224,calendar!$A$2:$D$121,4,FALSE)</f>
        <v>0</v>
      </c>
      <c r="J224" s="14">
        <f>J102/VLOOKUP($C224,calendar!$A$2:$D$121,4,FALSE)</f>
        <v>0</v>
      </c>
      <c r="K224" s="14">
        <f>K102/VLOOKUP($C224,calendar!$A$2:$D$121,4,FALSE)</f>
        <v>0</v>
      </c>
      <c r="L224" s="14">
        <f>L102/VLOOKUP($C224,calendar!$A$2:$D$121,4,FALSE)</f>
        <v>0</v>
      </c>
      <c r="M224" s="14">
        <f>M102/VLOOKUP($C224,calendar!$A$2:$D$121,4,FALSE)</f>
        <v>0</v>
      </c>
      <c r="N224" s="14">
        <f>N102/VLOOKUP($C224,calendar!$A$2:$D$121,4,FALSE)</f>
        <v>0</v>
      </c>
      <c r="O224" s="14">
        <f>O102/VLOOKUP($C224,calendar!$A$2:$D$121,4,FALSE)</f>
        <v>0</v>
      </c>
      <c r="P224" s="14">
        <f>P102/VLOOKUP($C224,calendar!$A$2:$D$121,4,FALSE)</f>
        <v>0</v>
      </c>
      <c r="Q224" s="14">
        <f>Q102/VLOOKUP($C224,calendar!$A$2:$D$121,4,FALSE)</f>
        <v>-2.0496875000000001</v>
      </c>
      <c r="R224" s="14">
        <f>R102/VLOOKUP($C224,calendar!$A$2:$D$121,4,FALSE)</f>
        <v>0</v>
      </c>
    </row>
    <row r="225" spans="3:18" s="8" customFormat="1" x14ac:dyDescent="0.2">
      <c r="C225" s="9">
        <f t="shared" si="22"/>
        <v>39934</v>
      </c>
      <c r="E225" s="14">
        <f>E103/VLOOKUP($C225,calendar!$A$2:$D$121,4,FALSE)</f>
        <v>-33.914156250000005</v>
      </c>
      <c r="F225" s="14">
        <f>F103/VLOOKUP($C225,calendar!$A$2:$D$121,4,FALSE)</f>
        <v>0</v>
      </c>
      <c r="G225" s="14">
        <f>G103/VLOOKUP($C225,calendar!$A$2:$D$121,4,FALSE)</f>
        <v>0</v>
      </c>
      <c r="H225" s="14">
        <f>H103/VLOOKUP($C225,calendar!$A$2:$D$121,4,FALSE)</f>
        <v>-150</v>
      </c>
      <c r="I225" s="14">
        <f>I103/VLOOKUP($C225,calendar!$A$2:$D$121,4,FALSE)</f>
        <v>0</v>
      </c>
      <c r="J225" s="14">
        <f>J103/VLOOKUP($C225,calendar!$A$2:$D$121,4,FALSE)</f>
        <v>0</v>
      </c>
      <c r="K225" s="14">
        <f>K103/VLOOKUP($C225,calendar!$A$2:$D$121,4,FALSE)</f>
        <v>0</v>
      </c>
      <c r="L225" s="14">
        <f>L103/VLOOKUP($C225,calendar!$A$2:$D$121,4,FALSE)</f>
        <v>0</v>
      </c>
      <c r="M225" s="14">
        <f>M103/VLOOKUP($C225,calendar!$A$2:$D$121,4,FALSE)</f>
        <v>0</v>
      </c>
      <c r="N225" s="14">
        <f>N103/VLOOKUP($C225,calendar!$A$2:$D$121,4,FALSE)</f>
        <v>0</v>
      </c>
      <c r="O225" s="14">
        <f>O103/VLOOKUP($C225,calendar!$A$2:$D$121,4,FALSE)</f>
        <v>0</v>
      </c>
      <c r="P225" s="14">
        <f>P103/VLOOKUP($C225,calendar!$A$2:$D$121,4,FALSE)</f>
        <v>0</v>
      </c>
      <c r="Q225" s="14">
        <f>Q103/VLOOKUP($C225,calendar!$A$2:$D$121,4,FALSE)</f>
        <v>-2.03990625</v>
      </c>
      <c r="R225" s="14">
        <f>R103/VLOOKUP($C225,calendar!$A$2:$D$121,4,FALSE)</f>
        <v>0</v>
      </c>
    </row>
    <row r="226" spans="3:18" s="8" customFormat="1" x14ac:dyDescent="0.2">
      <c r="C226" s="9">
        <f t="shared" si="22"/>
        <v>39965</v>
      </c>
      <c r="E226" s="14">
        <f>E104/VLOOKUP($C226,calendar!$A$2:$D$121,4,FALSE)</f>
        <v>-33.745880681818178</v>
      </c>
      <c r="F226" s="14">
        <f>F104/VLOOKUP($C226,calendar!$A$2:$D$121,4,FALSE)</f>
        <v>0</v>
      </c>
      <c r="G226" s="14">
        <f>G104/VLOOKUP($C226,calendar!$A$2:$D$121,4,FALSE)</f>
        <v>0</v>
      </c>
      <c r="H226" s="14">
        <f>H104/VLOOKUP($C226,calendar!$A$2:$D$121,4,FALSE)</f>
        <v>-150</v>
      </c>
      <c r="I226" s="14">
        <f>I104/VLOOKUP($C226,calendar!$A$2:$D$121,4,FALSE)</f>
        <v>0</v>
      </c>
      <c r="J226" s="14">
        <f>J104/VLOOKUP($C226,calendar!$A$2:$D$121,4,FALSE)</f>
        <v>0</v>
      </c>
      <c r="K226" s="14">
        <f>K104/VLOOKUP($C226,calendar!$A$2:$D$121,4,FALSE)</f>
        <v>0</v>
      </c>
      <c r="L226" s="14">
        <f>L104/VLOOKUP($C226,calendar!$A$2:$D$121,4,FALSE)</f>
        <v>0</v>
      </c>
      <c r="M226" s="14">
        <f>M104/VLOOKUP($C226,calendar!$A$2:$D$121,4,FALSE)</f>
        <v>0</v>
      </c>
      <c r="N226" s="14">
        <f>N104/VLOOKUP($C226,calendar!$A$2:$D$121,4,FALSE)</f>
        <v>0</v>
      </c>
      <c r="O226" s="14">
        <f>O104/VLOOKUP($C226,calendar!$A$2:$D$121,4,FALSE)</f>
        <v>0</v>
      </c>
      <c r="P226" s="14">
        <f>P104/VLOOKUP($C226,calendar!$A$2:$D$121,4,FALSE)</f>
        <v>0</v>
      </c>
      <c r="Q226" s="14">
        <f>Q104/VLOOKUP($C226,calendar!$A$2:$D$121,4,FALSE)</f>
        <v>-2.7055113636363637</v>
      </c>
      <c r="R226" s="14">
        <f>R104/VLOOKUP($C226,calendar!$A$2:$D$121,4,FALSE)</f>
        <v>0</v>
      </c>
    </row>
    <row r="227" spans="3:18" s="8" customFormat="1" x14ac:dyDescent="0.2">
      <c r="C227" s="9">
        <f t="shared" si="22"/>
        <v>39995</v>
      </c>
      <c r="E227" s="14">
        <f>E105/VLOOKUP($C227,calendar!$A$2:$D$121,4,FALSE)</f>
        <v>-33.572309782608698</v>
      </c>
      <c r="F227" s="14">
        <f>F105/VLOOKUP($C227,calendar!$A$2:$D$121,4,FALSE)</f>
        <v>0</v>
      </c>
      <c r="G227" s="14">
        <f>G105/VLOOKUP($C227,calendar!$A$2:$D$121,4,FALSE)</f>
        <v>0</v>
      </c>
      <c r="H227" s="14">
        <f>H105/VLOOKUP($C227,calendar!$A$2:$D$121,4,FALSE)</f>
        <v>-150</v>
      </c>
      <c r="I227" s="14">
        <f>I105/VLOOKUP($C227,calendar!$A$2:$D$121,4,FALSE)</f>
        <v>0</v>
      </c>
      <c r="J227" s="14">
        <f>J105/VLOOKUP($C227,calendar!$A$2:$D$121,4,FALSE)</f>
        <v>0</v>
      </c>
      <c r="K227" s="14">
        <f>K105/VLOOKUP($C227,calendar!$A$2:$D$121,4,FALSE)</f>
        <v>0</v>
      </c>
      <c r="L227" s="14">
        <f>L105/VLOOKUP($C227,calendar!$A$2:$D$121,4,FALSE)</f>
        <v>0</v>
      </c>
      <c r="M227" s="14">
        <f>M105/VLOOKUP($C227,calendar!$A$2:$D$121,4,FALSE)</f>
        <v>0</v>
      </c>
      <c r="N227" s="14">
        <f>N105/VLOOKUP($C227,calendar!$A$2:$D$121,4,FALSE)</f>
        <v>0</v>
      </c>
      <c r="O227" s="14">
        <f>O105/VLOOKUP($C227,calendar!$A$2:$D$121,4,FALSE)</f>
        <v>0</v>
      </c>
      <c r="P227" s="14">
        <f>P105/VLOOKUP($C227,calendar!$A$2:$D$121,4,FALSE)</f>
        <v>0</v>
      </c>
      <c r="Q227" s="14">
        <f>Q105/VLOOKUP($C227,calendar!$A$2:$D$121,4,FALSE)</f>
        <v>0</v>
      </c>
      <c r="R227" s="14">
        <f>R105/VLOOKUP($C227,calendar!$A$2:$D$121,4,FALSE)</f>
        <v>0</v>
      </c>
    </row>
    <row r="228" spans="3:18" s="8" customFormat="1" x14ac:dyDescent="0.2">
      <c r="C228" s="9">
        <f t="shared" si="22"/>
        <v>40026</v>
      </c>
      <c r="E228" s="14">
        <f>E106/VLOOKUP($C228,calendar!$A$2:$D$121,4,FALSE)</f>
        <v>-33.399047619047622</v>
      </c>
      <c r="F228" s="14">
        <f>F106/VLOOKUP($C228,calendar!$A$2:$D$121,4,FALSE)</f>
        <v>0</v>
      </c>
      <c r="G228" s="14">
        <f>G106/VLOOKUP($C228,calendar!$A$2:$D$121,4,FALSE)</f>
        <v>0</v>
      </c>
      <c r="H228" s="14">
        <f>H106/VLOOKUP($C228,calendar!$A$2:$D$121,4,FALSE)</f>
        <v>-150</v>
      </c>
      <c r="I228" s="14">
        <f>I106/VLOOKUP($C228,calendar!$A$2:$D$121,4,FALSE)</f>
        <v>0</v>
      </c>
      <c r="J228" s="14">
        <f>J106/VLOOKUP($C228,calendar!$A$2:$D$121,4,FALSE)</f>
        <v>0</v>
      </c>
      <c r="K228" s="14">
        <f>K106/VLOOKUP($C228,calendar!$A$2:$D$121,4,FALSE)</f>
        <v>0</v>
      </c>
      <c r="L228" s="14">
        <f>L106/VLOOKUP($C228,calendar!$A$2:$D$121,4,FALSE)</f>
        <v>0</v>
      </c>
      <c r="M228" s="14">
        <f>M106/VLOOKUP($C228,calendar!$A$2:$D$121,4,FALSE)</f>
        <v>0</v>
      </c>
      <c r="N228" s="14">
        <f>N106/VLOOKUP($C228,calendar!$A$2:$D$121,4,FALSE)</f>
        <v>0</v>
      </c>
      <c r="O228" s="14">
        <f>O106/VLOOKUP($C228,calendar!$A$2:$D$121,4,FALSE)</f>
        <v>0</v>
      </c>
      <c r="P228" s="14">
        <f>P106/VLOOKUP($C228,calendar!$A$2:$D$121,4,FALSE)</f>
        <v>0</v>
      </c>
      <c r="Q228" s="14">
        <f>Q106/VLOOKUP($C228,calendar!$A$2:$D$121,4,FALSE)</f>
        <v>0</v>
      </c>
      <c r="R228" s="14">
        <f>R106/VLOOKUP($C228,calendar!$A$2:$D$121,4,FALSE)</f>
        <v>0</v>
      </c>
    </row>
    <row r="229" spans="3:18" s="8" customFormat="1" x14ac:dyDescent="0.2">
      <c r="C229" s="9">
        <f t="shared" si="22"/>
        <v>40057</v>
      </c>
      <c r="E229" s="14">
        <f>E107/VLOOKUP($C229,calendar!$A$2:$D$121,4,FALSE)</f>
        <v>-33.231696428571432</v>
      </c>
      <c r="F229" s="14">
        <f>F107/VLOOKUP($C229,calendar!$A$2:$D$121,4,FALSE)</f>
        <v>0</v>
      </c>
      <c r="G229" s="14">
        <f>G107/VLOOKUP($C229,calendar!$A$2:$D$121,4,FALSE)</f>
        <v>0</v>
      </c>
      <c r="H229" s="14">
        <f>H107/VLOOKUP($C229,calendar!$A$2:$D$121,4,FALSE)</f>
        <v>-150</v>
      </c>
      <c r="I229" s="14">
        <f>I107/VLOOKUP($C229,calendar!$A$2:$D$121,4,FALSE)</f>
        <v>0</v>
      </c>
      <c r="J229" s="14">
        <f>J107/VLOOKUP($C229,calendar!$A$2:$D$121,4,FALSE)</f>
        <v>0</v>
      </c>
      <c r="K229" s="14">
        <f>K107/VLOOKUP($C229,calendar!$A$2:$D$121,4,FALSE)</f>
        <v>0</v>
      </c>
      <c r="L229" s="14">
        <f>L107/VLOOKUP($C229,calendar!$A$2:$D$121,4,FALSE)</f>
        <v>0</v>
      </c>
      <c r="M229" s="14">
        <f>M107/VLOOKUP($C229,calendar!$A$2:$D$121,4,FALSE)</f>
        <v>0</v>
      </c>
      <c r="N229" s="14">
        <f>N107/VLOOKUP($C229,calendar!$A$2:$D$121,4,FALSE)</f>
        <v>0</v>
      </c>
      <c r="O229" s="14">
        <f>O107/VLOOKUP($C229,calendar!$A$2:$D$121,4,FALSE)</f>
        <v>0</v>
      </c>
      <c r="P229" s="14">
        <f>P107/VLOOKUP($C229,calendar!$A$2:$D$121,4,FALSE)</f>
        <v>0</v>
      </c>
      <c r="Q229" s="14">
        <f>Q107/VLOOKUP($C229,calendar!$A$2:$D$121,4,FALSE)</f>
        <v>0</v>
      </c>
      <c r="R229" s="14">
        <f>R107/VLOOKUP($C229,calendar!$A$2:$D$121,4,FALSE)</f>
        <v>0</v>
      </c>
    </row>
    <row r="230" spans="3:18" s="8" customFormat="1" x14ac:dyDescent="0.2">
      <c r="C230" s="9">
        <f t="shared" si="22"/>
        <v>40087</v>
      </c>
      <c r="E230" s="14">
        <f>E108/VLOOKUP($C230,calendar!$A$2:$D$121,4,FALSE)</f>
        <v>-33.059090909090905</v>
      </c>
      <c r="F230" s="14">
        <f>F108/VLOOKUP($C230,calendar!$A$2:$D$121,4,FALSE)</f>
        <v>0</v>
      </c>
      <c r="G230" s="14">
        <f>G108/VLOOKUP($C230,calendar!$A$2:$D$121,4,FALSE)</f>
        <v>0</v>
      </c>
      <c r="H230" s="14">
        <f>H108/VLOOKUP($C230,calendar!$A$2:$D$121,4,FALSE)</f>
        <v>-150</v>
      </c>
      <c r="I230" s="14">
        <f>I108/VLOOKUP($C230,calendar!$A$2:$D$121,4,FALSE)</f>
        <v>0</v>
      </c>
      <c r="J230" s="14">
        <f>J108/VLOOKUP($C230,calendar!$A$2:$D$121,4,FALSE)</f>
        <v>0</v>
      </c>
      <c r="K230" s="14">
        <f>K108/VLOOKUP($C230,calendar!$A$2:$D$121,4,FALSE)</f>
        <v>0</v>
      </c>
      <c r="L230" s="14">
        <f>L108/VLOOKUP($C230,calendar!$A$2:$D$121,4,FALSE)</f>
        <v>0</v>
      </c>
      <c r="M230" s="14">
        <f>M108/VLOOKUP($C230,calendar!$A$2:$D$121,4,FALSE)</f>
        <v>0</v>
      </c>
      <c r="N230" s="14">
        <f>N108/VLOOKUP($C230,calendar!$A$2:$D$121,4,FALSE)</f>
        <v>0</v>
      </c>
      <c r="O230" s="14">
        <f>O108/VLOOKUP($C230,calendar!$A$2:$D$121,4,FALSE)</f>
        <v>0</v>
      </c>
      <c r="P230" s="14">
        <f>P108/VLOOKUP($C230,calendar!$A$2:$D$121,4,FALSE)</f>
        <v>0</v>
      </c>
      <c r="Q230" s="14">
        <f>Q108/VLOOKUP($C230,calendar!$A$2:$D$121,4,FALSE)</f>
        <v>0</v>
      </c>
      <c r="R230" s="14">
        <f>R108/VLOOKUP($C230,calendar!$A$2:$D$121,4,FALSE)</f>
        <v>0</v>
      </c>
    </row>
    <row r="231" spans="3:18" s="8" customFormat="1" x14ac:dyDescent="0.2">
      <c r="C231" s="9">
        <f t="shared" si="22"/>
        <v>40118</v>
      </c>
      <c r="E231" s="14">
        <f>E109/VLOOKUP($C231,calendar!$A$2:$D$121,4,FALSE)</f>
        <v>-32.892375000000001</v>
      </c>
      <c r="F231" s="14">
        <f>F109/VLOOKUP($C231,calendar!$A$2:$D$121,4,FALSE)</f>
        <v>0</v>
      </c>
      <c r="G231" s="14">
        <f>G109/VLOOKUP($C231,calendar!$A$2:$D$121,4,FALSE)</f>
        <v>0</v>
      </c>
      <c r="H231" s="14">
        <f>H109/VLOOKUP($C231,calendar!$A$2:$D$121,4,FALSE)</f>
        <v>-150</v>
      </c>
      <c r="I231" s="14">
        <f>I109/VLOOKUP($C231,calendar!$A$2:$D$121,4,FALSE)</f>
        <v>0</v>
      </c>
      <c r="J231" s="14">
        <f>J109/VLOOKUP($C231,calendar!$A$2:$D$121,4,FALSE)</f>
        <v>0</v>
      </c>
      <c r="K231" s="14">
        <f>K109/VLOOKUP($C231,calendar!$A$2:$D$121,4,FALSE)</f>
        <v>0</v>
      </c>
      <c r="L231" s="14">
        <f>L109/VLOOKUP($C231,calendar!$A$2:$D$121,4,FALSE)</f>
        <v>0</v>
      </c>
      <c r="M231" s="14">
        <f>M109/VLOOKUP($C231,calendar!$A$2:$D$121,4,FALSE)</f>
        <v>0</v>
      </c>
      <c r="N231" s="14">
        <f>N109/VLOOKUP($C231,calendar!$A$2:$D$121,4,FALSE)</f>
        <v>0</v>
      </c>
      <c r="O231" s="14">
        <f>O109/VLOOKUP($C231,calendar!$A$2:$D$121,4,FALSE)</f>
        <v>0</v>
      </c>
      <c r="P231" s="14">
        <f>P109/VLOOKUP($C231,calendar!$A$2:$D$121,4,FALSE)</f>
        <v>0</v>
      </c>
      <c r="Q231" s="14">
        <f>Q109/VLOOKUP($C231,calendar!$A$2:$D$121,4,FALSE)</f>
        <v>0</v>
      </c>
      <c r="R231" s="14">
        <f>R109/VLOOKUP($C231,calendar!$A$2:$D$121,4,FALSE)</f>
        <v>0</v>
      </c>
    </row>
    <row r="232" spans="3:18" s="8" customFormat="1" x14ac:dyDescent="0.2">
      <c r="C232" s="9">
        <f t="shared" si="22"/>
        <v>40148</v>
      </c>
      <c r="E232" s="14">
        <f>E110/VLOOKUP($C232,calendar!$A$2:$D$121,4,FALSE)</f>
        <v>-32.720397727272726</v>
      </c>
      <c r="F232" s="14">
        <f>F110/VLOOKUP($C232,calendar!$A$2:$D$121,4,FALSE)</f>
        <v>0</v>
      </c>
      <c r="G232" s="14">
        <f>G110/VLOOKUP($C232,calendar!$A$2:$D$121,4,FALSE)</f>
        <v>0</v>
      </c>
      <c r="H232" s="14">
        <f>H110/VLOOKUP($C232,calendar!$A$2:$D$121,4,FALSE)</f>
        <v>-150</v>
      </c>
      <c r="I232" s="14">
        <f>I110/VLOOKUP($C232,calendar!$A$2:$D$121,4,FALSE)</f>
        <v>0</v>
      </c>
      <c r="J232" s="14">
        <f>J110/VLOOKUP($C232,calendar!$A$2:$D$121,4,FALSE)</f>
        <v>0</v>
      </c>
      <c r="K232" s="14">
        <f>K110/VLOOKUP($C232,calendar!$A$2:$D$121,4,FALSE)</f>
        <v>0</v>
      </c>
      <c r="L232" s="14">
        <f>L110/VLOOKUP($C232,calendar!$A$2:$D$121,4,FALSE)</f>
        <v>0</v>
      </c>
      <c r="M232" s="14">
        <f>M110/VLOOKUP($C232,calendar!$A$2:$D$121,4,FALSE)</f>
        <v>0</v>
      </c>
      <c r="N232" s="14">
        <f>N110/VLOOKUP($C232,calendar!$A$2:$D$121,4,FALSE)</f>
        <v>0</v>
      </c>
      <c r="O232" s="14">
        <f>O110/VLOOKUP($C232,calendar!$A$2:$D$121,4,FALSE)</f>
        <v>0</v>
      </c>
      <c r="P232" s="14">
        <f>P110/VLOOKUP($C232,calendar!$A$2:$D$121,4,FALSE)</f>
        <v>0</v>
      </c>
      <c r="Q232" s="14">
        <f>Q110/VLOOKUP($C232,calendar!$A$2:$D$121,4,FALSE)</f>
        <v>0</v>
      </c>
      <c r="R232" s="14">
        <f>R110/VLOOKUP($C232,calendar!$A$2:$D$121,4,FALSE)</f>
        <v>0</v>
      </c>
    </row>
    <row r="233" spans="3:18" s="8" customFormat="1" x14ac:dyDescent="0.2">
      <c r="C233" s="9">
        <f t="shared" si="22"/>
        <v>40179</v>
      </c>
      <c r="E233" s="14">
        <f>E111/VLOOKUP($C233,calendar!$A$2:$D$121,4,FALSE)</f>
        <v>32.548781250000005</v>
      </c>
      <c r="F233" s="14">
        <f>F111/VLOOKUP($C233,calendar!$A$2:$D$121,4,FALSE)</f>
        <v>0</v>
      </c>
      <c r="G233" s="14">
        <f>G111/VLOOKUP($C233,calendar!$A$2:$D$121,4,FALSE)</f>
        <v>0</v>
      </c>
      <c r="H233" s="14">
        <f>H111/VLOOKUP($C233,calendar!$A$2:$D$121,4,FALSE)</f>
        <v>-100</v>
      </c>
      <c r="I233" s="14">
        <f>I111/VLOOKUP($C233,calendar!$A$2:$D$121,4,FALSE)</f>
        <v>0</v>
      </c>
      <c r="J233" s="14">
        <f>J111/VLOOKUP($C233,calendar!$A$2:$D$121,4,FALSE)</f>
        <v>0</v>
      </c>
      <c r="K233" s="14">
        <f>K111/VLOOKUP($C233,calendar!$A$2:$D$121,4,FALSE)</f>
        <v>0</v>
      </c>
      <c r="L233" s="14">
        <f>L111/VLOOKUP($C233,calendar!$A$2:$D$121,4,FALSE)</f>
        <v>0</v>
      </c>
      <c r="M233" s="14">
        <f>M111/VLOOKUP($C233,calendar!$A$2:$D$121,4,FALSE)</f>
        <v>0</v>
      </c>
      <c r="N233" s="14">
        <f>N111/VLOOKUP($C233,calendar!$A$2:$D$121,4,FALSE)</f>
        <v>0</v>
      </c>
      <c r="O233" s="14">
        <f>O111/VLOOKUP($C233,calendar!$A$2:$D$121,4,FALSE)</f>
        <v>0</v>
      </c>
      <c r="P233" s="14">
        <f>P111/VLOOKUP($C233,calendar!$A$2:$D$121,4,FALSE)</f>
        <v>0</v>
      </c>
      <c r="Q233" s="14">
        <f>Q111/VLOOKUP($C233,calendar!$A$2:$D$121,4,FALSE)</f>
        <v>0</v>
      </c>
      <c r="R233" s="14">
        <f>R111/VLOOKUP($C233,calendar!$A$2:$D$121,4,FALSE)</f>
        <v>0</v>
      </c>
    </row>
    <row r="234" spans="3:18" s="8" customFormat="1" x14ac:dyDescent="0.2">
      <c r="C234" s="9">
        <f t="shared" si="22"/>
        <v>40210</v>
      </c>
      <c r="E234" s="14">
        <f>E112/VLOOKUP($C234,calendar!$A$2:$D$121,4,FALSE)</f>
        <v>32.394093750000003</v>
      </c>
      <c r="F234" s="14">
        <f>F112/VLOOKUP($C234,calendar!$A$2:$D$121,4,FALSE)</f>
        <v>0</v>
      </c>
      <c r="G234" s="14">
        <f>G112/VLOOKUP($C234,calendar!$A$2:$D$121,4,FALSE)</f>
        <v>0</v>
      </c>
      <c r="H234" s="14">
        <f>H112/VLOOKUP($C234,calendar!$A$2:$D$121,4,FALSE)</f>
        <v>-100</v>
      </c>
      <c r="I234" s="14">
        <f>I112/VLOOKUP($C234,calendar!$A$2:$D$121,4,FALSE)</f>
        <v>0</v>
      </c>
      <c r="J234" s="14">
        <f>J112/VLOOKUP($C234,calendar!$A$2:$D$121,4,FALSE)</f>
        <v>0</v>
      </c>
      <c r="K234" s="14">
        <f>K112/VLOOKUP($C234,calendar!$A$2:$D$121,4,FALSE)</f>
        <v>0</v>
      </c>
      <c r="L234" s="14">
        <f>L112/VLOOKUP($C234,calendar!$A$2:$D$121,4,FALSE)</f>
        <v>0</v>
      </c>
      <c r="M234" s="14">
        <f>M112/VLOOKUP($C234,calendar!$A$2:$D$121,4,FALSE)</f>
        <v>0</v>
      </c>
      <c r="N234" s="14">
        <f>N112/VLOOKUP($C234,calendar!$A$2:$D$121,4,FALSE)</f>
        <v>0</v>
      </c>
      <c r="O234" s="14">
        <f>O112/VLOOKUP($C234,calendar!$A$2:$D$121,4,FALSE)</f>
        <v>0</v>
      </c>
      <c r="P234" s="14">
        <f>P112/VLOOKUP($C234,calendar!$A$2:$D$121,4,FALSE)</f>
        <v>0</v>
      </c>
      <c r="Q234" s="14">
        <f>Q112/VLOOKUP($C234,calendar!$A$2:$D$121,4,FALSE)</f>
        <v>0</v>
      </c>
      <c r="R234" s="14">
        <f>R112/VLOOKUP($C234,calendar!$A$2:$D$121,4,FALSE)</f>
        <v>0</v>
      </c>
    </row>
    <row r="235" spans="3:18" s="8" customFormat="1" x14ac:dyDescent="0.2">
      <c r="C235" s="9">
        <f t="shared" si="22"/>
        <v>40238</v>
      </c>
      <c r="E235" s="14">
        <f>E113/VLOOKUP($C235,calendar!$A$2:$D$121,4,FALSE)</f>
        <v>32.223125000000003</v>
      </c>
      <c r="F235" s="14">
        <f>F113/VLOOKUP($C235,calendar!$A$2:$D$121,4,FALSE)</f>
        <v>0</v>
      </c>
      <c r="G235" s="14">
        <f>G113/VLOOKUP($C235,calendar!$A$2:$D$121,4,FALSE)</f>
        <v>0</v>
      </c>
      <c r="H235" s="14">
        <f>H113/VLOOKUP($C235,calendar!$A$2:$D$121,4,FALSE)</f>
        <v>-100</v>
      </c>
      <c r="I235" s="14">
        <f>I113/VLOOKUP($C235,calendar!$A$2:$D$121,4,FALSE)</f>
        <v>0</v>
      </c>
      <c r="J235" s="14">
        <f>J113/VLOOKUP($C235,calendar!$A$2:$D$121,4,FALSE)</f>
        <v>0</v>
      </c>
      <c r="K235" s="14">
        <f>K113/VLOOKUP($C235,calendar!$A$2:$D$121,4,FALSE)</f>
        <v>0</v>
      </c>
      <c r="L235" s="14">
        <f>L113/VLOOKUP($C235,calendar!$A$2:$D$121,4,FALSE)</f>
        <v>0</v>
      </c>
      <c r="M235" s="14">
        <f>M113/VLOOKUP($C235,calendar!$A$2:$D$121,4,FALSE)</f>
        <v>0</v>
      </c>
      <c r="N235" s="14">
        <f>N113/VLOOKUP($C235,calendar!$A$2:$D$121,4,FALSE)</f>
        <v>0</v>
      </c>
      <c r="O235" s="14">
        <f>O113/VLOOKUP($C235,calendar!$A$2:$D$121,4,FALSE)</f>
        <v>0</v>
      </c>
      <c r="P235" s="14">
        <f>P113/VLOOKUP($C235,calendar!$A$2:$D$121,4,FALSE)</f>
        <v>0</v>
      </c>
      <c r="Q235" s="14">
        <f>Q113/VLOOKUP($C235,calendar!$A$2:$D$121,4,FALSE)</f>
        <v>0</v>
      </c>
      <c r="R235" s="14">
        <f>R113/VLOOKUP($C235,calendar!$A$2:$D$121,4,FALSE)</f>
        <v>0</v>
      </c>
    </row>
    <row r="236" spans="3:18" s="8" customFormat="1" x14ac:dyDescent="0.2">
      <c r="C236" s="9">
        <f t="shared" si="22"/>
        <v>40269</v>
      </c>
      <c r="E236" s="14">
        <f>E114/VLOOKUP($C236,calendar!$A$2:$D$121,4,FALSE)</f>
        <v>32.058039772727277</v>
      </c>
      <c r="F236" s="14">
        <f>F114/VLOOKUP($C236,calendar!$A$2:$D$121,4,FALSE)</f>
        <v>0</v>
      </c>
      <c r="G236" s="14">
        <f>G114/VLOOKUP($C236,calendar!$A$2:$D$121,4,FALSE)</f>
        <v>0</v>
      </c>
      <c r="H236" s="14">
        <f>H114/VLOOKUP($C236,calendar!$A$2:$D$121,4,FALSE)</f>
        <v>-100</v>
      </c>
      <c r="I236" s="14">
        <f>I114/VLOOKUP($C236,calendar!$A$2:$D$121,4,FALSE)</f>
        <v>0</v>
      </c>
      <c r="J236" s="14">
        <f>J114/VLOOKUP($C236,calendar!$A$2:$D$121,4,FALSE)</f>
        <v>0</v>
      </c>
      <c r="K236" s="14">
        <f>K114/VLOOKUP($C236,calendar!$A$2:$D$121,4,FALSE)</f>
        <v>0</v>
      </c>
      <c r="L236" s="14">
        <f>L114/VLOOKUP($C236,calendar!$A$2:$D$121,4,FALSE)</f>
        <v>0</v>
      </c>
      <c r="M236" s="14">
        <f>M114/VLOOKUP($C236,calendar!$A$2:$D$121,4,FALSE)</f>
        <v>0</v>
      </c>
      <c r="N236" s="14">
        <f>N114/VLOOKUP($C236,calendar!$A$2:$D$121,4,FALSE)</f>
        <v>0</v>
      </c>
      <c r="O236" s="14">
        <f>O114/VLOOKUP($C236,calendar!$A$2:$D$121,4,FALSE)</f>
        <v>0</v>
      </c>
      <c r="P236" s="14">
        <f>P114/VLOOKUP($C236,calendar!$A$2:$D$121,4,FALSE)</f>
        <v>0</v>
      </c>
      <c r="Q236" s="14">
        <f>Q114/VLOOKUP($C236,calendar!$A$2:$D$121,4,FALSE)</f>
        <v>0</v>
      </c>
      <c r="R236" s="14">
        <f>R114/VLOOKUP($C236,calendar!$A$2:$D$121,4,FALSE)</f>
        <v>0</v>
      </c>
    </row>
    <row r="237" spans="3:18" s="8" customFormat="1" x14ac:dyDescent="0.2">
      <c r="C237" s="9">
        <f t="shared" si="22"/>
        <v>40299</v>
      </c>
      <c r="E237" s="14">
        <f>E115/VLOOKUP($C237,calendar!$A$2:$D$121,4,FALSE)</f>
        <v>31.88778125</v>
      </c>
      <c r="F237" s="14">
        <f>F115/VLOOKUP($C237,calendar!$A$2:$D$121,4,FALSE)</f>
        <v>0</v>
      </c>
      <c r="G237" s="14">
        <f>G115/VLOOKUP($C237,calendar!$A$2:$D$121,4,FALSE)</f>
        <v>0</v>
      </c>
      <c r="H237" s="14">
        <f>H115/VLOOKUP($C237,calendar!$A$2:$D$121,4,FALSE)</f>
        <v>-100</v>
      </c>
      <c r="I237" s="14">
        <f>I115/VLOOKUP($C237,calendar!$A$2:$D$121,4,FALSE)</f>
        <v>0</v>
      </c>
      <c r="J237" s="14">
        <f>J115/VLOOKUP($C237,calendar!$A$2:$D$121,4,FALSE)</f>
        <v>0</v>
      </c>
      <c r="K237" s="14">
        <f>K115/VLOOKUP($C237,calendar!$A$2:$D$121,4,FALSE)</f>
        <v>0</v>
      </c>
      <c r="L237" s="14">
        <f>L115/VLOOKUP($C237,calendar!$A$2:$D$121,4,FALSE)</f>
        <v>0</v>
      </c>
      <c r="M237" s="14">
        <f>M115/VLOOKUP($C237,calendar!$A$2:$D$121,4,FALSE)</f>
        <v>0</v>
      </c>
      <c r="N237" s="14">
        <f>N115/VLOOKUP($C237,calendar!$A$2:$D$121,4,FALSE)</f>
        <v>0</v>
      </c>
      <c r="O237" s="14">
        <f>O115/VLOOKUP($C237,calendar!$A$2:$D$121,4,FALSE)</f>
        <v>0</v>
      </c>
      <c r="P237" s="14">
        <f>P115/VLOOKUP($C237,calendar!$A$2:$D$121,4,FALSE)</f>
        <v>0</v>
      </c>
      <c r="Q237" s="14">
        <f>Q115/VLOOKUP($C237,calendar!$A$2:$D$121,4,FALSE)</f>
        <v>0</v>
      </c>
      <c r="R237" s="14">
        <f>R115/VLOOKUP($C237,calendar!$A$2:$D$121,4,FALSE)</f>
        <v>0</v>
      </c>
    </row>
    <row r="238" spans="3:18" s="8" customFormat="1" x14ac:dyDescent="0.2">
      <c r="C238" s="9">
        <f t="shared" si="22"/>
        <v>40330</v>
      </c>
      <c r="E238" s="14">
        <f>E116/VLOOKUP($C238,calendar!$A$2:$D$121,4,FALSE)</f>
        <v>31.723352272727276</v>
      </c>
      <c r="F238" s="14">
        <f>F116/VLOOKUP($C238,calendar!$A$2:$D$121,4,FALSE)</f>
        <v>0</v>
      </c>
      <c r="G238" s="14">
        <f>G116/VLOOKUP($C238,calendar!$A$2:$D$121,4,FALSE)</f>
        <v>0</v>
      </c>
      <c r="H238" s="14">
        <f>H116/VLOOKUP($C238,calendar!$A$2:$D$121,4,FALSE)</f>
        <v>-100</v>
      </c>
      <c r="I238" s="14">
        <f>I116/VLOOKUP($C238,calendar!$A$2:$D$121,4,FALSE)</f>
        <v>0</v>
      </c>
      <c r="J238" s="14">
        <f>J116/VLOOKUP($C238,calendar!$A$2:$D$121,4,FALSE)</f>
        <v>0</v>
      </c>
      <c r="K238" s="14">
        <f>K116/VLOOKUP($C238,calendar!$A$2:$D$121,4,FALSE)</f>
        <v>0</v>
      </c>
      <c r="L238" s="14">
        <f>L116/VLOOKUP($C238,calendar!$A$2:$D$121,4,FALSE)</f>
        <v>0</v>
      </c>
      <c r="M238" s="14">
        <f>M116/VLOOKUP($C238,calendar!$A$2:$D$121,4,FALSE)</f>
        <v>0</v>
      </c>
      <c r="N238" s="14">
        <f>N116/VLOOKUP($C238,calendar!$A$2:$D$121,4,FALSE)</f>
        <v>0</v>
      </c>
      <c r="O238" s="14">
        <f>O116/VLOOKUP($C238,calendar!$A$2:$D$121,4,FALSE)</f>
        <v>0</v>
      </c>
      <c r="P238" s="14">
        <f>P116/VLOOKUP($C238,calendar!$A$2:$D$121,4,FALSE)</f>
        <v>0</v>
      </c>
      <c r="Q238" s="14">
        <f>Q116/VLOOKUP($C238,calendar!$A$2:$D$121,4,FALSE)</f>
        <v>0</v>
      </c>
      <c r="R238" s="14">
        <f>R116/VLOOKUP($C238,calendar!$A$2:$D$121,4,FALSE)</f>
        <v>0</v>
      </c>
    </row>
    <row r="239" spans="3:18" s="8" customFormat="1" x14ac:dyDescent="0.2">
      <c r="C239" s="9">
        <f t="shared" si="22"/>
        <v>40360</v>
      </c>
      <c r="E239" s="14">
        <f>E117/VLOOKUP($C239,calendar!$A$2:$D$121,4,FALSE)</f>
        <v>31.553839285714286</v>
      </c>
      <c r="F239" s="14">
        <f>F117/VLOOKUP($C239,calendar!$A$2:$D$121,4,FALSE)</f>
        <v>0</v>
      </c>
      <c r="G239" s="14">
        <f>G117/VLOOKUP($C239,calendar!$A$2:$D$121,4,FALSE)</f>
        <v>0</v>
      </c>
      <c r="H239" s="14">
        <f>H117/VLOOKUP($C239,calendar!$A$2:$D$121,4,FALSE)</f>
        <v>-100</v>
      </c>
      <c r="I239" s="14">
        <f>I117/VLOOKUP($C239,calendar!$A$2:$D$121,4,FALSE)</f>
        <v>0</v>
      </c>
      <c r="J239" s="14">
        <f>J117/VLOOKUP($C239,calendar!$A$2:$D$121,4,FALSE)</f>
        <v>0</v>
      </c>
      <c r="K239" s="14">
        <f>K117/VLOOKUP($C239,calendar!$A$2:$D$121,4,FALSE)</f>
        <v>0</v>
      </c>
      <c r="L239" s="14">
        <f>L117/VLOOKUP($C239,calendar!$A$2:$D$121,4,FALSE)</f>
        <v>0</v>
      </c>
      <c r="M239" s="14">
        <f>M117/VLOOKUP($C239,calendar!$A$2:$D$121,4,FALSE)</f>
        <v>0</v>
      </c>
      <c r="N239" s="14">
        <f>N117/VLOOKUP($C239,calendar!$A$2:$D$121,4,FALSE)</f>
        <v>0</v>
      </c>
      <c r="O239" s="14">
        <f>O117/VLOOKUP($C239,calendar!$A$2:$D$121,4,FALSE)</f>
        <v>0</v>
      </c>
      <c r="P239" s="14">
        <f>P117/VLOOKUP($C239,calendar!$A$2:$D$121,4,FALSE)</f>
        <v>0</v>
      </c>
      <c r="Q239" s="14">
        <f>Q117/VLOOKUP($C239,calendar!$A$2:$D$121,4,FALSE)</f>
        <v>0</v>
      </c>
      <c r="R239" s="14">
        <f>R117/VLOOKUP($C239,calendar!$A$2:$D$121,4,FALSE)</f>
        <v>0</v>
      </c>
    </row>
    <row r="240" spans="3:18" s="8" customFormat="1" x14ac:dyDescent="0.2">
      <c r="C240" s="9">
        <f t="shared" si="22"/>
        <v>40391</v>
      </c>
      <c r="E240" s="14">
        <f>E118/VLOOKUP($C240,calendar!$A$2:$D$121,4,FALSE)</f>
        <v>31.384659090909089</v>
      </c>
      <c r="F240" s="14">
        <f>F118/VLOOKUP($C240,calendar!$A$2:$D$121,4,FALSE)</f>
        <v>0</v>
      </c>
      <c r="G240" s="14">
        <f>G118/VLOOKUP($C240,calendar!$A$2:$D$121,4,FALSE)</f>
        <v>0</v>
      </c>
      <c r="H240" s="14">
        <f>H118/VLOOKUP($C240,calendar!$A$2:$D$121,4,FALSE)</f>
        <v>-100</v>
      </c>
      <c r="I240" s="14">
        <f>I118/VLOOKUP($C240,calendar!$A$2:$D$121,4,FALSE)</f>
        <v>0</v>
      </c>
      <c r="J240" s="14">
        <f>J118/VLOOKUP($C240,calendar!$A$2:$D$121,4,FALSE)</f>
        <v>0</v>
      </c>
      <c r="K240" s="14">
        <f>K118/VLOOKUP($C240,calendar!$A$2:$D$121,4,FALSE)</f>
        <v>0</v>
      </c>
      <c r="L240" s="14">
        <f>L118/VLOOKUP($C240,calendar!$A$2:$D$121,4,FALSE)</f>
        <v>0</v>
      </c>
      <c r="M240" s="14">
        <f>M118/VLOOKUP($C240,calendar!$A$2:$D$121,4,FALSE)</f>
        <v>0</v>
      </c>
      <c r="N240" s="14">
        <f>N118/VLOOKUP($C240,calendar!$A$2:$D$121,4,FALSE)</f>
        <v>0</v>
      </c>
      <c r="O240" s="14">
        <f>O118/VLOOKUP($C240,calendar!$A$2:$D$121,4,FALSE)</f>
        <v>0</v>
      </c>
      <c r="P240" s="14">
        <f>P118/VLOOKUP($C240,calendar!$A$2:$D$121,4,FALSE)</f>
        <v>0</v>
      </c>
      <c r="Q240" s="14">
        <f>Q118/VLOOKUP($C240,calendar!$A$2:$D$121,4,FALSE)</f>
        <v>0</v>
      </c>
      <c r="R240" s="14">
        <f>R118/VLOOKUP($C240,calendar!$A$2:$D$121,4,FALSE)</f>
        <v>0</v>
      </c>
    </row>
    <row r="241" spans="1:20" s="8" customFormat="1" x14ac:dyDescent="0.2">
      <c r="C241" s="9">
        <f t="shared" si="22"/>
        <v>40422</v>
      </c>
      <c r="E241" s="14">
        <f>E119/VLOOKUP($C241,calendar!$A$2:$D$121,4,FALSE)</f>
        <v>31.221279761904764</v>
      </c>
      <c r="F241" s="14">
        <f>F119/VLOOKUP($C241,calendar!$A$2:$D$121,4,FALSE)</f>
        <v>0</v>
      </c>
      <c r="G241" s="14">
        <f>G119/VLOOKUP($C241,calendar!$A$2:$D$121,4,FALSE)</f>
        <v>0</v>
      </c>
      <c r="H241" s="14">
        <f>H119/VLOOKUP($C241,calendar!$A$2:$D$121,4,FALSE)</f>
        <v>-100</v>
      </c>
      <c r="I241" s="14">
        <f>I119/VLOOKUP($C241,calendar!$A$2:$D$121,4,FALSE)</f>
        <v>0</v>
      </c>
      <c r="J241" s="14">
        <f>J119/VLOOKUP($C241,calendar!$A$2:$D$121,4,FALSE)</f>
        <v>0</v>
      </c>
      <c r="K241" s="14">
        <f>K119/VLOOKUP($C241,calendar!$A$2:$D$121,4,FALSE)</f>
        <v>0</v>
      </c>
      <c r="L241" s="14">
        <f>L119/VLOOKUP($C241,calendar!$A$2:$D$121,4,FALSE)</f>
        <v>0</v>
      </c>
      <c r="M241" s="14">
        <f>M119/VLOOKUP($C241,calendar!$A$2:$D$121,4,FALSE)</f>
        <v>0</v>
      </c>
      <c r="N241" s="14">
        <f>N119/VLOOKUP($C241,calendar!$A$2:$D$121,4,FALSE)</f>
        <v>0</v>
      </c>
      <c r="O241" s="14">
        <f>O119/VLOOKUP($C241,calendar!$A$2:$D$121,4,FALSE)</f>
        <v>0</v>
      </c>
      <c r="P241" s="14">
        <f>P119/VLOOKUP($C241,calendar!$A$2:$D$121,4,FALSE)</f>
        <v>0</v>
      </c>
      <c r="Q241" s="14">
        <f>Q119/VLOOKUP($C241,calendar!$A$2:$D$121,4,FALSE)</f>
        <v>0</v>
      </c>
      <c r="R241" s="14">
        <f>R119/VLOOKUP($C241,calendar!$A$2:$D$121,4,FALSE)</f>
        <v>0</v>
      </c>
    </row>
    <row r="242" spans="1:20" s="8" customFormat="1" x14ac:dyDescent="0.2">
      <c r="C242" s="9">
        <f t="shared" si="22"/>
        <v>40452</v>
      </c>
      <c r="E242" s="14">
        <f>E120/VLOOKUP($C242,calendar!$A$2:$D$121,4,FALSE)</f>
        <v>31.052857142857142</v>
      </c>
      <c r="F242" s="14">
        <f>F120/VLOOKUP($C242,calendar!$A$2:$D$121,4,FALSE)</f>
        <v>0</v>
      </c>
      <c r="G242" s="14">
        <f>G120/VLOOKUP($C242,calendar!$A$2:$D$121,4,FALSE)</f>
        <v>0</v>
      </c>
      <c r="H242" s="14">
        <f>H120/VLOOKUP($C242,calendar!$A$2:$D$121,4,FALSE)</f>
        <v>-100</v>
      </c>
      <c r="I242" s="14">
        <f>I120/VLOOKUP($C242,calendar!$A$2:$D$121,4,FALSE)</f>
        <v>0</v>
      </c>
      <c r="J242" s="14">
        <f>J120/VLOOKUP($C242,calendar!$A$2:$D$121,4,FALSE)</f>
        <v>0</v>
      </c>
      <c r="K242" s="14">
        <f>K120/VLOOKUP($C242,calendar!$A$2:$D$121,4,FALSE)</f>
        <v>0</v>
      </c>
      <c r="L242" s="14">
        <f>L120/VLOOKUP($C242,calendar!$A$2:$D$121,4,FALSE)</f>
        <v>0</v>
      </c>
      <c r="M242" s="14">
        <f>M120/VLOOKUP($C242,calendar!$A$2:$D$121,4,FALSE)</f>
        <v>0</v>
      </c>
      <c r="N242" s="14">
        <f>N120/VLOOKUP($C242,calendar!$A$2:$D$121,4,FALSE)</f>
        <v>0</v>
      </c>
      <c r="O242" s="14">
        <f>O120/VLOOKUP($C242,calendar!$A$2:$D$121,4,FALSE)</f>
        <v>0</v>
      </c>
      <c r="P242" s="14">
        <f>P120/VLOOKUP($C242,calendar!$A$2:$D$121,4,FALSE)</f>
        <v>0</v>
      </c>
      <c r="Q242" s="14">
        <f>Q120/VLOOKUP($C242,calendar!$A$2:$D$121,4,FALSE)</f>
        <v>0</v>
      </c>
      <c r="R242" s="14">
        <f>R120/VLOOKUP($C242,calendar!$A$2:$D$121,4,FALSE)</f>
        <v>0</v>
      </c>
    </row>
    <row r="243" spans="1:20" s="8" customFormat="1" x14ac:dyDescent="0.2">
      <c r="C243" s="9">
        <f t="shared" si="22"/>
        <v>40483</v>
      </c>
      <c r="E243" s="14">
        <f>E121/VLOOKUP($C243,calendar!$A$2:$D$121,4,FALSE)</f>
        <v>30.890208333333334</v>
      </c>
      <c r="F243" s="14">
        <f>F121/VLOOKUP($C243,calendar!$A$2:$D$121,4,FALSE)</f>
        <v>0</v>
      </c>
      <c r="G243" s="14">
        <f>G121/VLOOKUP($C243,calendar!$A$2:$D$121,4,FALSE)</f>
        <v>0</v>
      </c>
      <c r="H243" s="14">
        <f>H121/VLOOKUP($C243,calendar!$A$2:$D$121,4,FALSE)</f>
        <v>-100</v>
      </c>
      <c r="I243" s="14">
        <f>I121/VLOOKUP($C243,calendar!$A$2:$D$121,4,FALSE)</f>
        <v>0</v>
      </c>
      <c r="J243" s="14">
        <f>J121/VLOOKUP($C243,calendar!$A$2:$D$121,4,FALSE)</f>
        <v>0</v>
      </c>
      <c r="K243" s="14">
        <f>K121/VLOOKUP($C243,calendar!$A$2:$D$121,4,FALSE)</f>
        <v>0</v>
      </c>
      <c r="L243" s="14">
        <f>L121/VLOOKUP($C243,calendar!$A$2:$D$121,4,FALSE)</f>
        <v>0</v>
      </c>
      <c r="M243" s="14">
        <f>M121/VLOOKUP($C243,calendar!$A$2:$D$121,4,FALSE)</f>
        <v>0</v>
      </c>
      <c r="N243" s="14">
        <f>N121/VLOOKUP($C243,calendar!$A$2:$D$121,4,FALSE)</f>
        <v>0</v>
      </c>
      <c r="O243" s="14">
        <f>O121/VLOOKUP($C243,calendar!$A$2:$D$121,4,FALSE)</f>
        <v>0</v>
      </c>
      <c r="P243" s="14">
        <f>P121/VLOOKUP($C243,calendar!$A$2:$D$121,4,FALSE)</f>
        <v>0</v>
      </c>
      <c r="Q243" s="14">
        <f>Q121/VLOOKUP($C243,calendar!$A$2:$D$121,4,FALSE)</f>
        <v>0</v>
      </c>
      <c r="R243" s="14">
        <f>R121/VLOOKUP($C243,calendar!$A$2:$D$121,4,FALSE)</f>
        <v>0</v>
      </c>
    </row>
    <row r="244" spans="1:20" s="8" customFormat="1" x14ac:dyDescent="0.2">
      <c r="C244" s="9">
        <f t="shared" si="22"/>
        <v>40513</v>
      </c>
      <c r="E244" s="14">
        <f>E122/VLOOKUP($C244,calendar!$A$2:$D$121,4,FALSE)</f>
        <v>30.722527173913043</v>
      </c>
      <c r="F244" s="14">
        <f>F122/VLOOKUP($C244,calendar!$A$2:$D$121,4,FALSE)</f>
        <v>0</v>
      </c>
      <c r="G244" s="14">
        <f>G122/VLOOKUP($C244,calendar!$A$2:$D$121,4,FALSE)</f>
        <v>0</v>
      </c>
      <c r="H244" s="14">
        <f>H122/VLOOKUP($C244,calendar!$A$2:$D$121,4,FALSE)</f>
        <v>-100</v>
      </c>
      <c r="I244" s="14">
        <f>I122/VLOOKUP($C244,calendar!$A$2:$D$121,4,FALSE)</f>
        <v>0</v>
      </c>
      <c r="J244" s="14">
        <f>J122/VLOOKUP($C244,calendar!$A$2:$D$121,4,FALSE)</f>
        <v>0</v>
      </c>
      <c r="K244" s="14">
        <f>K122/VLOOKUP($C244,calendar!$A$2:$D$121,4,FALSE)</f>
        <v>0</v>
      </c>
      <c r="L244" s="14">
        <f>L122/VLOOKUP($C244,calendar!$A$2:$D$121,4,FALSE)</f>
        <v>0</v>
      </c>
      <c r="M244" s="14">
        <f>M122/VLOOKUP($C244,calendar!$A$2:$D$121,4,FALSE)</f>
        <v>0</v>
      </c>
      <c r="N244" s="14">
        <f>N122/VLOOKUP($C244,calendar!$A$2:$D$121,4,FALSE)</f>
        <v>0</v>
      </c>
      <c r="O244" s="14">
        <f>O122/VLOOKUP($C244,calendar!$A$2:$D$121,4,FALSE)</f>
        <v>0</v>
      </c>
      <c r="P244" s="14">
        <f>P122/VLOOKUP($C244,calendar!$A$2:$D$121,4,FALSE)</f>
        <v>0</v>
      </c>
      <c r="Q244" s="14">
        <f>Q122/VLOOKUP($C244,calendar!$A$2:$D$121,4,FALSE)</f>
        <v>0</v>
      </c>
      <c r="R244" s="14">
        <f>R122/VLOOKUP($C244,calendar!$A$2:$D$121,4,FALSE)</f>
        <v>0</v>
      </c>
    </row>
    <row r="245" spans="1:20" s="8" customFormat="1" x14ac:dyDescent="0.2">
      <c r="C245" s="9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1:20" x14ac:dyDescent="0.2">
      <c r="C246" s="1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6"/>
      <c r="T246" s="6"/>
    </row>
    <row r="247" spans="1:20" s="5" customFormat="1" x14ac:dyDescent="0.2">
      <c r="A247" s="5" t="s">
        <v>43</v>
      </c>
      <c r="E247" s="13" t="str">
        <f t="shared" ref="E247:R247" si="23">E$1</f>
        <v>CINERGY</v>
      </c>
      <c r="F247" s="13" t="str">
        <f t="shared" si="23"/>
        <v>AMEREN</v>
      </c>
      <c r="G247" s="13" t="str">
        <f t="shared" si="23"/>
        <v>ERCOT</v>
      </c>
      <c r="H247" s="13" t="str">
        <f t="shared" si="23"/>
        <v>INTO COMED</v>
      </c>
      <c r="I247" s="13" t="str">
        <f t="shared" si="23"/>
        <v>INTO TVA</v>
      </c>
      <c r="J247" s="13" t="str">
        <f t="shared" si="23"/>
        <v>MAPP</v>
      </c>
      <c r="K247" s="13" t="str">
        <f t="shared" si="23"/>
        <v>NEPOOL</v>
      </c>
      <c r="L247" s="13" t="str">
        <f t="shared" si="23"/>
        <v>INTO AEP</v>
      </c>
      <c r="M247" s="13" t="str">
        <f t="shared" si="23"/>
        <v>NY Zone A</v>
      </c>
      <c r="N247" s="13"/>
      <c r="O247" s="13" t="str">
        <f t="shared" si="23"/>
        <v>SOCO</v>
      </c>
      <c r="P247" s="13" t="str">
        <f t="shared" si="23"/>
        <v>NSP</v>
      </c>
      <c r="Q247" s="13" t="str">
        <f t="shared" si="23"/>
        <v>ENTERGY</v>
      </c>
      <c r="R247" s="13" t="str">
        <f t="shared" si="23"/>
        <v>WESTERN HUB</v>
      </c>
      <c r="S247" s="5" t="s">
        <v>37</v>
      </c>
      <c r="T247" s="5" t="s">
        <v>38</v>
      </c>
    </row>
    <row r="248" spans="1:20" x14ac:dyDescent="0.2">
      <c r="C248" s="1">
        <f t="shared" ref="C248:C279" si="24">C3</f>
        <v>36892</v>
      </c>
      <c r="E248" s="23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 spans="1:20" x14ac:dyDescent="0.2">
      <c r="C249" s="1">
        <f t="shared" si="24"/>
        <v>36923</v>
      </c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</row>
    <row r="250" spans="1:20" x14ac:dyDescent="0.2">
      <c r="C250" s="1">
        <f t="shared" si="24"/>
        <v>36951</v>
      </c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</row>
    <row r="251" spans="1:20" x14ac:dyDescent="0.2">
      <c r="C251" s="1">
        <f t="shared" si="24"/>
        <v>36982</v>
      </c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</row>
    <row r="252" spans="1:20" x14ac:dyDescent="0.2">
      <c r="C252" s="1">
        <f t="shared" si="24"/>
        <v>37012</v>
      </c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</row>
    <row r="253" spans="1:20" x14ac:dyDescent="0.2">
      <c r="C253" s="1">
        <f t="shared" si="24"/>
        <v>37043</v>
      </c>
      <c r="E253" s="19">
        <f>'price-new'!E9/VLOOKUP($C253,'nymex-new'!$A$2:$B$243,2,FALSE)*1000</f>
        <v>10999.371464487744</v>
      </c>
      <c r="F253" s="19">
        <f>'price-new'!F9/VLOOKUP($C253,'nymex-new'!$A$2:$B$243,2,FALSE)*1000</f>
        <v>10999.371464487744</v>
      </c>
      <c r="G253" s="19">
        <f>'price-new'!G9/VLOOKUP($C253,'nymex-new'!$A$2:$B$243,2,FALSE)*1000</f>
        <v>10999.371464487744</v>
      </c>
      <c r="H253" s="19">
        <f>'price-new'!H9/VLOOKUP($C253,'nymex-new'!$A$2:$B$243,2,FALSE)*1000</f>
        <v>10999.371464487744</v>
      </c>
      <c r="I253" s="19">
        <f>'price-new'!I9/VLOOKUP($C253,'nymex-new'!$A$2:$B$243,2,FALSE)*1000</f>
        <v>10999.371464487744</v>
      </c>
      <c r="J253" s="19">
        <f>'price-new'!J9/VLOOKUP($C253,'nymex-new'!$A$2:$B$243,2,FALSE)*1000</f>
        <v>10999.371464487744</v>
      </c>
      <c r="K253" s="19">
        <f>'price-new'!K9/VLOOKUP($C253,'nymex-new'!$A$2:$B$243,2,FALSE)*1000</f>
        <v>10999.371464487744</v>
      </c>
      <c r="L253" s="19">
        <f>'price-new'!L9/VLOOKUP($C253,'nymex-new'!$A$2:$B$243,2,FALSE)*1000</f>
        <v>10999.371464487744</v>
      </c>
      <c r="M253" s="19">
        <f>'price-new'!M9/VLOOKUP($C253,'nymex-new'!$A$2:$B$243,2,FALSE)*1000</f>
        <v>10999.371464487744</v>
      </c>
      <c r="N253" s="19" t="e">
        <f>'price-new'!N9/VLOOKUP($C253,'nymex-new'!$A$2:$B$243,2,FALSE)*1000</f>
        <v>#N/A</v>
      </c>
      <c r="O253" s="19">
        <f>'price-new'!O9/VLOOKUP($C253,'nymex-new'!$A$2:$B$243,2,FALSE)*1000</f>
        <v>10999.371464487744</v>
      </c>
      <c r="P253" s="19">
        <f>'price-new'!P9/VLOOKUP($C253,'nymex-new'!$A$2:$B$243,2,FALSE)*1000</f>
        <v>10999.371464487744</v>
      </c>
      <c r="Q253" s="19">
        <f>'price-new'!Q9/VLOOKUP($C253,'nymex-new'!$A$2:$B$243,2,FALSE)*1000</f>
        <v>10999.371464487744</v>
      </c>
      <c r="R253" s="19">
        <f>'price-new'!R9/VLOOKUP($C253,'nymex-new'!$A$2:$B$243,2,FALSE)*1000</f>
        <v>10999.371464487744</v>
      </c>
    </row>
    <row r="254" spans="1:20" x14ac:dyDescent="0.2">
      <c r="C254" s="1">
        <f t="shared" si="24"/>
        <v>37073</v>
      </c>
      <c r="E254" s="19">
        <f>'price-new'!E10/VLOOKUP($C254,'nymex-new'!$A$2:$B$243,2,FALSE)*1000</f>
        <v>7023.8843494657467</v>
      </c>
      <c r="F254" s="19">
        <f>'price-new'!F10/VLOOKUP($C254,'nymex-new'!$A$2:$B$243,2,FALSE)*1000</f>
        <v>6992.457573852922</v>
      </c>
      <c r="G254" s="19">
        <f>'price-new'!G10/VLOOKUP($C254,'nymex-new'!$A$2:$B$243,2,FALSE)*1000</f>
        <v>12076.860400283218</v>
      </c>
      <c r="H254" s="19">
        <f>'price-new'!H10/VLOOKUP($C254,'nymex-new'!$A$2:$B$243,2,FALSE)*1000</f>
        <v>6945.3174104336895</v>
      </c>
      <c r="I254" s="19">
        <f>'price-new'!I10/VLOOKUP($C254,'nymex-new'!$A$2:$B$243,2,FALSE)*1000</f>
        <v>14014.845296019359</v>
      </c>
      <c r="J254" s="19">
        <f>'price-new'!J10/VLOOKUP($C254,'nymex-new'!$A$2:$B$243,2,FALSE)*1000</f>
        <v>13722.701247998901</v>
      </c>
      <c r="K254" s="19">
        <f>'price-new'!K10/VLOOKUP($C254,'nymex-new'!$A$2:$B$243,2,FALSE)*1000</f>
        <v>15904.193401036959</v>
      </c>
      <c r="L254" s="19">
        <f>'price-new'!L10/VLOOKUP($C254,'nymex-new'!$A$2:$B$243,2,FALSE)*1000</f>
        <v>24652.813156770524</v>
      </c>
      <c r="M254" s="19">
        <f>'price-new'!M10/VLOOKUP($C254,'nymex-new'!$A$2:$B$243,2,FALSE)*1000</f>
        <v>14602.227154053802</v>
      </c>
      <c r="N254" s="19">
        <f>'price-new'!N10/VLOOKUP($C254,'nymex-new'!$A$2:$B$243,2,FALSE)*1000</f>
        <v>22500.074711481331</v>
      </c>
      <c r="O254" s="19">
        <f>'price-new'!O10/VLOOKUP($C254,'nymex-new'!$A$2:$B$243,2,FALSE)*1000</f>
        <v>17468.04904518152</v>
      </c>
      <c r="P254" s="19">
        <f>'price-new'!P10/VLOOKUP($C254,'nymex-new'!$A$2:$B$243,2,FALSE)*1000</f>
        <v>13378.428633598178</v>
      </c>
      <c r="Q254" s="19">
        <f>'price-new'!Q10/VLOOKUP($C254,'nymex-new'!$A$2:$B$243,2,FALSE)*1000</f>
        <v>16876.926817735137</v>
      </c>
      <c r="R254" s="19">
        <f>'price-new'!R10/VLOOKUP($C254,'nymex-new'!$A$2:$B$243,2,FALSE)*1000</f>
        <v>15824.577480198681</v>
      </c>
    </row>
    <row r="255" spans="1:20" x14ac:dyDescent="0.2">
      <c r="C255" s="1">
        <f t="shared" si="24"/>
        <v>37104</v>
      </c>
      <c r="E255" s="19">
        <f>'price-new'!E11/VLOOKUP($C255,'nymex-new'!$A$2:$B$243,2,FALSE)*1000</f>
        <v>1764.2879696874018</v>
      </c>
      <c r="F255" s="19">
        <f>'price-new'!F11/VLOOKUP($C255,'nymex-new'!$A$2:$B$243,2,FALSE)*1000</f>
        <v>0</v>
      </c>
      <c r="G255" s="19">
        <f>'price-new'!G11/VLOOKUP($C255,'nymex-new'!$A$2:$B$243,2,FALSE)*1000</f>
        <v>19178.759686608842</v>
      </c>
      <c r="H255" s="19">
        <f>'price-new'!H11/VLOOKUP($C255,'nymex-new'!$A$2:$B$243,2,FALSE)*1000</f>
        <v>1744.5532049257974</v>
      </c>
      <c r="I255" s="19">
        <f>'price-new'!I11/VLOOKUP($C255,'nymex-new'!$A$2:$B$243,2,FALSE)*1000</f>
        <v>15815.268716188792</v>
      </c>
      <c r="J255" s="19">
        <f>'price-new'!J11/VLOOKUP($C255,'nymex-new'!$A$2:$B$243,2,FALSE)*1000</f>
        <v>17040.540564500603</v>
      </c>
      <c r="K255" s="19">
        <f>'price-new'!K11/VLOOKUP($C255,'nymex-new'!$A$2:$B$243,2,FALSE)*1000</f>
        <v>20764.405395392172</v>
      </c>
      <c r="L255" s="19">
        <f>'price-new'!L11/VLOOKUP($C255,'nymex-new'!$A$2:$B$243,2,FALSE)*1000</f>
        <v>19745.060951129337</v>
      </c>
      <c r="M255" s="19">
        <f>'price-new'!M11/VLOOKUP($C255,'nymex-new'!$A$2:$B$243,2,FALSE)*1000</f>
        <v>15039.60718143464</v>
      </c>
      <c r="N255" s="19">
        <f>'price-new'!N11/VLOOKUP($C255,'nymex-new'!$A$2:$B$243,2,FALSE)*1000</f>
        <v>19369.44877834099</v>
      </c>
      <c r="O255" s="19">
        <f>'price-new'!O11/VLOOKUP($C255,'nymex-new'!$A$2:$B$243,2,FALSE)*1000</f>
        <v>15702.008222381814</v>
      </c>
      <c r="P255" s="19">
        <f>'price-new'!P11/VLOOKUP($C255,'nymex-new'!$A$2:$B$243,2,FALSE)*1000</f>
        <v>15943.633821208588</v>
      </c>
      <c r="Q255" s="19">
        <f>'price-new'!Q11/VLOOKUP($C255,'nymex-new'!$A$2:$B$243,2,FALSE)*1000</f>
        <v>15901.072303090212</v>
      </c>
      <c r="R255" s="19">
        <f>'price-new'!R11/VLOOKUP($C255,'nymex-new'!$A$2:$B$243,2,FALSE)*1000</f>
        <v>16629.371125125195</v>
      </c>
    </row>
    <row r="256" spans="1:20" x14ac:dyDescent="0.2">
      <c r="C256" s="1">
        <f t="shared" si="24"/>
        <v>37135</v>
      </c>
      <c r="E256" s="19">
        <f>'price-new'!E12/VLOOKUP($C256,'nymex-new'!$A$2:$B$243,2,FALSE)*1000</f>
        <v>12515.651894031287</v>
      </c>
      <c r="F256" s="19">
        <f>'price-new'!F12/VLOOKUP($C256,'nymex-new'!$A$2:$B$243,2,FALSE)*1000</f>
        <v>13387.111589020393</v>
      </c>
      <c r="G256" s="19">
        <f>'price-new'!G12/VLOOKUP($C256,'nymex-new'!$A$2:$B$243,2,FALSE)*1000</f>
        <v>11162.710917021961</v>
      </c>
      <c r="H256" s="19">
        <f>'price-new'!H12/VLOOKUP($C256,'nymex-new'!$A$2:$B$243,2,FALSE)*1000</f>
        <v>11850.81747881987</v>
      </c>
      <c r="I256" s="19">
        <f>'price-new'!I12/VLOOKUP($C256,'nymex-new'!$A$2:$B$243,2,FALSE)*1000</f>
        <v>12166.037798447276</v>
      </c>
      <c r="J256" s="19">
        <f>'price-new'!J12/VLOOKUP($C256,'nymex-new'!$A$2:$B$243,2,FALSE)*1000</f>
        <v>13387.111589020393</v>
      </c>
      <c r="K256" s="19">
        <f>'price-new'!K12/VLOOKUP($C256,'nymex-new'!$A$2:$B$243,2,FALSE)*1000</f>
        <v>17618.392911092375</v>
      </c>
      <c r="L256" s="19">
        <f>'price-new'!L12/VLOOKUP($C256,'nymex-new'!$A$2:$B$243,2,FALSE)*1000</f>
        <v>11982.570806100219</v>
      </c>
      <c r="M256" s="19">
        <f>'price-new'!M12/VLOOKUP($C256,'nymex-new'!$A$2:$B$243,2,FALSE)*1000</f>
        <v>15571.60919787839</v>
      </c>
      <c r="N256" s="19">
        <f>'price-new'!N12/VLOOKUP($C256,'nymex-new'!$A$2:$B$243,2,FALSE)*1000</f>
        <v>18208.921345230807</v>
      </c>
      <c r="O256" s="19">
        <f>'price-new'!O12/VLOOKUP($C256,'nymex-new'!$A$2:$B$243,2,FALSE)*1000</f>
        <v>13496.160403316078</v>
      </c>
      <c r="P256" s="19">
        <f>'price-new'!P12/VLOOKUP($C256,'nymex-new'!$A$2:$B$243,2,FALSE)*1000</f>
        <v>12945.874947608148</v>
      </c>
      <c r="Q256" s="19">
        <f>'price-new'!Q12/VLOOKUP($C256,'nymex-new'!$A$2:$B$243,2,FALSE)*1000</f>
        <v>11764.705882352942</v>
      </c>
      <c r="R256" s="19">
        <f>'price-new'!R12/VLOOKUP($C256,'nymex-new'!$A$2:$B$243,2,FALSE)*1000</f>
        <v>15151.015138314422</v>
      </c>
    </row>
    <row r="257" spans="3:18" x14ac:dyDescent="0.2">
      <c r="C257" s="1">
        <f t="shared" si="24"/>
        <v>37165</v>
      </c>
      <c r="E257" s="19">
        <f>'price-new'!E13/VLOOKUP($C257,'nymex-new'!$A$2:$B$243,2,FALSE)*1000</f>
        <v>10914.466941291532</v>
      </c>
      <c r="F257" s="19">
        <f>'price-new'!F13/VLOOKUP($C257,'nymex-new'!$A$2:$B$243,2,FALSE)*1000</f>
        <v>10914.466941291532</v>
      </c>
      <c r="G257" s="19">
        <f>'price-new'!G13/VLOOKUP($C257,'nymex-new'!$A$2:$B$243,2,FALSE)*1000</f>
        <v>10311.233020219672</v>
      </c>
      <c r="H257" s="19">
        <f>'price-new'!H13/VLOOKUP($C257,'nymex-new'!$A$2:$B$243,2,FALSE)*1000</f>
        <v>10729.627140232787</v>
      </c>
      <c r="I257" s="19">
        <f>'price-new'!I13/VLOOKUP($C257,'nymex-new'!$A$2:$B$243,2,FALSE)*1000</f>
        <v>10369.58329664552</v>
      </c>
      <c r="J257" s="19">
        <f>'price-new'!J13/VLOOKUP($C257,'nymex-new'!$A$2:$B$243,2,FALSE)*1000</f>
        <v>10914.466941291532</v>
      </c>
      <c r="K257" s="19">
        <f>'price-new'!K13/VLOOKUP($C257,'nymex-new'!$A$2:$B$243,2,FALSE)*1000</f>
        <v>19880.015472245355</v>
      </c>
      <c r="L257" s="19">
        <f>'price-new'!L13/VLOOKUP($C257,'nymex-new'!$A$2:$B$243,2,FALSE)*1000</f>
        <v>12480.974457954426</v>
      </c>
      <c r="M257" s="19">
        <f>'price-new'!M13/VLOOKUP($C257,'nymex-new'!$A$2:$B$243,2,FALSE)*1000</f>
        <v>16379.187537021309</v>
      </c>
      <c r="N257" s="19">
        <f>'price-new'!N13/VLOOKUP($C257,'nymex-new'!$A$2:$B$243,2,FALSE)*1000</f>
        <v>18466.382469635846</v>
      </c>
      <c r="O257" s="19">
        <f>'price-new'!O13/VLOOKUP($C257,'nymex-new'!$A$2:$B$243,2,FALSE)*1000</f>
        <v>13387.979184343496</v>
      </c>
      <c r="P257" s="19">
        <f>'price-new'!P13/VLOOKUP($C257,'nymex-new'!$A$2:$B$243,2,FALSE)*1000</f>
        <v>10721.788250032021</v>
      </c>
      <c r="Q257" s="19">
        <f>'price-new'!Q13/VLOOKUP($C257,'nymex-new'!$A$2:$B$243,2,FALSE)*1000</f>
        <v>10245.900597077267</v>
      </c>
      <c r="R257" s="19">
        <f>'price-new'!R13/VLOOKUP($C257,'nymex-new'!$A$2:$B$243,2,FALSE)*1000</f>
        <v>14186.271292264371</v>
      </c>
    </row>
    <row r="258" spans="3:18" x14ac:dyDescent="0.2">
      <c r="C258" s="1">
        <f t="shared" si="24"/>
        <v>37196</v>
      </c>
      <c r="E258" s="19">
        <f>'price-new'!E14/VLOOKUP($C258,'nymex-new'!$A$2:$B$243,2,FALSE)*1000</f>
        <v>0</v>
      </c>
      <c r="F258" s="19">
        <f>'price-new'!F14/VLOOKUP($C258,'nymex-new'!$A$2:$B$243,2,FALSE)*1000</f>
        <v>0</v>
      </c>
      <c r="G258" s="19">
        <f>'price-new'!G14/VLOOKUP($C258,'nymex-new'!$A$2:$B$243,2,FALSE)*1000</f>
        <v>0</v>
      </c>
      <c r="H258" s="19">
        <f>'price-new'!H14/VLOOKUP($C258,'nymex-new'!$A$2:$B$243,2,FALSE)*1000</f>
        <v>0</v>
      </c>
      <c r="I258" s="19">
        <f>'price-new'!I14/VLOOKUP($C258,'nymex-new'!$A$2:$B$243,2,FALSE)*1000</f>
        <v>0</v>
      </c>
      <c r="J258" s="19">
        <f>'price-new'!J14/VLOOKUP($C258,'nymex-new'!$A$2:$B$243,2,FALSE)*1000</f>
        <v>0</v>
      </c>
      <c r="K258" s="19">
        <f>'price-new'!K14/VLOOKUP($C258,'nymex-new'!$A$2:$B$243,2,FALSE)*1000</f>
        <v>0</v>
      </c>
      <c r="L258" s="19">
        <f>'price-new'!L14/VLOOKUP($C258,'nymex-new'!$A$2:$B$243,2,FALSE)*1000</f>
        <v>0</v>
      </c>
      <c r="M258" s="19">
        <f>'price-new'!M14/VLOOKUP($C258,'nymex-new'!$A$2:$B$243,2,FALSE)*1000</f>
        <v>0</v>
      </c>
      <c r="N258" s="19">
        <f>'price-new'!N14/VLOOKUP($C258,'nymex-new'!$A$2:$B$243,2,FALSE)*1000</f>
        <v>0</v>
      </c>
      <c r="O258" s="19">
        <f>'price-new'!O14/VLOOKUP($C258,'nymex-new'!$A$2:$B$243,2,FALSE)*1000</f>
        <v>0</v>
      </c>
      <c r="P258" s="19">
        <f>'price-new'!P14/VLOOKUP($C258,'nymex-new'!$A$2:$B$243,2,FALSE)*1000</f>
        <v>0</v>
      </c>
      <c r="Q258" s="19">
        <f>'price-new'!Q14/VLOOKUP($C258,'nymex-new'!$A$2:$B$243,2,FALSE)*1000</f>
        <v>0</v>
      </c>
      <c r="R258" s="19">
        <f>'price-new'!R14/VLOOKUP($C258,'nymex-new'!$A$2:$B$243,2,FALSE)*1000</f>
        <v>0</v>
      </c>
    </row>
    <row r="259" spans="3:18" x14ac:dyDescent="0.2">
      <c r="C259" s="1">
        <f t="shared" si="24"/>
        <v>37226</v>
      </c>
      <c r="E259" s="19">
        <f>'price-new'!E15/VLOOKUP($C259,'nymex-new'!$A$2:$B$243,2,FALSE)*1000</f>
        <v>9581.8940702360433</v>
      </c>
      <c r="F259" s="19">
        <f>'price-new'!F15/VLOOKUP($C259,'nymex-new'!$A$2:$B$243,2,FALSE)*1000</f>
        <v>9581.8940702360433</v>
      </c>
      <c r="G259" s="19">
        <f>'price-new'!G15/VLOOKUP($C259,'nymex-new'!$A$2:$B$243,2,FALSE)*1000</f>
        <v>8527.6338514680501</v>
      </c>
      <c r="H259" s="19">
        <f>'price-new'!H15/VLOOKUP($C259,'nymex-new'!$A$2:$B$243,2,FALSE)*1000</f>
        <v>9460.7560928804487</v>
      </c>
      <c r="I259" s="19">
        <f>'price-new'!I15/VLOOKUP($C259,'nymex-new'!$A$2:$B$243,2,FALSE)*1000</f>
        <v>9517.1272308578027</v>
      </c>
      <c r="J259" s="19">
        <f>'price-new'!J15/VLOOKUP($C259,'nymex-new'!$A$2:$B$243,2,FALSE)*1000</f>
        <v>9581.8940702360433</v>
      </c>
      <c r="K259" s="19">
        <f>'price-new'!K15/VLOOKUP($C259,'nymex-new'!$A$2:$B$243,2,FALSE)*1000</f>
        <v>12851.420072922665</v>
      </c>
      <c r="L259" s="19">
        <f>'price-new'!L15/VLOOKUP($C259,'nymex-new'!$A$2:$B$243,2,FALSE)*1000</f>
        <v>9517.1272308577991</v>
      </c>
      <c r="M259" s="19">
        <f>'price-new'!M15/VLOOKUP($C259,'nymex-new'!$A$2:$B$243,2,FALSE)*1000</f>
        <v>11319.804260218765</v>
      </c>
      <c r="N259" s="19">
        <f>'price-new'!N15/VLOOKUP($C259,'nymex-new'!$A$2:$B$243,2,FALSE)*1000</f>
        <v>14032.815198618309</v>
      </c>
      <c r="O259" s="19">
        <f>'price-new'!O15/VLOOKUP($C259,'nymex-new'!$A$2:$B$243,2,FALSE)*1000</f>
        <v>9373.2009211283839</v>
      </c>
      <c r="P259" s="19">
        <f>'price-new'!P15/VLOOKUP($C259,'nymex-new'!$A$2:$B$243,2,FALSE)*1000</f>
        <v>9970.4951065054684</v>
      </c>
      <c r="Q259" s="19">
        <f>'price-new'!Q15/VLOOKUP($C259,'nymex-new'!$A$2:$B$243,2,FALSE)*1000</f>
        <v>8281.759739013627</v>
      </c>
      <c r="R259" s="19">
        <f>'price-new'!R15/VLOOKUP($C259,'nymex-new'!$A$2:$B$243,2,FALSE)*1000</f>
        <v>10086.835540203418</v>
      </c>
    </row>
    <row r="260" spans="3:18" x14ac:dyDescent="0.2">
      <c r="C260" s="1">
        <f t="shared" si="24"/>
        <v>37257</v>
      </c>
      <c r="E260" s="19">
        <f>'price-new'!E16/VLOOKUP($C260,'nymex-new'!$A$2:$B$243,2,FALSE)*1000</f>
        <v>10279.280648371256</v>
      </c>
      <c r="F260" s="19">
        <f>'price-new'!F16/VLOOKUP($C260,'nymex-new'!$A$2:$B$243,2,FALSE)*1000</f>
        <v>10279.280648371256</v>
      </c>
      <c r="G260" s="19">
        <f>'price-new'!G16/VLOOKUP($C260,'nymex-new'!$A$2:$B$243,2,FALSE)*1000</f>
        <v>8897.5240982282212</v>
      </c>
      <c r="H260" s="19">
        <f>'price-new'!H16/VLOOKUP($C260,'nymex-new'!$A$2:$B$243,2,FALSE)*1000</f>
        <v>9183.333131597954</v>
      </c>
      <c r="I260" s="19">
        <f>'price-new'!I16/VLOOKUP($C260,'nymex-new'!$A$2:$B$243,2,FALSE)*1000</f>
        <v>10092.790803484342</v>
      </c>
      <c r="J260" s="19">
        <f>'price-new'!J16/VLOOKUP($C260,'nymex-new'!$A$2:$B$243,2,FALSE)*1000</f>
        <v>10279.280648371256</v>
      </c>
      <c r="K260" s="19">
        <f>'price-new'!K16/VLOOKUP($C260,'nymex-new'!$A$2:$B$243,2,FALSE)*1000</f>
        <v>14753.184707133199</v>
      </c>
      <c r="L260" s="19">
        <f>'price-new'!L16/VLOOKUP($C260,'nymex-new'!$A$2:$B$243,2,FALSE)*1000</f>
        <v>10496.424365263789</v>
      </c>
      <c r="M260" s="19">
        <f>'price-new'!M16/VLOOKUP($C260,'nymex-new'!$A$2:$B$243,2,FALSE)*1000</f>
        <v>11742.27217984745</v>
      </c>
      <c r="N260" s="19">
        <f>'price-new'!N16/VLOOKUP($C260,'nymex-new'!$A$2:$B$243,2,FALSE)*1000</f>
        <v>14652.7498996387</v>
      </c>
      <c r="O260" s="19">
        <f>'price-new'!O16/VLOOKUP($C260,'nymex-new'!$A$2:$B$243,2,FALSE)*1000</f>
        <v>11039.743075070252</v>
      </c>
      <c r="P260" s="19">
        <f>'price-new'!P16/VLOOKUP($C260,'nymex-new'!$A$2:$B$243,2,FALSE)*1000</f>
        <v>10640.578880601004</v>
      </c>
      <c r="Q260" s="19">
        <f>'price-new'!Q16/VLOOKUP($C260,'nymex-new'!$A$2:$B$243,2,FALSE)*1000</f>
        <v>9032.5170614211165</v>
      </c>
      <c r="R260" s="19">
        <f>'price-new'!R16/VLOOKUP($C260,'nymex-new'!$A$2:$B$243,2,FALSE)*1000</f>
        <v>11441.18827780008</v>
      </c>
    </row>
    <row r="261" spans="3:18" x14ac:dyDescent="0.2">
      <c r="C261" s="1">
        <f t="shared" si="24"/>
        <v>37288</v>
      </c>
      <c r="E261" s="19">
        <f>'price-new'!E17/VLOOKUP($C261,'nymex-new'!$A$2:$B$243,2,FALSE)*1000</f>
        <v>9889.4817073170725</v>
      </c>
      <c r="F261" s="19">
        <f>'price-new'!F17/VLOOKUP($C261,'nymex-new'!$A$2:$B$243,2,FALSE)*1000</f>
        <v>9908.5365853658532</v>
      </c>
      <c r="G261" s="19">
        <f>'price-new'!G17/VLOOKUP($C261,'nymex-new'!$A$2:$B$243,2,FALSE)*1000</f>
        <v>8258.3841463414628</v>
      </c>
      <c r="H261" s="19">
        <f>'price-new'!H17/VLOOKUP($C261,'nymex-new'!$A$2:$B$243,2,FALSE)*1000</f>
        <v>8849.085365853658</v>
      </c>
      <c r="I261" s="19">
        <f>'price-new'!I17/VLOOKUP($C261,'nymex-new'!$A$2:$B$243,2,FALSE)*1000</f>
        <v>9744.6646341463402</v>
      </c>
      <c r="J261" s="19">
        <f>'price-new'!J17/VLOOKUP($C261,'nymex-new'!$A$2:$B$243,2,FALSE)*1000</f>
        <v>9908.5365853658532</v>
      </c>
      <c r="K261" s="19">
        <f>'price-new'!K17/VLOOKUP($C261,'nymex-new'!$A$2:$B$243,2,FALSE)*1000</f>
        <v>14005.335365853658</v>
      </c>
      <c r="L261" s="19">
        <f>'price-new'!L17/VLOOKUP($C261,'nymex-new'!$A$2:$B$243,2,FALSE)*1000</f>
        <v>11310.975609756097</v>
      </c>
      <c r="M261" s="19">
        <f>'price-new'!M17/VLOOKUP($C261,'nymex-new'!$A$2:$B$243,2,FALSE)*1000</f>
        <v>11147.103658536585</v>
      </c>
      <c r="N261" s="19">
        <f>'price-new'!N17/VLOOKUP($C261,'nymex-new'!$A$2:$B$243,2,FALSE)*1000</f>
        <v>13910.060975609756</v>
      </c>
      <c r="O261" s="19">
        <f>'price-new'!O17/VLOOKUP($C261,'nymex-new'!$A$2:$B$243,2,FALSE)*1000</f>
        <v>10480.182926829268</v>
      </c>
      <c r="P261" s="19">
        <f>'price-new'!P17/VLOOKUP($C261,'nymex-new'!$A$2:$B$243,2,FALSE)*1000</f>
        <v>11223.323170731706</v>
      </c>
      <c r="Q261" s="19">
        <f>'price-new'!Q17/VLOOKUP($C261,'nymex-new'!$A$2:$B$243,2,FALSE)*1000</f>
        <v>8574.6951219512193</v>
      </c>
      <c r="R261" s="19">
        <f>'price-new'!R17/VLOOKUP($C261,'nymex-new'!$A$2:$B$243,2,FALSE)*1000</f>
        <v>10861.280487804877</v>
      </c>
    </row>
    <row r="262" spans="3:18" x14ac:dyDescent="0.2">
      <c r="C262" s="1">
        <f t="shared" si="24"/>
        <v>37316</v>
      </c>
      <c r="E262" s="19">
        <f>'price-new'!E18/VLOOKUP($C262,'nymex-new'!$A$2:$B$243,2,FALSE)*1000</f>
        <v>9342.4553401748381</v>
      </c>
      <c r="F262" s="19">
        <f>'price-new'!F18/VLOOKUP($C262,'nymex-new'!$A$2:$B$243,2,FALSE)*1000</f>
        <v>9437.4762447738503</v>
      </c>
      <c r="G262" s="19">
        <f>'price-new'!G18/VLOOKUP($C262,'nymex-new'!$A$2:$B$243,2,FALSE)*1000</f>
        <v>8741.9232231090846</v>
      </c>
      <c r="H262" s="19">
        <f>'price-new'!H18/VLOOKUP($C262,'nymex-new'!$A$2:$B$243,2,FALSE)*1000</f>
        <v>8772.329912580768</v>
      </c>
      <c r="I262" s="19">
        <f>'price-new'!I18/VLOOKUP($C262,'nymex-new'!$A$2:$B$243,2,FALSE)*1000</f>
        <v>9114.4051691372097</v>
      </c>
      <c r="J262" s="19">
        <f>'price-new'!J18/VLOOKUP($C262,'nymex-new'!$A$2:$B$243,2,FALSE)*1000</f>
        <v>9437.4762447738503</v>
      </c>
      <c r="K262" s="19">
        <f>'price-new'!K18/VLOOKUP($C262,'nymex-new'!$A$2:$B$243,2,FALSE)*1000</f>
        <v>12542.759407069558</v>
      </c>
      <c r="L262" s="19">
        <f>'price-new'!L18/VLOOKUP($C262,'nymex-new'!$A$2:$B$243,2,FALSE)*1000</f>
        <v>10900.798175598633</v>
      </c>
      <c r="M262" s="19">
        <f>'price-new'!M18/VLOOKUP($C262,'nymex-new'!$A$2:$B$243,2,FALSE)*1000</f>
        <v>10262.257696693274</v>
      </c>
      <c r="N262" s="19">
        <f>'price-new'!N18/VLOOKUP($C262,'nymex-new'!$A$2:$B$243,2,FALSE)*1000</f>
        <v>13302.926643861651</v>
      </c>
      <c r="O262" s="19">
        <f>'price-new'!O18/VLOOKUP($C262,'nymex-new'!$A$2:$B$243,2,FALSE)*1000</f>
        <v>9806.1573546180171</v>
      </c>
      <c r="P262" s="19">
        <f>'price-new'!P18/VLOOKUP($C262,'nymex-new'!$A$2:$B$243,2,FALSE)*1000</f>
        <v>9627.5180539718749</v>
      </c>
      <c r="Q262" s="19">
        <f>'price-new'!Q18/VLOOKUP($C262,'nymex-new'!$A$2:$B$243,2,FALSE)*1000</f>
        <v>8361.8396047130373</v>
      </c>
      <c r="R262" s="19">
        <f>'price-new'!R18/VLOOKUP($C262,'nymex-new'!$A$2:$B$243,2,FALSE)*1000</f>
        <v>10224.249334853668</v>
      </c>
    </row>
    <row r="263" spans="3:18" x14ac:dyDescent="0.2">
      <c r="C263" s="1">
        <f t="shared" si="24"/>
        <v>37347</v>
      </c>
      <c r="E263" s="19">
        <f>'price-new'!E19/VLOOKUP($C263,'nymex-new'!$A$2:$B$243,2,FALSE)*1000</f>
        <v>9582.6952526799378</v>
      </c>
      <c r="F263" s="19">
        <f>'price-new'!F19/VLOOKUP($C263,'nymex-new'!$A$2:$B$243,2,FALSE)*1000</f>
        <v>9678.4073506891273</v>
      </c>
      <c r="G263" s="19">
        <f>'price-new'!G19/VLOOKUP($C263,'nymex-new'!$A$2:$B$243,2,FALSE)*1000</f>
        <v>8652.3736600306274</v>
      </c>
      <c r="H263" s="19">
        <f>'price-new'!H19/VLOOKUP($C263,'nymex-new'!$A$2:$B$243,2,FALSE)*1000</f>
        <v>9008.422664624808</v>
      </c>
      <c r="I263" s="19">
        <f>'price-new'!I19/VLOOKUP($C263,'nymex-new'!$A$2:$B$243,2,FALSE)*1000</f>
        <v>9352.9862174578866</v>
      </c>
      <c r="J263" s="19">
        <f>'price-new'!J19/VLOOKUP($C263,'nymex-new'!$A$2:$B$243,2,FALSE)*1000</f>
        <v>9678.4073506891273</v>
      </c>
      <c r="K263" s="19">
        <f>'price-new'!K19/VLOOKUP($C263,'nymex-new'!$A$2:$B$243,2,FALSE)*1000</f>
        <v>12633.996937212863</v>
      </c>
      <c r="L263" s="19">
        <f>'price-new'!L19/VLOOKUP($C263,'nymex-new'!$A$2:$B$243,2,FALSE)*1000</f>
        <v>11152.373660030626</v>
      </c>
      <c r="M263" s="19">
        <f>'price-new'!M19/VLOOKUP($C263,'nymex-new'!$A$2:$B$243,2,FALSE)*1000</f>
        <v>10336.906584992343</v>
      </c>
      <c r="N263" s="19">
        <f>'price-new'!N19/VLOOKUP($C263,'nymex-new'!$A$2:$B$243,2,FALSE)*1000</f>
        <v>13399.69372128637</v>
      </c>
      <c r="O263" s="19">
        <f>'price-new'!O19/VLOOKUP($C263,'nymex-new'!$A$2:$B$243,2,FALSE)*1000</f>
        <v>9877.4885145482385</v>
      </c>
      <c r="P263" s="19">
        <f>'price-new'!P19/VLOOKUP($C263,'nymex-new'!$A$2:$B$243,2,FALSE)*1000</f>
        <v>9869.8315467075045</v>
      </c>
      <c r="Q263" s="19">
        <f>'price-new'!Q19/VLOOKUP($C263,'nymex-new'!$A$2:$B$243,2,FALSE)*1000</f>
        <v>8422.6646248085763</v>
      </c>
      <c r="R263" s="19">
        <f>'price-new'!R19/VLOOKUP($C263,'nymex-new'!$A$2:$B$243,2,FALSE)*1000</f>
        <v>10298.621745788667</v>
      </c>
    </row>
    <row r="264" spans="3:18" x14ac:dyDescent="0.2">
      <c r="C264" s="1">
        <f t="shared" si="24"/>
        <v>37377</v>
      </c>
      <c r="E264" s="19">
        <f>'price-new'!E20/VLOOKUP($C264,'nymex-new'!$A$2:$B$243,2,FALSE)*1000</f>
        <v>10229.841748304447</v>
      </c>
      <c r="F264" s="19">
        <f>'price-new'!F20/VLOOKUP($C264,'nymex-new'!$A$2:$B$243,2,FALSE)*1000</f>
        <v>10324.039186134136</v>
      </c>
      <c r="G264" s="19">
        <f>'price-new'!G20/VLOOKUP($C264,'nymex-new'!$A$2:$B$243,2,FALSE)*1000</f>
        <v>9794.6495855312751</v>
      </c>
      <c r="H264" s="19">
        <f>'price-new'!H20/VLOOKUP($C264,'nymex-new'!$A$2:$B$243,2,FALSE)*1000</f>
        <v>9238.8847023360977</v>
      </c>
      <c r="I264" s="19">
        <f>'price-new'!I20/VLOOKUP($C264,'nymex-new'!$A$2:$B$243,2,FALSE)*1000</f>
        <v>9988.6963074604391</v>
      </c>
      <c r="J264" s="19">
        <f>'price-new'!J20/VLOOKUP($C264,'nymex-new'!$A$2:$B$243,2,FALSE)*1000</f>
        <v>10324.039186134136</v>
      </c>
      <c r="K264" s="19">
        <f>'price-new'!K20/VLOOKUP($C264,'nymex-new'!$A$2:$B$243,2,FALSE)*1000</f>
        <v>12716.654107008291</v>
      </c>
      <c r="L264" s="19">
        <f>'price-new'!L20/VLOOKUP($C264,'nymex-new'!$A$2:$B$243,2,FALSE)*1000</f>
        <v>11548.605877920121</v>
      </c>
      <c r="M264" s="19">
        <f>'price-new'!M20/VLOOKUP($C264,'nymex-new'!$A$2:$B$243,2,FALSE)*1000</f>
        <v>10926.902788244161</v>
      </c>
      <c r="N264" s="19">
        <f>'price-new'!N20/VLOOKUP($C264,'nymex-new'!$A$2:$B$243,2,FALSE)*1000</f>
        <v>13658.6284853052</v>
      </c>
      <c r="O264" s="19">
        <f>'price-new'!O20/VLOOKUP($C264,'nymex-new'!$A$2:$B$243,2,FALSE)*1000</f>
        <v>10474.755086661644</v>
      </c>
      <c r="P264" s="19">
        <f>'price-new'!P20/VLOOKUP($C264,'nymex-new'!$A$2:$B$243,2,FALSE)*1000</f>
        <v>10135.644310474754</v>
      </c>
      <c r="Q264" s="19">
        <f>'price-new'!Q20/VLOOKUP($C264,'nymex-new'!$A$2:$B$243,2,FALSE)*1000</f>
        <v>9419.7437829691025</v>
      </c>
      <c r="R264" s="19">
        <f>'price-new'!R20/VLOOKUP($C264,'nymex-new'!$A$2:$B$243,2,FALSE)*1000</f>
        <v>11303.692539562924</v>
      </c>
    </row>
    <row r="265" spans="3:18" x14ac:dyDescent="0.2">
      <c r="C265" s="1">
        <f t="shared" si="24"/>
        <v>37408</v>
      </c>
      <c r="E265" s="19">
        <f>'price-new'!E21/VLOOKUP($C265,'nymex-new'!$A$2:$B$243,2,FALSE)*1000</f>
        <v>13313.609467455621</v>
      </c>
      <c r="F265" s="19">
        <f>'price-new'!F21/VLOOKUP($C265,'nymex-new'!$A$2:$B$243,2,FALSE)*1000</f>
        <v>13332.100591715975</v>
      </c>
      <c r="G265" s="19">
        <f>'price-new'!G21/VLOOKUP($C265,'nymex-new'!$A$2:$B$243,2,FALSE)*1000</f>
        <v>10355.029585798815</v>
      </c>
      <c r="H265" s="19">
        <f>'price-new'!H21/VLOOKUP($C265,'nymex-new'!$A$2:$B$243,2,FALSE)*1000</f>
        <v>12248.520710059171</v>
      </c>
      <c r="I265" s="19">
        <f>'price-new'!I21/VLOOKUP($C265,'nymex-new'!$A$2:$B$243,2,FALSE)*1000</f>
        <v>12688.609467455621</v>
      </c>
      <c r="J265" s="19">
        <f>'price-new'!J21/VLOOKUP($C265,'nymex-new'!$A$2:$B$243,2,FALSE)*1000</f>
        <v>13332.100591715975</v>
      </c>
      <c r="K265" s="19">
        <f>'price-new'!K21/VLOOKUP($C265,'nymex-new'!$A$2:$B$243,2,FALSE)*1000</f>
        <v>15070.266272189348</v>
      </c>
      <c r="L265" s="19">
        <f>'price-new'!L21/VLOOKUP($C265,'nymex-new'!$A$2:$B$243,2,FALSE)*1000</f>
        <v>14977.810650887574</v>
      </c>
      <c r="M265" s="19">
        <f>'price-new'!M21/VLOOKUP($C265,'nymex-new'!$A$2:$B$243,2,FALSE)*1000</f>
        <v>14607.988165680472</v>
      </c>
      <c r="N265" s="19">
        <f>'price-new'!N21/VLOOKUP($C265,'nymex-new'!$A$2:$B$243,2,FALSE)*1000</f>
        <v>16087.278106508877</v>
      </c>
      <c r="O265" s="19">
        <f>'price-new'!O21/VLOOKUP($C265,'nymex-new'!$A$2:$B$243,2,FALSE)*1000</f>
        <v>13498.520710059172</v>
      </c>
      <c r="P265" s="19">
        <f>'price-new'!P21/VLOOKUP($C265,'nymex-new'!$A$2:$B$243,2,FALSE)*1000</f>
        <v>14286.242603550296</v>
      </c>
      <c r="Q265" s="19">
        <f>'price-new'!Q21/VLOOKUP($C265,'nymex-new'!$A$2:$B$243,2,FALSE)*1000</f>
        <v>12019.230769230768</v>
      </c>
      <c r="R265" s="19">
        <f>'price-new'!R21/VLOOKUP($C265,'nymex-new'!$A$2:$B$243,2,FALSE)*1000</f>
        <v>14700.443786982249</v>
      </c>
    </row>
    <row r="266" spans="3:18" x14ac:dyDescent="0.2">
      <c r="C266" s="1">
        <f t="shared" si="24"/>
        <v>37438</v>
      </c>
      <c r="E266" s="19">
        <f>'price-new'!E22/VLOOKUP($C266,'nymex-new'!$A$2:$B$243,2,FALSE)*1000</f>
        <v>16809.402332361515</v>
      </c>
      <c r="F266" s="19">
        <f>'price-new'!F22/VLOOKUP($C266,'nymex-new'!$A$2:$B$243,2,FALSE)*1000</f>
        <v>16809.402332361515</v>
      </c>
      <c r="G266" s="19">
        <f>'price-new'!G22/VLOOKUP($C266,'nymex-new'!$A$2:$B$243,2,FALSE)*1000</f>
        <v>13210.641399416909</v>
      </c>
      <c r="H266" s="19">
        <f>'price-new'!H22/VLOOKUP($C266,'nymex-new'!$A$2:$B$243,2,FALSE)*1000</f>
        <v>15579.44606413994</v>
      </c>
      <c r="I266" s="19">
        <f>'price-new'!I22/VLOOKUP($C266,'nymex-new'!$A$2:$B$243,2,FALSE)*1000</f>
        <v>16408.527696793</v>
      </c>
      <c r="J266" s="19">
        <f>'price-new'!J22/VLOOKUP($C266,'nymex-new'!$A$2:$B$243,2,FALSE)*1000</f>
        <v>16809.402332361515</v>
      </c>
      <c r="K266" s="19">
        <f>'price-new'!K22/VLOOKUP($C266,'nymex-new'!$A$2:$B$243,2,FALSE)*1000</f>
        <v>18859.329446064137</v>
      </c>
      <c r="L266" s="19">
        <f>'price-new'!L22/VLOOKUP($C266,'nymex-new'!$A$2:$B$243,2,FALSE)*1000</f>
        <v>20089.28571428571</v>
      </c>
      <c r="M266" s="19">
        <f>'price-new'!M22/VLOOKUP($C266,'nymex-new'!$A$2:$B$243,2,FALSE)*1000</f>
        <v>17674.927113702623</v>
      </c>
      <c r="N266" s="19">
        <f>'price-new'!N22/VLOOKUP($C266,'nymex-new'!$A$2:$B$243,2,FALSE)*1000</f>
        <v>22503.644314868805</v>
      </c>
      <c r="O266" s="19">
        <f>'price-new'!O22/VLOOKUP($C266,'nymex-new'!$A$2:$B$243,2,FALSE)*1000</f>
        <v>17674.927113702623</v>
      </c>
      <c r="P266" s="19">
        <f>'price-new'!P22/VLOOKUP($C266,'nymex-new'!$A$2:$B$243,2,FALSE)*1000</f>
        <v>18358.236151603494</v>
      </c>
      <c r="Q266" s="19">
        <f>'price-new'!Q22/VLOOKUP($C266,'nymex-new'!$A$2:$B$243,2,FALSE)*1000</f>
        <v>14943.148688046644</v>
      </c>
      <c r="R266" s="19">
        <f>'price-new'!R22/VLOOKUP($C266,'nymex-new'!$A$2:$B$243,2,FALSE)*1000</f>
        <v>18950.437317784257</v>
      </c>
    </row>
    <row r="267" spans="3:18" x14ac:dyDescent="0.2">
      <c r="C267" s="1">
        <f t="shared" si="24"/>
        <v>37469</v>
      </c>
      <c r="E267" s="19">
        <f>'price-new'!E23/VLOOKUP($C267,'nymex-new'!$A$2:$B$243,2,FALSE)*1000</f>
        <v>16567.887931034486</v>
      </c>
      <c r="F267" s="19">
        <f>'price-new'!F23/VLOOKUP($C267,'nymex-new'!$A$2:$B$243,2,FALSE)*1000</f>
        <v>16567.887931034486</v>
      </c>
      <c r="G267" s="19">
        <f>'price-new'!G23/VLOOKUP($C267,'nymex-new'!$A$2:$B$243,2,FALSE)*1000</f>
        <v>13020.833333333334</v>
      </c>
      <c r="H267" s="19">
        <f>'price-new'!H23/VLOOKUP($C267,'nymex-new'!$A$2:$B$243,2,FALSE)*1000</f>
        <v>15355.603448275862</v>
      </c>
      <c r="I267" s="19">
        <f>'price-new'!I23/VLOOKUP($C267,'nymex-new'!$A$2:$B$243,2,FALSE)*1000</f>
        <v>16172.772988505749</v>
      </c>
      <c r="J267" s="19">
        <f>'price-new'!J23/VLOOKUP($C267,'nymex-new'!$A$2:$B$243,2,FALSE)*1000</f>
        <v>16567.887931034486</v>
      </c>
      <c r="K267" s="19">
        <f>'price-new'!K23/VLOOKUP($C267,'nymex-new'!$A$2:$B$243,2,FALSE)*1000</f>
        <v>18588.362068965518</v>
      </c>
      <c r="L267" s="19">
        <f>'price-new'!L23/VLOOKUP($C267,'nymex-new'!$A$2:$B$243,2,FALSE)*1000</f>
        <v>19800.646551724138</v>
      </c>
      <c r="M267" s="19">
        <f>'price-new'!M23/VLOOKUP($C267,'nymex-new'!$A$2:$B$243,2,FALSE)*1000</f>
        <v>17420.977011494255</v>
      </c>
      <c r="N267" s="19">
        <f>'price-new'!N23/VLOOKUP($C267,'nymex-new'!$A$2:$B$243,2,FALSE)*1000</f>
        <v>22180.316091954028</v>
      </c>
      <c r="O267" s="19">
        <f>'price-new'!O23/VLOOKUP($C267,'nymex-new'!$A$2:$B$243,2,FALSE)*1000</f>
        <v>17420.977011494255</v>
      </c>
      <c r="P267" s="19">
        <f>'price-new'!P23/VLOOKUP($C267,'nymex-new'!$A$2:$B$243,2,FALSE)*1000</f>
        <v>18094.468390804599</v>
      </c>
      <c r="Q267" s="19">
        <f>'price-new'!Q23/VLOOKUP($C267,'nymex-new'!$A$2:$B$243,2,FALSE)*1000</f>
        <v>14727.011494252874</v>
      </c>
      <c r="R267" s="19">
        <f>'price-new'!R23/VLOOKUP($C267,'nymex-new'!$A$2:$B$243,2,FALSE)*1000</f>
        <v>18678.160919540234</v>
      </c>
    </row>
    <row r="268" spans="3:18" x14ac:dyDescent="0.2">
      <c r="C268" s="1">
        <f t="shared" si="24"/>
        <v>37500</v>
      </c>
      <c r="E268" s="19">
        <f>'price-new'!E24/VLOOKUP($C268,'nymex-new'!$A$2:$B$243,2,FALSE)*1000</f>
        <v>9050.0179920834817</v>
      </c>
      <c r="F268" s="19">
        <f>'price-new'!F24/VLOOKUP($C268,'nymex-new'!$A$2:$B$243,2,FALSE)*1000</f>
        <v>9068.0100755667499</v>
      </c>
      <c r="G268" s="19">
        <f>'price-new'!G24/VLOOKUP($C268,'nymex-new'!$A$2:$B$243,2,FALSE)*1000</f>
        <v>9715.7250809643756</v>
      </c>
      <c r="H268" s="19">
        <f>'price-new'!H24/VLOOKUP($C268,'nymex-new'!$A$2:$B$243,2,FALSE)*1000</f>
        <v>8375.3148614609563</v>
      </c>
      <c r="I268" s="19">
        <f>'price-new'!I24/VLOOKUP($C268,'nymex-new'!$A$2:$B$243,2,FALSE)*1000</f>
        <v>8801.7272400143938</v>
      </c>
      <c r="J268" s="19">
        <f>'price-new'!J24/VLOOKUP($C268,'nymex-new'!$A$2:$B$243,2,FALSE)*1000</f>
        <v>9068.0100755667499</v>
      </c>
      <c r="K268" s="19">
        <f>'price-new'!K24/VLOOKUP($C268,'nymex-new'!$A$2:$B$243,2,FALSE)*1000</f>
        <v>11874.775098956459</v>
      </c>
      <c r="L268" s="19">
        <f>'price-new'!L24/VLOOKUP($C268,'nymex-new'!$A$2:$B$243,2,FALSE)*1000</f>
        <v>9823.6775818639817</v>
      </c>
      <c r="M268" s="19">
        <f>'price-new'!M24/VLOOKUP($C268,'nymex-new'!$A$2:$B$243,2,FALSE)*1000</f>
        <v>9805.6854983807134</v>
      </c>
      <c r="N268" s="19">
        <f>'price-new'!N24/VLOOKUP($C268,'nymex-new'!$A$2:$B$243,2,FALSE)*1000</f>
        <v>12414.537603454481</v>
      </c>
      <c r="O268" s="19">
        <f>'price-new'!O24/VLOOKUP($C268,'nymex-new'!$A$2:$B$243,2,FALSE)*1000</f>
        <v>9661.7488305145744</v>
      </c>
      <c r="P268" s="19">
        <f>'price-new'!P24/VLOOKUP($C268,'nymex-new'!$A$2:$B$243,2,FALSE)*1000</f>
        <v>9050.0179920834817</v>
      </c>
      <c r="Q268" s="19">
        <f>'price-new'!Q24/VLOOKUP($C268,'nymex-new'!$A$2:$B$243,2,FALSE)*1000</f>
        <v>8312.3425692695218</v>
      </c>
      <c r="R268" s="19">
        <f>'price-new'!R24/VLOOKUP($C268,'nymex-new'!$A$2:$B$243,2,FALSE)*1000</f>
        <v>9715.7250809643756</v>
      </c>
    </row>
    <row r="269" spans="3:18" x14ac:dyDescent="0.2">
      <c r="C269" s="1">
        <f t="shared" si="24"/>
        <v>37530</v>
      </c>
      <c r="E269" s="19">
        <f>'price-new'!E25/VLOOKUP($C269,'nymex-new'!$A$2:$B$243,2,FALSE)*1000</f>
        <v>8938.1480157311416</v>
      </c>
      <c r="F269" s="19">
        <f>'price-new'!F25/VLOOKUP($C269,'nymex-new'!$A$2:$B$243,2,FALSE)*1000</f>
        <v>9027.5294958884515</v>
      </c>
      <c r="G269" s="19">
        <f>'price-new'!G25/VLOOKUP($C269,'nymex-new'!$A$2:$B$243,2,FALSE)*1000</f>
        <v>9485.1626742938861</v>
      </c>
      <c r="H269" s="19">
        <f>'price-new'!H25/VLOOKUP($C269,'nymex-new'!$A$2:$B$243,2,FALSE)*1000</f>
        <v>8267.786914551305</v>
      </c>
      <c r="I269" s="19">
        <f>'price-new'!I25/VLOOKUP($C269,'nymex-new'!$A$2:$B$243,2,FALSE)*1000</f>
        <v>8602.0736503396492</v>
      </c>
      <c r="J269" s="19">
        <f>'price-new'!J25/VLOOKUP($C269,'nymex-new'!$A$2:$B$243,2,FALSE)*1000</f>
        <v>9027.5294958884515</v>
      </c>
      <c r="K269" s="19">
        <f>'price-new'!K25/VLOOKUP($C269,'nymex-new'!$A$2:$B$243,2,FALSE)*1000</f>
        <v>11798.355380765106</v>
      </c>
      <c r="L269" s="19">
        <f>'price-new'!L25/VLOOKUP($C269,'nymex-new'!$A$2:$B$243,2,FALSE)*1000</f>
        <v>9635.3235609581679</v>
      </c>
      <c r="M269" s="19">
        <f>'price-new'!M25/VLOOKUP($C269,'nymex-new'!$A$2:$B$243,2,FALSE)*1000</f>
        <v>9742.581337146943</v>
      </c>
      <c r="N269" s="19">
        <f>'price-new'!N25/VLOOKUP($C269,'nymex-new'!$A$2:$B$243,2,FALSE)*1000</f>
        <v>12334.644261708974</v>
      </c>
      <c r="O269" s="19">
        <f>'price-new'!O25/VLOOKUP($C269,'nymex-new'!$A$2:$B$243,2,FALSE)*1000</f>
        <v>9385.0554165176964</v>
      </c>
      <c r="P269" s="19">
        <f>'price-new'!P25/VLOOKUP($C269,'nymex-new'!$A$2:$B$243,2,FALSE)*1000</f>
        <v>9206.2924562030748</v>
      </c>
      <c r="Q269" s="19">
        <f>'price-new'!Q25/VLOOKUP($C269,'nymex-new'!$A$2:$B$243,2,FALSE)*1000</f>
        <v>8526.9932070075083</v>
      </c>
      <c r="R269" s="19">
        <f>'price-new'!R25/VLOOKUP($C269,'nymex-new'!$A$2:$B$243,2,FALSE)*1000</f>
        <v>9563.8183768323197</v>
      </c>
    </row>
    <row r="270" spans="3:18" x14ac:dyDescent="0.2">
      <c r="C270" s="1">
        <f t="shared" si="24"/>
        <v>37561</v>
      </c>
      <c r="E270" s="19">
        <f>'price-new'!E26/VLOOKUP($C270,'nymex-new'!$A$2:$B$243,2,FALSE)*1000</f>
        <v>8411.2149532710282</v>
      </c>
      <c r="F270" s="19">
        <f>'price-new'!F26/VLOOKUP($C270,'nymex-new'!$A$2:$B$243,2,FALSE)*1000</f>
        <v>8494.6595460614153</v>
      </c>
      <c r="G270" s="19">
        <f>'price-new'!G26/VLOOKUP($C270,'nymex-new'!$A$2:$B$243,2,FALSE)*1000</f>
        <v>8521.3618157543387</v>
      </c>
      <c r="H270" s="19">
        <f>'price-new'!H26/VLOOKUP($C270,'nymex-new'!$A$2:$B$243,2,FALSE)*1000</f>
        <v>7785.380507343124</v>
      </c>
      <c r="I270" s="19">
        <f>'price-new'!I26/VLOOKUP($C270,'nymex-new'!$A$2:$B$243,2,FALSE)*1000</f>
        <v>8097.4632843791724</v>
      </c>
      <c r="J270" s="19">
        <f>'price-new'!J26/VLOOKUP($C270,'nymex-new'!$A$2:$B$243,2,FALSE)*1000</f>
        <v>8494.6595460614153</v>
      </c>
      <c r="K270" s="19">
        <f>'price-new'!K26/VLOOKUP($C270,'nymex-new'!$A$2:$B$243,2,FALSE)*1000</f>
        <v>11014.686248331107</v>
      </c>
      <c r="L270" s="19">
        <f>'price-new'!L26/VLOOKUP($C270,'nymex-new'!$A$2:$B$243,2,FALSE)*1000</f>
        <v>9062.0827770360484</v>
      </c>
      <c r="M270" s="19">
        <f>'price-new'!M26/VLOOKUP($C270,'nymex-new'!$A$2:$B$243,2,FALSE)*1000</f>
        <v>9095.4606141522017</v>
      </c>
      <c r="N270" s="19">
        <f>'price-new'!N26/VLOOKUP($C270,'nymex-new'!$A$2:$B$243,2,FALSE)*1000</f>
        <v>11515.353805073431</v>
      </c>
      <c r="O270" s="19">
        <f>'price-new'!O26/VLOOKUP($C270,'nymex-new'!$A$2:$B$243,2,FALSE)*1000</f>
        <v>8761.6822429906533</v>
      </c>
      <c r="P270" s="19">
        <f>'price-new'!P26/VLOOKUP($C270,'nymex-new'!$A$2:$B$243,2,FALSE)*1000</f>
        <v>8661.5487316421895</v>
      </c>
      <c r="Q270" s="19">
        <f>'price-new'!Q26/VLOOKUP($C270,'nymex-new'!$A$2:$B$243,2,FALSE)*1000</f>
        <v>7960.6141522029375</v>
      </c>
      <c r="R270" s="19">
        <f>'price-new'!R26/VLOOKUP($C270,'nymex-new'!$A$2:$B$243,2,FALSE)*1000</f>
        <v>8928.5714285714294</v>
      </c>
    </row>
    <row r="271" spans="3:18" x14ac:dyDescent="0.2">
      <c r="C271" s="1">
        <f t="shared" si="24"/>
        <v>37591</v>
      </c>
      <c r="E271" s="19">
        <f>'price-new'!E27/VLOOKUP($C271,'nymex-new'!$A$2:$B$243,2,FALSE)*1000</f>
        <v>7984.9104055328507</v>
      </c>
      <c r="F271" s="19">
        <f>'price-new'!F27/VLOOKUP($C271,'nymex-new'!$A$2:$B$243,2,FALSE)*1000</f>
        <v>8063.5020433825848</v>
      </c>
      <c r="G271" s="19">
        <f>'price-new'!G27/VLOOKUP($C271,'nymex-new'!$A$2:$B$243,2,FALSE)*1000</f>
        <v>8151.524677774285</v>
      </c>
      <c r="H271" s="19">
        <f>'price-new'!H27/VLOOKUP($C271,'nymex-new'!$A$2:$B$243,2,FALSE)*1000</f>
        <v>7395.4731216598548</v>
      </c>
      <c r="I271" s="19">
        <f>'price-new'!I27/VLOOKUP($C271,'nymex-new'!$A$2:$B$243,2,FALSE)*1000</f>
        <v>7689.4058472178567</v>
      </c>
      <c r="J271" s="19">
        <f>'price-new'!J27/VLOOKUP($C271,'nymex-new'!$A$2:$B$243,2,FALSE)*1000</f>
        <v>8063.5020433825848</v>
      </c>
      <c r="K271" s="19">
        <f>'price-new'!K27/VLOOKUP($C271,'nymex-new'!$A$2:$B$243,2,FALSE)*1000</f>
        <v>10374.096196164728</v>
      </c>
      <c r="L271" s="19">
        <f>'price-new'!L27/VLOOKUP($C271,'nymex-new'!$A$2:$B$243,2,FALSE)*1000</f>
        <v>8597.9251807607689</v>
      </c>
      <c r="M271" s="19">
        <f>'price-new'!M27/VLOOKUP($C271,'nymex-new'!$A$2:$B$243,2,FALSE)*1000</f>
        <v>8566.4885256208745</v>
      </c>
      <c r="N271" s="19">
        <f>'price-new'!N27/VLOOKUP($C271,'nymex-new'!$A$2:$B$243,2,FALSE)*1000</f>
        <v>10845.646023263125</v>
      </c>
      <c r="O271" s="19">
        <f>'price-new'!O27/VLOOKUP($C271,'nymex-new'!$A$2:$B$243,2,FALSE)*1000</f>
        <v>8252.1219742219437</v>
      </c>
      <c r="P271" s="19">
        <f>'price-new'!P27/VLOOKUP($C271,'nymex-new'!$A$2:$B$243,2,FALSE)*1000</f>
        <v>8220.6853190820493</v>
      </c>
      <c r="Q271" s="19">
        <f>'price-new'!Q27/VLOOKUP($C271,'nymex-new'!$A$2:$B$243,2,FALSE)*1000</f>
        <v>7497.6422508645082</v>
      </c>
      <c r="R271" s="19">
        <f>'price-new'!R27/VLOOKUP($C271,'nymex-new'!$A$2:$B$243,2,FALSE)*1000</f>
        <v>8409.3052499214082</v>
      </c>
    </row>
    <row r="272" spans="3:18" x14ac:dyDescent="0.2">
      <c r="C272" s="1">
        <f t="shared" si="24"/>
        <v>37622</v>
      </c>
      <c r="E272" s="19">
        <f>'price-new'!E28/VLOOKUP($C272,'nymex-new'!$A$2:$B$243,2,FALSE)*1000</f>
        <v>8698.8393402565671</v>
      </c>
      <c r="F272" s="19">
        <f>'price-new'!F28/VLOOKUP($C272,'nymex-new'!$A$2:$B$243,2,FALSE)*1000</f>
        <v>8851.5577275503965</v>
      </c>
      <c r="G272" s="19">
        <f>'price-new'!G28/VLOOKUP($C272,'nymex-new'!$A$2:$B$243,2,FALSE)*1000</f>
        <v>8665.2412950519247</v>
      </c>
      <c r="H272" s="19">
        <f>'price-new'!H28/VLOOKUP($C272,'nymex-new'!$A$2:$B$243,2,FALSE)*1000</f>
        <v>7950.5192425167997</v>
      </c>
      <c r="I272" s="19">
        <f>'price-new'!I28/VLOOKUP($C272,'nymex-new'!$A$2:$B$243,2,FALSE)*1000</f>
        <v>8546.1209529627358</v>
      </c>
      <c r="J272" s="19">
        <f>'price-new'!J28/VLOOKUP($C272,'nymex-new'!$A$2:$B$243,2,FALSE)*1000</f>
        <v>8851.5577275503965</v>
      </c>
      <c r="K272" s="19">
        <f>'price-new'!K28/VLOOKUP($C272,'nymex-new'!$A$2:$B$243,2,FALSE)*1000</f>
        <v>11530.238240684179</v>
      </c>
      <c r="L272" s="19">
        <f>'price-new'!L28/VLOOKUP($C272,'nymex-new'!$A$2:$B$243,2,FALSE)*1000</f>
        <v>9685.4001221747112</v>
      </c>
      <c r="M272" s="19">
        <f>'price-new'!M28/VLOOKUP($C272,'nymex-new'!$A$2:$B$243,2,FALSE)*1000</f>
        <v>9392.1808185705559</v>
      </c>
      <c r="N272" s="19">
        <f>'price-new'!N28/VLOOKUP($C272,'nymex-new'!$A$2:$B$243,2,FALSE)*1000</f>
        <v>11759.315821624923</v>
      </c>
      <c r="O272" s="19">
        <f>'price-new'!O28/VLOOKUP($C272,'nymex-new'!$A$2:$B$243,2,FALSE)*1000</f>
        <v>8659.132559560172</v>
      </c>
      <c r="P272" s="19">
        <f>'price-new'!P28/VLOOKUP($C272,'nymex-new'!$A$2:$B$243,2,FALSE)*1000</f>
        <v>8903.4819792303006</v>
      </c>
      <c r="Q272" s="19">
        <f>'price-new'!Q28/VLOOKUP($C272,'nymex-new'!$A$2:$B$243,2,FALSE)*1000</f>
        <v>8109.6518020769699</v>
      </c>
      <c r="R272" s="19">
        <f>'price-new'!R28/VLOOKUP($C272,'nymex-new'!$A$2:$B$243,2,FALSE)*1000</f>
        <v>9315.8216249236411</v>
      </c>
    </row>
    <row r="273" spans="3:18" x14ac:dyDescent="0.2">
      <c r="C273" s="1">
        <f t="shared" si="24"/>
        <v>37653</v>
      </c>
      <c r="E273" s="19">
        <f>'price-new'!E29/VLOOKUP($C273,'nymex-new'!$A$2:$B$243,2,FALSE)*1000</f>
        <v>8688.0648177002167</v>
      </c>
      <c r="F273" s="19">
        <f>'price-new'!F29/VLOOKUP($C273,'nymex-new'!$A$2:$B$243,2,FALSE)*1000</f>
        <v>8843.8765970707373</v>
      </c>
      <c r="G273" s="19">
        <f>'price-new'!G29/VLOOKUP($C273,'nymex-new'!$A$2:$B$243,2,FALSE)*1000</f>
        <v>8482.3932689311296</v>
      </c>
      <c r="H273" s="19">
        <f>'price-new'!H29/VLOOKUP($C273,'nymex-new'!$A$2:$B$243,2,FALSE)*1000</f>
        <v>7924.5870987846683</v>
      </c>
      <c r="I273" s="19">
        <f>'price-new'!I29/VLOOKUP($C273,'nymex-new'!$A$2:$B$243,2,FALSE)*1000</f>
        <v>8532.253038329698</v>
      </c>
      <c r="J273" s="19">
        <f>'price-new'!J29/VLOOKUP($C273,'nymex-new'!$A$2:$B$243,2,FALSE)*1000</f>
        <v>8843.8765970707373</v>
      </c>
      <c r="K273" s="19">
        <f>'price-new'!K29/VLOOKUP($C273,'nymex-new'!$A$2:$B$243,2,FALSE)*1000</f>
        <v>11763.789342474292</v>
      </c>
      <c r="L273" s="19">
        <f>'price-new'!L29/VLOOKUP($C273,'nymex-new'!$A$2:$B$243,2,FALSE)*1000</f>
        <v>9694.6089124337796</v>
      </c>
      <c r="M273" s="19">
        <f>'price-new'!M29/VLOOKUP($C273,'nymex-new'!$A$2:$B$243,2,FALSE)*1000</f>
        <v>9582.4244312870051</v>
      </c>
      <c r="N273" s="19">
        <f>'price-new'!N29/VLOOKUP($C273,'nymex-new'!$A$2:$B$243,2,FALSE)*1000</f>
        <v>11997.507011530071</v>
      </c>
      <c r="O273" s="19">
        <f>'price-new'!O29/VLOOKUP($C273,'nymex-new'!$A$2:$B$243,2,FALSE)*1000</f>
        <v>8834.5278903085073</v>
      </c>
      <c r="P273" s="19">
        <f>'price-new'!P29/VLOOKUP($C273,'nymex-new'!$A$2:$B$243,2,FALSE)*1000</f>
        <v>9442.193829853537</v>
      </c>
      <c r="Q273" s="19">
        <f>'price-new'!Q29/VLOOKUP($C273,'nymex-new'!$A$2:$B$243,2,FALSE)*1000</f>
        <v>8273.9171081333734</v>
      </c>
      <c r="R273" s="19">
        <f>'price-new'!R29/VLOOKUP($C273,'nymex-new'!$A$2:$B$243,2,FALSE)*1000</f>
        <v>9504.5185416017448</v>
      </c>
    </row>
    <row r="274" spans="3:18" x14ac:dyDescent="0.2">
      <c r="C274" s="1">
        <f t="shared" si="24"/>
        <v>37681</v>
      </c>
      <c r="E274" s="19">
        <f>'price-new'!E30/VLOOKUP($C274,'nymex-new'!$A$2:$B$243,2,FALSE)*1000</f>
        <v>8848.9900609169617</v>
      </c>
      <c r="F274" s="19">
        <f>'price-new'!F30/VLOOKUP($C274,'nymex-new'!$A$2:$B$243,2,FALSE)*1000</f>
        <v>9089.4517473549222</v>
      </c>
      <c r="G274" s="19">
        <f>'price-new'!G30/VLOOKUP($C274,'nymex-new'!$A$2:$B$243,2,FALSE)*1000</f>
        <v>8209.6825905739024</v>
      </c>
      <c r="H274" s="19">
        <f>'price-new'!H30/VLOOKUP($C274,'nymex-new'!$A$2:$B$243,2,FALSE)*1000</f>
        <v>8448.2205835203586</v>
      </c>
      <c r="I274" s="19">
        <f>'price-new'!I30/VLOOKUP($C274,'nymex-new'!$A$2:$B$243,2,FALSE)*1000</f>
        <v>8688.6822699583208</v>
      </c>
      <c r="J274" s="19">
        <f>'price-new'!J30/VLOOKUP($C274,'nymex-new'!$A$2:$B$243,2,FALSE)*1000</f>
        <v>9089.4517473549222</v>
      </c>
      <c r="K274" s="19">
        <f>'price-new'!K30/VLOOKUP($C274,'nymex-new'!$A$2:$B$243,2,FALSE)*1000</f>
        <v>10740.621994228919</v>
      </c>
      <c r="L274" s="19">
        <f>'price-new'!L30/VLOOKUP($C274,'nymex-new'!$A$2:$B$243,2,FALSE)*1000</f>
        <v>9794.8060275729385</v>
      </c>
      <c r="M274" s="19">
        <f>'price-new'!M30/VLOOKUP($C274,'nymex-new'!$A$2:$B$243,2,FALSE)*1000</f>
        <v>9137.5440846425136</v>
      </c>
      <c r="N274" s="19">
        <f>'price-new'!N30/VLOOKUP($C274,'nymex-new'!$A$2:$B$243,2,FALSE)*1000</f>
        <v>11702.468739980763</v>
      </c>
      <c r="O274" s="19">
        <f>'price-new'!O30/VLOOKUP($C274,'nymex-new'!$A$2:$B$243,2,FALSE)*1000</f>
        <v>8688.6822699583208</v>
      </c>
      <c r="P274" s="19">
        <f>'price-new'!P30/VLOOKUP($C274,'nymex-new'!$A$2:$B$243,2,FALSE)*1000</f>
        <v>9480.6027572940038</v>
      </c>
      <c r="Q274" s="19">
        <f>'price-new'!Q30/VLOOKUP($C274,'nymex-new'!$A$2:$B$243,2,FALSE)*1000</f>
        <v>8143.9563962808579</v>
      </c>
      <c r="R274" s="19">
        <f>'price-new'!R30/VLOOKUP($C274,'nymex-new'!$A$2:$B$243,2,FALSE)*1000</f>
        <v>9297.8518756011545</v>
      </c>
    </row>
    <row r="275" spans="3:18" x14ac:dyDescent="0.2">
      <c r="C275" s="1">
        <f t="shared" si="24"/>
        <v>37712</v>
      </c>
      <c r="E275" s="19">
        <f>'price-new'!E31/VLOOKUP($C275,'nymex-new'!$A$2:$B$243,2,FALSE)*1000</f>
        <v>9347.6798924008071</v>
      </c>
      <c r="F275" s="19">
        <f>'price-new'!F31/VLOOKUP($C275,'nymex-new'!$A$2:$B$243,2,FALSE)*1000</f>
        <v>9599.8655010087423</v>
      </c>
      <c r="G275" s="19">
        <f>'price-new'!G31/VLOOKUP($C275,'nymex-new'!$A$2:$B$243,2,FALSE)*1000</f>
        <v>8873.5709482178881</v>
      </c>
      <c r="H275" s="19">
        <f>'price-new'!H31/VLOOKUP($C275,'nymex-new'!$A$2:$B$243,2,FALSE)*1000</f>
        <v>8927.370544720914</v>
      </c>
      <c r="I275" s="19">
        <f>'price-new'!I31/VLOOKUP($C275,'nymex-new'!$A$2:$B$243,2,FALSE)*1000</f>
        <v>9179.5561533288492</v>
      </c>
      <c r="J275" s="19">
        <f>'price-new'!J31/VLOOKUP($C275,'nymex-new'!$A$2:$B$243,2,FALSE)*1000</f>
        <v>9599.8655010087423</v>
      </c>
      <c r="K275" s="19">
        <f>'price-new'!K31/VLOOKUP($C275,'nymex-new'!$A$2:$B$243,2,FALSE)*1000</f>
        <v>11264.290517821115</v>
      </c>
      <c r="L275" s="19">
        <f>'price-new'!L31/VLOOKUP($C275,'nymex-new'!$A$2:$B$243,2,FALSE)*1000</f>
        <v>10339.609952925352</v>
      </c>
      <c r="M275" s="19">
        <f>'price-new'!M31/VLOOKUP($C275,'nymex-new'!$A$2:$B$243,2,FALSE)*1000</f>
        <v>9583.0531271015461</v>
      </c>
      <c r="N275" s="19">
        <f>'price-new'!N31/VLOOKUP($C275,'nymex-new'!$A$2:$B$243,2,FALSE)*1000</f>
        <v>12273.032952252857</v>
      </c>
      <c r="O275" s="19">
        <f>'price-new'!O31/VLOOKUP($C275,'nymex-new'!$A$2:$B$243,2,FALSE)*1000</f>
        <v>9112.3066577000664</v>
      </c>
      <c r="P275" s="19">
        <f>'price-new'!P31/VLOOKUP($C275,'nymex-new'!$A$2:$B$243,2,FALSE)*1000</f>
        <v>10026.899798251514</v>
      </c>
      <c r="Q275" s="19">
        <f>'price-new'!Q31/VLOOKUP($C275,'nymex-new'!$A$2:$B$243,2,FALSE)*1000</f>
        <v>8541.0221923335575</v>
      </c>
      <c r="R275" s="19">
        <f>'price-new'!R31/VLOOKUP($C275,'nymex-new'!$A$2:$B$243,2,FALSE)*1000</f>
        <v>9751.1768661735041</v>
      </c>
    </row>
    <row r="276" spans="3:18" x14ac:dyDescent="0.2">
      <c r="C276" s="1">
        <f t="shared" si="24"/>
        <v>37742</v>
      </c>
      <c r="E276" s="19">
        <f>'price-new'!E32/VLOOKUP($C276,'nymex-new'!$A$2:$B$243,2,FALSE)*1000</f>
        <v>9507.3974445191652</v>
      </c>
      <c r="F276" s="19">
        <f>'price-new'!F32/VLOOKUP($C276,'nymex-new'!$A$2:$B$243,2,FALSE)*1000</f>
        <v>9843.6449226630793</v>
      </c>
      <c r="G276" s="19">
        <f>'price-new'!G32/VLOOKUP($C276,'nymex-new'!$A$2:$B$243,2,FALSE)*1000</f>
        <v>9633.4902488231328</v>
      </c>
      <c r="H276" s="19">
        <f>'price-new'!H32/VLOOKUP($C276,'nymex-new'!$A$2:$B$243,2,FALSE)*1000</f>
        <v>8582.7168796234018</v>
      </c>
      <c r="I276" s="19">
        <f>'price-new'!I32/VLOOKUP($C276,'nymex-new'!$A$2:$B$243,2,FALSE)*1000</f>
        <v>9171.1499663752511</v>
      </c>
      <c r="J276" s="19">
        <f>'price-new'!J32/VLOOKUP($C276,'nymex-new'!$A$2:$B$243,2,FALSE)*1000</f>
        <v>9843.6449226630793</v>
      </c>
      <c r="K276" s="19">
        <f>'price-new'!K32/VLOOKUP($C276,'nymex-new'!$A$2:$B$243,2,FALSE)*1000</f>
        <v>11432.414256893071</v>
      </c>
      <c r="L276" s="19">
        <f>'price-new'!L32/VLOOKUP($C276,'nymex-new'!$A$2:$B$243,2,FALSE)*1000</f>
        <v>11104.572965702757</v>
      </c>
      <c r="M276" s="19">
        <f>'price-new'!M32/VLOOKUP($C276,'nymex-new'!$A$2:$B$243,2,FALSE)*1000</f>
        <v>10087.424344317418</v>
      </c>
      <c r="N276" s="19">
        <f>'price-new'!N32/VLOOKUP($C276,'nymex-new'!$A$2:$B$243,2,FALSE)*1000</f>
        <v>12441.156691324813</v>
      </c>
      <c r="O276" s="19">
        <f>'price-new'!O32/VLOOKUP($C276,'nymex-new'!$A$2:$B$243,2,FALSE)*1000</f>
        <v>9835.2387357094813</v>
      </c>
      <c r="P276" s="19">
        <f>'price-new'!P32/VLOOKUP($C276,'nymex-new'!$A$2:$B$243,2,FALSE)*1000</f>
        <v>9675.5211835911232</v>
      </c>
      <c r="Q276" s="19">
        <f>'price-new'!Q32/VLOOKUP($C276,'nymex-new'!$A$2:$B$243,2,FALSE)*1000</f>
        <v>9028.5810356422317</v>
      </c>
      <c r="R276" s="19">
        <f>'price-new'!R32/VLOOKUP($C276,'nymex-new'!$A$2:$B$243,2,FALSE)*1000</f>
        <v>10171.486213853395</v>
      </c>
    </row>
    <row r="277" spans="3:18" x14ac:dyDescent="0.2">
      <c r="C277" s="1">
        <f t="shared" si="24"/>
        <v>37773</v>
      </c>
      <c r="E277" s="19">
        <f>'price-new'!E33/VLOOKUP($C277,'nymex-new'!$A$2:$B$243,2,FALSE)*1000</f>
        <v>12082.223701731025</v>
      </c>
      <c r="F277" s="19">
        <f>'price-new'!F33/VLOOKUP($C277,'nymex-new'!$A$2:$B$243,2,FALSE)*1000</f>
        <v>12581.55792276964</v>
      </c>
      <c r="G277" s="19">
        <f>'price-new'!G33/VLOOKUP($C277,'nymex-new'!$A$2:$B$243,2,FALSE)*1000</f>
        <v>10719.041278295606</v>
      </c>
      <c r="H277" s="19">
        <f>'price-new'!H33/VLOOKUP($C277,'nymex-new'!$A$2:$B$243,2,FALSE)*1000</f>
        <v>11366.511318242345</v>
      </c>
      <c r="I277" s="19">
        <f>'price-new'!I33/VLOOKUP($C277,'nymex-new'!$A$2:$B$243,2,FALSE)*1000</f>
        <v>11666.111850865514</v>
      </c>
      <c r="J277" s="19">
        <f>'price-new'!J33/VLOOKUP($C277,'nymex-new'!$A$2:$B$243,2,FALSE)*1000</f>
        <v>12581.55792276964</v>
      </c>
      <c r="K277" s="19">
        <f>'price-new'!K33/VLOOKUP($C277,'nymex-new'!$A$2:$B$243,2,FALSE)*1000</f>
        <v>12566.577896138482</v>
      </c>
      <c r="L277" s="19">
        <f>'price-new'!L33/VLOOKUP($C277,'nymex-new'!$A$2:$B$243,2,FALSE)*1000</f>
        <v>13373.834886817576</v>
      </c>
      <c r="M277" s="19">
        <f>'price-new'!M33/VLOOKUP($C277,'nymex-new'!$A$2:$B$243,2,FALSE)*1000</f>
        <v>12982.689747003995</v>
      </c>
      <c r="N277" s="19">
        <f>'price-new'!N33/VLOOKUP($C277,'nymex-new'!$A$2:$B$243,2,FALSE)*1000</f>
        <v>14980.026631158456</v>
      </c>
      <c r="O277" s="19">
        <f>'price-new'!O33/VLOOKUP($C277,'nymex-new'!$A$2:$B$243,2,FALSE)*1000</f>
        <v>12183.754993342211</v>
      </c>
      <c r="P277" s="19">
        <f>'price-new'!P33/VLOOKUP($C277,'nymex-new'!$A$2:$B$243,2,FALSE)*1000</f>
        <v>11749.334221038616</v>
      </c>
      <c r="Q277" s="19">
        <f>'price-new'!Q33/VLOOKUP($C277,'nymex-new'!$A$2:$B$243,2,FALSE)*1000</f>
        <v>11917.776298268976</v>
      </c>
      <c r="R277" s="19">
        <f>'price-new'!R33/VLOOKUP($C277,'nymex-new'!$A$2:$B$243,2,FALSE)*1000</f>
        <v>13398.801597869508</v>
      </c>
    </row>
    <row r="278" spans="3:18" x14ac:dyDescent="0.2">
      <c r="C278" s="1">
        <f t="shared" si="24"/>
        <v>37803</v>
      </c>
      <c r="E278" s="19">
        <f>'price-new'!E34/VLOOKUP($C278,'nymex-new'!$A$2:$B$243,2,FALSE)*1000</f>
        <v>15417.214191852825</v>
      </c>
      <c r="F278" s="19">
        <f>'price-new'!F34/VLOOKUP($C278,'nymex-new'!$A$2:$B$243,2,FALSE)*1000</f>
        <v>16238.501971090671</v>
      </c>
      <c r="G278" s="19">
        <f>'price-new'!G34/VLOOKUP($C278,'nymex-new'!$A$2:$B$243,2,FALSE)*1000</f>
        <v>13485.545335085411</v>
      </c>
      <c r="H278" s="19">
        <f>'price-new'!H34/VLOOKUP($C278,'nymex-new'!$A$2:$B$243,2,FALSE)*1000</f>
        <v>14563.074901445467</v>
      </c>
      <c r="I278" s="19">
        <f>'price-new'!I34/VLOOKUP($C278,'nymex-new'!$A$2:$B$243,2,FALSE)*1000</f>
        <v>15170.827858081471</v>
      </c>
      <c r="J278" s="19">
        <f>'price-new'!J34/VLOOKUP($C278,'nymex-new'!$A$2:$B$243,2,FALSE)*1000</f>
        <v>16238.501971090671</v>
      </c>
      <c r="K278" s="19">
        <f>'price-new'!K34/VLOOKUP($C278,'nymex-new'!$A$2:$B$243,2,FALSE)*1000</f>
        <v>15358.081471747701</v>
      </c>
      <c r="L278" s="19">
        <f>'price-new'!L34/VLOOKUP($C278,'nymex-new'!$A$2:$B$243,2,FALSE)*1000</f>
        <v>16731.274638633375</v>
      </c>
      <c r="M278" s="19">
        <f>'price-new'!M34/VLOOKUP($C278,'nymex-new'!$A$2:$B$243,2,FALSE)*1000</f>
        <v>16590.013140604467</v>
      </c>
      <c r="N278" s="19">
        <f>'price-new'!N34/VLOOKUP($C278,'nymex-new'!$A$2:$B$243,2,FALSE)*1000</f>
        <v>21353.482260183966</v>
      </c>
      <c r="O278" s="19">
        <f>'price-new'!O34/VLOOKUP($C278,'nymex-new'!$A$2:$B$243,2,FALSE)*1000</f>
        <v>14783.180026281208</v>
      </c>
      <c r="P278" s="19">
        <f>'price-new'!P34/VLOOKUP($C278,'nymex-new'!$A$2:$B$243,2,FALSE)*1000</f>
        <v>15088.699080157687</v>
      </c>
      <c r="Q278" s="19">
        <f>'price-new'!Q34/VLOOKUP($C278,'nymex-new'!$A$2:$B$243,2,FALSE)*1000</f>
        <v>13009.526938239158</v>
      </c>
      <c r="R278" s="19">
        <f>'price-new'!R34/VLOOKUP($C278,'nymex-new'!$A$2:$B$243,2,FALSE)*1000</f>
        <v>16425.755584756898</v>
      </c>
    </row>
    <row r="279" spans="3:18" x14ac:dyDescent="0.2">
      <c r="C279" s="1">
        <f t="shared" si="24"/>
        <v>37834</v>
      </c>
      <c r="E279" s="19">
        <f>'price-new'!E35/VLOOKUP($C279,'nymex-new'!$A$2:$B$243,2,FALSE)*1000</f>
        <v>15271.191945436831</v>
      </c>
      <c r="F279" s="19">
        <f>'price-new'!F35/VLOOKUP($C279,'nymex-new'!$A$2:$B$243,2,FALSE)*1000</f>
        <v>16083.143877882429</v>
      </c>
      <c r="G279" s="19">
        <f>'price-new'!G35/VLOOKUP($C279,'nymex-new'!$A$2:$B$243,2,FALSE)*1000</f>
        <v>13202.338421565441</v>
      </c>
      <c r="H279" s="19">
        <f>'price-new'!H35/VLOOKUP($C279,'nymex-new'!$A$2:$B$243,2,FALSE)*1000</f>
        <v>14426.761935693406</v>
      </c>
      <c r="I279" s="19">
        <f>'price-new'!I35/VLOOKUP($C279,'nymex-new'!$A$2:$B$243,2,FALSE)*1000</f>
        <v>15027.60636570315</v>
      </c>
      <c r="J279" s="19">
        <f>'price-new'!J35/VLOOKUP($C279,'nymex-new'!$A$2:$B$243,2,FALSE)*1000</f>
        <v>16083.143877882429</v>
      </c>
      <c r="K279" s="19">
        <f>'price-new'!K35/VLOOKUP($C279,'nymex-new'!$A$2:$B$243,2,FALSE)*1000</f>
        <v>15183.501136732704</v>
      </c>
      <c r="L279" s="19">
        <f>'price-new'!L35/VLOOKUP($C279,'nymex-new'!$A$2:$B$243,2,FALSE)*1000</f>
        <v>16570.315037349788</v>
      </c>
      <c r="M279" s="19">
        <f>'price-new'!M35/VLOOKUP($C279,'nymex-new'!$A$2:$B$243,2,FALSE)*1000</f>
        <v>16401.429035401103</v>
      </c>
      <c r="N279" s="19">
        <f>'price-new'!N35/VLOOKUP($C279,'nymex-new'!$A$2:$B$243,2,FALSE)*1000</f>
        <v>21110.750243585579</v>
      </c>
      <c r="O279" s="19">
        <f>'price-new'!O35/VLOOKUP($C279,'nymex-new'!$A$2:$B$243,2,FALSE)*1000</f>
        <v>14615.134784020785</v>
      </c>
      <c r="P279" s="19">
        <f>'price-new'!P35/VLOOKUP($C279,'nymex-new'!$A$2:$B$243,2,FALSE)*1000</f>
        <v>14946.411172458591</v>
      </c>
      <c r="Q279" s="19">
        <f>'price-new'!Q35/VLOOKUP($C279,'nymex-new'!$A$2:$B$243,2,FALSE)*1000</f>
        <v>12861.643390711268</v>
      </c>
      <c r="R279" s="19">
        <f>'price-new'!R35/VLOOKUP($C279,'nymex-new'!$A$2:$B$243,2,FALSE)*1000</f>
        <v>16239.038648911983</v>
      </c>
    </row>
    <row r="280" spans="3:18" x14ac:dyDescent="0.2">
      <c r="C280" s="1">
        <f t="shared" ref="C280:C311" si="25">C35</f>
        <v>37865</v>
      </c>
      <c r="E280" s="19">
        <f>'price-new'!E36/VLOOKUP($C280,'nymex-new'!$A$2:$B$243,2,FALSE)*1000</f>
        <v>8574.2124066255274</v>
      </c>
      <c r="F280" s="19">
        <f>'price-new'!F36/VLOOKUP($C280,'nymex-new'!$A$2:$B$243,2,FALSE)*1000</f>
        <v>9061.3835660928853</v>
      </c>
      <c r="G280" s="19">
        <f>'price-new'!G36/VLOOKUP($C280,'nymex-new'!$A$2:$B$243,2,FALSE)*1000</f>
        <v>9548.5547255602451</v>
      </c>
      <c r="H280" s="19">
        <f>'price-new'!H36/VLOOKUP($C280,'nymex-new'!$A$2:$B$243,2,FALSE)*1000</f>
        <v>8200.7145177005514</v>
      </c>
      <c r="I280" s="19">
        <f>'price-new'!I36/VLOOKUP($C280,'nymex-new'!$A$2:$B$243,2,FALSE)*1000</f>
        <v>8411.8220201364074</v>
      </c>
      <c r="J280" s="19">
        <f>'price-new'!J36/VLOOKUP($C280,'nymex-new'!$A$2:$B$243,2,FALSE)*1000</f>
        <v>9061.3835660928853</v>
      </c>
      <c r="K280" s="19">
        <f>'price-new'!K36/VLOOKUP($C280,'nymex-new'!$A$2:$B$243,2,FALSE)*1000</f>
        <v>10717.765508281909</v>
      </c>
      <c r="L280" s="19">
        <f>'price-new'!L36/VLOOKUP($C280,'nymex-new'!$A$2:$B$243,2,FALSE)*1000</f>
        <v>8873.0107177655082</v>
      </c>
      <c r="M280" s="19">
        <f>'price-new'!M36/VLOOKUP($C280,'nymex-new'!$A$2:$B$243,2,FALSE)*1000</f>
        <v>9256.2520298798299</v>
      </c>
      <c r="N280" s="19">
        <f>'price-new'!N36/VLOOKUP($C280,'nymex-new'!$A$2:$B$243,2,FALSE)*1000</f>
        <v>11854.498213705749</v>
      </c>
      <c r="O280" s="19">
        <f>'price-new'!O36/VLOOKUP($C280,'nymex-new'!$A$2:$B$243,2,FALSE)*1000</f>
        <v>8915.2322182526786</v>
      </c>
      <c r="P280" s="19">
        <f>'price-new'!P36/VLOOKUP($C280,'nymex-new'!$A$2:$B$243,2,FALSE)*1000</f>
        <v>8574.2124066255274</v>
      </c>
      <c r="Q280" s="19">
        <f>'price-new'!Q36/VLOOKUP($C280,'nymex-new'!$A$2:$B$243,2,FALSE)*1000</f>
        <v>8168.5612211757061</v>
      </c>
      <c r="R280" s="19">
        <f>'price-new'!R36/VLOOKUP($C280,'nymex-new'!$A$2:$B$243,2,FALSE)*1000</f>
        <v>9337.4472231243908</v>
      </c>
    </row>
    <row r="281" spans="3:18" x14ac:dyDescent="0.2">
      <c r="C281" s="1">
        <f t="shared" si="25"/>
        <v>37895</v>
      </c>
      <c r="E281" s="19">
        <f>'price-new'!E37/VLOOKUP($C281,'nymex-new'!$A$2:$B$243,2,FALSE)*1000</f>
        <v>8760.8906098741536</v>
      </c>
      <c r="F281" s="19">
        <f>'price-new'!F37/VLOOKUP($C281,'nymex-new'!$A$2:$B$243,2,FALSE)*1000</f>
        <v>8760.8906098741536</v>
      </c>
      <c r="G281" s="19">
        <f>'price-new'!G37/VLOOKUP($C281,'nymex-new'!$A$2:$B$243,2,FALSE)*1000</f>
        <v>9057.7605679251355</v>
      </c>
      <c r="H281" s="19">
        <f>'price-new'!H37/VLOOKUP($C281,'nymex-new'!$A$2:$B$243,2,FALSE)*1000</f>
        <v>8422.0716360116148</v>
      </c>
      <c r="I281" s="19">
        <f>'price-new'!I37/VLOOKUP($C281,'nymex-new'!$A$2:$B$243,2,FALSE)*1000</f>
        <v>8518.8770571151981</v>
      </c>
      <c r="J281" s="19">
        <f>'price-new'!J37/VLOOKUP($C281,'nymex-new'!$A$2:$B$243,2,FALSE)*1000</f>
        <v>8760.8906098741536</v>
      </c>
      <c r="K281" s="19">
        <f>'price-new'!K37/VLOOKUP($C281,'nymex-new'!$A$2:$B$243,2,FALSE)*1000</f>
        <v>11051.952242658923</v>
      </c>
      <c r="L281" s="19">
        <f>'price-new'!L37/VLOOKUP($C281,'nymex-new'!$A$2:$B$243,2,FALSE)*1000</f>
        <v>9109.3901258470469</v>
      </c>
      <c r="M281" s="19">
        <f>'price-new'!M37/VLOOKUP($C281,'nymex-new'!$A$2:$B$243,2,FALSE)*1000</f>
        <v>9196.5150048402702</v>
      </c>
      <c r="N281" s="19">
        <f>'price-new'!N37/VLOOKUP($C281,'nymex-new'!$A$2:$B$243,2,FALSE)*1000</f>
        <v>11777.992900935786</v>
      </c>
      <c r="O281" s="19">
        <f>'price-new'!O37/VLOOKUP($C281,'nymex-new'!$A$2:$B$243,2,FALSE)*1000</f>
        <v>8809.2933204259443</v>
      </c>
      <c r="P281" s="19">
        <f>'price-new'!P37/VLOOKUP($C281,'nymex-new'!$A$2:$B$243,2,FALSE)*1000</f>
        <v>8499.5159728944818</v>
      </c>
      <c r="Q281" s="19">
        <f>'price-new'!Q37/VLOOKUP($C281,'nymex-new'!$A$2:$B$243,2,FALSE)*1000</f>
        <v>8470.7970313004189</v>
      </c>
      <c r="R281" s="19">
        <f>'price-new'!R37/VLOOKUP($C281,'nymex-new'!$A$2:$B$243,2,FALSE)*1000</f>
        <v>9277.186189093256</v>
      </c>
    </row>
    <row r="282" spans="3:18" x14ac:dyDescent="0.2">
      <c r="C282" s="1">
        <f t="shared" si="25"/>
        <v>37926</v>
      </c>
      <c r="E282" s="19">
        <f>'price-new'!E38/VLOOKUP($C282,'nymex-new'!$A$2:$B$243,2,FALSE)*1000</f>
        <v>8426.097711811999</v>
      </c>
      <c r="F282" s="19">
        <f>'price-new'!F38/VLOOKUP($C282,'nymex-new'!$A$2:$B$243,2,FALSE)*1000</f>
        <v>8426.097711811999</v>
      </c>
      <c r="G282" s="19">
        <f>'price-new'!G38/VLOOKUP($C282,'nymex-new'!$A$2:$B$243,2,FALSE)*1000</f>
        <v>8370.4390847247996</v>
      </c>
      <c r="H282" s="19">
        <f>'price-new'!H38/VLOOKUP($C282,'nymex-new'!$A$2:$B$243,2,FALSE)*1000</f>
        <v>8101.4223871366721</v>
      </c>
      <c r="I282" s="19">
        <f>'price-new'!I38/VLOOKUP($C282,'nymex-new'!$A$2:$B$243,2,FALSE)*1000</f>
        <v>8194.1867656153372</v>
      </c>
      <c r="J282" s="19">
        <f>'price-new'!J38/VLOOKUP($C282,'nymex-new'!$A$2:$B$243,2,FALSE)*1000</f>
        <v>8426.097711811999</v>
      </c>
      <c r="K282" s="19">
        <f>'price-new'!K38/VLOOKUP($C282,'nymex-new'!$A$2:$B$243,2,FALSE)*1000</f>
        <v>10590.599876314162</v>
      </c>
      <c r="L282" s="19">
        <f>'price-new'!L38/VLOOKUP($C282,'nymex-new'!$A$2:$B$243,2,FALSE)*1000</f>
        <v>8756.957328385899</v>
      </c>
      <c r="M282" s="19">
        <f>'price-new'!M38/VLOOKUP($C282,'nymex-new'!$A$2:$B$243,2,FALSE)*1000</f>
        <v>8812.6159554730984</v>
      </c>
      <c r="N282" s="19">
        <f>'price-new'!N38/VLOOKUP($C282,'nymex-new'!$A$2:$B$243,2,FALSE)*1000</f>
        <v>11286.332714904143</v>
      </c>
      <c r="O282" s="19">
        <f>'price-new'!O38/VLOOKUP($C282,'nymex-new'!$A$2:$B$243,2,FALSE)*1000</f>
        <v>8441.5584415584417</v>
      </c>
      <c r="P282" s="19">
        <f>'price-new'!P38/VLOOKUP($C282,'nymex-new'!$A$2:$B$243,2,FALSE)*1000</f>
        <v>9226.9635126777976</v>
      </c>
      <c r="Q282" s="19">
        <f>'price-new'!Q38/VLOOKUP($C282,'nymex-new'!$A$2:$B$243,2,FALSE)*1000</f>
        <v>8117.1923314780461</v>
      </c>
      <c r="R282" s="19">
        <f>'price-new'!R38/VLOOKUP($C282,'nymex-new'!$A$2:$B$243,2,FALSE)*1000</f>
        <v>8889.9196042053172</v>
      </c>
    </row>
    <row r="283" spans="3:18" x14ac:dyDescent="0.2">
      <c r="C283" s="1">
        <f t="shared" si="25"/>
        <v>37956</v>
      </c>
      <c r="E283" s="19">
        <f>'price-new'!E39/VLOOKUP($C283,'nymex-new'!$A$2:$B$243,2,FALSE)*1000</f>
        <v>8118.1359453843861</v>
      </c>
      <c r="F283" s="19">
        <f>'price-new'!F39/VLOOKUP($C283,'nymex-new'!$A$2:$B$243,2,FALSE)*1000</f>
        <v>8118.1359453843861</v>
      </c>
      <c r="G283" s="19">
        <f>'price-new'!G39/VLOOKUP($C283,'nymex-new'!$A$2:$B$243,2,FALSE)*1000</f>
        <v>8302.1668150786572</v>
      </c>
      <c r="H283" s="19">
        <f>'price-new'!H39/VLOOKUP($C283,'nymex-new'!$A$2:$B$243,2,FALSE)*1000</f>
        <v>7806.4707628376364</v>
      </c>
      <c r="I283" s="19">
        <f>'price-new'!I39/VLOOKUP($C283,'nymex-new'!$A$2:$B$243,2,FALSE)*1000</f>
        <v>7895.5179578509942</v>
      </c>
      <c r="J283" s="19">
        <f>'price-new'!J39/VLOOKUP($C283,'nymex-new'!$A$2:$B$243,2,FALSE)*1000</f>
        <v>8118.1359453843861</v>
      </c>
      <c r="K283" s="19">
        <f>'price-new'!K39/VLOOKUP($C283,'nymex-new'!$A$2:$B$243,2,FALSE)*1000</f>
        <v>10166.221430691599</v>
      </c>
      <c r="L283" s="19">
        <f>'price-new'!L39/VLOOKUP($C283,'nymex-new'!$A$2:$B$243,2,FALSE)*1000</f>
        <v>8435.737607598694</v>
      </c>
      <c r="M283" s="19">
        <f>'price-new'!M39/VLOOKUP($C283,'nymex-new'!$A$2:$B$243,2,FALSE)*1000</f>
        <v>8459.483526268923</v>
      </c>
      <c r="N283" s="19">
        <f>'price-new'!N39/VLOOKUP($C283,'nymex-new'!$A$2:$B$243,2,FALSE)*1000</f>
        <v>10834.075393291778</v>
      </c>
      <c r="O283" s="19">
        <f>'price-new'!O39/VLOOKUP($C283,'nymex-new'!$A$2:$B$243,2,FALSE)*1000</f>
        <v>8103.2947462154943</v>
      </c>
      <c r="P283" s="19">
        <f>'price-new'!P39/VLOOKUP($C283,'nymex-new'!$A$2:$B$243,2,FALSE)*1000</f>
        <v>9005.6396556841792</v>
      </c>
      <c r="Q283" s="19">
        <f>'price-new'!Q39/VLOOKUP($C283,'nymex-new'!$A$2:$B$243,2,FALSE)*1000</f>
        <v>7791.9263876521218</v>
      </c>
      <c r="R283" s="19">
        <f>'price-new'!R39/VLOOKUP($C283,'nymex-new'!$A$2:$B$243,2,FALSE)*1000</f>
        <v>8533.6895221133855</v>
      </c>
    </row>
    <row r="284" spans="3:18" x14ac:dyDescent="0.2">
      <c r="C284" s="1">
        <f t="shared" si="25"/>
        <v>37987</v>
      </c>
      <c r="E284" s="19">
        <f>'price-new'!E40/VLOOKUP($C284,'nymex-new'!$A$2:$B$243,2,FALSE)*1000</f>
        <v>8419.3642461359013</v>
      </c>
      <c r="F284" s="19">
        <f>'price-new'!F40/VLOOKUP($C284,'nymex-new'!$A$2:$B$243,2,FALSE)*1000</f>
        <v>8565.179352580928</v>
      </c>
      <c r="G284" s="19">
        <f>'price-new'!G40/VLOOKUP($C284,'nymex-new'!$A$2:$B$243,2,FALSE)*1000</f>
        <v>8197.7252843394563</v>
      </c>
      <c r="H284" s="19">
        <f>'price-new'!H40/VLOOKUP($C284,'nymex-new'!$A$2:$B$243,2,FALSE)*1000</f>
        <v>7967.3374161563142</v>
      </c>
      <c r="I284" s="19">
        <f>'price-new'!I40/VLOOKUP($C284,'nymex-new'!$A$2:$B$243,2,FALSE)*1000</f>
        <v>8273.5491396908728</v>
      </c>
      <c r="J284" s="19">
        <f>'price-new'!J40/VLOOKUP($C284,'nymex-new'!$A$2:$B$243,2,FALSE)*1000</f>
        <v>8565.179352580928</v>
      </c>
      <c r="K284" s="19">
        <f>'price-new'!K40/VLOOKUP($C284,'nymex-new'!$A$2:$B$243,2,FALSE)*1000</f>
        <v>11665.208515602217</v>
      </c>
      <c r="L284" s="19">
        <f>'price-new'!L40/VLOOKUP($C284,'nymex-new'!$A$2:$B$243,2,FALSE)*1000</f>
        <v>9241.7614464858561</v>
      </c>
      <c r="M284" s="19">
        <f>'price-new'!M40/VLOOKUP($C284,'nymex-new'!$A$2:$B$243,2,FALSE)*1000</f>
        <v>9186.3517060367449</v>
      </c>
      <c r="N284" s="19">
        <f>'price-new'!N40/VLOOKUP($C284,'nymex-new'!$A$2:$B$243,2,FALSE)*1000</f>
        <v>11665.208515602217</v>
      </c>
      <c r="O284" s="19">
        <f>'price-new'!O40/VLOOKUP($C284,'nymex-new'!$A$2:$B$243,2,FALSE)*1000</f>
        <v>8778.0694079906698</v>
      </c>
      <c r="P284" s="19">
        <f>'price-new'!P40/VLOOKUP($C284,'nymex-new'!$A$2:$B$243,2,FALSE)*1000</f>
        <v>9279.6733741615626</v>
      </c>
      <c r="Q284" s="19">
        <f>'price-new'!Q40/VLOOKUP($C284,'nymex-new'!$A$2:$B$243,2,FALSE)*1000</f>
        <v>8402.4496937882777</v>
      </c>
      <c r="R284" s="19">
        <f>'price-new'!R40/VLOOKUP($C284,'nymex-new'!$A$2:$B$243,2,FALSE)*1000</f>
        <v>9040.5365995917182</v>
      </c>
    </row>
    <row r="285" spans="3:18" x14ac:dyDescent="0.2">
      <c r="C285" s="1">
        <f t="shared" si="25"/>
        <v>38018</v>
      </c>
      <c r="E285" s="19">
        <f>'price-new'!E41/VLOOKUP($C285,'nymex-new'!$A$2:$B$243,2,FALSE)*1000</f>
        <v>8528.7081339712931</v>
      </c>
      <c r="F285" s="19">
        <f>'price-new'!F41/VLOOKUP($C285,'nymex-new'!$A$2:$B$243,2,FALSE)*1000</f>
        <v>8678.2296650717708</v>
      </c>
      <c r="G285" s="19">
        <f>'price-new'!G41/VLOOKUP($C285,'nymex-new'!$A$2:$B$243,2,FALSE)*1000</f>
        <v>8181.818181818182</v>
      </c>
      <c r="H285" s="19">
        <f>'price-new'!H41/VLOOKUP($C285,'nymex-new'!$A$2:$B$243,2,FALSE)*1000</f>
        <v>8065.1913875598084</v>
      </c>
      <c r="I285" s="19">
        <f>'price-new'!I41/VLOOKUP($C285,'nymex-new'!$A$2:$B$243,2,FALSE)*1000</f>
        <v>8379.1866028708137</v>
      </c>
      <c r="J285" s="19">
        <f>'price-new'!J41/VLOOKUP($C285,'nymex-new'!$A$2:$B$243,2,FALSE)*1000</f>
        <v>8678.2296650717708</v>
      </c>
      <c r="K285" s="19">
        <f>'price-new'!K41/VLOOKUP($C285,'nymex-new'!$A$2:$B$243,2,FALSE)*1000</f>
        <v>11961.722488038278</v>
      </c>
      <c r="L285" s="19">
        <f>'price-new'!L41/VLOOKUP($C285,'nymex-new'!$A$2:$B$243,2,FALSE)*1000</f>
        <v>9372.0095693779895</v>
      </c>
      <c r="M285" s="19">
        <f>'price-new'!M41/VLOOKUP($C285,'nymex-new'!$A$2:$B$243,2,FALSE)*1000</f>
        <v>9419.8564593301453</v>
      </c>
      <c r="N285" s="19">
        <f>'price-new'!N41/VLOOKUP($C285,'nymex-new'!$A$2:$B$243,2,FALSE)*1000</f>
        <v>11961.722488038278</v>
      </c>
      <c r="O285" s="19">
        <f>'price-new'!O41/VLOOKUP($C285,'nymex-new'!$A$2:$B$243,2,FALSE)*1000</f>
        <v>9001.1961722488031</v>
      </c>
      <c r="P285" s="19">
        <f>'price-new'!P41/VLOOKUP($C285,'nymex-new'!$A$2:$B$243,2,FALSE)*1000</f>
        <v>9859.4497607655503</v>
      </c>
      <c r="Q285" s="19">
        <f>'price-new'!Q41/VLOOKUP($C285,'nymex-new'!$A$2:$B$243,2,FALSE)*1000</f>
        <v>8967.4043062200944</v>
      </c>
      <c r="R285" s="19">
        <f>'price-new'!R41/VLOOKUP($C285,'nymex-new'!$A$2:$B$243,2,FALSE)*1000</f>
        <v>9270.3349282296658</v>
      </c>
    </row>
    <row r="286" spans="3:18" x14ac:dyDescent="0.2">
      <c r="C286" s="1">
        <f t="shared" si="25"/>
        <v>38047</v>
      </c>
      <c r="E286" s="19">
        <f>'price-new'!E42/VLOOKUP($C286,'nymex-new'!$A$2:$B$243,2,FALSE)*1000</f>
        <v>8783.4474175482264</v>
      </c>
      <c r="F286" s="19">
        <f>'price-new'!F42/VLOOKUP($C286,'nymex-new'!$A$2:$B$243,2,FALSE)*1000</f>
        <v>9016.801493466086</v>
      </c>
      <c r="G286" s="19">
        <f>'price-new'!G42/VLOOKUP($C286,'nymex-new'!$A$2:$B$243,2,FALSE)*1000</f>
        <v>8026.1356565028009</v>
      </c>
      <c r="H286" s="19">
        <f>'price-new'!H42/VLOOKUP($C286,'nymex-new'!$A$2:$B$243,2,FALSE)*1000</f>
        <v>8301.1823273179834</v>
      </c>
      <c r="I286" s="19">
        <f>'price-new'!I42/VLOOKUP($C286,'nymex-new'!$A$2:$B$243,2,FALSE)*1000</f>
        <v>8627.8780336029886</v>
      </c>
      <c r="J286" s="19">
        <f>'price-new'!J42/VLOOKUP($C286,'nymex-new'!$A$2:$B$243,2,FALSE)*1000</f>
        <v>9016.801493466086</v>
      </c>
      <c r="K286" s="19">
        <f>'price-new'!K42/VLOOKUP($C286,'nymex-new'!$A$2:$B$243,2,FALSE)*1000</f>
        <v>10423.148724331051</v>
      </c>
      <c r="L286" s="19">
        <f>'price-new'!L42/VLOOKUP($C286,'nymex-new'!$A$2:$B$243,2,FALSE)*1000</f>
        <v>9576.8512756689488</v>
      </c>
      <c r="M286" s="19">
        <f>'price-new'!M42/VLOOKUP($C286,'nymex-new'!$A$2:$B$243,2,FALSE)*1000</f>
        <v>9178.5936527691356</v>
      </c>
      <c r="N286" s="19">
        <f>'price-new'!N42/VLOOKUP($C286,'nymex-new'!$A$2:$B$243,2,FALSE)*1000</f>
        <v>11512.134411947729</v>
      </c>
      <c r="O286" s="19">
        <f>'price-new'!O42/VLOOKUP($C286,'nymex-new'!$A$2:$B$243,2,FALSE)*1000</f>
        <v>8665.2146857498446</v>
      </c>
      <c r="P286" s="19">
        <f>'price-new'!P42/VLOOKUP($C286,'nymex-new'!$A$2:$B$243,2,FALSE)*1000</f>
        <v>9623.5220908525189</v>
      </c>
      <c r="Q286" s="19">
        <f>'price-new'!Q42/VLOOKUP($C286,'nymex-new'!$A$2:$B$243,2,FALSE)*1000</f>
        <v>8054.4492843808339</v>
      </c>
      <c r="R286" s="19">
        <f>'price-new'!R42/VLOOKUP($C286,'nymex-new'!$A$2:$B$243,2,FALSE)*1000</f>
        <v>9100.8089607965157</v>
      </c>
    </row>
    <row r="287" spans="3:18" x14ac:dyDescent="0.2">
      <c r="C287" s="1">
        <f t="shared" si="25"/>
        <v>38078</v>
      </c>
      <c r="E287" s="19">
        <f>'price-new'!E43/VLOOKUP($C287,'nymex-new'!$A$2:$B$243,2,FALSE)*1000</f>
        <v>9465.1700231099385</v>
      </c>
      <c r="F287" s="19">
        <f>'price-new'!F43/VLOOKUP($C287,'nymex-new'!$A$2:$B$243,2,FALSE)*1000</f>
        <v>9712.7764938923738</v>
      </c>
      <c r="G287" s="19">
        <f>'price-new'!G43/VLOOKUP($C287,'nymex-new'!$A$2:$B$243,2,FALSE)*1000</f>
        <v>8775.1733245295472</v>
      </c>
      <c r="H287" s="19">
        <f>'price-new'!H43/VLOOKUP($C287,'nymex-new'!$A$2:$B$243,2,FALSE)*1000</f>
        <v>8953.4499834929029</v>
      </c>
      <c r="I287" s="19">
        <f>'price-new'!I43/VLOOKUP($C287,'nymex-new'!$A$2:$B$243,2,FALSE)*1000</f>
        <v>9300.0990425883138</v>
      </c>
      <c r="J287" s="19">
        <f>'price-new'!J43/VLOOKUP($C287,'nymex-new'!$A$2:$B$243,2,FALSE)*1000</f>
        <v>9712.7764938923738</v>
      </c>
      <c r="K287" s="19">
        <f>'price-new'!K43/VLOOKUP($C287,'nymex-new'!$A$2:$B$243,2,FALSE)*1000</f>
        <v>11059.755694948828</v>
      </c>
      <c r="L287" s="19">
        <f>'price-new'!L43/VLOOKUP($C287,'nymex-new'!$A$2:$B$243,2,FALSE)*1000</f>
        <v>10307.032023770222</v>
      </c>
      <c r="M287" s="19">
        <f>'price-new'!M43/VLOOKUP($C287,'nymex-new'!$A$2:$B$243,2,FALSE)*1000</f>
        <v>9739.1878507758338</v>
      </c>
      <c r="N287" s="19">
        <f>'price-new'!N43/VLOOKUP($C287,'nymex-new'!$A$2:$B$243,2,FALSE)*1000</f>
        <v>12215.252558600199</v>
      </c>
      <c r="O287" s="19">
        <f>'price-new'!O43/VLOOKUP($C287,'nymex-new'!$A$2:$B$243,2,FALSE)*1000</f>
        <v>9194.4536150544736</v>
      </c>
      <c r="P287" s="19">
        <f>'price-new'!P43/VLOOKUP($C287,'nymex-new'!$A$2:$B$243,2,FALSE)*1000</f>
        <v>10207.989435457246</v>
      </c>
      <c r="Q287" s="19">
        <f>'price-new'!Q43/VLOOKUP($C287,'nymex-new'!$A$2:$B$243,2,FALSE)*1000</f>
        <v>8546.3849455265772</v>
      </c>
      <c r="R287" s="19">
        <f>'price-new'!R43/VLOOKUP($C287,'nymex-new'!$A$2:$B$243,2,FALSE)*1000</f>
        <v>9656.6523605150214</v>
      </c>
    </row>
    <row r="288" spans="3:18" x14ac:dyDescent="0.2">
      <c r="C288" s="1">
        <f t="shared" si="25"/>
        <v>38108</v>
      </c>
      <c r="E288" s="19">
        <f>'price-new'!E44/VLOOKUP($C288,'nymex-new'!$A$2:$B$243,2,FALSE)*1000</f>
        <v>9738.7566137566137</v>
      </c>
      <c r="F288" s="19">
        <f>'price-new'!F44/VLOOKUP($C288,'nymex-new'!$A$2:$B$243,2,FALSE)*1000</f>
        <v>10069.444444444445</v>
      </c>
      <c r="G288" s="19">
        <f>'price-new'!G44/VLOOKUP($C288,'nymex-new'!$A$2:$B$243,2,FALSE)*1000</f>
        <v>9437.8306878306885</v>
      </c>
      <c r="H288" s="19">
        <f>'price-new'!H44/VLOOKUP($C288,'nymex-new'!$A$2:$B$243,2,FALSE)*1000</f>
        <v>9242.7248677248663</v>
      </c>
      <c r="I288" s="19">
        <f>'price-new'!I44/VLOOKUP($C288,'nymex-new'!$A$2:$B$243,2,FALSE)*1000</f>
        <v>9573.4126984126979</v>
      </c>
      <c r="J288" s="19">
        <f>'price-new'!J44/VLOOKUP($C288,'nymex-new'!$A$2:$B$243,2,FALSE)*1000</f>
        <v>10069.444444444445</v>
      </c>
      <c r="K288" s="19">
        <f>'price-new'!K44/VLOOKUP($C288,'nymex-new'!$A$2:$B$243,2,FALSE)*1000</f>
        <v>10912.698412698413</v>
      </c>
      <c r="L288" s="19">
        <f>'price-new'!L44/VLOOKUP($C288,'nymex-new'!$A$2:$B$243,2,FALSE)*1000</f>
        <v>11173.9417989418</v>
      </c>
      <c r="M288" s="19">
        <f>'price-new'!M44/VLOOKUP($C288,'nymex-new'!$A$2:$B$243,2,FALSE)*1000</f>
        <v>10085.978835978836</v>
      </c>
      <c r="N288" s="19">
        <f>'price-new'!N44/VLOOKUP($C288,'nymex-new'!$A$2:$B$243,2,FALSE)*1000</f>
        <v>12566.137566137566</v>
      </c>
      <c r="O288" s="19">
        <f>'price-new'!O44/VLOOKUP($C288,'nymex-new'!$A$2:$B$243,2,FALSE)*1000</f>
        <v>9771.8253968253975</v>
      </c>
      <c r="P288" s="19">
        <f>'price-new'!P44/VLOOKUP($C288,'nymex-new'!$A$2:$B$243,2,FALSE)*1000</f>
        <v>8763.2275132275117</v>
      </c>
      <c r="Q288" s="19">
        <f>'price-new'!Q44/VLOOKUP($C288,'nymex-new'!$A$2:$B$243,2,FALSE)*1000</f>
        <v>9354.1666666666661</v>
      </c>
      <c r="R288" s="19">
        <f>'price-new'!R44/VLOOKUP($C288,'nymex-new'!$A$2:$B$243,2,FALSE)*1000</f>
        <v>10168.650793650795</v>
      </c>
    </row>
    <row r="289" spans="3:18" x14ac:dyDescent="0.2">
      <c r="C289" s="1">
        <f t="shared" si="25"/>
        <v>38139</v>
      </c>
      <c r="E289" s="19">
        <f>'price-new'!E45/VLOOKUP($C289,'nymex-new'!$A$2:$B$243,2,FALSE)*1000</f>
        <v>11346.845374305329</v>
      </c>
      <c r="F289" s="19">
        <f>'price-new'!F45/VLOOKUP($C289,'nymex-new'!$A$2:$B$243,2,FALSE)*1000</f>
        <v>11837.201699901929</v>
      </c>
      <c r="G289" s="19">
        <f>'price-new'!G45/VLOOKUP($C289,'nymex-new'!$A$2:$B$243,2,FALSE)*1000</f>
        <v>10653.808434128799</v>
      </c>
      <c r="H289" s="19">
        <f>'price-new'!H45/VLOOKUP($C289,'nymex-new'!$A$2:$B$243,2,FALSE)*1000</f>
        <v>10807.453416149068</v>
      </c>
      <c r="I289" s="19">
        <f>'price-new'!I45/VLOOKUP($C289,'nymex-new'!$A$2:$B$243,2,FALSE)*1000</f>
        <v>11183.393265773129</v>
      </c>
      <c r="J289" s="19">
        <f>'price-new'!J45/VLOOKUP($C289,'nymex-new'!$A$2:$B$243,2,FALSE)*1000</f>
        <v>11837.201699901929</v>
      </c>
      <c r="K289" s="19">
        <f>'price-new'!K45/VLOOKUP($C289,'nymex-new'!$A$2:$B$243,2,FALSE)*1000</f>
        <v>12422.360248447203</v>
      </c>
      <c r="L289" s="19">
        <f>'price-new'!L45/VLOOKUP($C289,'nymex-new'!$A$2:$B$243,2,FALSE)*1000</f>
        <v>12484.472049689441</v>
      </c>
      <c r="M289" s="19">
        <f>'price-new'!M45/VLOOKUP($C289,'nymex-new'!$A$2:$B$243,2,FALSE)*1000</f>
        <v>13076.168682576004</v>
      </c>
      <c r="N289" s="19">
        <f>'price-new'!N45/VLOOKUP($C289,'nymex-new'!$A$2:$B$243,2,FALSE)*1000</f>
        <v>15037.593984962406</v>
      </c>
      <c r="O289" s="19">
        <f>'price-new'!O45/VLOOKUP($C289,'nymex-new'!$A$2:$B$243,2,FALSE)*1000</f>
        <v>12059.496567505719</v>
      </c>
      <c r="P289" s="19">
        <f>'price-new'!P45/VLOOKUP($C289,'nymex-new'!$A$2:$B$243,2,FALSE)*1000</f>
        <v>9630.5982347172285</v>
      </c>
      <c r="Q289" s="19">
        <f>'price-new'!Q45/VLOOKUP($C289,'nymex-new'!$A$2:$B$243,2,FALSE)*1000</f>
        <v>12249.754821837201</v>
      </c>
      <c r="R289" s="19">
        <f>'price-new'!R45/VLOOKUP($C289,'nymex-new'!$A$2:$B$243,2,FALSE)*1000</f>
        <v>13321.346845374304</v>
      </c>
    </row>
    <row r="290" spans="3:18" x14ac:dyDescent="0.2">
      <c r="C290" s="1">
        <f t="shared" si="25"/>
        <v>38169</v>
      </c>
      <c r="E290" s="19">
        <f>'price-new'!E46/VLOOKUP($C290,'nymex-new'!$A$2:$B$243,2,FALSE)*1000</f>
        <v>14801.548886737655</v>
      </c>
      <c r="F290" s="19">
        <f>'price-new'!F46/VLOOKUP($C290,'nymex-new'!$A$2:$B$243,2,FALSE)*1000</f>
        <v>15608.260729267504</v>
      </c>
      <c r="G290" s="19">
        <f>'price-new'!G46/VLOOKUP($C290,'nymex-new'!$A$2:$B$243,2,FALSE)*1000</f>
        <v>13597.934817683123</v>
      </c>
      <c r="H290" s="19">
        <f>'price-new'!H46/VLOOKUP($C290,'nymex-new'!$A$2:$B$243,2,FALSE)*1000</f>
        <v>14140.045175863181</v>
      </c>
      <c r="I290" s="19">
        <f>'price-new'!I46/VLOOKUP($C290,'nymex-new'!$A$2:$B$243,2,FALSE)*1000</f>
        <v>14640.206518231686</v>
      </c>
      <c r="J290" s="19">
        <f>'price-new'!J46/VLOOKUP($C290,'nymex-new'!$A$2:$B$243,2,FALSE)*1000</f>
        <v>15608.260729267504</v>
      </c>
      <c r="K290" s="19">
        <f>'price-new'!K46/VLOOKUP($C290,'nymex-new'!$A$2:$B$243,2,FALSE)*1000</f>
        <v>15004.840271055178</v>
      </c>
      <c r="L290" s="19">
        <f>'price-new'!L46/VLOOKUP($C290,'nymex-new'!$A$2:$B$243,2,FALSE)*1000</f>
        <v>14720.877702484671</v>
      </c>
      <c r="M290" s="19">
        <f>'price-new'!M46/VLOOKUP($C290,'nymex-new'!$A$2:$B$243,2,FALSE)*1000</f>
        <v>16618.263956114872</v>
      </c>
      <c r="N290" s="19">
        <f>'price-new'!N46/VLOOKUP($C290,'nymex-new'!$A$2:$B$243,2,FALSE)*1000</f>
        <v>21619.877379799935</v>
      </c>
      <c r="O290" s="19">
        <f>'price-new'!O46/VLOOKUP($C290,'nymex-new'!$A$2:$B$243,2,FALSE)*1000</f>
        <v>14811.229428848013</v>
      </c>
      <c r="P290" s="19">
        <f>'price-new'!P46/VLOOKUP($C290,'nymex-new'!$A$2:$B$243,2,FALSE)*1000</f>
        <v>12591.158438205874</v>
      </c>
      <c r="Q290" s="19">
        <f>'price-new'!Q46/VLOOKUP($C290,'nymex-new'!$A$2:$B$243,2,FALSE)*1000</f>
        <v>14428.848015488868</v>
      </c>
      <c r="R290" s="19">
        <f>'price-new'!R46/VLOOKUP($C290,'nymex-new'!$A$2:$B$243,2,FALSE)*1000</f>
        <v>16214.908034849952</v>
      </c>
    </row>
    <row r="291" spans="3:18" x14ac:dyDescent="0.2">
      <c r="C291" s="1">
        <f t="shared" si="25"/>
        <v>38200</v>
      </c>
      <c r="E291" s="19">
        <f>'price-new'!E47/VLOOKUP($C291,'nymex-new'!$A$2:$B$243,2,FALSE)*1000</f>
        <v>14233.832430710418</v>
      </c>
      <c r="F291" s="19">
        <f>'price-new'!F47/VLOOKUP($C291,'nymex-new'!$A$2:$B$243,2,FALSE)*1000</f>
        <v>15030.264415418926</v>
      </c>
      <c r="G291" s="19">
        <f>'price-new'!G47/VLOOKUP($C291,'nymex-new'!$A$2:$B$243,2,FALSE)*1000</f>
        <v>13297.228416693215</v>
      </c>
      <c r="H291" s="19">
        <f>'price-new'!H47/VLOOKUP($C291,'nymex-new'!$A$2:$B$243,2,FALSE)*1000</f>
        <v>13580.758203249443</v>
      </c>
      <c r="I291" s="19">
        <f>'price-new'!I47/VLOOKUP($C291,'nymex-new'!$A$2:$B$243,2,FALSE)*1000</f>
        <v>14074.546033768718</v>
      </c>
      <c r="J291" s="19">
        <f>'price-new'!J47/VLOOKUP($C291,'nymex-new'!$A$2:$B$243,2,FALSE)*1000</f>
        <v>15030.264415418926</v>
      </c>
      <c r="K291" s="19">
        <f>'price-new'!K47/VLOOKUP($C291,'nymex-new'!$A$2:$B$243,2,FALSE)*1000</f>
        <v>14813.634915578212</v>
      </c>
      <c r="L291" s="19">
        <f>'price-new'!L47/VLOOKUP($C291,'nymex-new'!$A$2:$B$243,2,FALSE)*1000</f>
        <v>14313.47562918127</v>
      </c>
      <c r="M291" s="19">
        <f>'price-new'!M47/VLOOKUP($C291,'nymex-new'!$A$2:$B$243,2,FALSE)*1000</f>
        <v>16406.498884995224</v>
      </c>
      <c r="N291" s="19">
        <f>'price-new'!N47/VLOOKUP($C291,'nymex-new'!$A$2:$B$243,2,FALSE)*1000</f>
        <v>21344.377190187959</v>
      </c>
      <c r="O291" s="19">
        <f>'price-new'!O47/VLOOKUP($C291,'nymex-new'!$A$2:$B$243,2,FALSE)*1000</f>
        <v>14463.204842306468</v>
      </c>
      <c r="P291" s="19">
        <f>'price-new'!P47/VLOOKUP($C291,'nymex-new'!$A$2:$B$243,2,FALSE)*1000</f>
        <v>12051.608792609111</v>
      </c>
      <c r="Q291" s="19">
        <f>'price-new'!Q47/VLOOKUP($C291,'nymex-new'!$A$2:$B$243,2,FALSE)*1000</f>
        <v>14244.982478496338</v>
      </c>
      <c r="R291" s="19">
        <f>'price-new'!R47/VLOOKUP($C291,'nymex-new'!$A$2:$B$243,2,FALSE)*1000</f>
        <v>16008.282892640971</v>
      </c>
    </row>
    <row r="292" spans="3:18" x14ac:dyDescent="0.2">
      <c r="C292" s="1">
        <f t="shared" si="25"/>
        <v>38231</v>
      </c>
      <c r="E292" s="19">
        <f>'price-new'!E48/VLOOKUP($C292,'nymex-new'!$A$2:$B$243,2,FALSE)*1000</f>
        <v>8888.5329916720038</v>
      </c>
      <c r="F292" s="19">
        <f>'price-new'!F48/VLOOKUP($C292,'nymex-new'!$A$2:$B$243,2,FALSE)*1000</f>
        <v>9368.9942344650863</v>
      </c>
      <c r="G292" s="19">
        <f>'price-new'!G48/VLOOKUP($C292,'nymex-new'!$A$2:$B$243,2,FALSE)*1000</f>
        <v>9445.8680333119792</v>
      </c>
      <c r="H292" s="19">
        <f>'price-new'!H48/VLOOKUP($C292,'nymex-new'!$A$2:$B$243,2,FALSE)*1000</f>
        <v>8488.1486226777706</v>
      </c>
      <c r="I292" s="19">
        <f>'price-new'!I48/VLOOKUP($C292,'nymex-new'!$A$2:$B$243,2,FALSE)*1000</f>
        <v>8728.3792440743109</v>
      </c>
      <c r="J292" s="19">
        <f>'price-new'!J48/VLOOKUP($C292,'nymex-new'!$A$2:$B$243,2,FALSE)*1000</f>
        <v>9368.9942344650863</v>
      </c>
      <c r="K292" s="19">
        <f>'price-new'!K48/VLOOKUP($C292,'nymex-new'!$A$2:$B$243,2,FALSE)*1000</f>
        <v>10169.762972453556</v>
      </c>
      <c r="L292" s="19">
        <f>'price-new'!L48/VLOOKUP($C292,'nymex-new'!$A$2:$B$243,2,FALSE)*1000</f>
        <v>9141.5759128763602</v>
      </c>
      <c r="M292" s="19">
        <f>'price-new'!M48/VLOOKUP($C292,'nymex-new'!$A$2:$B$243,2,FALSE)*1000</f>
        <v>9288.9173606662389</v>
      </c>
      <c r="N292" s="19">
        <f>'price-new'!N48/VLOOKUP($C292,'nymex-new'!$A$2:$B$243,2,FALSE)*1000</f>
        <v>11851.377322229342</v>
      </c>
      <c r="O292" s="19">
        <f>'price-new'!O48/VLOOKUP($C292,'nymex-new'!$A$2:$B$243,2,FALSE)*1000</f>
        <v>8930.1729660474066</v>
      </c>
      <c r="P292" s="19">
        <f>'price-new'!P48/VLOOKUP($C292,'nymex-new'!$A$2:$B$243,2,FALSE)*1000</f>
        <v>7719.4106342088407</v>
      </c>
      <c r="Q292" s="19">
        <f>'price-new'!Q48/VLOOKUP($C292,'nymex-new'!$A$2:$B$243,2,FALSE)*1000</f>
        <v>7866.7520819987185</v>
      </c>
      <c r="R292" s="19">
        <f>'price-new'!R48/VLOOKUP($C292,'nymex-new'!$A$2:$B$243,2,FALSE)*1000</f>
        <v>9288.9173606662389</v>
      </c>
    </row>
    <row r="293" spans="3:18" x14ac:dyDescent="0.2">
      <c r="C293" s="1">
        <f t="shared" si="25"/>
        <v>38261</v>
      </c>
      <c r="E293" s="19">
        <f>'price-new'!E49/VLOOKUP($C293,'nymex-new'!$A$2:$B$243,2,FALSE)*1000</f>
        <v>8871.9415316174145</v>
      </c>
      <c r="F293" s="19">
        <f>'price-new'!F49/VLOOKUP($C293,'nymex-new'!$A$2:$B$243,2,FALSE)*1000</f>
        <v>8871.9415316174145</v>
      </c>
      <c r="G293" s="19">
        <f>'price-new'!G49/VLOOKUP($C293,'nymex-new'!$A$2:$B$243,2,FALSE)*1000</f>
        <v>8805.2113123609797</v>
      </c>
      <c r="H293" s="19">
        <f>'price-new'!H49/VLOOKUP($C293,'nymex-new'!$A$2:$B$243,2,FALSE)*1000</f>
        <v>8474.7378455672078</v>
      </c>
      <c r="I293" s="19">
        <f>'price-new'!I49/VLOOKUP($C293,'nymex-new'!$A$2:$B$243,2,FALSE)*1000</f>
        <v>8713.0600571973318</v>
      </c>
      <c r="J293" s="19">
        <f>'price-new'!J49/VLOOKUP($C293,'nymex-new'!$A$2:$B$243,2,FALSE)*1000</f>
        <v>8871.9415316174145</v>
      </c>
      <c r="K293" s="19">
        <f>'price-new'!K49/VLOOKUP($C293,'nymex-new'!$A$2:$B$243,2,FALSE)*1000</f>
        <v>10088.973625675248</v>
      </c>
      <c r="L293" s="19">
        <f>'price-new'!L49/VLOOKUP($C293,'nymex-new'!$A$2:$B$243,2,FALSE)*1000</f>
        <v>9084.8427073403254</v>
      </c>
      <c r="M293" s="19">
        <f>'price-new'!M49/VLOOKUP($C293,'nymex-new'!$A$2:$B$243,2,FALSE)*1000</f>
        <v>9215.1255163647929</v>
      </c>
      <c r="N293" s="19">
        <f>'price-new'!N49/VLOOKUP($C293,'nymex-new'!$A$2:$B$243,2,FALSE)*1000</f>
        <v>11757.229107086116</v>
      </c>
      <c r="O293" s="19">
        <f>'price-new'!O49/VLOOKUP($C293,'nymex-new'!$A$2:$B$243,2,FALSE)*1000</f>
        <v>8960.9151572926603</v>
      </c>
      <c r="P293" s="19">
        <f>'price-new'!P49/VLOOKUP($C293,'nymex-new'!$A$2:$B$243,2,FALSE)*1000</f>
        <v>9408.9609151572931</v>
      </c>
      <c r="Q293" s="19">
        <f>'price-new'!Q49/VLOOKUP($C293,'nymex-new'!$A$2:$B$243,2,FALSE)*1000</f>
        <v>8296.1550683190344</v>
      </c>
      <c r="R293" s="19">
        <f>'price-new'!R49/VLOOKUP($C293,'nymex-new'!$A$2:$B$243,2,FALSE)*1000</f>
        <v>9215.1255163647929</v>
      </c>
    </row>
    <row r="294" spans="3:18" x14ac:dyDescent="0.2">
      <c r="C294" s="1">
        <f t="shared" si="25"/>
        <v>38292</v>
      </c>
      <c r="E294" s="19">
        <f>'price-new'!E50/VLOOKUP($C294,'nymex-new'!$A$2:$B$243,2,FALSE)*1000</f>
        <v>8566.2321915732045</v>
      </c>
      <c r="F294" s="19">
        <f>'price-new'!F50/VLOOKUP($C294,'nymex-new'!$A$2:$B$243,2,FALSE)*1000</f>
        <v>8566.2321915732045</v>
      </c>
      <c r="G294" s="19">
        <f>'price-new'!G50/VLOOKUP($C294,'nymex-new'!$A$2:$B$243,2,FALSE)*1000</f>
        <v>8096.392846317066</v>
      </c>
      <c r="H294" s="19">
        <f>'price-new'!H50/VLOOKUP($C294,'nymex-new'!$A$2:$B$243,2,FALSE)*1000</f>
        <v>8187.3294937859973</v>
      </c>
      <c r="I294" s="19">
        <f>'price-new'!I50/VLOOKUP($C294,'nymex-new'!$A$2:$B$243,2,FALSE)*1000</f>
        <v>8414.6711124583217</v>
      </c>
      <c r="J294" s="19">
        <f>'price-new'!J50/VLOOKUP($C294,'nymex-new'!$A$2:$B$243,2,FALSE)*1000</f>
        <v>8566.2321915732045</v>
      </c>
      <c r="K294" s="19">
        <f>'price-new'!K50/VLOOKUP($C294,'nymex-new'!$A$2:$B$243,2,FALSE)*1000</f>
        <v>9624.1285237950906</v>
      </c>
      <c r="L294" s="19">
        <f>'price-new'!L50/VLOOKUP($C294,'nymex-new'!$A$2:$B$243,2,FALSE)*1000</f>
        <v>8769.3240375871464</v>
      </c>
      <c r="M294" s="19">
        <f>'price-new'!M50/VLOOKUP($C294,'nymex-new'!$A$2:$B$243,2,FALSE)*1000</f>
        <v>8790.5425886632329</v>
      </c>
      <c r="N294" s="19">
        <f>'price-new'!N50/VLOOKUP($C294,'nymex-new'!$A$2:$B$243,2,FALSE)*1000</f>
        <v>11215.519854501365</v>
      </c>
      <c r="O294" s="19">
        <f>'price-new'!O50/VLOOKUP($C294,'nymex-new'!$A$2:$B$243,2,FALSE)*1000</f>
        <v>8548.0448620794177</v>
      </c>
      <c r="P294" s="19">
        <f>'price-new'!P50/VLOOKUP($C294,'nymex-new'!$A$2:$B$243,2,FALSE)*1000</f>
        <v>10109.123976962717</v>
      </c>
      <c r="Q294" s="19">
        <f>'price-new'!Q50/VLOOKUP($C294,'nymex-new'!$A$2:$B$243,2,FALSE)*1000</f>
        <v>7913.9133070627468</v>
      </c>
      <c r="R294" s="19">
        <f>'price-new'!R50/VLOOKUP($C294,'nymex-new'!$A$2:$B$243,2,FALSE)*1000</f>
        <v>8790.5425886632329</v>
      </c>
    </row>
    <row r="295" spans="3:18" x14ac:dyDescent="0.2">
      <c r="C295" s="1">
        <f t="shared" si="25"/>
        <v>38322</v>
      </c>
      <c r="E295" s="19">
        <f>'price-new'!E51/VLOOKUP($C295,'nymex-new'!$A$2:$B$243,2,FALSE)*1000</f>
        <v>8123.1841952353288</v>
      </c>
      <c r="F295" s="19">
        <f>'price-new'!F51/VLOOKUP($C295,'nymex-new'!$A$2:$B$243,2,FALSE)*1000</f>
        <v>8123.1841952353288</v>
      </c>
      <c r="G295" s="19">
        <f>'price-new'!G51/VLOOKUP($C295,'nymex-new'!$A$2:$B$243,2,FALSE)*1000</f>
        <v>8021.4991284137122</v>
      </c>
      <c r="H295" s="19">
        <f>'price-new'!H51/VLOOKUP($C295,'nymex-new'!$A$2:$B$243,2,FALSE)*1000</f>
        <v>7760.0232423009875</v>
      </c>
      <c r="I295" s="19">
        <f>'price-new'!I51/VLOOKUP($C295,'nymex-new'!$A$2:$B$243,2,FALSE)*1000</f>
        <v>7977.9198140615927</v>
      </c>
      <c r="J295" s="19">
        <f>'price-new'!J51/VLOOKUP($C295,'nymex-new'!$A$2:$B$243,2,FALSE)*1000</f>
        <v>8123.1841952353288</v>
      </c>
      <c r="K295" s="19">
        <f>'price-new'!K51/VLOOKUP($C295,'nymex-new'!$A$2:$B$243,2,FALSE)*1000</f>
        <v>9224.2882045322476</v>
      </c>
      <c r="L295" s="19">
        <f>'price-new'!L51/VLOOKUP($C295,'nymex-new'!$A$2:$B$243,2,FALSE)*1000</f>
        <v>8317.8384660081338</v>
      </c>
      <c r="M295" s="19">
        <f>'price-new'!M51/VLOOKUP($C295,'nymex-new'!$A$2:$B$243,2,FALSE)*1000</f>
        <v>8425.3341080766986</v>
      </c>
      <c r="N295" s="19">
        <f>'price-new'!N51/VLOOKUP($C295,'nymex-new'!$A$2:$B$243,2,FALSE)*1000</f>
        <v>10749.564206856478</v>
      </c>
      <c r="O295" s="19">
        <f>'price-new'!O51/VLOOKUP($C295,'nymex-new'!$A$2:$B$243,2,FALSE)*1000</f>
        <v>8192.9110981987214</v>
      </c>
      <c r="P295" s="19">
        <f>'price-new'!P51/VLOOKUP($C295,'nymex-new'!$A$2:$B$243,2,FALSE)*1000</f>
        <v>9718.1871005229514</v>
      </c>
      <c r="Q295" s="19">
        <f>'price-new'!Q51/VLOOKUP($C295,'nymex-new'!$A$2:$B$243,2,FALSE)*1000</f>
        <v>7657.7571179546776</v>
      </c>
      <c r="R295" s="19">
        <f>'price-new'!R51/VLOOKUP($C295,'nymex-new'!$A$2:$B$243,2,FALSE)*1000</f>
        <v>8425.3341080766986</v>
      </c>
    </row>
    <row r="296" spans="3:18" x14ac:dyDescent="0.2">
      <c r="C296" s="1">
        <f t="shared" si="25"/>
        <v>38353</v>
      </c>
      <c r="E296" s="19">
        <f>'price-new'!E52/VLOOKUP($C296,'nymex-new'!$A$2:$B$243,2,FALSE)*1000</f>
        <v>8621.5827338129493</v>
      </c>
      <c r="F296" s="19">
        <f>'price-new'!F52/VLOOKUP($C296,'nymex-new'!$A$2:$B$243,2,FALSE)*1000</f>
        <v>8765.4676258992804</v>
      </c>
      <c r="G296" s="19">
        <f>'price-new'!G52/VLOOKUP($C296,'nymex-new'!$A$2:$B$243,2,FALSE)*1000</f>
        <v>8253.2374100719426</v>
      </c>
      <c r="H296" s="19">
        <f>'price-new'!H52/VLOOKUP($C296,'nymex-new'!$A$2:$B$243,2,FALSE)*1000</f>
        <v>8175.5395683453235</v>
      </c>
      <c r="I296" s="19">
        <f>'price-new'!I52/VLOOKUP($C296,'nymex-new'!$A$2:$B$243,2,FALSE)*1000</f>
        <v>8477.6978417266182</v>
      </c>
      <c r="J296" s="19">
        <f>'price-new'!J52/VLOOKUP($C296,'nymex-new'!$A$2:$B$243,2,FALSE)*1000</f>
        <v>8765.4676258992804</v>
      </c>
      <c r="K296" s="19">
        <f>'price-new'!K52/VLOOKUP($C296,'nymex-new'!$A$2:$B$243,2,FALSE)*1000</f>
        <v>11510.791366906475</v>
      </c>
      <c r="L296" s="19">
        <f>'price-new'!L52/VLOOKUP($C296,'nymex-new'!$A$2:$B$243,2,FALSE)*1000</f>
        <v>9499.2805755395675</v>
      </c>
      <c r="M296" s="19">
        <f>'price-new'!M52/VLOOKUP($C296,'nymex-new'!$A$2:$B$243,2,FALSE)*1000</f>
        <v>9208.633093525179</v>
      </c>
      <c r="N296" s="19">
        <f>'price-new'!N52/VLOOKUP($C296,'nymex-new'!$A$2:$B$243,2,FALSE)*1000</f>
        <v>11798.561151079137</v>
      </c>
      <c r="O296" s="19">
        <f>'price-new'!O52/VLOOKUP($C296,'nymex-new'!$A$2:$B$243,2,FALSE)*1000</f>
        <v>8880.5755395683445</v>
      </c>
      <c r="P296" s="19">
        <f>'price-new'!P52/VLOOKUP($C296,'nymex-new'!$A$2:$B$243,2,FALSE)*1000</f>
        <v>9513.669064748201</v>
      </c>
      <c r="Q296" s="19">
        <f>'price-new'!Q52/VLOOKUP($C296,'nymex-new'!$A$2:$B$243,2,FALSE)*1000</f>
        <v>8148.7769784172651</v>
      </c>
      <c r="R296" s="19">
        <f>'price-new'!R52/VLOOKUP($C296,'nymex-new'!$A$2:$B$243,2,FALSE)*1000</f>
        <v>8992.8057553956824</v>
      </c>
    </row>
    <row r="297" spans="3:18" x14ac:dyDescent="0.2">
      <c r="C297" s="1">
        <f t="shared" si="25"/>
        <v>38384</v>
      </c>
      <c r="E297" s="19">
        <f>'price-new'!E53/VLOOKUP($C297,'nymex-new'!$A$2:$B$243,2,FALSE)*1000</f>
        <v>8499.5612752266734</v>
      </c>
      <c r="F297" s="19">
        <f>'price-new'!F53/VLOOKUP($C297,'nymex-new'!$A$2:$B$243,2,FALSE)*1000</f>
        <v>8645.8028663351852</v>
      </c>
      <c r="G297" s="19">
        <f>'price-new'!G53/VLOOKUP($C297,'nymex-new'!$A$2:$B$243,2,FALSE)*1000</f>
        <v>8169.0552793214392</v>
      </c>
      <c r="H297" s="19">
        <f>'price-new'!H53/VLOOKUP($C297,'nymex-new'!$A$2:$B$243,2,FALSE)*1000</f>
        <v>8046.2123427902889</v>
      </c>
      <c r="I297" s="19">
        <f>'price-new'!I53/VLOOKUP($C297,'nymex-new'!$A$2:$B$243,2,FALSE)*1000</f>
        <v>8353.3196841181616</v>
      </c>
      <c r="J297" s="19">
        <f>'price-new'!J53/VLOOKUP($C297,'nymex-new'!$A$2:$B$243,2,FALSE)*1000</f>
        <v>8645.8028663351852</v>
      </c>
      <c r="K297" s="19">
        <f>'price-new'!K53/VLOOKUP($C297,'nymex-new'!$A$2:$B$243,2,FALSE)*1000</f>
        <v>11699.327288680899</v>
      </c>
      <c r="L297" s="19">
        <f>'price-new'!L53/VLOOKUP($C297,'nymex-new'!$A$2:$B$243,2,FALSE)*1000</f>
        <v>9409.183971921615</v>
      </c>
      <c r="M297" s="19">
        <f>'price-new'!M53/VLOOKUP($C297,'nymex-new'!$A$2:$B$243,2,FALSE)*1000</f>
        <v>9359.4618309447214</v>
      </c>
      <c r="N297" s="19">
        <f>'price-new'!N53/VLOOKUP($C297,'nymex-new'!$A$2:$B$243,2,FALSE)*1000</f>
        <v>11991.810470897923</v>
      </c>
      <c r="O297" s="19">
        <f>'price-new'!O53/VLOOKUP($C297,'nymex-new'!$A$2:$B$243,2,FALSE)*1000</f>
        <v>9011.4068441064646</v>
      </c>
      <c r="P297" s="19">
        <f>'price-new'!P53/VLOOKUP($C297,'nymex-new'!$A$2:$B$243,2,FALSE)*1000</f>
        <v>9698.742322316466</v>
      </c>
      <c r="Q297" s="19">
        <f>'price-new'!Q53/VLOOKUP($C297,'nymex-new'!$A$2:$B$243,2,FALSE)*1000</f>
        <v>8281.661304474992</v>
      </c>
      <c r="R297" s="19">
        <f>'price-new'!R53/VLOOKUP($C297,'nymex-new'!$A$2:$B$243,2,FALSE)*1000</f>
        <v>9140.0994442819538</v>
      </c>
    </row>
    <row r="298" spans="3:18" x14ac:dyDescent="0.2">
      <c r="C298" s="1">
        <f t="shared" si="25"/>
        <v>38412</v>
      </c>
      <c r="E298" s="19">
        <f>'price-new'!E54/VLOOKUP($C298,'nymex-new'!$A$2:$B$243,2,FALSE)*1000</f>
        <v>8181.818181818182</v>
      </c>
      <c r="F298" s="19">
        <f>'price-new'!F54/VLOOKUP($C298,'nymex-new'!$A$2:$B$243,2,FALSE)*1000</f>
        <v>8409.8510185466694</v>
      </c>
      <c r="G298" s="19">
        <f>'price-new'!G54/VLOOKUP($C298,'nymex-new'!$A$2:$B$243,2,FALSE)*1000</f>
        <v>8016.4183642444514</v>
      </c>
      <c r="H298" s="19">
        <f>'price-new'!H54/VLOOKUP($C298,'nymex-new'!$A$2:$B$243,2,FALSE)*1000</f>
        <v>7710.550319245971</v>
      </c>
      <c r="I298" s="19">
        <f>'price-new'!I54/VLOOKUP($C298,'nymex-new'!$A$2:$B$243,2,FALSE)*1000</f>
        <v>8029.7962906658549</v>
      </c>
      <c r="J298" s="19">
        <f>'price-new'!J54/VLOOKUP($C298,'nymex-new'!$A$2:$B$243,2,FALSE)*1000</f>
        <v>8409.8510185466694</v>
      </c>
      <c r="K298" s="19">
        <f>'price-new'!K54/VLOOKUP($C298,'nymex-new'!$A$2:$B$243,2,FALSE)*1000</f>
        <v>10185.466707205836</v>
      </c>
      <c r="L298" s="19">
        <f>'price-new'!L54/VLOOKUP($C298,'nymex-new'!$A$2:$B$243,2,FALSE)*1000</f>
        <v>9042.2620857403454</v>
      </c>
      <c r="M298" s="19">
        <f>'price-new'!M54/VLOOKUP($C298,'nymex-new'!$A$2:$B$243,2,FALSE)*1000</f>
        <v>9121.3134691395571</v>
      </c>
      <c r="N298" s="19">
        <f>'price-new'!N54/VLOOKUP($C298,'nymex-new'!$A$2:$B$243,2,FALSE)*1000</f>
        <v>11401.641836424444</v>
      </c>
      <c r="O298" s="19">
        <f>'price-new'!O54/VLOOKUP($C298,'nymex-new'!$A$2:$B$243,2,FALSE)*1000</f>
        <v>8683.4904226208564</v>
      </c>
      <c r="P298" s="19">
        <f>'price-new'!P54/VLOOKUP($C298,'nymex-new'!$A$2:$B$243,2,FALSE)*1000</f>
        <v>8896.3210702341148</v>
      </c>
      <c r="Q298" s="19">
        <f>'price-new'!Q54/VLOOKUP($C298,'nymex-new'!$A$2:$B$243,2,FALSE)*1000</f>
        <v>8532.9887503800546</v>
      </c>
      <c r="R298" s="19">
        <f>'price-new'!R54/VLOOKUP($C298,'nymex-new'!$A$2:$B$243,2,FALSE)*1000</f>
        <v>8969.2915779872292</v>
      </c>
    </row>
    <row r="299" spans="3:18" x14ac:dyDescent="0.2">
      <c r="C299" s="1">
        <f t="shared" si="25"/>
        <v>38443</v>
      </c>
      <c r="E299" s="19">
        <f>'price-new'!E55/VLOOKUP($C299,'nymex-new'!$A$2:$B$243,2,FALSE)*1000</f>
        <v>9059.2783505154639</v>
      </c>
      <c r="F299" s="19">
        <f>'price-new'!F55/VLOOKUP($C299,'nymex-new'!$A$2:$B$243,2,FALSE)*1000</f>
        <v>9300.9020618556697</v>
      </c>
      <c r="G299" s="19">
        <f>'price-new'!G55/VLOOKUP($C299,'nymex-new'!$A$2:$B$243,2,FALSE)*1000</f>
        <v>8746.7783505154621</v>
      </c>
      <c r="H299" s="19">
        <f>'price-new'!H55/VLOOKUP($C299,'nymex-new'!$A$2:$B$243,2,FALSE)*1000</f>
        <v>8559.92268041237</v>
      </c>
      <c r="I299" s="19">
        <f>'price-new'!I55/VLOOKUP($C299,'nymex-new'!$A$2:$B$243,2,FALSE)*1000</f>
        <v>8898.1958762886607</v>
      </c>
      <c r="J299" s="19">
        <f>'price-new'!J55/VLOOKUP($C299,'nymex-new'!$A$2:$B$243,2,FALSE)*1000</f>
        <v>9300.9020618556697</v>
      </c>
      <c r="K299" s="19">
        <f>'price-new'!K55/VLOOKUP($C299,'nymex-new'!$A$2:$B$243,2,FALSE)*1000</f>
        <v>10792.525773195877</v>
      </c>
      <c r="L299" s="19">
        <f>'price-new'!L55/VLOOKUP($C299,'nymex-new'!$A$2:$B$243,2,FALSE)*1000</f>
        <v>9971.0051546391751</v>
      </c>
      <c r="M299" s="19">
        <f>'price-new'!M55/VLOOKUP($C299,'nymex-new'!$A$2:$B$243,2,FALSE)*1000</f>
        <v>9664.9484536082473</v>
      </c>
      <c r="N299" s="19">
        <f>'price-new'!N55/VLOOKUP($C299,'nymex-new'!$A$2:$B$243,2,FALSE)*1000</f>
        <v>12081.185567010309</v>
      </c>
      <c r="O299" s="19">
        <f>'price-new'!O55/VLOOKUP($C299,'nymex-new'!$A$2:$B$243,2,FALSE)*1000</f>
        <v>9201.0309278350505</v>
      </c>
      <c r="P299" s="19">
        <f>'price-new'!P55/VLOOKUP($C299,'nymex-new'!$A$2:$B$243,2,FALSE)*1000</f>
        <v>9671.3917525773195</v>
      </c>
      <c r="Q299" s="19">
        <f>'price-new'!Q55/VLOOKUP($C299,'nymex-new'!$A$2:$B$243,2,FALSE)*1000</f>
        <v>9041.8814432989693</v>
      </c>
      <c r="R299" s="19">
        <f>'price-new'!R55/VLOOKUP($C299,'nymex-new'!$A$2:$B$243,2,FALSE)*1000</f>
        <v>9503.8659793814422</v>
      </c>
    </row>
    <row r="300" spans="3:18" x14ac:dyDescent="0.2">
      <c r="C300" s="1">
        <f t="shared" si="25"/>
        <v>38473</v>
      </c>
      <c r="E300" s="19">
        <f>'price-new'!E56/VLOOKUP($C300,'nymex-new'!$A$2:$B$243,2,FALSE)*1000</f>
        <v>9603.0977734753142</v>
      </c>
      <c r="F300" s="19">
        <f>'price-new'!F56/VLOOKUP($C300,'nymex-new'!$A$2:$B$243,2,FALSE)*1000</f>
        <v>9925.7825104872536</v>
      </c>
      <c r="G300" s="19">
        <f>'price-new'!G56/VLOOKUP($C300,'nymex-new'!$A$2:$B$243,2,FALSE)*1000</f>
        <v>9393.3526944175537</v>
      </c>
      <c r="H300" s="19">
        <f>'price-new'!H56/VLOOKUP($C300,'nymex-new'!$A$2:$B$243,2,FALSE)*1000</f>
        <v>9119.070667957405</v>
      </c>
      <c r="I300" s="19">
        <f>'price-new'!I56/VLOOKUP($C300,'nymex-new'!$A$2:$B$243,2,FALSE)*1000</f>
        <v>9441.7554049693463</v>
      </c>
      <c r="J300" s="19">
        <f>'price-new'!J56/VLOOKUP($C300,'nymex-new'!$A$2:$B$243,2,FALSE)*1000</f>
        <v>9925.7825104872536</v>
      </c>
      <c r="K300" s="19">
        <f>'price-new'!K56/VLOOKUP($C300,'nymex-new'!$A$2:$B$243,2,FALSE)*1000</f>
        <v>10648.596321393998</v>
      </c>
      <c r="L300" s="19">
        <f>'price-new'!L56/VLOOKUP($C300,'nymex-new'!$A$2:$B$243,2,FALSE)*1000</f>
        <v>11097.128105840593</v>
      </c>
      <c r="M300" s="19">
        <f>'price-new'!M56/VLOOKUP($C300,'nymex-new'!$A$2:$B$243,2,FALSE)*1000</f>
        <v>10003.226847370119</v>
      </c>
      <c r="N300" s="19">
        <f>'price-new'!N56/VLOOKUP($C300,'nymex-new'!$A$2:$B$243,2,FALSE)*1000</f>
        <v>12423.362374959665</v>
      </c>
      <c r="O300" s="19">
        <f>'price-new'!O56/VLOOKUP($C300,'nymex-new'!$A$2:$B$243,2,FALSE)*1000</f>
        <v>9764.4401419812839</v>
      </c>
      <c r="P300" s="19">
        <f>'price-new'!P56/VLOOKUP($C300,'nymex-new'!$A$2:$B$243,2,FALSE)*1000</f>
        <v>8538.2381413359144</v>
      </c>
      <c r="Q300" s="19">
        <f>'price-new'!Q56/VLOOKUP($C300,'nymex-new'!$A$2:$B$243,2,FALSE)*1000</f>
        <v>9493.7076476282655</v>
      </c>
      <c r="R300" s="19">
        <f>'price-new'!R56/VLOOKUP($C300,'nymex-new'!$A$2:$B$243,2,FALSE)*1000</f>
        <v>10003.226847370119</v>
      </c>
    </row>
    <row r="301" spans="3:18" x14ac:dyDescent="0.2">
      <c r="C301" s="1">
        <f t="shared" si="25"/>
        <v>38504</v>
      </c>
      <c r="E301" s="19">
        <f>'price-new'!E57/VLOOKUP($C301,'nymex-new'!$A$2:$B$243,2,FALSE)*1000</f>
        <v>11285.896617740907</v>
      </c>
      <c r="F301" s="19">
        <f>'price-new'!F57/VLOOKUP($C301,'nymex-new'!$A$2:$B$243,2,FALSE)*1000</f>
        <v>11764.518187619655</v>
      </c>
      <c r="G301" s="19">
        <f>'price-new'!G57/VLOOKUP($C301,'nymex-new'!$A$2:$B$243,2,FALSE)*1000</f>
        <v>10580.727504786215</v>
      </c>
      <c r="H301" s="19">
        <f>'price-new'!H57/VLOOKUP($C301,'nymex-new'!$A$2:$B$243,2,FALSE)*1000</f>
        <v>10759.412890874282</v>
      </c>
      <c r="I301" s="19">
        <f>'price-new'!I57/VLOOKUP($C301,'nymex-new'!$A$2:$B$243,2,FALSE)*1000</f>
        <v>11126.356094447989</v>
      </c>
      <c r="J301" s="19">
        <f>'price-new'!J57/VLOOKUP($C301,'nymex-new'!$A$2:$B$243,2,FALSE)*1000</f>
        <v>11764.518187619655</v>
      </c>
      <c r="K301" s="19">
        <f>'price-new'!K57/VLOOKUP($C301,'nymex-new'!$A$2:$B$243,2,FALSE)*1000</f>
        <v>12125.079770261647</v>
      </c>
      <c r="L301" s="19">
        <f>'price-new'!L57/VLOOKUP($C301,'nymex-new'!$A$2:$B$243,2,FALSE)*1000</f>
        <v>12249.521378430123</v>
      </c>
      <c r="M301" s="19">
        <f>'price-new'!M57/VLOOKUP($C301,'nymex-new'!$A$2:$B$243,2,FALSE)*1000</f>
        <v>13082.322910019146</v>
      </c>
      <c r="N301" s="19">
        <f>'price-new'!N57/VLOOKUP($C301,'nymex-new'!$A$2:$B$243,2,FALSE)*1000</f>
        <v>14996.809189534142</v>
      </c>
      <c r="O301" s="19">
        <f>'price-new'!O57/VLOOKUP($C301,'nymex-new'!$A$2:$B$243,2,FALSE)*1000</f>
        <v>11888.959795788131</v>
      </c>
      <c r="P301" s="19">
        <f>'price-new'!P57/VLOOKUP($C301,'nymex-new'!$A$2:$B$243,2,FALSE)*1000</f>
        <v>9818.1238034460766</v>
      </c>
      <c r="Q301" s="19">
        <f>'price-new'!Q57/VLOOKUP($C301,'nymex-new'!$A$2:$B$243,2,FALSE)*1000</f>
        <v>11772.495213784303</v>
      </c>
      <c r="R301" s="19">
        <f>'price-new'!R57/VLOOKUP($C301,'nymex-new'!$A$2:$B$243,2,FALSE)*1000</f>
        <v>13082.322910019146</v>
      </c>
    </row>
    <row r="302" spans="3:18" x14ac:dyDescent="0.2">
      <c r="C302" s="1">
        <f t="shared" si="25"/>
        <v>38534</v>
      </c>
      <c r="E302" s="19">
        <f>'price-new'!E58/VLOOKUP($C302,'nymex-new'!$A$2:$B$243,2,FALSE)*1000</f>
        <v>14298.991808443605</v>
      </c>
      <c r="F302" s="19">
        <f>'price-new'!F58/VLOOKUP($C302,'nymex-new'!$A$2:$B$243,2,FALSE)*1000</f>
        <v>15086.641461877756</v>
      </c>
      <c r="G302" s="19">
        <f>'price-new'!G58/VLOOKUP($C302,'nymex-new'!$A$2:$B$243,2,FALSE)*1000</f>
        <v>13456.206679269062</v>
      </c>
      <c r="H302" s="19">
        <f>'price-new'!H58/VLOOKUP($C302,'nymex-new'!$A$2:$B$243,2,FALSE)*1000</f>
        <v>13653.119092627599</v>
      </c>
      <c r="I302" s="19">
        <f>'price-new'!I58/VLOOKUP($C302,'nymex-new'!$A$2:$B$243,2,FALSE)*1000</f>
        <v>14141.461877756774</v>
      </c>
      <c r="J302" s="19">
        <f>'price-new'!J58/VLOOKUP($C302,'nymex-new'!$A$2:$B$243,2,FALSE)*1000</f>
        <v>15086.641461877756</v>
      </c>
      <c r="K302" s="19">
        <f>'price-new'!K58/VLOOKUP($C302,'nymex-new'!$A$2:$B$243,2,FALSE)*1000</f>
        <v>14650.283553875237</v>
      </c>
      <c r="L302" s="19">
        <f>'price-new'!L58/VLOOKUP($C302,'nymex-new'!$A$2:$B$243,2,FALSE)*1000</f>
        <v>13905.166981726527</v>
      </c>
      <c r="M302" s="19">
        <f>'price-new'!M58/VLOOKUP($C302,'nymex-new'!$A$2:$B$243,2,FALSE)*1000</f>
        <v>16383.112791430371</v>
      </c>
      <c r="N302" s="19">
        <f>'price-new'!N58/VLOOKUP($C302,'nymex-new'!$A$2:$B$243,2,FALSE)*1000</f>
        <v>21424.070573408946</v>
      </c>
      <c r="O302" s="19">
        <f>'price-new'!O58/VLOOKUP($C302,'nymex-new'!$A$2:$B$243,2,FALSE)*1000</f>
        <v>14350.976685570258</v>
      </c>
      <c r="P302" s="19">
        <f>'price-new'!P58/VLOOKUP($C302,'nymex-new'!$A$2:$B$243,2,FALSE)*1000</f>
        <v>11873.030875866416</v>
      </c>
      <c r="Q302" s="19">
        <f>'price-new'!Q58/VLOOKUP($C302,'nymex-new'!$A$2:$B$243,2,FALSE)*1000</f>
        <v>14666.666666666666</v>
      </c>
      <c r="R302" s="19">
        <f>'price-new'!R58/VLOOKUP($C302,'nymex-new'!$A$2:$B$243,2,FALSE)*1000</f>
        <v>15831.758034026467</v>
      </c>
    </row>
    <row r="303" spans="3:18" x14ac:dyDescent="0.2">
      <c r="C303" s="1">
        <f t="shared" si="25"/>
        <v>38565</v>
      </c>
      <c r="E303" s="19">
        <f>'price-new'!E59/VLOOKUP($C303,'nymex-new'!$A$2:$B$243,2,FALSE)*1000</f>
        <v>13918.792781580585</v>
      </c>
      <c r="F303" s="19">
        <f>'price-new'!F59/VLOOKUP($C303,'nymex-new'!$A$2:$B$243,2,FALSE)*1000</f>
        <v>14696.639701306784</v>
      </c>
      <c r="G303" s="19">
        <f>'price-new'!G59/VLOOKUP($C303,'nymex-new'!$A$2:$B$243,2,FALSE)*1000</f>
        <v>13164.281269446175</v>
      </c>
      <c r="H303" s="19">
        <f>'price-new'!H59/VLOOKUP($C303,'nymex-new'!$A$2:$B$243,2,FALSE)*1000</f>
        <v>13280.958307405104</v>
      </c>
      <c r="I303" s="19">
        <f>'price-new'!I59/VLOOKUP($C303,'nymex-new'!$A$2:$B$243,2,FALSE)*1000</f>
        <v>13763.223397635345</v>
      </c>
      <c r="J303" s="19">
        <f>'price-new'!J59/VLOOKUP($C303,'nymex-new'!$A$2:$B$243,2,FALSE)*1000</f>
        <v>14696.639701306784</v>
      </c>
      <c r="K303" s="19">
        <f>'price-new'!K59/VLOOKUP($C303,'nymex-new'!$A$2:$B$243,2,FALSE)*1000</f>
        <v>14467.952706907281</v>
      </c>
      <c r="L303" s="19">
        <f>'price-new'!L59/VLOOKUP($C303,'nymex-new'!$A$2:$B$243,2,FALSE)*1000</f>
        <v>13841.008089607965</v>
      </c>
      <c r="M303" s="19">
        <f>'price-new'!M59/VLOOKUP($C303,'nymex-new'!$A$2:$B$243,2,FALSE)*1000</f>
        <v>16179.215930304917</v>
      </c>
      <c r="N303" s="19">
        <f>'price-new'!N59/VLOOKUP($C303,'nymex-new'!$A$2:$B$243,2,FALSE)*1000</f>
        <v>21157.436216552582</v>
      </c>
      <c r="O303" s="19">
        <f>'price-new'!O59/VLOOKUP($C303,'nymex-new'!$A$2:$B$243,2,FALSE)*1000</f>
        <v>13861.232109520844</v>
      </c>
      <c r="P303" s="19">
        <f>'price-new'!P59/VLOOKUP($C303,'nymex-new'!$A$2:$B$243,2,FALSE)*1000</f>
        <v>11523.024268823894</v>
      </c>
      <c r="Q303" s="19">
        <f>'price-new'!Q59/VLOOKUP($C303,'nymex-new'!$A$2:$B$243,2,FALSE)*1000</f>
        <v>14561.916614810205</v>
      </c>
      <c r="R303" s="19">
        <f>'price-new'!R59/VLOOKUP($C303,'nymex-new'!$A$2:$B$243,2,FALSE)*1000</f>
        <v>15634.723086496579</v>
      </c>
    </row>
    <row r="304" spans="3:18" x14ac:dyDescent="0.2">
      <c r="C304" s="1">
        <f t="shared" si="25"/>
        <v>38596</v>
      </c>
      <c r="E304" s="19">
        <f>'price-new'!E60/VLOOKUP($C304,'nymex-new'!$A$2:$B$243,2,FALSE)*1000</f>
        <v>8808.2577416327804</v>
      </c>
      <c r="F304" s="19">
        <f>'price-new'!F60/VLOOKUP($C304,'nymex-new'!$A$2:$B$243,2,FALSE)*1000</f>
        <v>9277.4476071316858</v>
      </c>
      <c r="G304" s="19">
        <f>'price-new'!G60/VLOOKUP($C304,'nymex-new'!$A$2:$B$243,2,FALSE)*1000</f>
        <v>9402.5649045980608</v>
      </c>
      <c r="H304" s="19">
        <f>'price-new'!H60/VLOOKUP($C304,'nymex-new'!$A$2:$B$243,2,FALSE)*1000</f>
        <v>8417.266187050358</v>
      </c>
      <c r="I304" s="19">
        <f>'price-new'!I60/VLOOKUP($C304,'nymex-new'!$A$2:$B$243,2,FALSE)*1000</f>
        <v>8651.8611197998125</v>
      </c>
      <c r="J304" s="19">
        <f>'price-new'!J60/VLOOKUP($C304,'nymex-new'!$A$2:$B$243,2,FALSE)*1000</f>
        <v>9277.4476071316858</v>
      </c>
      <c r="K304" s="19">
        <f>'price-new'!K60/VLOOKUP($C304,'nymex-new'!$A$2:$B$243,2,FALSE)*1000</f>
        <v>9931.1854863934932</v>
      </c>
      <c r="L304" s="19">
        <f>'price-new'!L60/VLOOKUP($C304,'nymex-new'!$A$2:$B$243,2,FALSE)*1000</f>
        <v>9446.3559587112923</v>
      </c>
      <c r="M304" s="19">
        <f>'price-new'!M60/VLOOKUP($C304,'nymex-new'!$A$2:$B$243,2,FALSE)*1000</f>
        <v>9305.5989990616199</v>
      </c>
      <c r="N304" s="19">
        <f>'price-new'!N60/VLOOKUP($C304,'nymex-new'!$A$2:$B$243,2,FALSE)*1000</f>
        <v>11729.74663747263</v>
      </c>
      <c r="O304" s="19">
        <f>'price-new'!O60/VLOOKUP($C304,'nymex-new'!$A$2:$B$243,2,FALSE)*1000</f>
        <v>8639.3493900531739</v>
      </c>
      <c r="P304" s="19">
        <f>'price-new'!P60/VLOOKUP($C304,'nymex-new'!$A$2:$B$243,2,FALSE)*1000</f>
        <v>7557.0847669690338</v>
      </c>
      <c r="Q304" s="19">
        <f>'price-new'!Q60/VLOOKUP($C304,'nymex-new'!$A$2:$B$243,2,FALSE)*1000</f>
        <v>7926.8063809821706</v>
      </c>
      <c r="R304" s="19">
        <f>'price-new'!R60/VLOOKUP($C304,'nymex-new'!$A$2:$B$243,2,FALSE)*1000</f>
        <v>9071.0040663121672</v>
      </c>
    </row>
    <row r="305" spans="3:18" x14ac:dyDescent="0.2">
      <c r="C305" s="1">
        <f t="shared" si="25"/>
        <v>38626</v>
      </c>
      <c r="E305" s="19">
        <f>'price-new'!E61/VLOOKUP($C305,'nymex-new'!$A$2:$B$243,2,FALSE)*1000</f>
        <v>8643.6995654872771</v>
      </c>
      <c r="F305" s="19">
        <f>'price-new'!F61/VLOOKUP($C305,'nymex-new'!$A$2:$B$243,2,FALSE)*1000</f>
        <v>8643.6995654872771</v>
      </c>
      <c r="G305" s="19">
        <f>'price-new'!G61/VLOOKUP($C305,'nymex-new'!$A$2:$B$243,2,FALSE)*1000</f>
        <v>8777.1570453134718</v>
      </c>
      <c r="H305" s="19">
        <f>'price-new'!H61/VLOOKUP($C305,'nymex-new'!$A$2:$B$243,2,FALSE)*1000</f>
        <v>8255.7417752948495</v>
      </c>
      <c r="I305" s="19">
        <f>'price-new'!I61/VLOOKUP($C305,'nymex-new'!$A$2:$B$243,2,FALSE)*1000</f>
        <v>8488.5164494103046</v>
      </c>
      <c r="J305" s="19">
        <f>'price-new'!J61/VLOOKUP($C305,'nymex-new'!$A$2:$B$243,2,FALSE)*1000</f>
        <v>8643.6995654872771</v>
      </c>
      <c r="K305" s="19">
        <f>'price-new'!K61/VLOOKUP($C305,'nymex-new'!$A$2:$B$243,2,FALSE)*1000</f>
        <v>9854.1278708876489</v>
      </c>
      <c r="L305" s="19">
        <f>'price-new'!L61/VLOOKUP($C305,'nymex-new'!$A$2:$B$243,2,FALSE)*1000</f>
        <v>8941.6511483550585</v>
      </c>
      <c r="M305" s="19">
        <f>'price-new'!M61/VLOOKUP($C305,'nymex-new'!$A$2:$B$243,2,FALSE)*1000</f>
        <v>9233.3954065797643</v>
      </c>
      <c r="N305" s="19">
        <f>'price-new'!N61/VLOOKUP($C305,'nymex-new'!$A$2:$B$243,2,FALSE)*1000</f>
        <v>11638.733705772813</v>
      </c>
      <c r="O305" s="19">
        <f>'price-new'!O61/VLOOKUP($C305,'nymex-new'!$A$2:$B$243,2,FALSE)*1000</f>
        <v>9050.2793296089385</v>
      </c>
      <c r="P305" s="19">
        <f>'price-new'!P61/VLOOKUP($C305,'nymex-new'!$A$2:$B$243,2,FALSE)*1000</f>
        <v>9059.5903165735563</v>
      </c>
      <c r="Q305" s="19">
        <f>'price-new'!Q61/VLOOKUP($C305,'nymex-new'!$A$2:$B$243,2,FALSE)*1000</f>
        <v>8315.3320918684058</v>
      </c>
      <c r="R305" s="19">
        <f>'price-new'!R61/VLOOKUP($C305,'nymex-new'!$A$2:$B$243,2,FALSE)*1000</f>
        <v>9000.6207324643074</v>
      </c>
    </row>
    <row r="306" spans="3:18" x14ac:dyDescent="0.2">
      <c r="C306" s="1">
        <f t="shared" si="25"/>
        <v>38657</v>
      </c>
      <c r="E306" s="19">
        <f>'price-new'!E62/VLOOKUP($C306,'nymex-new'!$A$2:$B$243,2,FALSE)*1000</f>
        <v>8583.2839359810314</v>
      </c>
      <c r="F306" s="19">
        <f>'price-new'!F62/VLOOKUP($C306,'nymex-new'!$A$2:$B$243,2,FALSE)*1000</f>
        <v>8583.2839359810314</v>
      </c>
      <c r="G306" s="19">
        <f>'price-new'!G62/VLOOKUP($C306,'nymex-new'!$A$2:$B$243,2,FALSE)*1000</f>
        <v>8085.3586247777112</v>
      </c>
      <c r="H306" s="19">
        <f>'price-new'!H62/VLOOKUP($C306,'nymex-new'!$A$2:$B$243,2,FALSE)*1000</f>
        <v>8212.8037937166555</v>
      </c>
      <c r="I306" s="19">
        <f>'price-new'!I62/VLOOKUP($C306,'nymex-new'!$A$2:$B$243,2,FALSE)*1000</f>
        <v>8435.0918790752821</v>
      </c>
      <c r="J306" s="19">
        <f>'price-new'!J62/VLOOKUP($C306,'nymex-new'!$A$2:$B$243,2,FALSE)*1000</f>
        <v>8583.2839359810314</v>
      </c>
      <c r="K306" s="19">
        <f>'price-new'!K62/VLOOKUP($C306,'nymex-new'!$A$2:$B$243,2,FALSE)*1000</f>
        <v>9410.1956135151158</v>
      </c>
      <c r="L306" s="19">
        <f>'price-new'!L62/VLOOKUP($C306,'nymex-new'!$A$2:$B$243,2,FALSE)*1000</f>
        <v>8864.8488441019563</v>
      </c>
      <c r="M306" s="19">
        <f>'price-new'!M62/VLOOKUP($C306,'nymex-new'!$A$2:$B$243,2,FALSE)*1000</f>
        <v>8817.4273858921151</v>
      </c>
      <c r="N306" s="19">
        <f>'price-new'!N62/VLOOKUP($C306,'nymex-new'!$A$2:$B$243,2,FALSE)*1000</f>
        <v>11114.404267931239</v>
      </c>
      <c r="O306" s="19">
        <f>'price-new'!O62/VLOOKUP($C306,'nymex-new'!$A$2:$B$243,2,FALSE)*1000</f>
        <v>8642.5607587433315</v>
      </c>
      <c r="P306" s="19">
        <f>'price-new'!P62/VLOOKUP($C306,'nymex-new'!$A$2:$B$243,2,FALSE)*1000</f>
        <v>9988.1446354475393</v>
      </c>
      <c r="Q306" s="19">
        <f>'price-new'!Q62/VLOOKUP($C306,'nymex-new'!$A$2:$B$243,2,FALSE)*1000</f>
        <v>7970.3615886188491</v>
      </c>
      <c r="R306" s="19">
        <f>'price-new'!R62/VLOOKUP($C306,'nymex-new'!$A$2:$B$243,2,FALSE)*1000</f>
        <v>8595.1393005334903</v>
      </c>
    </row>
    <row r="307" spans="3:18" x14ac:dyDescent="0.2">
      <c r="C307" s="1">
        <f t="shared" si="25"/>
        <v>38687</v>
      </c>
      <c r="E307" s="19">
        <f>'price-new'!E63/VLOOKUP($C307,'nymex-new'!$A$2:$B$243,2,FALSE)*1000</f>
        <v>8382.1438726187098</v>
      </c>
      <c r="F307" s="19">
        <f>'price-new'!F63/VLOOKUP($C307,'nymex-new'!$A$2:$B$243,2,FALSE)*1000</f>
        <v>8382.1438726187098</v>
      </c>
      <c r="G307" s="19">
        <f>'price-new'!G63/VLOOKUP($C307,'nymex-new'!$A$2:$B$243,2,FALSE)*1000</f>
        <v>8012.5106624964455</v>
      </c>
      <c r="H307" s="19">
        <f>'price-new'!H63/VLOOKUP($C307,'nymex-new'!$A$2:$B$243,2,FALSE)*1000</f>
        <v>8026.7273244242251</v>
      </c>
      <c r="I307" s="19">
        <f>'price-new'!I63/VLOOKUP($C307,'nymex-new'!$A$2:$B$243,2,FALSE)*1000</f>
        <v>8239.9772533409159</v>
      </c>
      <c r="J307" s="19">
        <f>'price-new'!J63/VLOOKUP($C307,'nymex-new'!$A$2:$B$243,2,FALSE)*1000</f>
        <v>8382.1438726187098</v>
      </c>
      <c r="K307" s="19">
        <f>'price-new'!K63/VLOOKUP($C307,'nymex-new'!$A$2:$B$243,2,FALSE)*1000</f>
        <v>9027.5803241398917</v>
      </c>
      <c r="L307" s="19">
        <f>'price-new'!L63/VLOOKUP($C307,'nymex-new'!$A$2:$B$243,2,FALSE)*1000</f>
        <v>8652.260449246518</v>
      </c>
      <c r="M307" s="19">
        <f>'price-new'!M63/VLOOKUP($C307,'nymex-new'!$A$2:$B$243,2,FALSE)*1000</f>
        <v>8458.913847028718</v>
      </c>
      <c r="N307" s="19">
        <f>'price-new'!N63/VLOOKUP($C307,'nymex-new'!$A$2:$B$243,2,FALSE)*1000</f>
        <v>10662.496445834518</v>
      </c>
      <c r="O307" s="19">
        <f>'price-new'!O63/VLOOKUP($C307,'nymex-new'!$A$2:$B$243,2,FALSE)*1000</f>
        <v>8291.157236280922</v>
      </c>
      <c r="P307" s="19">
        <f>'price-new'!P63/VLOOKUP($C307,'nymex-new'!$A$2:$B$243,2,FALSE)*1000</f>
        <v>9843.6167187944266</v>
      </c>
      <c r="Q307" s="19">
        <f>'price-new'!Q63/VLOOKUP($C307,'nymex-new'!$A$2:$B$243,2,FALSE)*1000</f>
        <v>7674.7227750924094</v>
      </c>
      <c r="R307" s="19">
        <f>'price-new'!R63/VLOOKUP($C307,'nymex-new'!$A$2:$B$243,2,FALSE)*1000</f>
        <v>8245.6639181120281</v>
      </c>
    </row>
    <row r="308" spans="3:18" x14ac:dyDescent="0.2">
      <c r="C308" s="1">
        <f t="shared" si="25"/>
        <v>38718</v>
      </c>
      <c r="E308" s="19">
        <f>'price-new'!E64/VLOOKUP($C308,'nymex-new'!$A$2:$B$243,2,FALSE)*1000</f>
        <v>8678.8732394366198</v>
      </c>
      <c r="F308" s="19">
        <f>'price-new'!F64/VLOOKUP($C308,'nymex-new'!$A$2:$B$243,2,FALSE)*1000</f>
        <v>8819.7183098591559</v>
      </c>
      <c r="G308" s="19">
        <f>'price-new'!G64/VLOOKUP($C308,'nymex-new'!$A$2:$B$243,2,FALSE)*1000</f>
        <v>8512.6760563380285</v>
      </c>
      <c r="H308" s="19">
        <f>'price-new'!H64/VLOOKUP($C308,'nymex-new'!$A$2:$B$243,2,FALSE)*1000</f>
        <v>8242.2535211267605</v>
      </c>
      <c r="I308" s="19">
        <f>'price-new'!I64/VLOOKUP($C308,'nymex-new'!$A$2:$B$243,2,FALSE)*1000</f>
        <v>8538.0281690140855</v>
      </c>
      <c r="J308" s="19">
        <f>'price-new'!J64/VLOOKUP($C308,'nymex-new'!$A$2:$B$243,2,FALSE)*1000</f>
        <v>8819.7183098591559</v>
      </c>
      <c r="K308" s="19">
        <f>'price-new'!K64/VLOOKUP($C308,'nymex-new'!$A$2:$B$243,2,FALSE)*1000</f>
        <v>11985.915492957745</v>
      </c>
      <c r="L308" s="19">
        <f>'price-new'!L64/VLOOKUP($C308,'nymex-new'!$A$2:$B$243,2,FALSE)*1000</f>
        <v>9577.4647887323936</v>
      </c>
      <c r="M308" s="19">
        <f>'price-new'!M64/VLOOKUP($C308,'nymex-new'!$A$2:$B$243,2,FALSE)*1000</f>
        <v>9154.929577464789</v>
      </c>
      <c r="N308" s="19">
        <f>'price-new'!N64/VLOOKUP($C308,'nymex-new'!$A$2:$B$243,2,FALSE)*1000</f>
        <v>11830.985915492958</v>
      </c>
      <c r="O308" s="19">
        <f>'price-new'!O64/VLOOKUP($C308,'nymex-new'!$A$2:$B$243,2,FALSE)*1000</f>
        <v>8907.0422535211273</v>
      </c>
      <c r="P308" s="19">
        <f>'price-new'!P64/VLOOKUP($C308,'nymex-new'!$A$2:$B$243,2,FALSE)*1000</f>
        <v>9509.8591549295779</v>
      </c>
      <c r="Q308" s="19">
        <f>'price-new'!Q64/VLOOKUP($C308,'nymex-new'!$A$2:$B$243,2,FALSE)*1000</f>
        <v>8138.5915492957747</v>
      </c>
      <c r="R308" s="19">
        <f>'price-new'!R64/VLOOKUP($C308,'nymex-new'!$A$2:$B$243,2,FALSE)*1000</f>
        <v>8943.6619718309867</v>
      </c>
    </row>
    <row r="309" spans="3:18" x14ac:dyDescent="0.2">
      <c r="C309" s="1">
        <f t="shared" si="25"/>
        <v>38749</v>
      </c>
      <c r="E309" s="19">
        <f>'price-new'!E65/VLOOKUP($C309,'nymex-new'!$A$2:$B$243,2,FALSE)*1000</f>
        <v>8445.9072696050371</v>
      </c>
      <c r="F309" s="19">
        <f>'price-new'!F65/VLOOKUP($C309,'nymex-new'!$A$2:$B$243,2,FALSE)*1000</f>
        <v>8589.0097309673729</v>
      </c>
      <c r="G309" s="19">
        <f>'price-new'!G65/VLOOKUP($C309,'nymex-new'!$A$2:$B$243,2,FALSE)*1000</f>
        <v>8434.4590726960487</v>
      </c>
      <c r="H309" s="19">
        <f>'price-new'!H65/VLOOKUP($C309,'nymex-new'!$A$2:$B$243,2,FALSE)*1000</f>
        <v>8002.2896393817964</v>
      </c>
      <c r="I309" s="19">
        <f>'price-new'!I65/VLOOKUP($C309,'nymex-new'!$A$2:$B$243,2,FALSE)*1000</f>
        <v>8302.8048082427013</v>
      </c>
      <c r="J309" s="19">
        <f>'price-new'!J65/VLOOKUP($C309,'nymex-new'!$A$2:$B$243,2,FALSE)*1000</f>
        <v>8589.0097309673729</v>
      </c>
      <c r="K309" s="19">
        <f>'price-new'!K65/VLOOKUP($C309,'nymex-new'!$A$2:$B$243,2,FALSE)*1000</f>
        <v>12178.019461934744</v>
      </c>
      <c r="L309" s="19">
        <f>'price-new'!L65/VLOOKUP($C309,'nymex-new'!$A$2:$B$243,2,FALSE)*1000</f>
        <v>9444.7624499141384</v>
      </c>
      <c r="M309" s="19">
        <f>'price-new'!M65/VLOOKUP($C309,'nymex-new'!$A$2:$B$243,2,FALSE)*1000</f>
        <v>9301.6599885518026</v>
      </c>
      <c r="N309" s="19">
        <f>'price-new'!N65/VLOOKUP($C309,'nymex-new'!$A$2:$B$243,2,FALSE)*1000</f>
        <v>12020.606754436174</v>
      </c>
      <c r="O309" s="19">
        <f>'price-new'!O65/VLOOKUP($C309,'nymex-new'!$A$2:$B$243,2,FALSE)*1000</f>
        <v>8763.5947338294209</v>
      </c>
      <c r="P309" s="19">
        <f>'price-new'!P65/VLOOKUP($C309,'nymex-new'!$A$2:$B$243,2,FALSE)*1000</f>
        <v>9576.4167143674858</v>
      </c>
      <c r="Q309" s="19">
        <f>'price-new'!Q65/VLOOKUP($C309,'nymex-new'!$A$2:$B$243,2,FALSE)*1000</f>
        <v>8198.3400114481974</v>
      </c>
      <c r="R309" s="19">
        <f>'price-new'!R65/VLOOKUP($C309,'nymex-new'!$A$2:$B$243,2,FALSE)*1000</f>
        <v>9087.0062965082998</v>
      </c>
    </row>
    <row r="310" spans="3:18" x14ac:dyDescent="0.2">
      <c r="C310" s="1">
        <f t="shared" si="25"/>
        <v>38777</v>
      </c>
      <c r="E310" s="19">
        <f>'price-new'!E66/VLOOKUP($C310,'nymex-new'!$A$2:$B$243,2,FALSE)*1000</f>
        <v>8457.1938168846609</v>
      </c>
      <c r="F310" s="19">
        <f>'price-new'!F66/VLOOKUP($C310,'nymex-new'!$A$2:$B$243,2,FALSE)*1000</f>
        <v>8680.1426872770517</v>
      </c>
      <c r="G310" s="19">
        <f>'price-new'!G66/VLOOKUP($C310,'nymex-new'!$A$2:$B$243,2,FALSE)*1000</f>
        <v>8295.4815695600482</v>
      </c>
      <c r="H310" s="19">
        <f>'price-new'!H66/VLOOKUP($C310,'nymex-new'!$A$2:$B$243,2,FALSE)*1000</f>
        <v>7996.4328180737211</v>
      </c>
      <c r="I310" s="19">
        <f>'price-new'!I66/VLOOKUP($C310,'nymex-new'!$A$2:$B$243,2,FALSE)*1000</f>
        <v>8308.5612366230671</v>
      </c>
      <c r="J310" s="19">
        <f>'price-new'!J66/VLOOKUP($C310,'nymex-new'!$A$2:$B$243,2,FALSE)*1000</f>
        <v>8680.1426872770517</v>
      </c>
      <c r="K310" s="19">
        <f>'price-new'!K66/VLOOKUP($C310,'nymex-new'!$A$2:$B$243,2,FALSE)*1000</f>
        <v>10270.5112960761</v>
      </c>
      <c r="L310" s="19">
        <f>'price-new'!L66/VLOOKUP($C310,'nymex-new'!$A$2:$B$243,2,FALSE)*1000</f>
        <v>9411.4149821640913</v>
      </c>
      <c r="M310" s="19">
        <f>'price-new'!M66/VLOOKUP($C310,'nymex-new'!$A$2:$B$243,2,FALSE)*1000</f>
        <v>9066.5873959571945</v>
      </c>
      <c r="N310" s="19">
        <f>'price-new'!N66/VLOOKUP($C310,'nymex-new'!$A$2:$B$243,2,FALSE)*1000</f>
        <v>11296.076099881095</v>
      </c>
      <c r="O310" s="19">
        <f>'price-new'!O66/VLOOKUP($C310,'nymex-new'!$A$2:$B$243,2,FALSE)*1000</f>
        <v>8433.4126040428073</v>
      </c>
      <c r="P310" s="19">
        <f>'price-new'!P66/VLOOKUP($C310,'nymex-new'!$A$2:$B$243,2,FALSE)*1000</f>
        <v>9111.177170035673</v>
      </c>
      <c r="Q310" s="19">
        <f>'price-new'!Q66/VLOOKUP($C310,'nymex-new'!$A$2:$B$243,2,FALSE)*1000</f>
        <v>8440.8442330558864</v>
      </c>
      <c r="R310" s="19">
        <f>'price-new'!R66/VLOOKUP($C310,'nymex-new'!$A$2:$B$243,2,FALSE)*1000</f>
        <v>8843.6385255648038</v>
      </c>
    </row>
    <row r="311" spans="3:18" x14ac:dyDescent="0.2">
      <c r="C311" s="1">
        <f t="shared" si="25"/>
        <v>38808</v>
      </c>
      <c r="E311" s="19">
        <f>'price-new'!E67/VLOOKUP($C311,'nymex-new'!$A$2:$B$243,2,FALSE)*1000</f>
        <v>8933.6269267065109</v>
      </c>
      <c r="F311" s="19">
        <f>'price-new'!F67/VLOOKUP($C311,'nymex-new'!$A$2:$B$243,2,FALSE)*1000</f>
        <v>9169.5501730103806</v>
      </c>
      <c r="G311" s="19">
        <f>'price-new'!G67/VLOOKUP($C311,'nymex-new'!$A$2:$B$243,2,FALSE)*1000</f>
        <v>9024.8505819440088</v>
      </c>
      <c r="H311" s="19">
        <f>'price-new'!H67/VLOOKUP($C311,'nymex-new'!$A$2:$B$243,2,FALSE)*1000</f>
        <v>8446.0522176785162</v>
      </c>
      <c r="I311" s="19">
        <f>'price-new'!I67/VLOOKUP($C311,'nymex-new'!$A$2:$B$243,2,FALSE)*1000</f>
        <v>8776.3447625039316</v>
      </c>
      <c r="J311" s="19">
        <f>'price-new'!J67/VLOOKUP($C311,'nymex-new'!$A$2:$B$243,2,FALSE)*1000</f>
        <v>9169.5501730103806</v>
      </c>
      <c r="K311" s="19">
        <f>'price-new'!K67/VLOOKUP($C311,'nymex-new'!$A$2:$B$243,2,FALSE)*1000</f>
        <v>10946.838628499527</v>
      </c>
      <c r="L311" s="19">
        <f>'price-new'!L67/VLOOKUP($C311,'nymex-new'!$A$2:$B$243,2,FALSE)*1000</f>
        <v>9943.3784208870711</v>
      </c>
      <c r="M311" s="19">
        <f>'price-new'!M67/VLOOKUP($C311,'nymex-new'!$A$2:$B$243,2,FALSE)*1000</f>
        <v>9594.2120163573454</v>
      </c>
      <c r="N311" s="19">
        <f>'price-new'!N67/VLOOKUP($C311,'nymex-new'!$A$2:$B$243,2,FALSE)*1000</f>
        <v>11953.444479396037</v>
      </c>
      <c r="O311" s="19">
        <f>'price-new'!O67/VLOOKUP($C311,'nymex-new'!$A$2:$B$243,2,FALSE)*1000</f>
        <v>8924.1899968543567</v>
      </c>
      <c r="P311" s="19">
        <f>'price-new'!P67/VLOOKUP($C311,'nymex-new'!$A$2:$B$243,2,FALSE)*1000</f>
        <v>9484.1145014155409</v>
      </c>
      <c r="Q311" s="19">
        <f>'price-new'!Q67/VLOOKUP($C311,'nymex-new'!$A$2:$B$243,2,FALSE)*1000</f>
        <v>8932.3686693928921</v>
      </c>
      <c r="R311" s="19">
        <f>'price-new'!R67/VLOOKUP($C311,'nymex-new'!$A$2:$B$243,2,FALSE)*1000</f>
        <v>9358.2887700534775</v>
      </c>
    </row>
    <row r="312" spans="3:18" x14ac:dyDescent="0.2">
      <c r="C312" s="1">
        <f t="shared" ref="C312:C343" si="26">C67</f>
        <v>38838</v>
      </c>
      <c r="E312" s="19">
        <f>'price-new'!E68/VLOOKUP($C312,'nymex-new'!$A$2:$B$243,2,FALSE)*1000</f>
        <v>9220.2268431001885</v>
      </c>
      <c r="F312" s="19">
        <f>'price-new'!F68/VLOOKUP($C312,'nymex-new'!$A$2:$B$243,2,FALSE)*1000</f>
        <v>9535.2867044738505</v>
      </c>
      <c r="G312" s="19">
        <f>'price-new'!G68/VLOOKUP($C312,'nymex-new'!$A$2:$B$243,2,FALSE)*1000</f>
        <v>9656.5847511027096</v>
      </c>
      <c r="H312" s="19">
        <f>'price-new'!H68/VLOOKUP($C312,'nymex-new'!$A$2:$B$243,2,FALSE)*1000</f>
        <v>8747.6370510396973</v>
      </c>
      <c r="I312" s="19">
        <f>'price-new'!I68/VLOOKUP($C312,'nymex-new'!$A$2:$B$243,2,FALSE)*1000</f>
        <v>9062.6969124133575</v>
      </c>
      <c r="J312" s="19">
        <f>'price-new'!J68/VLOOKUP($C312,'nymex-new'!$A$2:$B$243,2,FALSE)*1000</f>
        <v>9535.2867044738505</v>
      </c>
      <c r="K312" s="19">
        <f>'price-new'!K68/VLOOKUP($C312,'nymex-new'!$A$2:$B$243,2,FALSE)*1000</f>
        <v>10964.083175803402</v>
      </c>
      <c r="L312" s="19">
        <f>'price-new'!L68/VLOOKUP($C312,'nymex-new'!$A$2:$B$243,2,FALSE)*1000</f>
        <v>10798.676748582231</v>
      </c>
      <c r="M312" s="19">
        <f>'price-new'!M68/VLOOKUP($C312,'nymex-new'!$A$2:$B$243,2,FALSE)*1000</f>
        <v>9845.6206679269071</v>
      </c>
      <c r="N312" s="19">
        <f>'price-new'!N68/VLOOKUP($C312,'nymex-new'!$A$2:$B$243,2,FALSE)*1000</f>
        <v>12444.864524259609</v>
      </c>
      <c r="O312" s="19">
        <f>'price-new'!O68/VLOOKUP($C312,'nymex-new'!$A$2:$B$243,2,FALSE)*1000</f>
        <v>9631.3799621928174</v>
      </c>
      <c r="P312" s="19">
        <f>'price-new'!P68/VLOOKUP($C312,'nymex-new'!$A$2:$B$243,2,FALSE)*1000</f>
        <v>8133.2703213610603</v>
      </c>
      <c r="Q312" s="19">
        <f>'price-new'!Q68/VLOOKUP($C312,'nymex-new'!$A$2:$B$243,2,FALSE)*1000</f>
        <v>9530.8758664146208</v>
      </c>
      <c r="R312" s="19">
        <f>'price-new'!R68/VLOOKUP($C312,'nymex-new'!$A$2:$B$243,2,FALSE)*1000</f>
        <v>9924.3856332703217</v>
      </c>
    </row>
    <row r="313" spans="3:18" x14ac:dyDescent="0.2">
      <c r="C313" s="1">
        <f t="shared" si="26"/>
        <v>38869</v>
      </c>
      <c r="E313" s="19">
        <f>'price-new'!E69/VLOOKUP($C313,'nymex-new'!$A$2:$B$243,2,FALSE)*1000</f>
        <v>11040.822686195077</v>
      </c>
      <c r="F313" s="19">
        <f>'price-new'!F69/VLOOKUP($C313,'nymex-new'!$A$2:$B$243,2,FALSE)*1000</f>
        <v>11508.258024306637</v>
      </c>
      <c r="G313" s="19">
        <f>'price-new'!G69/VLOOKUP($C313,'nymex-new'!$A$2:$B$243,2,FALSE)*1000</f>
        <v>10813.337488314117</v>
      </c>
      <c r="H313" s="19">
        <f>'price-new'!H69/VLOOKUP($C313,'nymex-new'!$A$2:$B$243,2,FALSE)*1000</f>
        <v>10526.64381427236</v>
      </c>
      <c r="I313" s="19">
        <f>'price-new'!I69/VLOOKUP($C313,'nymex-new'!$A$2:$B$243,2,FALSE)*1000</f>
        <v>10885.010906824557</v>
      </c>
      <c r="J313" s="19">
        <f>'price-new'!J69/VLOOKUP($C313,'nymex-new'!$A$2:$B$243,2,FALSE)*1000</f>
        <v>11508.258024306637</v>
      </c>
      <c r="K313" s="19">
        <f>'price-new'!K69/VLOOKUP($C313,'nymex-new'!$A$2:$B$243,2,FALSE)*1000</f>
        <v>12324.711748208163</v>
      </c>
      <c r="L313" s="19">
        <f>'price-new'!L69/VLOOKUP($C313,'nymex-new'!$A$2:$B$243,2,FALSE)*1000</f>
        <v>12066.0641944531</v>
      </c>
      <c r="M313" s="19">
        <f>'price-new'!M69/VLOOKUP($C313,'nymex-new'!$A$2:$B$243,2,FALSE)*1000</f>
        <v>12932.377687753195</v>
      </c>
      <c r="N313" s="19">
        <f>'price-new'!N69/VLOOKUP($C313,'nymex-new'!$A$2:$B$243,2,FALSE)*1000</f>
        <v>14957.93081956996</v>
      </c>
      <c r="O313" s="19">
        <f>'price-new'!O69/VLOOKUP($C313,'nymex-new'!$A$2:$B$243,2,FALSE)*1000</f>
        <v>11679.65098161421</v>
      </c>
      <c r="P313" s="19">
        <f>'price-new'!P69/VLOOKUP($C313,'nymex-new'!$A$2:$B$243,2,FALSE)*1000</f>
        <v>9794.3284512309128</v>
      </c>
      <c r="Q313" s="19">
        <f>'price-new'!Q69/VLOOKUP($C313,'nymex-new'!$A$2:$B$243,2,FALSE)*1000</f>
        <v>11727.952633219071</v>
      </c>
      <c r="R313" s="19">
        <f>'price-new'!R69/VLOOKUP($C313,'nymex-new'!$A$2:$B$243,2,FALSE)*1000</f>
        <v>13010.283577438453</v>
      </c>
    </row>
    <row r="314" spans="3:18" x14ac:dyDescent="0.2">
      <c r="C314" s="1">
        <f t="shared" si="26"/>
        <v>38899</v>
      </c>
      <c r="E314" s="19">
        <f>'price-new'!E70/VLOOKUP($C314,'nymex-new'!$A$2:$B$243,2,FALSE)*1000</f>
        <v>14941.520467836257</v>
      </c>
      <c r="F314" s="19">
        <f>'price-new'!F70/VLOOKUP($C314,'nymex-new'!$A$2:$B$243,2,FALSE)*1000</f>
        <v>15710.987996306556</v>
      </c>
      <c r="G314" s="19">
        <f>'price-new'!G70/VLOOKUP($C314,'nymex-new'!$A$2:$B$243,2,FALSE)*1000</f>
        <v>13619.575253924284</v>
      </c>
      <c r="H314" s="19">
        <f>'price-new'!H70/VLOOKUP($C314,'nymex-new'!$A$2:$B$243,2,FALSE)*1000</f>
        <v>14310.557094490612</v>
      </c>
      <c r="I314" s="19">
        <f>'price-new'!I70/VLOOKUP($C314,'nymex-new'!$A$2:$B$243,2,FALSE)*1000</f>
        <v>14787.626962142198</v>
      </c>
      <c r="J314" s="19">
        <f>'price-new'!J70/VLOOKUP($C314,'nymex-new'!$A$2:$B$243,2,FALSE)*1000</f>
        <v>15710.987996306556</v>
      </c>
      <c r="K314" s="19">
        <f>'price-new'!K70/VLOOKUP($C314,'nymex-new'!$A$2:$B$243,2,FALSE)*1000</f>
        <v>14404.432132963988</v>
      </c>
      <c r="L314" s="19">
        <f>'price-new'!L70/VLOOKUP($C314,'nymex-new'!$A$2:$B$243,2,FALSE)*1000</f>
        <v>14479.839950754078</v>
      </c>
      <c r="M314" s="19">
        <f>'price-new'!M70/VLOOKUP($C314,'nymex-new'!$A$2:$B$243,2,FALSE)*1000</f>
        <v>16158.81809787627</v>
      </c>
      <c r="N314" s="19">
        <f>'price-new'!N70/VLOOKUP($C314,'nymex-new'!$A$2:$B$243,2,FALSE)*1000</f>
        <v>21237.303785780237</v>
      </c>
      <c r="O314" s="19">
        <f>'price-new'!O70/VLOOKUP($C314,'nymex-new'!$A$2:$B$243,2,FALSE)*1000</f>
        <v>14558.325638658047</v>
      </c>
      <c r="P314" s="19">
        <f>'price-new'!P70/VLOOKUP($C314,'nymex-new'!$A$2:$B$243,2,FALSE)*1000</f>
        <v>11986.76515851031</v>
      </c>
      <c r="Q314" s="19">
        <f>'price-new'!Q70/VLOOKUP($C314,'nymex-new'!$A$2:$B$243,2,FALSE)*1000</f>
        <v>15026.777469990768</v>
      </c>
      <c r="R314" s="19">
        <f>'price-new'!R70/VLOOKUP($C314,'nymex-new'!$A$2:$B$243,2,FALSE)*1000</f>
        <v>15543.24407510003</v>
      </c>
    </row>
    <row r="315" spans="3:18" x14ac:dyDescent="0.2">
      <c r="C315" s="1">
        <f t="shared" si="26"/>
        <v>38930</v>
      </c>
      <c r="E315" s="19">
        <f>'price-new'!E71/VLOOKUP($C315,'nymex-new'!$A$2:$B$243,2,FALSE)*1000</f>
        <v>14708.117968987533</v>
      </c>
      <c r="F315" s="19">
        <f>'price-new'!F71/VLOOKUP($C315,'nymex-new'!$A$2:$B$243,2,FALSE)*1000</f>
        <v>15468.227424749162</v>
      </c>
      <c r="G315" s="19">
        <f>'price-new'!G71/VLOOKUP($C315,'nymex-new'!$A$2:$B$243,2,FALSE)*1000</f>
        <v>13332.319854058984</v>
      </c>
      <c r="H315" s="19">
        <f>'price-new'!H71/VLOOKUP($C315,'nymex-new'!$A$2:$B$243,2,FALSE)*1000</f>
        <v>14084.828215262998</v>
      </c>
      <c r="I315" s="19">
        <f>'price-new'!I71/VLOOKUP($C315,'nymex-new'!$A$2:$B$243,2,FALSE)*1000</f>
        <v>14556.096077835207</v>
      </c>
      <c r="J315" s="19">
        <f>'price-new'!J71/VLOOKUP($C315,'nymex-new'!$A$2:$B$243,2,FALSE)*1000</f>
        <v>15468.227424749162</v>
      </c>
      <c r="K315" s="19">
        <f>'price-new'!K71/VLOOKUP($C315,'nymex-new'!$A$2:$B$243,2,FALSE)*1000</f>
        <v>14229.249011857706</v>
      </c>
      <c r="L315" s="19">
        <f>'price-new'!L71/VLOOKUP($C315,'nymex-new'!$A$2:$B$243,2,FALSE)*1000</f>
        <v>14556.096077835207</v>
      </c>
      <c r="M315" s="19">
        <f>'price-new'!M71/VLOOKUP($C315,'nymex-new'!$A$2:$B$243,2,FALSE)*1000</f>
        <v>15962.298570994222</v>
      </c>
      <c r="N315" s="19">
        <f>'price-new'!N71/VLOOKUP($C315,'nymex-new'!$A$2:$B$243,2,FALSE)*1000</f>
        <v>20979.020979020977</v>
      </c>
      <c r="O315" s="19">
        <f>'price-new'!O71/VLOOKUP($C315,'nymex-new'!$A$2:$B$243,2,FALSE)*1000</f>
        <v>14077.22712070538</v>
      </c>
      <c r="P315" s="19">
        <f>'price-new'!P71/VLOOKUP($C315,'nymex-new'!$A$2:$B$243,2,FALSE)*1000</f>
        <v>11789.297658862875</v>
      </c>
      <c r="Q315" s="19">
        <f>'price-new'!Q71/VLOOKUP($C315,'nymex-new'!$A$2:$B$243,2,FALSE)*1000</f>
        <v>14920.036485253877</v>
      </c>
      <c r="R315" s="19">
        <f>'price-new'!R71/VLOOKUP($C315,'nymex-new'!$A$2:$B$243,2,FALSE)*1000</f>
        <v>15354.21100638492</v>
      </c>
    </row>
    <row r="316" spans="3:18" x14ac:dyDescent="0.2">
      <c r="C316" s="1">
        <f t="shared" si="26"/>
        <v>38961</v>
      </c>
      <c r="E316" s="19">
        <f>'price-new'!E72/VLOOKUP($C316,'nymex-new'!$A$2:$B$243,2,FALSE)*1000</f>
        <v>8490.2200488997569</v>
      </c>
      <c r="F316" s="19">
        <f>'price-new'!F72/VLOOKUP($C316,'nymex-new'!$A$2:$B$243,2,FALSE)*1000</f>
        <v>8948.6552567237159</v>
      </c>
      <c r="G316" s="19">
        <f>'price-new'!G72/VLOOKUP($C316,'nymex-new'!$A$2:$B$243,2,FALSE)*1000</f>
        <v>9657.7017114914433</v>
      </c>
      <c r="H316" s="19">
        <f>'price-new'!H72/VLOOKUP($C316,'nymex-new'!$A$2:$B$243,2,FALSE)*1000</f>
        <v>8108.1907090464556</v>
      </c>
      <c r="I316" s="19">
        <f>'price-new'!I72/VLOOKUP($C316,'nymex-new'!$A$2:$B$243,2,FALSE)*1000</f>
        <v>8337.408312958436</v>
      </c>
      <c r="J316" s="19">
        <f>'price-new'!J72/VLOOKUP($C316,'nymex-new'!$A$2:$B$243,2,FALSE)*1000</f>
        <v>8948.6552567237159</v>
      </c>
      <c r="K316" s="19">
        <f>'price-new'!K72/VLOOKUP($C316,'nymex-new'!$A$2:$B$243,2,FALSE)*1000</f>
        <v>10330.07334963325</v>
      </c>
      <c r="L316" s="19">
        <f>'price-new'!L72/VLOOKUP($C316,'nymex-new'!$A$2:$B$243,2,FALSE)*1000</f>
        <v>9220.6601466992688</v>
      </c>
      <c r="M316" s="19">
        <f>'price-new'!M72/VLOOKUP($C316,'nymex-new'!$A$2:$B$243,2,FALSE)*1000</f>
        <v>9245.1100244498793</v>
      </c>
      <c r="N316" s="19">
        <f>'price-new'!N72/VLOOKUP($C316,'nymex-new'!$A$2:$B$243,2,FALSE)*1000</f>
        <v>11613.691931540343</v>
      </c>
      <c r="O316" s="19">
        <f>'price-new'!O72/VLOOKUP($C316,'nymex-new'!$A$2:$B$243,2,FALSE)*1000</f>
        <v>8316.0146699266515</v>
      </c>
      <c r="P316" s="19">
        <f>'price-new'!P72/VLOOKUP($C316,'nymex-new'!$A$2:$B$243,2,FALSE)*1000</f>
        <v>7221.8826405867967</v>
      </c>
      <c r="Q316" s="19">
        <f>'price-new'!Q72/VLOOKUP($C316,'nymex-new'!$A$2:$B$243,2,FALSE)*1000</f>
        <v>7778.7286063569691</v>
      </c>
      <c r="R316" s="19">
        <f>'price-new'!R72/VLOOKUP($C316,'nymex-new'!$A$2:$B$243,2,FALSE)*1000</f>
        <v>9015.8924205378989</v>
      </c>
    </row>
    <row r="317" spans="3:18" x14ac:dyDescent="0.2">
      <c r="C317" s="1">
        <f t="shared" si="26"/>
        <v>38991</v>
      </c>
      <c r="E317" s="19">
        <f>'price-new'!E73/VLOOKUP($C317,'nymex-new'!$A$2:$B$243,2,FALSE)*1000</f>
        <v>8459.2053381862297</v>
      </c>
      <c r="F317" s="19">
        <f>'price-new'!F73/VLOOKUP($C317,'nymex-new'!$A$2:$B$243,2,FALSE)*1000</f>
        <v>8459.2053381862297</v>
      </c>
      <c r="G317" s="19">
        <f>'price-new'!G73/VLOOKUP($C317,'nymex-new'!$A$2:$B$243,2,FALSE)*1000</f>
        <v>9044.5859872611454</v>
      </c>
      <c r="H317" s="19">
        <f>'price-new'!H73/VLOOKUP($C317,'nymex-new'!$A$2:$B$243,2,FALSE)*1000</f>
        <v>8080.0727934485894</v>
      </c>
      <c r="I317" s="19">
        <f>'price-new'!I73/VLOOKUP($C317,'nymex-new'!$A$2:$B$243,2,FALSE)*1000</f>
        <v>8307.5523202911736</v>
      </c>
      <c r="J317" s="19">
        <f>'price-new'!J73/VLOOKUP($C317,'nymex-new'!$A$2:$B$243,2,FALSE)*1000</f>
        <v>8459.2053381862297</v>
      </c>
      <c r="K317" s="19">
        <f>'price-new'!K73/VLOOKUP($C317,'nymex-new'!$A$2:$B$243,2,FALSE)*1000</f>
        <v>10175.917500758263</v>
      </c>
      <c r="L317" s="19">
        <f>'price-new'!L73/VLOOKUP($C317,'nymex-new'!$A$2:$B$243,2,FALSE)*1000</f>
        <v>8865.6354261449796</v>
      </c>
      <c r="M317" s="19">
        <f>'price-new'!M73/VLOOKUP($C317,'nymex-new'!$A$2:$B$243,2,FALSE)*1000</f>
        <v>9175.0075826508928</v>
      </c>
      <c r="N317" s="19">
        <f>'price-new'!N73/VLOOKUP($C317,'nymex-new'!$A$2:$B$243,2,FALSE)*1000</f>
        <v>11525.629360024262</v>
      </c>
      <c r="O317" s="19">
        <f>'price-new'!O73/VLOOKUP($C317,'nymex-new'!$A$2:$B$243,2,FALSE)*1000</f>
        <v>8786.7758568395511</v>
      </c>
      <c r="P317" s="19">
        <f>'price-new'!P73/VLOOKUP($C317,'nymex-new'!$A$2:$B$243,2,FALSE)*1000</f>
        <v>8820.1395207764635</v>
      </c>
      <c r="Q317" s="19">
        <f>'price-new'!Q73/VLOOKUP($C317,'nymex-new'!$A$2:$B$243,2,FALSE)*1000</f>
        <v>8226.2663026994232</v>
      </c>
      <c r="R317" s="19">
        <f>'price-new'!R73/VLOOKUP($C317,'nymex-new'!$A$2:$B$243,2,FALSE)*1000</f>
        <v>8947.5280558083105</v>
      </c>
    </row>
    <row r="318" spans="3:18" x14ac:dyDescent="0.2">
      <c r="C318" s="1">
        <f t="shared" si="26"/>
        <v>39022</v>
      </c>
      <c r="E318" s="19">
        <f>'price-new'!E74/VLOOKUP($C318,'nymex-new'!$A$2:$B$243,2,FALSE)*1000</f>
        <v>8042.9109886923752</v>
      </c>
      <c r="F318" s="19">
        <f>'price-new'!F74/VLOOKUP($C318,'nymex-new'!$A$2:$B$243,2,FALSE)*1000</f>
        <v>8042.9109886923752</v>
      </c>
      <c r="G318" s="19">
        <f>'price-new'!G74/VLOOKUP($C318,'nymex-new'!$A$2:$B$243,2,FALSE)*1000</f>
        <v>8356.0452305015951</v>
      </c>
      <c r="H318" s="19">
        <f>'price-new'!H74/VLOOKUP($C318,'nymex-new'!$A$2:$B$243,2,FALSE)*1000</f>
        <v>7680.4870977094806</v>
      </c>
      <c r="I318" s="19">
        <f>'price-new'!I74/VLOOKUP($C318,'nymex-new'!$A$2:$B$243,2,FALSE)*1000</f>
        <v>7897.941432299217</v>
      </c>
      <c r="J318" s="19">
        <f>'price-new'!J74/VLOOKUP($C318,'nymex-new'!$A$2:$B$243,2,FALSE)*1000</f>
        <v>8042.9109886923752</v>
      </c>
      <c r="K318" s="19">
        <f>'price-new'!K74/VLOOKUP($C318,'nymex-new'!$A$2:$B$243,2,FALSE)*1000</f>
        <v>9727.4572339808637</v>
      </c>
      <c r="L318" s="19">
        <f>'price-new'!L74/VLOOKUP($C318,'nymex-new'!$A$2:$B$243,2,FALSE)*1000</f>
        <v>8428.5300086981733</v>
      </c>
      <c r="M318" s="19">
        <f>'price-new'!M74/VLOOKUP($C318,'nymex-new'!$A$2:$B$243,2,FALSE)*1000</f>
        <v>8770.6581617860247</v>
      </c>
      <c r="N318" s="19">
        <f>'price-new'!N74/VLOOKUP($C318,'nymex-new'!$A$2:$B$243,2,FALSE)*1000</f>
        <v>11017.686285879967</v>
      </c>
      <c r="O318" s="19">
        <f>'price-new'!O74/VLOOKUP($C318,'nymex-new'!$A$2:$B$243,2,FALSE)*1000</f>
        <v>8399.5360974195428</v>
      </c>
      <c r="P318" s="19">
        <f>'price-new'!P74/VLOOKUP($C318,'nymex-new'!$A$2:$B$243,2,FALSE)*1000</f>
        <v>9373.7315163815583</v>
      </c>
      <c r="Q318" s="19">
        <f>'price-new'!Q74/VLOOKUP($C318,'nymex-new'!$A$2:$B$243,2,FALSE)*1000</f>
        <v>7892.7225282690642</v>
      </c>
      <c r="R318" s="19">
        <f>'price-new'!R74/VLOOKUP($C318,'nymex-new'!$A$2:$B$243,2,FALSE)*1000</f>
        <v>8553.2038271962901</v>
      </c>
    </row>
    <row r="319" spans="3:18" x14ac:dyDescent="0.2">
      <c r="C319" s="1">
        <f t="shared" si="26"/>
        <v>39052</v>
      </c>
      <c r="E319" s="19">
        <f>'price-new'!E75/VLOOKUP($C319,'nymex-new'!$A$2:$B$243,2,FALSE)*1000</f>
        <v>7533.4075723830729</v>
      </c>
      <c r="F319" s="19">
        <f>'price-new'!F75/VLOOKUP($C319,'nymex-new'!$A$2:$B$243,2,FALSE)*1000</f>
        <v>7533.4075723830729</v>
      </c>
      <c r="G319" s="19">
        <f>'price-new'!G75/VLOOKUP($C319,'nymex-new'!$A$2:$B$243,2,FALSE)*1000</f>
        <v>8273.9420935412018</v>
      </c>
      <c r="H319" s="19">
        <f>'price-new'!H75/VLOOKUP($C319,'nymex-new'!$A$2:$B$243,2,FALSE)*1000</f>
        <v>7185.4120267260569</v>
      </c>
      <c r="I319" s="19">
        <f>'price-new'!I75/VLOOKUP($C319,'nymex-new'!$A$2:$B$243,2,FALSE)*1000</f>
        <v>7394.2093541202667</v>
      </c>
      <c r="J319" s="19">
        <f>'price-new'!J75/VLOOKUP($C319,'nymex-new'!$A$2:$B$243,2,FALSE)*1000</f>
        <v>7533.4075723830729</v>
      </c>
      <c r="K319" s="19">
        <f>'price-new'!K75/VLOOKUP($C319,'nymex-new'!$A$2:$B$243,2,FALSE)*1000</f>
        <v>9340.2004454342969</v>
      </c>
      <c r="L319" s="19">
        <f>'price-new'!L75/VLOOKUP($C319,'nymex-new'!$A$2:$B$243,2,FALSE)*1000</f>
        <v>7903.6748329621378</v>
      </c>
      <c r="M319" s="19">
        <f>'price-new'!M75/VLOOKUP($C319,'nymex-new'!$A$2:$B$243,2,FALSE)*1000</f>
        <v>8421.4922048997778</v>
      </c>
      <c r="N319" s="19">
        <f>'price-new'!N75/VLOOKUP($C319,'nymex-new'!$A$2:$B$243,2,FALSE)*1000</f>
        <v>10579.064587973275</v>
      </c>
      <c r="O319" s="19">
        <f>'price-new'!O75/VLOOKUP($C319,'nymex-new'!$A$2:$B$243,2,FALSE)*1000</f>
        <v>8065.1447661469929</v>
      </c>
      <c r="P319" s="19">
        <f>'price-new'!P75/VLOOKUP($C319,'nymex-new'!$A$2:$B$243,2,FALSE)*1000</f>
        <v>8922.6057906458791</v>
      </c>
      <c r="Q319" s="19">
        <f>'price-new'!Q75/VLOOKUP($C319,'nymex-new'!$A$2:$B$243,2,FALSE)*1000</f>
        <v>7648.1069042316258</v>
      </c>
      <c r="R319" s="19">
        <f>'price-new'!R75/VLOOKUP($C319,'nymex-new'!$A$2:$B$243,2,FALSE)*1000</f>
        <v>8212.694877505568</v>
      </c>
    </row>
    <row r="320" spans="3:18" x14ac:dyDescent="0.2">
      <c r="C320" s="1">
        <f t="shared" si="26"/>
        <v>39083</v>
      </c>
      <c r="E320" s="19">
        <f>'price-new'!E76/VLOOKUP($C320,'nymex-new'!$A$2:$B$243,2,FALSE)*1000</f>
        <v>8358.6206896551721</v>
      </c>
      <c r="F320" s="19">
        <f>'price-new'!F76/VLOOKUP($C320,'nymex-new'!$A$2:$B$243,2,FALSE)*1000</f>
        <v>8496.5517241379312</v>
      </c>
      <c r="G320" s="19">
        <f>'price-new'!G76/VLOOKUP($C320,'nymex-new'!$A$2:$B$243,2,FALSE)*1000</f>
        <v>8584.8275862068967</v>
      </c>
      <c r="H320" s="19">
        <f>'price-new'!H76/VLOOKUP($C320,'nymex-new'!$A$2:$B$243,2,FALSE)*1000</f>
        <v>7931.0344827586214</v>
      </c>
      <c r="I320" s="19">
        <f>'price-new'!I76/VLOOKUP($C320,'nymex-new'!$A$2:$B$243,2,FALSE)*1000</f>
        <v>8220.6896551724149</v>
      </c>
      <c r="J320" s="19">
        <f>'price-new'!J76/VLOOKUP($C320,'nymex-new'!$A$2:$B$243,2,FALSE)*1000</f>
        <v>8496.5517241379312</v>
      </c>
      <c r="K320" s="19">
        <f>'price-new'!K76/VLOOKUP($C320,'nymex-new'!$A$2:$B$243,2,FALSE)*1000</f>
        <v>11793.103448275861</v>
      </c>
      <c r="L320" s="19">
        <f>'price-new'!L76/VLOOKUP($C320,'nymex-new'!$A$2:$B$243,2,FALSE)*1000</f>
        <v>9351.7241379310344</v>
      </c>
      <c r="M320" s="19">
        <f>'price-new'!M76/VLOOKUP($C320,'nymex-new'!$A$2:$B$243,2,FALSE)*1000</f>
        <v>9103.4482758620688</v>
      </c>
      <c r="N320" s="19">
        <f>'price-new'!N76/VLOOKUP($C320,'nymex-new'!$A$2:$B$243,2,FALSE)*1000</f>
        <v>11862.068965517243</v>
      </c>
      <c r="O320" s="19">
        <f>'price-new'!O76/VLOOKUP($C320,'nymex-new'!$A$2:$B$243,2,FALSE)*1000</f>
        <v>8722.7586206896558</v>
      </c>
      <c r="P320" s="19">
        <f>'price-new'!P76/VLOOKUP($C320,'nymex-new'!$A$2:$B$243,2,FALSE)*1000</f>
        <v>9517.241379310346</v>
      </c>
      <c r="Q320" s="19">
        <f>'price-new'!Q76/VLOOKUP($C320,'nymex-new'!$A$2:$B$243,2,FALSE)*1000</f>
        <v>7970.2068965517237</v>
      </c>
      <c r="R320" s="19">
        <f>'price-new'!R76/VLOOKUP($C320,'nymex-new'!$A$2:$B$243,2,FALSE)*1000</f>
        <v>8896.5517241379312</v>
      </c>
    </row>
    <row r="321" spans="3:18" x14ac:dyDescent="0.2">
      <c r="C321" s="1">
        <f t="shared" si="26"/>
        <v>39114</v>
      </c>
      <c r="E321" s="19">
        <f>'price-new'!E77/VLOOKUP($C321,'nymex-new'!$A$2:$B$243,2,FALSE)*1000</f>
        <v>8355.2815914822095</v>
      </c>
      <c r="F321" s="19">
        <f>'price-new'!F77/VLOOKUP($C321,'nymex-new'!$A$2:$B$243,2,FALSE)*1000</f>
        <v>8495.3768562622572</v>
      </c>
      <c r="G321" s="19">
        <f>'price-new'!G77/VLOOKUP($C321,'nymex-new'!$A$2:$B$243,2,FALSE)*1000</f>
        <v>8509.3863827402638</v>
      </c>
      <c r="H321" s="19">
        <f>'price-new'!H77/VLOOKUP($C321,'nymex-new'!$A$2:$B$243,2,FALSE)*1000</f>
        <v>7920.9862706640515</v>
      </c>
      <c r="I321" s="19">
        <f>'price-new'!I77/VLOOKUP($C321,'nymex-new'!$A$2:$B$243,2,FALSE)*1000</f>
        <v>8215.1863267021581</v>
      </c>
      <c r="J321" s="19">
        <f>'price-new'!J77/VLOOKUP($C321,'nymex-new'!$A$2:$B$243,2,FALSE)*1000</f>
        <v>8495.3768562622572</v>
      </c>
      <c r="K321" s="19">
        <f>'price-new'!K77/VLOOKUP($C321,'nymex-new'!$A$2:$B$243,2,FALSE)*1000</f>
        <v>11978.145138694312</v>
      </c>
      <c r="L321" s="19">
        <f>'price-new'!L77/VLOOKUP($C321,'nymex-new'!$A$2:$B$243,2,FALSE)*1000</f>
        <v>9448.0246567665999</v>
      </c>
      <c r="M321" s="19">
        <f>'price-new'!M77/VLOOKUP($C321,'nymex-new'!$A$2:$B$243,2,FALSE)*1000</f>
        <v>9246.2874754833283</v>
      </c>
      <c r="N321" s="19">
        <f>'price-new'!N77/VLOOKUP($C321,'nymex-new'!$A$2:$B$243,2,FALSE)*1000</f>
        <v>12048.192771084337</v>
      </c>
      <c r="O321" s="19">
        <f>'price-new'!O77/VLOOKUP($C321,'nymex-new'!$A$2:$B$243,2,FALSE)*1000</f>
        <v>8579.4340151302895</v>
      </c>
      <c r="P321" s="19">
        <f>'price-new'!P77/VLOOKUP($C321,'nymex-new'!$A$2:$B$243,2,FALSE)*1000</f>
        <v>9812.2723451947331</v>
      </c>
      <c r="Q321" s="19">
        <f>'price-new'!Q77/VLOOKUP($C321,'nymex-new'!$A$2:$B$243,2,FALSE)*1000</f>
        <v>8026.0577192490882</v>
      </c>
      <c r="R321" s="19">
        <f>'price-new'!R77/VLOOKUP($C321,'nymex-new'!$A$2:$B$243,2,FALSE)*1000</f>
        <v>9036.1445783132531</v>
      </c>
    </row>
    <row r="322" spans="3:18" x14ac:dyDescent="0.2">
      <c r="C322" s="1">
        <f t="shared" si="26"/>
        <v>39142</v>
      </c>
      <c r="E322" s="19">
        <f>'price-new'!E78/VLOOKUP($C322,'nymex-new'!$A$2:$B$243,2,FALSE)*1000</f>
        <v>8386.1587670834542</v>
      </c>
      <c r="F322" s="19">
        <f>'price-new'!F78/VLOOKUP($C322,'nymex-new'!$A$2:$B$243,2,FALSE)*1000</f>
        <v>8604.2454201802848</v>
      </c>
      <c r="G322" s="19">
        <f>'price-new'!G78/VLOOKUP($C322,'nymex-new'!$A$2:$B$243,2,FALSE)*1000</f>
        <v>8376.2721721430644</v>
      </c>
      <c r="H322" s="19">
        <f>'price-new'!H78/VLOOKUP($C322,'nymex-new'!$A$2:$B$243,2,FALSE)*1000</f>
        <v>7935.4463506833381</v>
      </c>
      <c r="I322" s="19">
        <f>'price-new'!I78/VLOOKUP($C322,'nymex-new'!$A$2:$B$243,2,FALSE)*1000</f>
        <v>8240.7676650189005</v>
      </c>
      <c r="J322" s="19">
        <f>'price-new'!J78/VLOOKUP($C322,'nymex-new'!$A$2:$B$243,2,FALSE)*1000</f>
        <v>8604.2454201802848</v>
      </c>
      <c r="K322" s="19">
        <f>'price-new'!K78/VLOOKUP($C322,'nymex-new'!$A$2:$B$243,2,FALSE)*1000</f>
        <v>10104.681593486479</v>
      </c>
      <c r="L322" s="19">
        <f>'price-new'!L78/VLOOKUP($C322,'nymex-new'!$A$2:$B$243,2,FALSE)*1000</f>
        <v>9438.7903460308225</v>
      </c>
      <c r="M322" s="19">
        <f>'price-new'!M78/VLOOKUP($C322,'nymex-new'!$A$2:$B$243,2,FALSE)*1000</f>
        <v>9014.2483280023262</v>
      </c>
      <c r="N322" s="19">
        <f>'price-new'!N78/VLOOKUP($C322,'nymex-new'!$A$2:$B$243,2,FALSE)*1000</f>
        <v>11195.11485897063</v>
      </c>
      <c r="O322" s="19">
        <f>'price-new'!O78/VLOOKUP($C322,'nymex-new'!$A$2:$B$243,2,FALSE)*1000</f>
        <v>8249.4911311427732</v>
      </c>
      <c r="P322" s="19">
        <f>'price-new'!P78/VLOOKUP($C322,'nymex-new'!$A$2:$B$243,2,FALSE)*1000</f>
        <v>9389.3573713288733</v>
      </c>
      <c r="Q322" s="19">
        <f>'price-new'!Q78/VLOOKUP($C322,'nymex-new'!$A$2:$B$243,2,FALSE)*1000</f>
        <v>8256.7606862460016</v>
      </c>
      <c r="R322" s="19">
        <f>'price-new'!R78/VLOOKUP($C322,'nymex-new'!$A$2:$B$243,2,FALSE)*1000</f>
        <v>8578.075021808665</v>
      </c>
    </row>
    <row r="323" spans="3:18" x14ac:dyDescent="0.2">
      <c r="C323" s="1">
        <f t="shared" si="26"/>
        <v>39173</v>
      </c>
      <c r="E323" s="19">
        <f>'price-new'!E79/VLOOKUP($C323,'nymex-new'!$A$2:$B$243,2,FALSE)*1000</f>
        <v>8801.475107559927</v>
      </c>
      <c r="F323" s="19">
        <f>'price-new'!F79/VLOOKUP($C323,'nymex-new'!$A$2:$B$243,2,FALSE)*1000</f>
        <v>9031.9606637984034</v>
      </c>
      <c r="G323" s="19">
        <f>'price-new'!G79/VLOOKUP($C323,'nymex-new'!$A$2:$B$243,2,FALSE)*1000</f>
        <v>9093.4234787953283</v>
      </c>
      <c r="H323" s="19">
        <f>'price-new'!H79/VLOOKUP($C323,'nymex-new'!$A$2:$B$243,2,FALSE)*1000</f>
        <v>8325.1382913337438</v>
      </c>
      <c r="I323" s="19">
        <f>'price-new'!I79/VLOOKUP($C323,'nymex-new'!$A$2:$B$243,2,FALSE)*1000</f>
        <v>8647.8180700676094</v>
      </c>
      <c r="J323" s="19">
        <f>'price-new'!J79/VLOOKUP($C323,'nymex-new'!$A$2:$B$243,2,FALSE)*1000</f>
        <v>9031.9606637984034</v>
      </c>
      <c r="K323" s="19">
        <f>'price-new'!K79/VLOOKUP($C323,'nymex-new'!$A$2:$B$243,2,FALSE)*1000</f>
        <v>10755.9926244622</v>
      </c>
      <c r="L323" s="19">
        <f>'price-new'!L79/VLOOKUP($C323,'nymex-new'!$A$2:$B$243,2,FALSE)*1000</f>
        <v>9913.9520590043012</v>
      </c>
      <c r="M323" s="19">
        <f>'price-new'!M79/VLOOKUP($C323,'nymex-new'!$A$2:$B$243,2,FALSE)*1000</f>
        <v>9526.7363245236629</v>
      </c>
      <c r="N323" s="19">
        <f>'price-new'!N79/VLOOKUP($C323,'nymex-new'!$A$2:$B$243,2,FALSE)*1000</f>
        <v>11831.59188690842</v>
      </c>
      <c r="O323" s="19">
        <f>'price-new'!O79/VLOOKUP($C323,'nymex-new'!$A$2:$B$243,2,FALSE)*1000</f>
        <v>8718.5003073140761</v>
      </c>
      <c r="P323" s="19">
        <f>'price-new'!P79/VLOOKUP($C323,'nymex-new'!$A$2:$B$243,2,FALSE)*1000</f>
        <v>9723.417332513829</v>
      </c>
      <c r="Q323" s="19">
        <f>'price-new'!Q79/VLOOKUP($C323,'nymex-new'!$A$2:$B$243,2,FALSE)*1000</f>
        <v>8726.4904732636751</v>
      </c>
      <c r="R323" s="19">
        <f>'price-new'!R79/VLOOKUP($C323,'nymex-new'!$A$2:$B$243,2,FALSE)*1000</f>
        <v>9065.7652120467119</v>
      </c>
    </row>
    <row r="324" spans="3:18" x14ac:dyDescent="0.2">
      <c r="C324" s="1">
        <f t="shared" si="26"/>
        <v>39203</v>
      </c>
      <c r="E324" s="19">
        <f>'price-new'!E80/VLOOKUP($C324,'nymex-new'!$A$2:$B$243,2,FALSE)*1000</f>
        <v>9362.8808864265939</v>
      </c>
      <c r="F324" s="19">
        <f>'price-new'!F80/VLOOKUP($C324,'nymex-new'!$A$2:$B$243,2,FALSE)*1000</f>
        <v>9670.6678978147138</v>
      </c>
      <c r="G324" s="19">
        <f>'price-new'!G80/VLOOKUP($C324,'nymex-new'!$A$2:$B$243,2,FALSE)*1000</f>
        <v>9710.6802092951675</v>
      </c>
      <c r="H324" s="19">
        <f>'price-new'!H80/VLOOKUP($C324,'nymex-new'!$A$2:$B$243,2,FALSE)*1000</f>
        <v>8901.200369344413</v>
      </c>
      <c r="I324" s="19">
        <f>'price-new'!I80/VLOOKUP($C324,'nymex-new'!$A$2:$B$243,2,FALSE)*1000</f>
        <v>9208.9873807325348</v>
      </c>
      <c r="J324" s="19">
        <f>'price-new'!J80/VLOOKUP($C324,'nymex-new'!$A$2:$B$243,2,FALSE)*1000</f>
        <v>9670.6678978147138</v>
      </c>
      <c r="K324" s="19">
        <f>'price-new'!K80/VLOOKUP($C324,'nymex-new'!$A$2:$B$243,2,FALSE)*1000</f>
        <v>10772.54539858418</v>
      </c>
      <c r="L324" s="19">
        <f>'price-new'!L80/VLOOKUP($C324,'nymex-new'!$A$2:$B$243,2,FALSE)*1000</f>
        <v>11031.086488150202</v>
      </c>
      <c r="M324" s="19">
        <f>'price-new'!M80/VLOOKUP($C324,'nymex-new'!$A$2:$B$243,2,FALSE)*1000</f>
        <v>9695.2908587257607</v>
      </c>
      <c r="N324" s="19">
        <f>'price-new'!N80/VLOOKUP($C324,'nymex-new'!$A$2:$B$243,2,FALSE)*1000</f>
        <v>12311.480455524777</v>
      </c>
      <c r="O324" s="19">
        <f>'price-new'!O80/VLOOKUP($C324,'nymex-new'!$A$2:$B$243,2,FALSE)*1000</f>
        <v>9562.9424438288697</v>
      </c>
      <c r="P324" s="19">
        <f>'price-new'!P80/VLOOKUP($C324,'nymex-new'!$A$2:$B$243,2,FALSE)*1000</f>
        <v>8685.7494613727304</v>
      </c>
      <c r="Q324" s="19">
        <f>'price-new'!Q80/VLOOKUP($C324,'nymex-new'!$A$2:$B$243,2,FALSE)*1000</f>
        <v>9464.7583871960596</v>
      </c>
      <c r="R324" s="19">
        <f>'price-new'!R80/VLOOKUP($C324,'nymex-new'!$A$2:$B$243,2,FALSE)*1000</f>
        <v>9772.2376115727911</v>
      </c>
    </row>
    <row r="325" spans="3:18" x14ac:dyDescent="0.2">
      <c r="C325" s="1">
        <f t="shared" si="26"/>
        <v>39234</v>
      </c>
      <c r="E325" s="19">
        <f>'price-new'!E81/VLOOKUP($C325,'nymex-new'!$A$2:$B$243,2,FALSE)*1000</f>
        <v>10861.753958587091</v>
      </c>
      <c r="F325" s="19">
        <f>'price-new'!F81/VLOOKUP($C325,'nymex-new'!$A$2:$B$243,2,FALSE)*1000</f>
        <v>11318.514007308162</v>
      </c>
      <c r="G325" s="19">
        <f>'price-new'!G81/VLOOKUP($C325,'nymex-new'!$A$2:$B$243,2,FALSE)*1000</f>
        <v>10840.438489646773</v>
      </c>
      <c r="H325" s="19">
        <f>'price-new'!H81/VLOOKUP($C325,'nymex-new'!$A$2:$B$243,2,FALSE)*1000</f>
        <v>10359.317904993912</v>
      </c>
      <c r="I325" s="19">
        <f>'price-new'!I81/VLOOKUP($C325,'nymex-new'!$A$2:$B$243,2,FALSE)*1000</f>
        <v>10709.500609013399</v>
      </c>
      <c r="J325" s="19">
        <f>'price-new'!J81/VLOOKUP($C325,'nymex-new'!$A$2:$B$243,2,FALSE)*1000</f>
        <v>11318.514007308162</v>
      </c>
      <c r="K325" s="19">
        <f>'price-new'!K81/VLOOKUP($C325,'nymex-new'!$A$2:$B$243,2,FALSE)*1000</f>
        <v>12104.141291108404</v>
      </c>
      <c r="L325" s="19">
        <f>'price-new'!L81/VLOOKUP($C325,'nymex-new'!$A$2:$B$243,2,FALSE)*1000</f>
        <v>12028.01461632156</v>
      </c>
      <c r="M325" s="19">
        <f>'price-new'!M81/VLOOKUP($C325,'nymex-new'!$A$2:$B$243,2,FALSE)*1000</f>
        <v>12789.281364190012</v>
      </c>
      <c r="N325" s="19">
        <f>'price-new'!N81/VLOOKUP($C325,'nymex-new'!$A$2:$B$243,2,FALSE)*1000</f>
        <v>14768.574908647992</v>
      </c>
      <c r="O325" s="19">
        <f>'price-new'!O81/VLOOKUP($C325,'nymex-new'!$A$2:$B$243,2,FALSE)*1000</f>
        <v>11556.029232643119</v>
      </c>
      <c r="P325" s="19">
        <f>'price-new'!P81/VLOOKUP($C325,'nymex-new'!$A$2:$B$243,2,FALSE)*1000</f>
        <v>9872.1071863581001</v>
      </c>
      <c r="Q325" s="19">
        <f>'price-new'!Q81/VLOOKUP($C325,'nymex-new'!$A$2:$B$243,2,FALSE)*1000</f>
        <v>11603.227771010963</v>
      </c>
      <c r="R325" s="19">
        <f>'price-new'!R81/VLOOKUP($C325,'nymex-new'!$A$2:$B$243,2,FALSE)*1000</f>
        <v>12789.281364190012</v>
      </c>
    </row>
    <row r="326" spans="3:18" x14ac:dyDescent="0.2">
      <c r="C326" s="1">
        <f t="shared" si="26"/>
        <v>39264</v>
      </c>
      <c r="E326" s="19">
        <f>'price-new'!E82/VLOOKUP($C326,'nymex-new'!$A$2:$B$243,2,FALSE)*1000</f>
        <v>14309.56678700361</v>
      </c>
      <c r="F326" s="19">
        <f>'price-new'!F82/VLOOKUP($C326,'nymex-new'!$A$2:$B$243,2,FALSE)*1000</f>
        <v>15061.67268351384</v>
      </c>
      <c r="G326" s="19">
        <f>'price-new'!G82/VLOOKUP($C326,'nymex-new'!$A$2:$B$243,2,FALSE)*1000</f>
        <v>13583.032490974729</v>
      </c>
      <c r="H326" s="19">
        <f>'price-new'!H82/VLOOKUP($C326,'nymex-new'!$A$2:$B$243,2,FALSE)*1000</f>
        <v>13692.839951865224</v>
      </c>
      <c r="I326" s="19">
        <f>'price-new'!I82/VLOOKUP($C326,'nymex-new'!$A$2:$B$243,2,FALSE)*1000</f>
        <v>14159.145607701565</v>
      </c>
      <c r="J326" s="19">
        <f>'price-new'!J82/VLOOKUP($C326,'nymex-new'!$A$2:$B$243,2,FALSE)*1000</f>
        <v>15061.67268351384</v>
      </c>
      <c r="K326" s="19">
        <f>'price-new'!K82/VLOOKUP($C326,'nymex-new'!$A$2:$B$243,2,FALSE)*1000</f>
        <v>14139.5908543923</v>
      </c>
      <c r="L326" s="19">
        <f>'price-new'!L82/VLOOKUP($C326,'nymex-new'!$A$2:$B$243,2,FALSE)*1000</f>
        <v>14083.935018050541</v>
      </c>
      <c r="M326" s="19">
        <f>'price-new'!M82/VLOOKUP($C326,'nymex-new'!$A$2:$B$243,2,FALSE)*1000</f>
        <v>15944.645006016848</v>
      </c>
      <c r="N326" s="19">
        <f>'price-new'!N82/VLOOKUP($C326,'nymex-new'!$A$2:$B$243,2,FALSE)*1000</f>
        <v>21058.965102286405</v>
      </c>
      <c r="O326" s="19">
        <f>'price-new'!O82/VLOOKUP($C326,'nymex-new'!$A$2:$B$243,2,FALSE)*1000</f>
        <v>14455.475330926594</v>
      </c>
      <c r="P326" s="19">
        <f>'price-new'!P82/VLOOKUP($C326,'nymex-new'!$A$2:$B$243,2,FALSE)*1000</f>
        <v>11045.42719614922</v>
      </c>
      <c r="Q326" s="19">
        <f>'price-new'!Q82/VLOOKUP($C326,'nymex-new'!$A$2:$B$243,2,FALSE)*1000</f>
        <v>14913.357400722023</v>
      </c>
      <c r="R326" s="19">
        <f>'price-new'!R82/VLOOKUP($C326,'nymex-new'!$A$2:$B$243,2,FALSE)*1000</f>
        <v>15267.749699157643</v>
      </c>
    </row>
    <row r="327" spans="3:18" x14ac:dyDescent="0.2">
      <c r="C327" s="1">
        <f t="shared" si="26"/>
        <v>39295</v>
      </c>
      <c r="E327" s="19">
        <f>'price-new'!E83/VLOOKUP($C327,'nymex-new'!$A$2:$B$243,2,FALSE)*1000</f>
        <v>14317.776456599287</v>
      </c>
      <c r="F327" s="19">
        <f>'price-new'!F83/VLOOKUP($C327,'nymex-new'!$A$2:$B$243,2,FALSE)*1000</f>
        <v>15060.939357907253</v>
      </c>
      <c r="G327" s="19">
        <f>'price-new'!G83/VLOOKUP($C327,'nymex-new'!$A$2:$B$243,2,FALSE)*1000</f>
        <v>13302.615933412606</v>
      </c>
      <c r="H327" s="19">
        <f>'price-new'!H83/VLOOKUP($C327,'nymex-new'!$A$2:$B$243,2,FALSE)*1000</f>
        <v>13708.382877526756</v>
      </c>
      <c r="I327" s="19">
        <f>'price-new'!I83/VLOOKUP($C327,'nymex-new'!$A$2:$B$243,2,FALSE)*1000</f>
        <v>14169.143876337694</v>
      </c>
      <c r="J327" s="19">
        <f>'price-new'!J83/VLOOKUP($C327,'nymex-new'!$A$2:$B$243,2,FALSE)*1000</f>
        <v>15060.939357907253</v>
      </c>
      <c r="K327" s="19">
        <f>'price-new'!K83/VLOOKUP($C327,'nymex-new'!$A$2:$B$243,2,FALSE)*1000</f>
        <v>13971.462544589775</v>
      </c>
      <c r="L327" s="19">
        <f>'price-new'!L83/VLOOKUP($C327,'nymex-new'!$A$2:$B$243,2,FALSE)*1000</f>
        <v>14392.092746730084</v>
      </c>
      <c r="M327" s="19">
        <f>'price-new'!M83/VLOOKUP($C327,'nymex-new'!$A$2:$B$243,2,FALSE)*1000</f>
        <v>15755.053507728895</v>
      </c>
      <c r="N327" s="19">
        <f>'price-new'!N83/VLOOKUP($C327,'nymex-new'!$A$2:$B$243,2,FALSE)*1000</f>
        <v>20808.561236623067</v>
      </c>
      <c r="O327" s="19">
        <f>'price-new'!O83/VLOOKUP($C327,'nymex-new'!$A$2:$B$243,2,FALSE)*1000</f>
        <v>13986.325802615933</v>
      </c>
      <c r="P327" s="19">
        <f>'price-new'!P83/VLOOKUP($C327,'nymex-new'!$A$2:$B$243,2,FALSE)*1000</f>
        <v>11092.449464922711</v>
      </c>
      <c r="Q327" s="19">
        <f>'price-new'!Q83/VLOOKUP($C327,'nymex-new'!$A$2:$B$243,2,FALSE)*1000</f>
        <v>14810.344827586208</v>
      </c>
      <c r="R327" s="19">
        <f>'price-new'!R83/VLOOKUP($C327,'nymex-new'!$A$2:$B$243,2,FALSE)*1000</f>
        <v>15086.206896551725</v>
      </c>
    </row>
    <row r="328" spans="3:18" x14ac:dyDescent="0.2">
      <c r="C328" s="1">
        <f t="shared" si="26"/>
        <v>39326</v>
      </c>
      <c r="E328" s="19">
        <f>'price-new'!E84/VLOOKUP($C328,'nymex-new'!$A$2:$B$243,2,FALSE)*1000</f>
        <v>8416.4923812369307</v>
      </c>
      <c r="F328" s="19">
        <f>'price-new'!F84/VLOOKUP($C328,'nymex-new'!$A$2:$B$243,2,FALSE)*1000</f>
        <v>8864.6549148491195</v>
      </c>
      <c r="G328" s="19">
        <f>'price-new'!G84/VLOOKUP($C328,'nymex-new'!$A$2:$B$243,2,FALSE)*1000</f>
        <v>9710.1882282641182</v>
      </c>
      <c r="H328" s="19">
        <f>'price-new'!H84/VLOOKUP($C328,'nymex-new'!$A$2:$B$243,2,FALSE)*1000</f>
        <v>8043.0236032267712</v>
      </c>
      <c r="I328" s="19">
        <f>'price-new'!I84/VLOOKUP($C328,'nymex-new'!$A$2:$B$243,2,FALSE)*1000</f>
        <v>8267.1048700328647</v>
      </c>
      <c r="J328" s="19">
        <f>'price-new'!J84/VLOOKUP($C328,'nymex-new'!$A$2:$B$243,2,FALSE)*1000</f>
        <v>8864.6549148491195</v>
      </c>
      <c r="K328" s="19">
        <f>'price-new'!K84/VLOOKUP($C328,'nymex-new'!$A$2:$B$243,2,FALSE)*1000</f>
        <v>10158.350761876307</v>
      </c>
      <c r="L328" s="19">
        <f>'price-new'!L84/VLOOKUP($C328,'nymex-new'!$A$2:$B$243,2,FALSE)*1000</f>
        <v>9244.0991933074401</v>
      </c>
      <c r="M328" s="19">
        <f>'price-new'!M84/VLOOKUP($C328,'nymex-new'!$A$2:$B$243,2,FALSE)*1000</f>
        <v>9187.3319390498964</v>
      </c>
      <c r="N328" s="19">
        <f>'price-new'!N84/VLOOKUP($C328,'nymex-new'!$A$2:$B$243,2,FALSE)*1000</f>
        <v>11502.838362712877</v>
      </c>
      <c r="O328" s="19">
        <f>'price-new'!O84/VLOOKUP($C328,'nymex-new'!$A$2:$B$243,2,FALSE)*1000</f>
        <v>8063.9378547953393</v>
      </c>
      <c r="P328" s="19">
        <f>'price-new'!P84/VLOOKUP($C328,'nymex-new'!$A$2:$B$243,2,FALSE)*1000</f>
        <v>7550.0448162533612</v>
      </c>
      <c r="Q328" s="19">
        <f>'price-new'!Q84/VLOOKUP($C328,'nymex-new'!$A$2:$B$243,2,FALSE)*1000</f>
        <v>7538.6913654018517</v>
      </c>
      <c r="R328" s="19">
        <f>'price-new'!R84/VLOOKUP($C328,'nymex-new'!$A$2:$B$243,2,FALSE)*1000</f>
        <v>8963.2506722438011</v>
      </c>
    </row>
    <row r="329" spans="3:18" x14ac:dyDescent="0.2">
      <c r="C329" s="1">
        <f t="shared" si="26"/>
        <v>39356</v>
      </c>
      <c r="E329" s="19">
        <f>'price-new'!E85/VLOOKUP($C329,'nymex-new'!$A$2:$B$243,2,FALSE)*1000</f>
        <v>8757.4139976275219</v>
      </c>
      <c r="F329" s="19">
        <f>'price-new'!F85/VLOOKUP($C329,'nymex-new'!$A$2:$B$243,2,FALSE)*1000</f>
        <v>8757.4139976275219</v>
      </c>
      <c r="G329" s="19">
        <f>'price-new'!G85/VLOOKUP($C329,'nymex-new'!$A$2:$B$243,2,FALSE)*1000</f>
        <v>9110.3202846975073</v>
      </c>
      <c r="H329" s="19">
        <f>'price-new'!H85/VLOOKUP($C329,'nymex-new'!$A$2:$B$243,2,FALSE)*1000</f>
        <v>8386.7141162514818</v>
      </c>
      <c r="I329" s="19">
        <f>'price-new'!I85/VLOOKUP($C329,'nymex-new'!$A$2:$B$243,2,FALSE)*1000</f>
        <v>8609.1340450771058</v>
      </c>
      <c r="J329" s="19">
        <f>'price-new'!J85/VLOOKUP($C329,'nymex-new'!$A$2:$B$243,2,FALSE)*1000</f>
        <v>8757.4139976275219</v>
      </c>
      <c r="K329" s="19">
        <f>'price-new'!K85/VLOOKUP($C329,'nymex-new'!$A$2:$B$243,2,FALSE)*1000</f>
        <v>10008.896797153024</v>
      </c>
      <c r="L329" s="19">
        <f>'price-new'!L85/VLOOKUP($C329,'nymex-new'!$A$2:$B$243,2,FALSE)*1000</f>
        <v>9273.4282325029653</v>
      </c>
      <c r="M329" s="19">
        <f>'price-new'!M85/VLOOKUP($C329,'nymex-new'!$A$2:$B$243,2,FALSE)*1000</f>
        <v>9119.2170818505347</v>
      </c>
      <c r="N329" s="19">
        <f>'price-new'!N85/VLOOKUP($C329,'nymex-new'!$A$2:$B$243,2,FALSE)*1000</f>
        <v>11417.556346381969</v>
      </c>
      <c r="O329" s="19">
        <f>'price-new'!O85/VLOOKUP($C329,'nymex-new'!$A$2:$B$243,2,FALSE)*1000</f>
        <v>8591.3404507710547</v>
      </c>
      <c r="P329" s="19">
        <f>'price-new'!P85/VLOOKUP($C329,'nymex-new'!$A$2:$B$243,2,FALSE)*1000</f>
        <v>9481.0201660735474</v>
      </c>
      <c r="Q329" s="19">
        <f>'price-new'!Q85/VLOOKUP($C329,'nymex-new'!$A$2:$B$243,2,FALSE)*1000</f>
        <v>8043.2977461447217</v>
      </c>
      <c r="R329" s="19">
        <f>'price-new'!R85/VLOOKUP($C329,'nymex-new'!$A$2:$B$243,2,FALSE)*1000</f>
        <v>8896.7971530249106</v>
      </c>
    </row>
    <row r="330" spans="3:18" x14ac:dyDescent="0.2">
      <c r="C330" s="1">
        <f t="shared" si="26"/>
        <v>39387</v>
      </c>
      <c r="E330" s="19">
        <f>'price-new'!E86/VLOOKUP($C330,'nymex-new'!$A$2:$B$243,2,FALSE)*1000</f>
        <v>8294.55164585698</v>
      </c>
      <c r="F330" s="19">
        <f>'price-new'!F86/VLOOKUP($C330,'nymex-new'!$A$2:$B$243,2,FALSE)*1000</f>
        <v>8294.55164585698</v>
      </c>
      <c r="G330" s="19">
        <f>'price-new'!G86/VLOOKUP($C330,'nymex-new'!$A$2:$B$243,2,FALSE)*1000</f>
        <v>8433.5981838819516</v>
      </c>
      <c r="H330" s="19">
        <f>'price-new'!H86/VLOOKUP($C330,'nymex-new'!$A$2:$B$243,2,FALSE)*1000</f>
        <v>7939.8410896708283</v>
      </c>
      <c r="I330" s="19">
        <f>'price-new'!I86/VLOOKUP($C330,'nymex-new'!$A$2:$B$243,2,FALSE)*1000</f>
        <v>8152.6674233825197</v>
      </c>
      <c r="J330" s="19">
        <f>'price-new'!J86/VLOOKUP($C330,'nymex-new'!$A$2:$B$243,2,FALSE)*1000</f>
        <v>8294.55164585698</v>
      </c>
      <c r="K330" s="19">
        <f>'price-new'!K86/VLOOKUP($C330,'nymex-new'!$A$2:$B$243,2,FALSE)*1000</f>
        <v>9577.1850170261059</v>
      </c>
      <c r="L330" s="19">
        <f>'price-new'!L86/VLOOKUP($C330,'nymex-new'!$A$2:$B$243,2,FALSE)*1000</f>
        <v>8788.3087400681034</v>
      </c>
      <c r="M330" s="19">
        <f>'price-new'!M86/VLOOKUP($C330,'nymex-new'!$A$2:$B$243,2,FALSE)*1000</f>
        <v>8725.8796821793421</v>
      </c>
      <c r="N330" s="19">
        <f>'price-new'!N86/VLOOKUP($C330,'nymex-new'!$A$2:$B$243,2,FALSE)*1000</f>
        <v>10925.085130533484</v>
      </c>
      <c r="O330" s="19">
        <f>'price-new'!O86/VLOOKUP($C330,'nymex-new'!$A$2:$B$243,2,FALSE)*1000</f>
        <v>8220.7718501702602</v>
      </c>
      <c r="P330" s="19">
        <f>'price-new'!P86/VLOOKUP($C330,'nymex-new'!$A$2:$B$243,2,FALSE)*1000</f>
        <v>9951.7593643586824</v>
      </c>
      <c r="Q330" s="19">
        <f>'price-new'!Q86/VLOOKUP($C330,'nymex-new'!$A$2:$B$243,2,FALSE)*1000</f>
        <v>7724.7446083995465</v>
      </c>
      <c r="R330" s="19">
        <f>'price-new'!R86/VLOOKUP($C330,'nymex-new'!$A$2:$B$243,2,FALSE)*1000</f>
        <v>8513.0533484676507</v>
      </c>
    </row>
    <row r="331" spans="3:18" x14ac:dyDescent="0.2">
      <c r="C331" s="1">
        <f t="shared" si="26"/>
        <v>39417</v>
      </c>
      <c r="E331" s="19">
        <f>'price-new'!E87/VLOOKUP($C331,'nymex-new'!$A$2:$B$243,2,FALSE)*1000</f>
        <v>7932.9151895282257</v>
      </c>
      <c r="F331" s="19">
        <f>'price-new'!F87/VLOOKUP($C331,'nymex-new'!$A$2:$B$243,2,FALSE)*1000</f>
        <v>7932.9151895282257</v>
      </c>
      <c r="G331" s="19">
        <f>'price-new'!G87/VLOOKUP($C331,'nymex-new'!$A$2:$B$243,2,FALSE)*1000</f>
        <v>8350.1499863648769</v>
      </c>
      <c r="H331" s="19">
        <f>'price-new'!H87/VLOOKUP($C331,'nymex-new'!$A$2:$B$243,2,FALSE)*1000</f>
        <v>7592.0370875374965</v>
      </c>
      <c r="I331" s="19">
        <f>'price-new'!I87/VLOOKUP($C331,'nymex-new'!$A$2:$B$243,2,FALSE)*1000</f>
        <v>7796.563948731934</v>
      </c>
      <c r="J331" s="19">
        <f>'price-new'!J87/VLOOKUP($C331,'nymex-new'!$A$2:$B$243,2,FALSE)*1000</f>
        <v>7932.9151895282257</v>
      </c>
      <c r="K331" s="19">
        <f>'price-new'!K87/VLOOKUP($C331,'nymex-new'!$A$2:$B$243,2,FALSE)*1000</f>
        <v>9203.7087537496591</v>
      </c>
      <c r="L331" s="19">
        <f>'price-new'!L87/VLOOKUP($C331,'nymex-new'!$A$2:$B$243,2,FALSE)*1000</f>
        <v>8407.4175074993182</v>
      </c>
      <c r="M331" s="19">
        <f>'price-new'!M87/VLOOKUP($C331,'nymex-new'!$A$2:$B$243,2,FALSE)*1000</f>
        <v>8385.6013089719127</v>
      </c>
      <c r="N331" s="19">
        <f>'price-new'!N87/VLOOKUP($C331,'nymex-new'!$A$2:$B$243,2,FALSE)*1000</f>
        <v>10499.045541314426</v>
      </c>
      <c r="O331" s="19">
        <f>'price-new'!O87/VLOOKUP($C331,'nymex-new'!$A$2:$B$243,2,FALSE)*1000</f>
        <v>7900.1908917371147</v>
      </c>
      <c r="P331" s="19">
        <f>'price-new'!P87/VLOOKUP($C331,'nymex-new'!$A$2:$B$243,2,FALSE)*1000</f>
        <v>9634.5786746659396</v>
      </c>
      <c r="Q331" s="19">
        <f>'price-new'!Q87/VLOOKUP($C331,'nymex-new'!$A$2:$B$243,2,FALSE)*1000</f>
        <v>7450.7772020725388</v>
      </c>
      <c r="R331" s="19">
        <f>'price-new'!R87/VLOOKUP($C331,'nymex-new'!$A$2:$B$243,2,FALSE)*1000</f>
        <v>8181.0744477774742</v>
      </c>
    </row>
    <row r="332" spans="3:18" x14ac:dyDescent="0.2">
      <c r="C332" s="1">
        <f t="shared" si="26"/>
        <v>39448</v>
      </c>
      <c r="E332" s="19">
        <f>'price-new'!E88/VLOOKUP($C332,'nymex-new'!$A$2:$B$243,2,FALSE)*1000</f>
        <v>8135.0438892640113</v>
      </c>
      <c r="F332" s="19">
        <f>'price-new'!F88/VLOOKUP($C332,'nymex-new'!$A$2:$B$243,2,FALSE)*1000</f>
        <v>8270.0877785280209</v>
      </c>
      <c r="G332" s="19">
        <f>'price-new'!G88/VLOOKUP($C332,'nymex-new'!$A$2:$B$243,2,FALSE)*1000</f>
        <v>8648.2106684672526</v>
      </c>
      <c r="H332" s="19">
        <f>'price-new'!H88/VLOOKUP($C332,'nymex-new'!$A$2:$B$243,2,FALSE)*1000</f>
        <v>7716.4078325455766</v>
      </c>
      <c r="I332" s="19">
        <f>'price-new'!I88/VLOOKUP($C332,'nymex-new'!$A$2:$B$243,2,FALSE)*1000</f>
        <v>8000</v>
      </c>
      <c r="J332" s="19">
        <f>'price-new'!J88/VLOOKUP($C332,'nymex-new'!$A$2:$B$243,2,FALSE)*1000</f>
        <v>8270.0877785280209</v>
      </c>
      <c r="K332" s="19">
        <f>'price-new'!K88/VLOOKUP($C332,'nymex-new'!$A$2:$B$243,2,FALSE)*1000</f>
        <v>11816.340310600945</v>
      </c>
      <c r="L332" s="19">
        <f>'price-new'!L88/VLOOKUP($C332,'nymex-new'!$A$2:$B$243,2,FALSE)*1000</f>
        <v>9099.2572586090464</v>
      </c>
      <c r="M332" s="19">
        <f>'price-new'!M88/VLOOKUP($C332,'nymex-new'!$A$2:$B$243,2,FALSE)*1000</f>
        <v>9047.9405806887244</v>
      </c>
      <c r="N332" s="19">
        <f>'price-new'!N88/VLOOKUP($C332,'nymex-new'!$A$2:$B$243,2,FALSE)*1000</f>
        <v>11883.862255232951</v>
      </c>
      <c r="O332" s="19">
        <f>'price-new'!O88/VLOOKUP($C332,'nymex-new'!$A$2:$B$243,2,FALSE)*1000</f>
        <v>8634.706279540851</v>
      </c>
      <c r="P332" s="19">
        <f>'price-new'!P88/VLOOKUP($C332,'nymex-new'!$A$2:$B$243,2,FALSE)*1000</f>
        <v>9471.9783929777186</v>
      </c>
      <c r="Q332" s="19">
        <f>'price-new'!Q88/VLOOKUP($C332,'nymex-new'!$A$2:$B$243,2,FALSE)*1000</f>
        <v>8005.941931127616</v>
      </c>
      <c r="R332" s="19">
        <f>'price-new'!R88/VLOOKUP($C332,'nymex-new'!$A$2:$B$243,2,FALSE)*1000</f>
        <v>8845.3747467927078</v>
      </c>
    </row>
    <row r="333" spans="3:18" x14ac:dyDescent="0.2">
      <c r="C333" s="1">
        <f t="shared" si="26"/>
        <v>39479</v>
      </c>
      <c r="E333" s="19">
        <f>'price-new'!E89/VLOOKUP($C333,'nymex-new'!$A$2:$B$243,2,FALSE)*1000</f>
        <v>7815.7136980666392</v>
      </c>
      <c r="F333" s="19">
        <f>'price-new'!F89/VLOOKUP($C333,'nymex-new'!$A$2:$B$243,2,FALSE)*1000</f>
        <v>7952.8314822432467</v>
      </c>
      <c r="G333" s="19">
        <f>'price-new'!G89/VLOOKUP($C333,'nymex-new'!$A$2:$B$243,2,FALSE)*1000</f>
        <v>8575.3462224050454</v>
      </c>
      <c r="H333" s="19">
        <f>'price-new'!H89/VLOOKUP($C333,'nymex-new'!$A$2:$B$243,2,FALSE)*1000</f>
        <v>7390.6485671191549</v>
      </c>
      <c r="I333" s="19">
        <f>'price-new'!I89/VLOOKUP($C333,'nymex-new'!$A$2:$B$243,2,FALSE)*1000</f>
        <v>7678.5959138900316</v>
      </c>
      <c r="J333" s="19">
        <f>'price-new'!J89/VLOOKUP($C333,'nymex-new'!$A$2:$B$243,2,FALSE)*1000</f>
        <v>7952.8314822432467</v>
      </c>
      <c r="K333" s="19">
        <f>'price-new'!K89/VLOOKUP($C333,'nymex-new'!$A$2:$B$243,2,FALSE)*1000</f>
        <v>11997.806115453175</v>
      </c>
      <c r="L333" s="19">
        <f>'price-new'!L89/VLOOKUP($C333,'nymex-new'!$A$2:$B$243,2,FALSE)*1000</f>
        <v>8863.2935691759212</v>
      </c>
      <c r="M333" s="19">
        <f>'price-new'!M89/VLOOKUP($C333,'nymex-new'!$A$2:$B$243,2,FALSE)*1000</f>
        <v>9186.8915398327172</v>
      </c>
      <c r="N333" s="19">
        <f>'price-new'!N89/VLOOKUP($C333,'nymex-new'!$A$2:$B$243,2,FALSE)*1000</f>
        <v>12066.365007541477</v>
      </c>
      <c r="O333" s="19">
        <f>'price-new'!O89/VLOOKUP($C333,'nymex-new'!$A$2:$B$243,2,FALSE)*1000</f>
        <v>8509.5296860002745</v>
      </c>
      <c r="P333" s="19">
        <f>'price-new'!P89/VLOOKUP($C333,'nymex-new'!$A$2:$B$243,2,FALSE)*1000</f>
        <v>9447.4153297682715</v>
      </c>
      <c r="Q333" s="19">
        <f>'price-new'!Q89/VLOOKUP($C333,'nymex-new'!$A$2:$B$243,2,FALSE)*1000</f>
        <v>8105.0322226792805</v>
      </c>
      <c r="R333" s="19">
        <f>'price-new'!R89/VLOOKUP($C333,'nymex-new'!$A$2:$B$243,2,FALSE)*1000</f>
        <v>8981.2148635678059</v>
      </c>
    </row>
    <row r="334" spans="3:18" x14ac:dyDescent="0.2">
      <c r="C334" s="1">
        <f t="shared" si="26"/>
        <v>39508</v>
      </c>
      <c r="E334" s="19">
        <f>'price-new'!E90/VLOOKUP($C334,'nymex-new'!$A$2:$B$243,2,FALSE)*1000</f>
        <v>8116.024456135362</v>
      </c>
      <c r="F334" s="19">
        <f>'price-new'!F90/VLOOKUP($C334,'nymex-new'!$A$2:$B$243,2,FALSE)*1000</f>
        <v>8329.3047063841896</v>
      </c>
      <c r="G334" s="19">
        <f>'price-new'!G90/VLOOKUP($C334,'nymex-new'!$A$2:$B$243,2,FALSE)*1000</f>
        <v>8447.6041518555376</v>
      </c>
      <c r="H334" s="19">
        <f>'price-new'!H90/VLOOKUP($C334,'nymex-new'!$A$2:$B$243,2,FALSE)*1000</f>
        <v>7675.2452722877852</v>
      </c>
      <c r="I334" s="19">
        <f>'price-new'!I90/VLOOKUP($C334,'nymex-new'!$A$2:$B$243,2,FALSE)*1000</f>
        <v>7973.8376226361434</v>
      </c>
      <c r="J334" s="19">
        <f>'price-new'!J90/VLOOKUP($C334,'nymex-new'!$A$2:$B$243,2,FALSE)*1000</f>
        <v>8329.3047063841896</v>
      </c>
      <c r="K334" s="19">
        <f>'price-new'!K90/VLOOKUP($C334,'nymex-new'!$A$2:$B$243,2,FALSE)*1000</f>
        <v>10166.358595194084</v>
      </c>
      <c r="L334" s="19">
        <f>'price-new'!L90/VLOOKUP($C334,'nymex-new'!$A$2:$B$243,2,FALSE)*1000</f>
        <v>9122.7072373098235</v>
      </c>
      <c r="M334" s="19">
        <f>'price-new'!M90/VLOOKUP($C334,'nymex-new'!$A$2:$B$243,2,FALSE)*1000</f>
        <v>8957.7705104507331</v>
      </c>
      <c r="N334" s="19">
        <f>'price-new'!N90/VLOOKUP($C334,'nymex-new'!$A$2:$B$243,2,FALSE)*1000</f>
        <v>11090.573012939001</v>
      </c>
      <c r="O334" s="19">
        <f>'price-new'!O90/VLOOKUP($C334,'nymex-new'!$A$2:$B$243,2,FALSE)*1000</f>
        <v>8184.2741362149864</v>
      </c>
      <c r="P334" s="19">
        <f>'price-new'!P90/VLOOKUP($C334,'nymex-new'!$A$2:$B$243,2,FALSE)*1000</f>
        <v>9310.3938575287921</v>
      </c>
      <c r="Q334" s="19">
        <f>'price-new'!Q90/VLOOKUP($C334,'nymex-new'!$A$2:$B$243,2,FALSE)*1000</f>
        <v>8333.570311389165</v>
      </c>
      <c r="R334" s="19">
        <f>'price-new'!R90/VLOOKUP($C334,'nymex-new'!$A$2:$B$243,2,FALSE)*1000</f>
        <v>8531.210009953078</v>
      </c>
    </row>
    <row r="335" spans="3:18" x14ac:dyDescent="0.2">
      <c r="C335" s="1">
        <f t="shared" si="26"/>
        <v>39539</v>
      </c>
      <c r="E335" s="19">
        <f>'price-new'!E91/VLOOKUP($C335,'nymex-new'!$A$2:$B$243,2,FALSE)*1000</f>
        <v>8752.8140477262477</v>
      </c>
      <c r="F335" s="19">
        <f>'price-new'!F91/VLOOKUP($C335,'nymex-new'!$A$2:$B$243,2,FALSE)*1000</f>
        <v>8977.9378658262049</v>
      </c>
      <c r="G335" s="19">
        <f>'price-new'!G91/VLOOKUP($C335,'nymex-new'!$A$2:$B$243,2,FALSE)*1000</f>
        <v>9152.033618490168</v>
      </c>
      <c r="H335" s="19">
        <f>'price-new'!H91/VLOOKUP($C335,'nymex-new'!$A$2:$B$243,2,FALSE)*1000</f>
        <v>8287.5581569863425</v>
      </c>
      <c r="I335" s="19">
        <f>'price-new'!I91/VLOOKUP($C335,'nymex-new'!$A$2:$B$243,2,FALSE)*1000</f>
        <v>8602.7315023262781</v>
      </c>
      <c r="J335" s="19">
        <f>'price-new'!J91/VLOOKUP($C335,'nymex-new'!$A$2:$B$243,2,FALSE)*1000</f>
        <v>8977.9378658262049</v>
      </c>
      <c r="K335" s="19">
        <f>'price-new'!K91/VLOOKUP($C335,'nymex-new'!$A$2:$B$243,2,FALSE)*1000</f>
        <v>10805.943268797839</v>
      </c>
      <c r="L335" s="19">
        <f>'price-new'!L91/VLOOKUP($C335,'nymex-new'!$A$2:$B$243,2,FALSE)*1000</f>
        <v>9815.3984691580372</v>
      </c>
      <c r="M335" s="19">
        <f>'price-new'!M91/VLOOKUP($C335,'nymex-new'!$A$2:$B$243,2,FALSE)*1000</f>
        <v>9455.2003601981087</v>
      </c>
      <c r="N335" s="19">
        <f>'price-new'!N91/VLOOKUP($C335,'nymex-new'!$A$2:$B$243,2,FALSE)*1000</f>
        <v>11706.438541197658</v>
      </c>
      <c r="O335" s="19">
        <f>'price-new'!O91/VLOOKUP($C335,'nymex-new'!$A$2:$B$243,2,FALSE)*1000</f>
        <v>8638.7513132222721</v>
      </c>
      <c r="P335" s="19">
        <f>'price-new'!P91/VLOOKUP($C335,'nymex-new'!$A$2:$B$243,2,FALSE)*1000</f>
        <v>9878.4331382260243</v>
      </c>
      <c r="Q335" s="19">
        <f>'price-new'!Q91/VLOOKUP($C335,'nymex-new'!$A$2:$B$243,2,FALSE)*1000</f>
        <v>8796.6381509830408</v>
      </c>
      <c r="R335" s="19">
        <f>'price-new'!R91/VLOOKUP($C335,'nymex-new'!$A$2:$B$243,2,FALSE)*1000</f>
        <v>9004.9527239981999</v>
      </c>
    </row>
    <row r="336" spans="3:18" x14ac:dyDescent="0.2">
      <c r="C336" s="1">
        <f t="shared" si="26"/>
        <v>39569</v>
      </c>
      <c r="E336" s="19">
        <f>'price-new'!E92/VLOOKUP($C336,'nymex-new'!$A$2:$B$243,2,FALSE)*1000</f>
        <v>9565.6094994739215</v>
      </c>
      <c r="F336" s="19">
        <f>'price-new'!F92/VLOOKUP($C336,'nymex-new'!$A$2:$B$243,2,FALSE)*1000</f>
        <v>9866.2257628137704</v>
      </c>
      <c r="G336" s="19">
        <f>'price-new'!G92/VLOOKUP($C336,'nymex-new'!$A$2:$B$243,2,FALSE)*1000</f>
        <v>9754.9977453780266</v>
      </c>
      <c r="H336" s="19">
        <f>'price-new'!H92/VLOOKUP($C336,'nymex-new'!$A$2:$B$243,2,FALSE)*1000</f>
        <v>9114.6851044641535</v>
      </c>
      <c r="I336" s="19">
        <f>'price-new'!I92/VLOOKUP($C336,'nymex-new'!$A$2:$B$243,2,FALSE)*1000</f>
        <v>9415.3013678039988</v>
      </c>
      <c r="J336" s="19">
        <f>'price-new'!J92/VLOOKUP($C336,'nymex-new'!$A$2:$B$243,2,FALSE)*1000</f>
        <v>9866.2257628137704</v>
      </c>
      <c r="K336" s="19">
        <f>'price-new'!K92/VLOOKUP($C336,'nymex-new'!$A$2:$B$243,2,FALSE)*1000</f>
        <v>10822.185480234481</v>
      </c>
      <c r="L336" s="19">
        <f>'price-new'!L92/VLOOKUP($C336,'nymex-new'!$A$2:$B$243,2,FALSE)*1000</f>
        <v>11170.900345708702</v>
      </c>
      <c r="M336" s="19">
        <f>'price-new'!M92/VLOOKUP($C336,'nymex-new'!$A$2:$B$243,2,FALSE)*1000</f>
        <v>9619.7204268750938</v>
      </c>
      <c r="N336" s="19">
        <f>'price-new'!N92/VLOOKUP($C336,'nymex-new'!$A$2:$B$243,2,FALSE)*1000</f>
        <v>12174.958665263792</v>
      </c>
      <c r="O336" s="19">
        <f>'price-new'!O92/VLOOKUP($C336,'nymex-new'!$A$2:$B$243,2,FALSE)*1000</f>
        <v>9613.7081016082975</v>
      </c>
      <c r="P336" s="19">
        <f>'price-new'!P92/VLOOKUP($C336,'nymex-new'!$A$2:$B$243,2,FALSE)*1000</f>
        <v>9129.7159176311452</v>
      </c>
      <c r="Q336" s="19">
        <f>'price-new'!Q92/VLOOKUP($C336,'nymex-new'!$A$2:$B$243,2,FALSE)*1000</f>
        <v>9668.1196452728109</v>
      </c>
      <c r="R336" s="19">
        <f>'price-new'!R92/VLOOKUP($C336,'nymex-new'!$A$2:$B$243,2,FALSE)*1000</f>
        <v>9694.8744927100561</v>
      </c>
    </row>
    <row r="337" spans="3:18" x14ac:dyDescent="0.2">
      <c r="C337" s="1">
        <f t="shared" si="26"/>
        <v>39600</v>
      </c>
      <c r="E337" s="19">
        <f>'price-new'!E93/VLOOKUP($C337,'nymex-new'!$A$2:$B$243,2,FALSE)*1000</f>
        <v>10867.172393276813</v>
      </c>
      <c r="F337" s="19">
        <f>'price-new'!F93/VLOOKUP($C337,'nymex-new'!$A$2:$B$243,2,FALSE)*1000</f>
        <v>11313.401755168825</v>
      </c>
      <c r="G337" s="19">
        <f>'price-new'!G93/VLOOKUP($C337,'nymex-new'!$A$2:$B$243,2,FALSE)*1000</f>
        <v>10858.247806038971</v>
      </c>
      <c r="H337" s="19">
        <f>'price-new'!H93/VLOOKUP($C337,'nymex-new'!$A$2:$B$243,2,FALSE)*1000</f>
        <v>10376.320095195599</v>
      </c>
      <c r="I337" s="19">
        <f>'price-new'!I93/VLOOKUP($C337,'nymex-new'!$A$2:$B$243,2,FALSE)*1000</f>
        <v>10718.429272646141</v>
      </c>
      <c r="J337" s="19">
        <f>'price-new'!J93/VLOOKUP($C337,'nymex-new'!$A$2:$B$243,2,FALSE)*1000</f>
        <v>11313.401755168825</v>
      </c>
      <c r="K337" s="19">
        <f>'price-new'!K93/VLOOKUP($C337,'nymex-new'!$A$2:$B$243,2,FALSE)*1000</f>
        <v>12122.564331399673</v>
      </c>
      <c r="L337" s="19">
        <f>'price-new'!L93/VLOOKUP($C337,'nymex-new'!$A$2:$B$243,2,FALSE)*1000</f>
        <v>12071.991670385245</v>
      </c>
      <c r="M337" s="19">
        <f>'price-new'!M93/VLOOKUP($C337,'nymex-new'!$A$2:$B$243,2,FALSE)*1000</f>
        <v>12643.165253607021</v>
      </c>
      <c r="N337" s="19">
        <f>'price-new'!N93/VLOOKUP($C337,'nymex-new'!$A$2:$B$243,2,FALSE)*1000</f>
        <v>14576.825821805742</v>
      </c>
      <c r="O337" s="19">
        <f>'price-new'!O93/VLOOKUP($C337,'nymex-new'!$A$2:$B$243,2,FALSE)*1000</f>
        <v>11447.270563736425</v>
      </c>
      <c r="P337" s="19">
        <f>'price-new'!P93/VLOOKUP($C337,'nymex-new'!$A$2:$B$243,2,FALSE)*1000</f>
        <v>9900.3421091774508</v>
      </c>
      <c r="Q337" s="19">
        <f>'price-new'!Q93/VLOOKUP($C337,'nymex-new'!$A$2:$B$243,2,FALSE)*1000</f>
        <v>11642.124051762607</v>
      </c>
      <c r="R337" s="19">
        <f>'price-new'!R93/VLOOKUP($C337,'nymex-new'!$A$2:$B$243,2,FALSE)*1000</f>
        <v>12568.793693291685</v>
      </c>
    </row>
    <row r="338" spans="3:18" x14ac:dyDescent="0.2">
      <c r="C338" s="1">
        <f t="shared" si="26"/>
        <v>39630</v>
      </c>
      <c r="E338" s="19">
        <f>'price-new'!E94/VLOOKUP($C338,'nymex-new'!$A$2:$B$243,2,FALSE)*1000</f>
        <v>14837.571659561958</v>
      </c>
      <c r="F338" s="19">
        <f>'price-new'!F94/VLOOKUP($C338,'nymex-new'!$A$2:$B$243,2,FALSE)*1000</f>
        <v>15572.541525797442</v>
      </c>
      <c r="G338" s="19">
        <f>'price-new'!G94/VLOOKUP($C338,'nymex-new'!$A$2:$B$243,2,FALSE)*1000</f>
        <v>13538.144936057621</v>
      </c>
      <c r="H338" s="19">
        <f>'price-new'!H94/VLOOKUP($C338,'nymex-new'!$A$2:$B$243,2,FALSE)*1000</f>
        <v>14234.896369248861</v>
      </c>
      <c r="I338" s="19">
        <f>'price-new'!I94/VLOOKUP($C338,'nymex-new'!$A$2:$B$243,2,FALSE)*1000</f>
        <v>14690.57768631486</v>
      </c>
      <c r="J338" s="19">
        <f>'price-new'!J94/VLOOKUP($C338,'nymex-new'!$A$2:$B$243,2,FALSE)*1000</f>
        <v>15572.541525797442</v>
      </c>
      <c r="K338" s="19">
        <f>'price-new'!K94/VLOOKUP($C338,'nymex-new'!$A$2:$B$243,2,FALSE)*1000</f>
        <v>14111.421431721299</v>
      </c>
      <c r="L338" s="19">
        <f>'price-new'!L94/VLOOKUP($C338,'nymex-new'!$A$2:$B$243,2,FALSE)*1000</f>
        <v>14764.07467293841</v>
      </c>
      <c r="M338" s="19">
        <f>'price-new'!M94/VLOOKUP($C338,'nymex-new'!$A$2:$B$243,2,FALSE)*1000</f>
        <v>15728.355137439365</v>
      </c>
      <c r="N338" s="19">
        <f>'price-new'!N94/VLOOKUP($C338,'nymex-new'!$A$2:$B$243,2,FALSE)*1000</f>
        <v>20726.150227840659</v>
      </c>
      <c r="O338" s="19">
        <f>'price-new'!O94/VLOOKUP($C338,'nymex-new'!$A$2:$B$243,2,FALSE)*1000</f>
        <v>14567.1027487873</v>
      </c>
      <c r="P338" s="19">
        <f>'price-new'!P94/VLOOKUP($C338,'nymex-new'!$A$2:$B$243,2,FALSE)*1000</f>
        <v>11059.826547111568</v>
      </c>
      <c r="Q338" s="19">
        <f>'price-new'!Q94/VLOOKUP($C338,'nymex-new'!$A$2:$B$243,2,FALSE)*1000</f>
        <v>15161.546376598561</v>
      </c>
      <c r="R338" s="19">
        <f>'price-new'!R94/VLOOKUP($C338,'nymex-new'!$A$2:$B$243,2,FALSE)*1000</f>
        <v>15066.882257827428</v>
      </c>
    </row>
    <row r="339" spans="3:18" x14ac:dyDescent="0.2">
      <c r="C339" s="1">
        <f t="shared" si="26"/>
        <v>39661</v>
      </c>
      <c r="E339" s="19">
        <f>'price-new'!E95/VLOOKUP($C339,'nymex-new'!$A$2:$B$243,2,FALSE)*1000</f>
        <v>14473.34011332268</v>
      </c>
      <c r="F339" s="19">
        <f>'price-new'!F95/VLOOKUP($C339,'nymex-new'!$A$2:$B$243,2,FALSE)*1000</f>
        <v>15199.767543222431</v>
      </c>
      <c r="G339" s="19">
        <f>'price-new'!G95/VLOOKUP($C339,'nymex-new'!$A$2:$B$243,2,FALSE)*1000</f>
        <v>13264.56486996949</v>
      </c>
      <c r="H339" s="19">
        <f>'price-new'!H95/VLOOKUP($C339,'nymex-new'!$A$2:$B$243,2,FALSE)*1000</f>
        <v>13877.66962080488</v>
      </c>
      <c r="I339" s="19">
        <f>'price-new'!I95/VLOOKUP($C339,'nymex-new'!$A$2:$B$243,2,FALSE)*1000</f>
        <v>14328.054627342728</v>
      </c>
      <c r="J339" s="19">
        <f>'price-new'!J95/VLOOKUP($C339,'nymex-new'!$A$2:$B$243,2,FALSE)*1000</f>
        <v>15199.767543222431</v>
      </c>
      <c r="K339" s="19">
        <f>'price-new'!K95/VLOOKUP($C339,'nymex-new'!$A$2:$B$243,2,FALSE)*1000</f>
        <v>13947.406654075257</v>
      </c>
      <c r="L339" s="19">
        <f>'price-new'!L95/VLOOKUP($C339,'nymex-new'!$A$2:$B$243,2,FALSE)*1000</f>
        <v>14691.268342292606</v>
      </c>
      <c r="M339" s="19">
        <f>'price-new'!M95/VLOOKUP($C339,'nymex-new'!$A$2:$B$243,2,FALSE)*1000</f>
        <v>15545.546999854714</v>
      </c>
      <c r="N339" s="19">
        <f>'price-new'!N95/VLOOKUP($C339,'nymex-new'!$A$2:$B$243,2,FALSE)*1000</f>
        <v>20485.253523173036</v>
      </c>
      <c r="O339" s="19">
        <f>'price-new'!O95/VLOOKUP($C339,'nymex-new'!$A$2:$B$243,2,FALSE)*1000</f>
        <v>14107.220688653202</v>
      </c>
      <c r="P339" s="19">
        <f>'price-new'!P95/VLOOKUP($C339,'nymex-new'!$A$2:$B$243,2,FALSE)*1000</f>
        <v>10739.503123637949</v>
      </c>
      <c r="Q339" s="19">
        <f>'price-new'!Q95/VLOOKUP($C339,'nymex-new'!$A$2:$B$243,2,FALSE)*1000</f>
        <v>15057.968908906001</v>
      </c>
      <c r="R339" s="19">
        <f>'price-new'!R95/VLOOKUP($C339,'nymex-new'!$A$2:$B$243,2,FALSE)*1000</f>
        <v>14891.762312944937</v>
      </c>
    </row>
    <row r="340" spans="3:18" x14ac:dyDescent="0.2">
      <c r="C340" s="1">
        <f t="shared" si="26"/>
        <v>39692</v>
      </c>
      <c r="E340" s="19">
        <f>'price-new'!E96/VLOOKUP($C340,'nymex-new'!$A$2:$B$243,2,FALSE)*1000</f>
        <v>7849.3210687691626</v>
      </c>
      <c r="F340" s="19">
        <f>'price-new'!F96/VLOOKUP($C340,'nymex-new'!$A$2:$B$243,2,FALSE)*1000</f>
        <v>8287.3412176960137</v>
      </c>
      <c r="G340" s="19">
        <f>'price-new'!G96/VLOOKUP($C340,'nymex-new'!$A$2:$B$243,2,FALSE)*1000</f>
        <v>9753.2486494378736</v>
      </c>
      <c r="H340" s="19">
        <f>'price-new'!H96/VLOOKUP($C340,'nymex-new'!$A$2:$B$243,2,FALSE)*1000</f>
        <v>7484.3042779967873</v>
      </c>
      <c r="I340" s="19">
        <f>'price-new'!I96/VLOOKUP($C340,'nymex-new'!$A$2:$B$243,2,FALSE)*1000</f>
        <v>7703.3143524602128</v>
      </c>
      <c r="J340" s="19">
        <f>'price-new'!J96/VLOOKUP($C340,'nymex-new'!$A$2:$B$243,2,FALSE)*1000</f>
        <v>8287.3412176960137</v>
      </c>
      <c r="K340" s="19">
        <f>'price-new'!K96/VLOOKUP($C340,'nymex-new'!$A$2:$B$243,2,FALSE)*1000</f>
        <v>10220.470141626514</v>
      </c>
      <c r="L340" s="19">
        <f>'price-new'!L96/VLOOKUP($C340,'nymex-new'!$A$2:$B$243,2,FALSE)*1000</f>
        <v>8643.5976054898529</v>
      </c>
      <c r="M340" s="19">
        <f>'price-new'!M96/VLOOKUP($C340,'nymex-new'!$A$2:$B$243,2,FALSE)*1000</f>
        <v>9125.4197693093884</v>
      </c>
      <c r="N340" s="19">
        <f>'price-new'!N96/VLOOKUP($C340,'nymex-new'!$A$2:$B$243,2,FALSE)*1000</f>
        <v>11388.523872098116</v>
      </c>
      <c r="O340" s="19">
        <f>'price-new'!O96/VLOOKUP($C340,'nymex-new'!$A$2:$B$243,2,FALSE)*1000</f>
        <v>7919.4042925974591</v>
      </c>
      <c r="P340" s="19">
        <f>'price-new'!P96/VLOOKUP($C340,'nymex-new'!$A$2:$B$243,2,FALSE)*1000</f>
        <v>7221.4921886406773</v>
      </c>
      <c r="Q340" s="19">
        <f>'price-new'!Q96/VLOOKUP($C340,'nymex-new'!$A$2:$B$243,2,FALSE)*1000</f>
        <v>7552.0513943641399</v>
      </c>
      <c r="R340" s="19">
        <f>'price-new'!R96/VLOOKUP($C340,'nymex-new'!$A$2:$B$243,2,FALSE)*1000</f>
        <v>8833.406336691487</v>
      </c>
    </row>
    <row r="341" spans="3:18" x14ac:dyDescent="0.2">
      <c r="C341" s="1">
        <f t="shared" si="26"/>
        <v>39722</v>
      </c>
      <c r="E341" s="19">
        <f>'price-new'!E97/VLOOKUP($C341,'nymex-new'!$A$2:$B$243,2,FALSE)*1000</f>
        <v>8372.2278591100148</v>
      </c>
      <c r="F341" s="19">
        <f>'price-new'!F97/VLOOKUP($C341,'nymex-new'!$A$2:$B$243,2,FALSE)*1000</f>
        <v>8372.2278591100148</v>
      </c>
      <c r="G341" s="19">
        <f>'price-new'!G97/VLOOKUP($C341,'nymex-new'!$A$2:$B$243,2,FALSE)*1000</f>
        <v>9166.545876213946</v>
      </c>
      <c r="H341" s="19">
        <f>'price-new'!H97/VLOOKUP($C341,'nymex-new'!$A$2:$B$243,2,FALSE)*1000</f>
        <v>8009.8565009421654</v>
      </c>
      <c r="I341" s="19">
        <f>'price-new'!I97/VLOOKUP($C341,'nymex-new'!$A$2:$B$243,2,FALSE)*1000</f>
        <v>8227.279315842874</v>
      </c>
      <c r="J341" s="19">
        <f>'price-new'!J97/VLOOKUP($C341,'nymex-new'!$A$2:$B$243,2,FALSE)*1000</f>
        <v>8372.2278591100148</v>
      </c>
      <c r="K341" s="19">
        <f>'price-new'!K97/VLOOKUP($C341,'nymex-new'!$A$2:$B$243,2,FALSE)*1000</f>
        <v>10073.923757066241</v>
      </c>
      <c r="L341" s="19">
        <f>'price-new'!L97/VLOOKUP($C341,'nymex-new'!$A$2:$B$243,2,FALSE)*1000</f>
        <v>8853.4570227569202</v>
      </c>
      <c r="M341" s="19">
        <f>'price-new'!M97/VLOOKUP($C341,'nymex-new'!$A$2:$B$243,2,FALSE)*1000</f>
        <v>9059.2839541962603</v>
      </c>
      <c r="N341" s="19">
        <f>'price-new'!N97/VLOOKUP($C341,'nymex-new'!$A$2:$B$243,2,FALSE)*1000</f>
        <v>11305.986374836932</v>
      </c>
      <c r="O341" s="19">
        <f>'price-new'!O97/VLOOKUP($C341,'nymex-new'!$A$2:$B$243,2,FALSE)*1000</f>
        <v>8517.1764023771557</v>
      </c>
      <c r="P341" s="19">
        <f>'price-new'!P97/VLOOKUP($C341,'nymex-new'!$A$2:$B$243,2,FALSE)*1000</f>
        <v>9296.9995651543704</v>
      </c>
      <c r="Q341" s="19">
        <f>'price-new'!Q97/VLOOKUP($C341,'nymex-new'!$A$2:$B$243,2,FALSE)*1000</f>
        <v>8126.3951297289459</v>
      </c>
      <c r="R341" s="19">
        <f>'price-new'!R97/VLOOKUP($C341,'nymex-new'!$A$2:$B$243,2,FALSE)*1000</f>
        <v>8769.3868676619804</v>
      </c>
    </row>
    <row r="342" spans="3:18" x14ac:dyDescent="0.2">
      <c r="C342" s="1">
        <f t="shared" si="26"/>
        <v>39753</v>
      </c>
      <c r="E342" s="19">
        <f>'price-new'!E98/VLOOKUP($C342,'nymex-new'!$A$2:$B$243,2,FALSE)*1000</f>
        <v>8163.2653061224473</v>
      </c>
      <c r="F342" s="19">
        <f>'price-new'!F98/VLOOKUP($C342,'nymex-new'!$A$2:$B$243,2,FALSE)*1000</f>
        <v>8163.2653061224473</v>
      </c>
      <c r="G342" s="19">
        <f>'price-new'!G98/VLOOKUP($C342,'nymex-new'!$A$2:$B$243,2,FALSE)*1000</f>
        <v>8502.0130501180047</v>
      </c>
      <c r="H342" s="19">
        <f>'price-new'!H98/VLOOKUP($C342,'nymex-new'!$A$2:$B$243,2,FALSE)*1000</f>
        <v>7816.187699569623</v>
      </c>
      <c r="I342" s="19">
        <f>'price-new'!I98/VLOOKUP($C342,'nymex-new'!$A$2:$B$243,2,FALSE)*1000</f>
        <v>8024.4342635013181</v>
      </c>
      <c r="J342" s="19">
        <f>'price-new'!J98/VLOOKUP($C342,'nymex-new'!$A$2:$B$243,2,FALSE)*1000</f>
        <v>8163.2653061224473</v>
      </c>
      <c r="K342" s="19">
        <f>'price-new'!K98/VLOOKUP($C342,'nymex-new'!$A$2:$B$243,2,FALSE)*1000</f>
        <v>9648.7574621685399</v>
      </c>
      <c r="L342" s="19">
        <f>'price-new'!L98/VLOOKUP($C342,'nymex-new'!$A$2:$B$243,2,FALSE)*1000</f>
        <v>8624.1843676246008</v>
      </c>
      <c r="M342" s="19">
        <f>'price-new'!M98/VLOOKUP($C342,'nymex-new'!$A$2:$B$243,2,FALSE)*1000</f>
        <v>8676.9401638206309</v>
      </c>
      <c r="N342" s="19">
        <f>'price-new'!N98/VLOOKUP($C342,'nymex-new'!$A$2:$B$243,2,FALSE)*1000</f>
        <v>10828.821324448147</v>
      </c>
      <c r="O342" s="19">
        <f>'price-new'!O98/VLOOKUP($C342,'nymex-new'!$A$2:$B$243,2,FALSE)*1000</f>
        <v>8157.7120644176039</v>
      </c>
      <c r="P342" s="19">
        <f>'price-new'!P98/VLOOKUP($C342,'nymex-new'!$A$2:$B$243,2,FALSE)*1000</f>
        <v>9993.0584478689434</v>
      </c>
      <c r="Q342" s="19">
        <f>'price-new'!Q98/VLOOKUP($C342,'nymex-new'!$A$2:$B$243,2,FALSE)*1000</f>
        <v>7811.1897820352633</v>
      </c>
      <c r="R342" s="19">
        <f>'price-new'!R98/VLOOKUP($C342,'nymex-new'!$A$2:$B$243,2,FALSE)*1000</f>
        <v>8399.2780785783689</v>
      </c>
    </row>
    <row r="343" spans="3:18" x14ac:dyDescent="0.2">
      <c r="C343" s="1">
        <f t="shared" si="26"/>
        <v>39783</v>
      </c>
      <c r="E343" s="19">
        <f>'price-new'!E99/VLOOKUP($C343,'nymex-new'!$A$2:$B$243,2,FALSE)*1000</f>
        <v>7942.3153959140072</v>
      </c>
      <c r="F343" s="19">
        <f>'price-new'!F99/VLOOKUP($C343,'nymex-new'!$A$2:$B$243,2,FALSE)*1000</f>
        <v>7942.3153959140072</v>
      </c>
      <c r="G343" s="19">
        <f>'price-new'!G99/VLOOKUP($C343,'nymex-new'!$A$2:$B$243,2,FALSE)*1000</f>
        <v>8417.6792629189476</v>
      </c>
      <c r="H343" s="19">
        <f>'price-new'!H99/VLOOKUP($C343,'nymex-new'!$A$2:$B$243,2,FALSE)*1000</f>
        <v>7608.4924556015485</v>
      </c>
      <c r="I343" s="19">
        <f>'price-new'!I99/VLOOKUP($C343,'nymex-new'!$A$2:$B$243,2,FALSE)*1000</f>
        <v>7808.7862197890236</v>
      </c>
      <c r="J343" s="19">
        <f>'price-new'!J99/VLOOKUP($C343,'nymex-new'!$A$2:$B$243,2,FALSE)*1000</f>
        <v>7942.3153959140072</v>
      </c>
      <c r="K343" s="19">
        <f>'price-new'!K99/VLOOKUP($C343,'nymex-new'!$A$2:$B$243,2,FALSE)*1000</f>
        <v>9280.2777406863406</v>
      </c>
      <c r="L343" s="19">
        <f>'price-new'!L99/VLOOKUP($C343,'nymex-new'!$A$2:$B$243,2,FALSE)*1000</f>
        <v>8385.6322606489521</v>
      </c>
      <c r="M343" s="19">
        <f>'price-new'!M99/VLOOKUP($C343,'nymex-new'!$A$2:$B$243,2,FALSE)*1000</f>
        <v>8345.5735078114576</v>
      </c>
      <c r="N343" s="19">
        <f>'price-new'!N99/VLOOKUP($C343,'nymex-new'!$A$2:$B$243,2,FALSE)*1000</f>
        <v>10415.2757377487</v>
      </c>
      <c r="O343" s="19">
        <f>'price-new'!O99/VLOOKUP($C343,'nymex-new'!$A$2:$B$243,2,FALSE)*1000</f>
        <v>7846.1743891040187</v>
      </c>
      <c r="P343" s="19">
        <f>'price-new'!P99/VLOOKUP($C343,'nymex-new'!$A$2:$B$243,2,FALSE)*1000</f>
        <v>9809.0532781412749</v>
      </c>
      <c r="Q343" s="19">
        <f>'price-new'!Q99/VLOOKUP($C343,'nymex-new'!$A$2:$B$243,2,FALSE)*1000</f>
        <v>7539.5914007210577</v>
      </c>
      <c r="R343" s="19">
        <f>'price-new'!R99/VLOOKUP($C343,'nymex-new'!$A$2:$B$243,2,FALSE)*1000</f>
        <v>8078.5151555614902</v>
      </c>
    </row>
    <row r="344" spans="3:18" x14ac:dyDescent="0.2">
      <c r="C344" s="1">
        <f t="shared" ref="C344:C367" si="27">C99</f>
        <v>39814</v>
      </c>
      <c r="E344" s="19">
        <f>'price-new'!E100/VLOOKUP($C344,'nymex-new'!$A$2:$B$243,2,FALSE)*1000</f>
        <v>8341.0442828816922</v>
      </c>
      <c r="F344" s="19">
        <f>'price-new'!F100/VLOOKUP($C344,'nymex-new'!$A$2:$B$243,2,FALSE)*1000</f>
        <v>8473.2319894249831</v>
      </c>
      <c r="G344" s="19">
        <f>'price-new'!G100/VLOOKUP($C344,'nymex-new'!$A$2:$B$243,2,FALSE)*1000</f>
        <v>8703.2385988103106</v>
      </c>
      <c r="H344" s="19">
        <f>'price-new'!H100/VLOOKUP($C344,'nymex-new'!$A$2:$B$243,2,FALSE)*1000</f>
        <v>7931.2623925974885</v>
      </c>
      <c r="I344" s="19">
        <f>'price-new'!I100/VLOOKUP($C344,'nymex-new'!$A$2:$B$243,2,FALSE)*1000</f>
        <v>8208.8565763383995</v>
      </c>
      <c r="J344" s="19">
        <f>'price-new'!J100/VLOOKUP($C344,'nymex-new'!$A$2:$B$243,2,FALSE)*1000</f>
        <v>8473.2319894249831</v>
      </c>
      <c r="K344" s="19">
        <f>'price-new'!K100/VLOOKUP($C344,'nymex-new'!$A$2:$B$243,2,FALSE)*1000</f>
        <v>11698.612029081294</v>
      </c>
      <c r="L344" s="19">
        <f>'price-new'!L100/VLOOKUP($C344,'nymex-new'!$A$2:$B$243,2,FALSE)*1000</f>
        <v>9181.7580964970239</v>
      </c>
      <c r="M344" s="19">
        <f>'price-new'!M100/VLOOKUP($C344,'nymex-new'!$A$2:$B$243,2,FALSE)*1000</f>
        <v>9054.857898215465</v>
      </c>
      <c r="N344" s="19">
        <f>'price-new'!N100/VLOOKUP($C344,'nymex-new'!$A$2:$B$243,2,FALSE)*1000</f>
        <v>11764.705882352941</v>
      </c>
      <c r="O344" s="19">
        <f>'price-new'!O100/VLOOKUP($C344,'nymex-new'!$A$2:$B$243,2,FALSE)*1000</f>
        <v>8621.28222075347</v>
      </c>
      <c r="P344" s="19">
        <f>'price-new'!P100/VLOOKUP($C344,'nymex-new'!$A$2:$B$243,2,FALSE)*1000</f>
        <v>9781.8902842035677</v>
      </c>
      <c r="Q344" s="19">
        <f>'price-new'!Q100/VLOOKUP($C344,'nymex-new'!$A$2:$B$243,2,FALSE)*1000</f>
        <v>8151.2227362855256</v>
      </c>
      <c r="R344" s="19">
        <f>'price-new'!R100/VLOOKUP($C344,'nymex-new'!$A$2:$B$243,2,FALSE)*1000</f>
        <v>8790.4824851288813</v>
      </c>
    </row>
    <row r="345" spans="3:18" x14ac:dyDescent="0.2">
      <c r="C345" s="1">
        <f t="shared" si="27"/>
        <v>39845</v>
      </c>
      <c r="E345" s="19">
        <f>'price-new'!E101/VLOOKUP($C345,'nymex-new'!$A$2:$B$243,2,FALSE)*1000</f>
        <v>8007.5137528512014</v>
      </c>
      <c r="F345" s="19">
        <f>'price-new'!F101/VLOOKUP($C345,'nymex-new'!$A$2:$B$243,2,FALSE)*1000</f>
        <v>8141.6879109083593</v>
      </c>
      <c r="G345" s="19">
        <f>'price-new'!G101/VLOOKUP($C345,'nymex-new'!$A$2:$B$243,2,FALSE)*1000</f>
        <v>8632.7653293975582</v>
      </c>
      <c r="H345" s="19">
        <f>'price-new'!H101/VLOOKUP($C345,'nymex-new'!$A$2:$B$243,2,FALSE)*1000</f>
        <v>7591.57386287401</v>
      </c>
      <c r="I345" s="19">
        <f>'price-new'!I101/VLOOKUP($C345,'nymex-new'!$A$2:$B$243,2,FALSE)*1000</f>
        <v>7873.3395947940417</v>
      </c>
      <c r="J345" s="19">
        <f>'price-new'!J101/VLOOKUP($C345,'nymex-new'!$A$2:$B$243,2,FALSE)*1000</f>
        <v>8141.6879109083593</v>
      </c>
      <c r="K345" s="19">
        <f>'price-new'!K101/VLOOKUP($C345,'nymex-new'!$A$2:$B$243,2,FALSE)*1000</f>
        <v>11874.412988058501</v>
      </c>
      <c r="L345" s="19">
        <f>'price-new'!L101/VLOOKUP($C345,'nymex-new'!$A$2:$B$243,2,FALSE)*1000</f>
        <v>9091.6409499530382</v>
      </c>
      <c r="M345" s="19">
        <f>'price-new'!M101/VLOOKUP($C345,'nymex-new'!$A$2:$B$243,2,FALSE)*1000</f>
        <v>9190.9298269153351</v>
      </c>
      <c r="N345" s="19">
        <f>'price-new'!N101/VLOOKUP($C345,'nymex-new'!$A$2:$B$243,2,FALSE)*1000</f>
        <v>11941.500067087078</v>
      </c>
      <c r="O345" s="19">
        <f>'price-new'!O101/VLOOKUP($C345,'nymex-new'!$A$2:$B$243,2,FALSE)*1000</f>
        <v>8329.5317321883813</v>
      </c>
      <c r="P345" s="19">
        <f>'price-new'!P101/VLOOKUP($C345,'nymex-new'!$A$2:$B$243,2,FALSE)*1000</f>
        <v>9738.3603917885412</v>
      </c>
      <c r="Q345" s="19">
        <f>'price-new'!Q101/VLOOKUP($C345,'nymex-new'!$A$2:$B$243,2,FALSE)*1000</f>
        <v>8054.4747081712057</v>
      </c>
      <c r="R345" s="19">
        <f>'price-new'!R101/VLOOKUP($C345,'nymex-new'!$A$2:$B$243,2,FALSE)*1000</f>
        <v>8922.5815108010211</v>
      </c>
    </row>
    <row r="346" spans="3:18" x14ac:dyDescent="0.2">
      <c r="C346" s="1">
        <f t="shared" si="27"/>
        <v>39873</v>
      </c>
      <c r="E346" s="19">
        <f>'price-new'!E102/VLOOKUP($C346,'nymex-new'!$A$2:$B$243,2,FALSE)*1000</f>
        <v>7888.2246628666762</v>
      </c>
      <c r="F346" s="19">
        <f>'price-new'!F102/VLOOKUP($C346,'nymex-new'!$A$2:$B$243,2,FALSE)*1000</f>
        <v>8096.7607396079529</v>
      </c>
      <c r="G346" s="19">
        <f>'price-new'!G102/VLOOKUP($C346,'nymex-new'!$A$2:$B$243,2,FALSE)*1000</f>
        <v>8509.9402196580031</v>
      </c>
      <c r="H346" s="19">
        <f>'price-new'!H102/VLOOKUP($C346,'nymex-new'!$A$2:$B$243,2,FALSE)*1000</f>
        <v>7457.2501042680387</v>
      </c>
      <c r="I346" s="19">
        <f>'price-new'!I102/VLOOKUP($C346,'nymex-new'!$A$2:$B$243,2,FALSE)*1000</f>
        <v>7749.2006117058254</v>
      </c>
      <c r="J346" s="19">
        <f>'price-new'!J102/VLOOKUP($C346,'nymex-new'!$A$2:$B$243,2,FALSE)*1000</f>
        <v>8096.7607396079529</v>
      </c>
      <c r="K346" s="19">
        <f>'price-new'!K102/VLOOKUP($C346,'nymex-new'!$A$2:$B$243,2,FALSE)*1000</f>
        <v>10079.243709161687</v>
      </c>
      <c r="L346" s="19">
        <f>'price-new'!L102/VLOOKUP($C346,'nymex-new'!$A$2:$B$243,2,FALSE)*1000</f>
        <v>8936.4660086194926</v>
      </c>
      <c r="M346" s="19">
        <f>'price-new'!M102/VLOOKUP($C346,'nymex-new'!$A$2:$B$243,2,FALSE)*1000</f>
        <v>8897.5392742944532</v>
      </c>
      <c r="N346" s="19">
        <f>'price-new'!N102/VLOOKUP($C346,'nymex-new'!$A$2:$B$243,2,FALSE)*1000</f>
        <v>10982.900041707217</v>
      </c>
      <c r="O346" s="19">
        <f>'price-new'!O102/VLOOKUP($C346,'nymex-new'!$A$2:$B$243,2,FALSE)*1000</f>
        <v>8005.0048658417909</v>
      </c>
      <c r="P346" s="19">
        <f>'price-new'!P102/VLOOKUP($C346,'nymex-new'!$A$2:$B$243,2,FALSE)*1000</f>
        <v>9195.0507437786746</v>
      </c>
      <c r="Q346" s="19">
        <f>'price-new'!Q102/VLOOKUP($C346,'nymex-new'!$A$2:$B$243,2,FALSE)*1000</f>
        <v>8276.379813707772</v>
      </c>
      <c r="R346" s="19">
        <f>'price-new'!R102/VLOOKUP($C346,'nymex-new'!$A$2:$B$243,2,FALSE)*1000</f>
        <v>8549.9791463923266</v>
      </c>
    </row>
    <row r="347" spans="3:18" x14ac:dyDescent="0.2">
      <c r="C347" s="1">
        <f t="shared" si="27"/>
        <v>39904</v>
      </c>
      <c r="E347" s="19">
        <f>'price-new'!E103/VLOOKUP($C347,'nymex-new'!$A$2:$B$243,2,FALSE)*1000</f>
        <v>8145.9768430309241</v>
      </c>
      <c r="F347" s="19">
        <f>'price-new'!F103/VLOOKUP($C347,'nymex-new'!$A$2:$B$243,2,FALSE)*1000</f>
        <v>8365.8214861497872</v>
      </c>
      <c r="G347" s="19">
        <f>'price-new'!G103/VLOOKUP($C347,'nymex-new'!$A$2:$B$243,2,FALSE)*1000</f>
        <v>9201.2311300014662</v>
      </c>
      <c r="H347" s="19">
        <f>'price-new'!H103/VLOOKUP($C347,'nymex-new'!$A$2:$B$243,2,FALSE)*1000</f>
        <v>7691.6312472519412</v>
      </c>
      <c r="I347" s="19">
        <f>'price-new'!I103/VLOOKUP($C347,'nymex-new'!$A$2:$B$243,2,FALSE)*1000</f>
        <v>7999.4137476183487</v>
      </c>
      <c r="J347" s="19">
        <f>'price-new'!J103/VLOOKUP($C347,'nymex-new'!$A$2:$B$243,2,FALSE)*1000</f>
        <v>8365.8214861497872</v>
      </c>
      <c r="K347" s="19">
        <f>'price-new'!K103/VLOOKUP($C347,'nymex-new'!$A$2:$B$243,2,FALSE)*1000</f>
        <v>10699.105965117984</v>
      </c>
      <c r="L347" s="19">
        <f>'price-new'!L103/VLOOKUP($C347,'nymex-new'!$A$2:$B$243,2,FALSE)*1000</f>
        <v>9251.0625824417402</v>
      </c>
      <c r="M347" s="19">
        <f>'price-new'!M103/VLOOKUP($C347,'nymex-new'!$A$2:$B$243,2,FALSE)*1000</f>
        <v>9380.038106404807</v>
      </c>
      <c r="N347" s="19">
        <f>'price-new'!N103/VLOOKUP($C347,'nymex-new'!$A$2:$B$243,2,FALSE)*1000</f>
        <v>11578.484537593433</v>
      </c>
      <c r="O347" s="19">
        <f>'price-new'!O103/VLOOKUP($C347,'nymex-new'!$A$2:$B$243,2,FALSE)*1000</f>
        <v>8439.103033856074</v>
      </c>
      <c r="P347" s="19">
        <f>'price-new'!P103/VLOOKUP($C347,'nymex-new'!$A$2:$B$243,2,FALSE)*1000</f>
        <v>9391.7631540378134</v>
      </c>
      <c r="Q347" s="19">
        <f>'price-new'!Q103/VLOOKUP($C347,'nymex-new'!$A$2:$B$243,2,FALSE)*1000</f>
        <v>8725.1941961014218</v>
      </c>
      <c r="R347" s="19">
        <f>'price-new'!R103/VLOOKUP($C347,'nymex-new'!$A$2:$B$243,2,FALSE)*1000</f>
        <v>9013.6303678733675</v>
      </c>
    </row>
    <row r="348" spans="3:18" x14ac:dyDescent="0.2">
      <c r="C348" s="1">
        <f t="shared" si="27"/>
        <v>39934</v>
      </c>
      <c r="E348" s="19">
        <f>'price-new'!E104/VLOOKUP($C348,'nymex-new'!$A$2:$B$243,2,FALSE)*1000</f>
        <v>9340.9658006751797</v>
      </c>
      <c r="F348" s="19">
        <f>'price-new'!F104/VLOOKUP($C348,'nymex-new'!$A$2:$B$243,2,FALSE)*1000</f>
        <v>9634.5222369000458</v>
      </c>
      <c r="G348" s="19">
        <f>'price-new'!G104/VLOOKUP($C348,'nymex-new'!$A$2:$B$243,2,FALSE)*1000</f>
        <v>9790.1071480992232</v>
      </c>
      <c r="H348" s="19">
        <f>'price-new'!H104/VLOOKUP($C348,'nymex-new'!$A$2:$B$243,2,FALSE)*1000</f>
        <v>8900.6311463378843</v>
      </c>
      <c r="I348" s="19">
        <f>'price-new'!I104/VLOOKUP($C348,'nymex-new'!$A$2:$B$243,2,FALSE)*1000</f>
        <v>9194.1875825627485</v>
      </c>
      <c r="J348" s="19">
        <f>'price-new'!J104/VLOOKUP($C348,'nymex-new'!$A$2:$B$243,2,FALSE)*1000</f>
        <v>9634.5222369000458</v>
      </c>
      <c r="K348" s="19">
        <f>'price-new'!K104/VLOOKUP($C348,'nymex-new'!$A$2:$B$243,2,FALSE)*1000</f>
        <v>10714.809922207545</v>
      </c>
      <c r="L348" s="19">
        <f>'price-new'!L104/VLOOKUP($C348,'nymex-new'!$A$2:$B$243,2,FALSE)*1000</f>
        <v>10976.075150447674</v>
      </c>
      <c r="M348" s="19">
        <f>'price-new'!M104/VLOOKUP($C348,'nymex-new'!$A$2:$B$243,2,FALSE)*1000</f>
        <v>9760.751504476737</v>
      </c>
      <c r="N348" s="19">
        <f>'price-new'!N104/VLOOKUP($C348,'nymex-new'!$A$2:$B$243,2,FALSE)*1000</f>
        <v>11742.257448994569</v>
      </c>
      <c r="O348" s="19">
        <f>'price-new'!O104/VLOOKUP($C348,'nymex-new'!$A$2:$B$243,2,FALSE)*1000</f>
        <v>9537.6486129458408</v>
      </c>
      <c r="P348" s="19">
        <f>'price-new'!P104/VLOOKUP($C348,'nymex-new'!$A$2:$B$243,2,FALSE)*1000</f>
        <v>9062.0871862615586</v>
      </c>
      <c r="Q348" s="19">
        <f>'price-new'!Q104/VLOOKUP($C348,'nymex-new'!$A$2:$B$243,2,FALSE)*1000</f>
        <v>9722.8827242037278</v>
      </c>
      <c r="R348" s="19">
        <f>'price-new'!R104/VLOOKUP($C348,'nymex-new'!$A$2:$B$243,2,FALSE)*1000</f>
        <v>9613.9732863643039</v>
      </c>
    </row>
    <row r="349" spans="3:18" x14ac:dyDescent="0.2">
      <c r="C349" s="1">
        <f t="shared" si="27"/>
        <v>39965</v>
      </c>
      <c r="E349" s="19">
        <f>'price-new'!E105/VLOOKUP($C349,'nymex-new'!$A$2:$B$243,2,FALSE)*1000</f>
        <v>11041.696934476246</v>
      </c>
      <c r="F349" s="19">
        <f>'price-new'!F105/VLOOKUP($C349,'nymex-new'!$A$2:$B$243,2,FALSE)*1000</f>
        <v>11477.553392416099</v>
      </c>
      <c r="G349" s="19">
        <f>'price-new'!G105/VLOOKUP($C349,'nymex-new'!$A$2:$B$243,2,FALSE)*1000</f>
        <v>10867.354351300304</v>
      </c>
      <c r="H349" s="19">
        <f>'price-new'!H105/VLOOKUP($C349,'nymex-new'!$A$2:$B$243,2,FALSE)*1000</f>
        <v>10562.254830742409</v>
      </c>
      <c r="I349" s="19">
        <f>'price-new'!I105/VLOOKUP($C349,'nymex-new'!$A$2:$B$243,2,FALSE)*1000</f>
        <v>10896.411448496296</v>
      </c>
      <c r="J349" s="19">
        <f>'price-new'!J105/VLOOKUP($C349,'nymex-new'!$A$2:$B$243,2,FALSE)*1000</f>
        <v>11477.553392416099</v>
      </c>
      <c r="K349" s="19">
        <f>'price-new'!K105/VLOOKUP($C349,'nymex-new'!$A$2:$B$243,2,FALSE)*1000</f>
        <v>11986.052593345925</v>
      </c>
      <c r="L349" s="19">
        <f>'price-new'!L105/VLOOKUP($C349,'nymex-new'!$A$2:$B$243,2,FALSE)*1000</f>
        <v>12392.851954089785</v>
      </c>
      <c r="M349" s="19">
        <f>'price-new'!M105/VLOOKUP($C349,'nymex-new'!$A$2:$B$243,2,FALSE)*1000</f>
        <v>12494.551794275752</v>
      </c>
      <c r="N349" s="19">
        <f>'price-new'!N105/VLOOKUP($C349,'nymex-new'!$A$2:$B$243,2,FALSE)*1000</f>
        <v>14528.548597995061</v>
      </c>
      <c r="O349" s="19">
        <f>'price-new'!O105/VLOOKUP($C349,'nymex-new'!$A$2:$B$243,2,FALSE)*1000</f>
        <v>11515.327618770887</v>
      </c>
      <c r="P349" s="19">
        <f>'price-new'!P105/VLOOKUP($C349,'nymex-new'!$A$2:$B$243,2,FALSE)*1000</f>
        <v>10242.626761586518</v>
      </c>
      <c r="Q349" s="19">
        <f>'price-new'!Q105/VLOOKUP($C349,'nymex-new'!$A$2:$B$243,2,FALSE)*1000</f>
        <v>11836.408542786576</v>
      </c>
      <c r="R349" s="19">
        <f>'price-new'!R105/VLOOKUP($C349,'nymex-new'!$A$2:$B$243,2,FALSE)*1000</f>
        <v>12421.909051285777</v>
      </c>
    </row>
    <row r="350" spans="3:18" x14ac:dyDescent="0.2">
      <c r="C350" s="1">
        <f t="shared" si="27"/>
        <v>39995</v>
      </c>
      <c r="E350" s="19">
        <f>'price-new'!E106/VLOOKUP($C350,'nymex-new'!$A$2:$B$243,2,FALSE)*1000</f>
        <v>14931.782277753842</v>
      </c>
      <c r="F350" s="19">
        <f>'price-new'!F106/VLOOKUP($C350,'nymex-new'!$A$2:$B$243,2,FALSE)*1000</f>
        <v>15649.863564555508</v>
      </c>
      <c r="G350" s="19">
        <f>'price-new'!G106/VLOOKUP($C350,'nymex-new'!$A$2:$B$243,2,FALSE)*1000</f>
        <v>13485.566566135287</v>
      </c>
      <c r="H350" s="19">
        <f>'price-new'!H106/VLOOKUP($C350,'nymex-new'!$A$2:$B$243,2,FALSE)*1000</f>
        <v>14342.955622576475</v>
      </c>
      <c r="I350" s="19">
        <f>'price-new'!I106/VLOOKUP($C350,'nymex-new'!$A$2:$B$243,2,FALSE)*1000</f>
        <v>14788.166020393508</v>
      </c>
      <c r="J350" s="19">
        <f>'price-new'!J106/VLOOKUP($C350,'nymex-new'!$A$2:$B$243,2,FALSE)*1000</f>
        <v>15649.863564555508</v>
      </c>
      <c r="K350" s="19">
        <f>'price-new'!K106/VLOOKUP($C350,'nymex-new'!$A$2:$B$243,2,FALSE)*1000</f>
        <v>13930.776963952319</v>
      </c>
      <c r="L350" s="19">
        <f>'price-new'!L106/VLOOKUP($C350,'nymex-new'!$A$2:$B$243,2,FALSE)*1000</f>
        <v>15075.398535114175</v>
      </c>
      <c r="M350" s="19">
        <f>'price-new'!M106/VLOOKUP($C350,'nymex-new'!$A$2:$B$243,2,FALSE)*1000</f>
        <v>15510.555794915983</v>
      </c>
      <c r="N350" s="19">
        <f>'price-new'!N106/VLOOKUP($C350,'nymex-new'!$A$2:$B$243,2,FALSE)*1000</f>
        <v>20393.508545167311</v>
      </c>
      <c r="O350" s="19">
        <f>'price-new'!O106/VLOOKUP($C350,'nymex-new'!$A$2:$B$243,2,FALSE)*1000</f>
        <v>14591.411747809851</v>
      </c>
      <c r="P350" s="19">
        <f>'price-new'!P106/VLOOKUP($C350,'nymex-new'!$A$2:$B$243,2,FALSE)*1000</f>
        <v>11384.46072095361</v>
      </c>
      <c r="Q350" s="19">
        <f>'price-new'!Q106/VLOOKUP($C350,'nymex-new'!$A$2:$B$243,2,FALSE)*1000</f>
        <v>15301.450524199339</v>
      </c>
      <c r="R350" s="19">
        <f>'price-new'!R106/VLOOKUP($C350,'nymex-new'!$A$2:$B$243,2,FALSE)*1000</f>
        <v>14864.282636794485</v>
      </c>
    </row>
    <row r="351" spans="3:18" x14ac:dyDescent="0.2">
      <c r="C351" s="1">
        <f t="shared" si="27"/>
        <v>40026</v>
      </c>
      <c r="E351" s="19">
        <f>'price-new'!E107/VLOOKUP($C351,'nymex-new'!$A$2:$B$243,2,FALSE)*1000</f>
        <v>14532.159591083344</v>
      </c>
      <c r="F351" s="19">
        <f>'price-new'!F107/VLOOKUP($C351,'nymex-new'!$A$2:$B$243,2,FALSE)*1000</f>
        <v>15242.084339060058</v>
      </c>
      <c r="G351" s="19">
        <f>'price-new'!G107/VLOOKUP($C351,'nymex-new'!$A$2:$B$243,2,FALSE)*1000</f>
        <v>13218.798807326422</v>
      </c>
      <c r="H351" s="19">
        <f>'price-new'!H107/VLOOKUP($C351,'nymex-new'!$A$2:$B$243,2,FALSE)*1000</f>
        <v>13950.021297742438</v>
      </c>
      <c r="I351" s="19">
        <f>'price-new'!I107/VLOOKUP($C351,'nymex-new'!$A$2:$B$243,2,FALSE)*1000</f>
        <v>14390.174641488</v>
      </c>
      <c r="J351" s="19">
        <f>'price-new'!J107/VLOOKUP($C351,'nymex-new'!$A$2:$B$243,2,FALSE)*1000</f>
        <v>15242.084339060058</v>
      </c>
      <c r="K351" s="19">
        <f>'price-new'!K107/VLOOKUP($C351,'nymex-new'!$A$2:$B$243,2,FALSE)*1000</f>
        <v>13772.540110748259</v>
      </c>
      <c r="L351" s="19">
        <f>'price-new'!L107/VLOOKUP($C351,'nymex-new'!$A$2:$B$243,2,FALSE)*1000</f>
        <v>14958.114439869372</v>
      </c>
      <c r="M351" s="19">
        <f>'price-new'!M107/VLOOKUP($C351,'nymex-new'!$A$2:$B$243,2,FALSE)*1000</f>
        <v>15334.374556297033</v>
      </c>
      <c r="N351" s="19">
        <f>'price-new'!N107/VLOOKUP($C351,'nymex-new'!$A$2:$B$243,2,FALSE)*1000</f>
        <v>20161.862842538689</v>
      </c>
      <c r="O351" s="19">
        <f>'price-new'!O107/VLOOKUP($C351,'nymex-new'!$A$2:$B$243,2,FALSE)*1000</f>
        <v>14141.700979696152</v>
      </c>
      <c r="P351" s="19">
        <f>'price-new'!P107/VLOOKUP($C351,'nymex-new'!$A$2:$B$243,2,FALSE)*1000</f>
        <v>11025.131336078375</v>
      </c>
      <c r="Q351" s="19">
        <f>'price-new'!Q107/VLOOKUP($C351,'nymex-new'!$A$2:$B$243,2,FALSE)*1000</f>
        <v>15198.636944483884</v>
      </c>
      <c r="R351" s="19">
        <f>'price-new'!R107/VLOOKUP($C351,'nymex-new'!$A$2:$B$243,2,FALSE)*1000</f>
        <v>14695.442283117989</v>
      </c>
    </row>
    <row r="352" spans="3:18" x14ac:dyDescent="0.2">
      <c r="C352" s="1">
        <f t="shared" si="27"/>
        <v>40057</v>
      </c>
      <c r="E352" s="19">
        <f>'price-new'!E108/VLOOKUP($C352,'nymex-new'!$A$2:$B$243,2,FALSE)*1000</f>
        <v>7924.0975888143812</v>
      </c>
      <c r="F352" s="19">
        <f>'price-new'!F108/VLOOKUP($C352,'nymex-new'!$A$2:$B$243,2,FALSE)*1000</f>
        <v>8352.1187045227562</v>
      </c>
      <c r="G352" s="19">
        <f>'price-new'!G108/VLOOKUP($C352,'nymex-new'!$A$2:$B$243,2,FALSE)*1000</f>
        <v>9787.4161791981733</v>
      </c>
      <c r="H352" s="19">
        <f>'price-new'!H108/VLOOKUP($C352,'nymex-new'!$A$2:$B$243,2,FALSE)*1000</f>
        <v>7567.4133257240683</v>
      </c>
      <c r="I352" s="19">
        <f>'price-new'!I108/VLOOKUP($C352,'nymex-new'!$A$2:$B$243,2,FALSE)*1000</f>
        <v>7781.4238835782562</v>
      </c>
      <c r="J352" s="19">
        <f>'price-new'!J108/VLOOKUP($C352,'nymex-new'!$A$2:$B$243,2,FALSE)*1000</f>
        <v>8352.1187045227562</v>
      </c>
      <c r="K352" s="19">
        <f>'price-new'!K108/VLOOKUP($C352,'nymex-new'!$A$2:$B$243,2,FALSE)*1000</f>
        <v>10129.833071764873</v>
      </c>
      <c r="L352" s="19">
        <f>'price-new'!L108/VLOOKUP($C352,'nymex-new'!$A$2:$B$243,2,FALSE)*1000</f>
        <v>8737.3377086602941</v>
      </c>
      <c r="M352" s="19">
        <f>'price-new'!M108/VLOOKUP($C352,'nymex-new'!$A$2:$B$243,2,FALSE)*1000</f>
        <v>9059.7802824939354</v>
      </c>
      <c r="N352" s="19">
        <f>'price-new'!N108/VLOOKUP($C352,'nymex-new'!$A$2:$B$243,2,FALSE)*1000</f>
        <v>11271.222713653873</v>
      </c>
      <c r="O352" s="19">
        <f>'price-new'!O108/VLOOKUP($C352,'nymex-new'!$A$2:$B$243,2,FALSE)*1000</f>
        <v>7698.6731345413036</v>
      </c>
      <c r="P352" s="19">
        <f>'price-new'!P108/VLOOKUP($C352,'nymex-new'!$A$2:$B$243,2,FALSE)*1000</f>
        <v>7453.2743615351692</v>
      </c>
      <c r="Q352" s="19">
        <f>'price-new'!Q108/VLOOKUP($C352,'nymex-new'!$A$2:$B$243,2,FALSE)*1000</f>
        <v>7468.1124268797257</v>
      </c>
      <c r="R352" s="19">
        <f>'price-new'!R108/VLOOKUP($C352,'nymex-new'!$A$2:$B$243,2,FALSE)*1000</f>
        <v>8774.4328720216854</v>
      </c>
    </row>
    <row r="353" spans="3:18" x14ac:dyDescent="0.2">
      <c r="C353" s="1">
        <f t="shared" si="27"/>
        <v>40087</v>
      </c>
      <c r="E353" s="19">
        <f>'price-new'!E109/VLOOKUP($C353,'nymex-new'!$A$2:$B$243,2,FALSE)*1000</f>
        <v>8233.460830145912</v>
      </c>
      <c r="F353" s="19">
        <f>'price-new'!F109/VLOOKUP($C353,'nymex-new'!$A$2:$B$243,2,FALSE)*1000</f>
        <v>8233.460830145912</v>
      </c>
      <c r="G353" s="19">
        <f>'price-new'!G109/VLOOKUP($C353,'nymex-new'!$A$2:$B$243,2,FALSE)*1000</f>
        <v>9213.7696557586078</v>
      </c>
      <c r="H353" s="19">
        <f>'price-new'!H109/VLOOKUP($C353,'nymex-new'!$A$2:$B$243,2,FALSE)*1000</f>
        <v>7879.3030174245641</v>
      </c>
      <c r="I353" s="19">
        <f>'price-new'!I109/VLOOKUP($C353,'nymex-new'!$A$2:$B$243,2,FALSE)*1000</f>
        <v>8091.7977050573718</v>
      </c>
      <c r="J353" s="19">
        <f>'price-new'!J109/VLOOKUP($C353,'nymex-new'!$A$2:$B$243,2,FALSE)*1000</f>
        <v>8233.460830145912</v>
      </c>
      <c r="K353" s="19">
        <f>'price-new'!K109/VLOOKUP($C353,'nymex-new'!$A$2:$B$243,2,FALSE)*1000</f>
        <v>9987.2503187420316</v>
      </c>
      <c r="L353" s="19">
        <f>'price-new'!L109/VLOOKUP($C353,'nymex-new'!$A$2:$B$243,2,FALSE)*1000</f>
        <v>8771.7807054823643</v>
      </c>
      <c r="M353" s="19">
        <f>'price-new'!M109/VLOOKUP($C353,'nymex-new'!$A$2:$B$243,2,FALSE)*1000</f>
        <v>8995.6084431222534</v>
      </c>
      <c r="N353" s="19">
        <f>'price-new'!N109/VLOOKUP($C353,'nymex-new'!$A$2:$B$243,2,FALSE)*1000</f>
        <v>11191.386881994618</v>
      </c>
      <c r="O353" s="19">
        <f>'price-new'!O109/VLOOKUP($C353,'nymex-new'!$A$2:$B$243,2,FALSE)*1000</f>
        <v>8326.9584927043488</v>
      </c>
      <c r="P353" s="19">
        <f>'price-new'!P109/VLOOKUP($C353,'nymex-new'!$A$2:$B$243,2,FALSE)*1000</f>
        <v>9278.934693299334</v>
      </c>
      <c r="Q353" s="19">
        <f>'price-new'!Q109/VLOOKUP($C353,'nymex-new'!$A$2:$B$243,2,FALSE)*1000</f>
        <v>8072.5315200453324</v>
      </c>
      <c r="R353" s="19">
        <f>'price-new'!R109/VLOOKUP($C353,'nymex-new'!$A$2:$B$243,2,FALSE)*1000</f>
        <v>8712.2821929451766</v>
      </c>
    </row>
    <row r="354" spans="3:18" x14ac:dyDescent="0.2">
      <c r="C354" s="1">
        <f t="shared" si="27"/>
        <v>40118</v>
      </c>
      <c r="E354" s="19">
        <f>'price-new'!E110/VLOOKUP($C354,'nymex-new'!$A$2:$B$243,2,FALSE)*1000</f>
        <v>7708.8143419801709</v>
      </c>
      <c r="F354" s="19">
        <f>'price-new'!F110/VLOOKUP($C354,'nymex-new'!$A$2:$B$243,2,FALSE)*1000</f>
        <v>7708.8143419801709</v>
      </c>
      <c r="G354" s="19">
        <f>'price-new'!G110/VLOOKUP($C354,'nymex-new'!$A$2:$B$243,2,FALSE)*1000</f>
        <v>8561.7275567024317</v>
      </c>
      <c r="H354" s="19">
        <f>'price-new'!H110/VLOOKUP($C354,'nymex-new'!$A$2:$B$243,2,FALSE)*1000</f>
        <v>7369.2788265652589</v>
      </c>
      <c r="I354" s="19">
        <f>'price-new'!I110/VLOOKUP($C354,'nymex-new'!$A$2:$B$243,2,FALSE)*1000</f>
        <v>7573.0001358142054</v>
      </c>
      <c r="J354" s="19">
        <f>'price-new'!J110/VLOOKUP($C354,'nymex-new'!$A$2:$B$243,2,FALSE)*1000</f>
        <v>7708.8143419801709</v>
      </c>
      <c r="K354" s="19">
        <f>'price-new'!K110/VLOOKUP($C354,'nymex-new'!$A$2:$B$243,2,FALSE)*1000</f>
        <v>9574.9015347005297</v>
      </c>
      <c r="L354" s="19">
        <f>'price-new'!L110/VLOOKUP($C354,'nymex-new'!$A$2:$B$243,2,FALSE)*1000</f>
        <v>8224.9083254108373</v>
      </c>
      <c r="M354" s="19">
        <f>'price-new'!M110/VLOOKUP($C354,'nymex-new'!$A$2:$B$243,2,FALSE)*1000</f>
        <v>8624.2020915387748</v>
      </c>
      <c r="N354" s="19">
        <f>'price-new'!N110/VLOOKUP($C354,'nymex-new'!$A$2:$B$243,2,FALSE)*1000</f>
        <v>10729.32228711123</v>
      </c>
      <c r="O354" s="19">
        <f>'price-new'!O110/VLOOKUP($C354,'nymex-new'!$A$2:$B$243,2,FALSE)*1000</f>
        <v>7983.1590384354195</v>
      </c>
      <c r="P354" s="19">
        <f>'price-new'!P110/VLOOKUP($C354,'nymex-new'!$A$2:$B$243,2,FALSE)*1000</f>
        <v>9634.6597854135543</v>
      </c>
      <c r="Q354" s="19">
        <f>'price-new'!Q110/VLOOKUP($C354,'nymex-new'!$A$2:$B$243,2,FALSE)*1000</f>
        <v>7766.3995653945403</v>
      </c>
      <c r="R354" s="19">
        <f>'price-new'!R110/VLOOKUP($C354,'nymex-new'!$A$2:$B$243,2,FALSE)*1000</f>
        <v>8352.5736792068456</v>
      </c>
    </row>
    <row r="355" spans="3:18" x14ac:dyDescent="0.2">
      <c r="C355" s="1">
        <f t="shared" si="27"/>
        <v>40148</v>
      </c>
      <c r="E355" s="19">
        <f>'price-new'!E111/VLOOKUP($C355,'nymex-new'!$A$2:$B$243,2,FALSE)*1000</f>
        <v>7710.8118708327875</v>
      </c>
      <c r="F355" s="19">
        <f>'price-new'!F111/VLOOKUP($C355,'nymex-new'!$A$2:$B$243,2,FALSE)*1000</f>
        <v>7710.8118708327875</v>
      </c>
      <c r="G355" s="19">
        <f>'price-new'!G111/VLOOKUP($C355,'nymex-new'!$A$2:$B$243,2,FALSE)*1000</f>
        <v>8476.9250882468295</v>
      </c>
      <c r="H355" s="19">
        <f>'price-new'!H111/VLOOKUP($C355,'nymex-new'!$A$2:$B$243,2,FALSE)*1000</f>
        <v>7383.9717610145117</v>
      </c>
      <c r="I355" s="19">
        <f>'price-new'!I111/VLOOKUP($C355,'nymex-new'!$A$2:$B$243,2,FALSE)*1000</f>
        <v>7580.0758269054777</v>
      </c>
      <c r="J355" s="19">
        <f>'price-new'!J111/VLOOKUP($C355,'nymex-new'!$A$2:$B$243,2,FALSE)*1000</f>
        <v>7710.8118708327875</v>
      </c>
      <c r="K355" s="19">
        <f>'price-new'!K111/VLOOKUP($C355,'nymex-new'!$A$2:$B$243,2,FALSE)*1000</f>
        <v>9216.891096875408</v>
      </c>
      <c r="L355" s="19">
        <f>'price-new'!L111/VLOOKUP($C355,'nymex-new'!$A$2:$B$243,2,FALSE)*1000</f>
        <v>8207.6088377565702</v>
      </c>
      <c r="M355" s="19">
        <f>'price-new'!M111/VLOOKUP($C355,'nymex-new'!$A$2:$B$243,2,FALSE)*1000</f>
        <v>8301.7387893842333</v>
      </c>
      <c r="N355" s="19">
        <f>'price-new'!N111/VLOOKUP($C355,'nymex-new'!$A$2:$B$243,2,FALSE)*1000</f>
        <v>10328.147470257551</v>
      </c>
      <c r="O355" s="19">
        <f>'price-new'!O111/VLOOKUP($C355,'nymex-new'!$A$2:$B$243,2,FALSE)*1000</f>
        <v>7684.6646620473266</v>
      </c>
      <c r="P355" s="19">
        <f>'price-new'!P111/VLOOKUP($C355,'nymex-new'!$A$2:$B$243,2,FALSE)*1000</f>
        <v>9669.2378088639034</v>
      </c>
      <c r="Q355" s="19">
        <f>'price-new'!Q111/VLOOKUP($C355,'nymex-new'!$A$2:$B$243,2,FALSE)*1000</f>
        <v>7502.1571447248007</v>
      </c>
      <c r="R355" s="19">
        <f>'price-new'!R111/VLOOKUP($C355,'nymex-new'!$A$2:$B$243,2,FALSE)*1000</f>
        <v>8040.266701529612</v>
      </c>
    </row>
    <row r="356" spans="3:18" x14ac:dyDescent="0.2">
      <c r="C356" s="1">
        <f t="shared" si="27"/>
        <v>40179</v>
      </c>
      <c r="E356" s="19">
        <f>'price-new'!E112/VLOOKUP($C356,'nymex-new'!$A$2:$B$243,2,FALSE)*1000</f>
        <v>8124.2718446601948</v>
      </c>
      <c r="F356" s="19">
        <f>'price-new'!F112/VLOOKUP($C356,'nymex-new'!$A$2:$B$243,2,FALSE)*1000</f>
        <v>8253.7216828478959</v>
      </c>
      <c r="G356" s="19">
        <f>'price-new'!G112/VLOOKUP($C356,'nymex-new'!$A$2:$B$243,2,FALSE)*1000</f>
        <v>8755.9870550161813</v>
      </c>
      <c r="H356" s="19">
        <f>'price-new'!H112/VLOOKUP($C356,'nymex-new'!$A$2:$B$243,2,FALSE)*1000</f>
        <v>7722.9773462783178</v>
      </c>
      <c r="I356" s="19">
        <f>'price-new'!I112/VLOOKUP($C356,'nymex-new'!$A$2:$B$243,2,FALSE)*1000</f>
        <v>7994.8220064724919</v>
      </c>
      <c r="J356" s="19">
        <f>'price-new'!J112/VLOOKUP($C356,'nymex-new'!$A$2:$B$243,2,FALSE)*1000</f>
        <v>8253.7216828478959</v>
      </c>
      <c r="K356" s="19">
        <f>'price-new'!K112/VLOOKUP($C356,'nymex-new'!$A$2:$B$243,2,FALSE)*1000</f>
        <v>11585.760517799354</v>
      </c>
      <c r="L356" s="19">
        <f>'price-new'!L112/VLOOKUP($C356,'nymex-new'!$A$2:$B$243,2,FALSE)*1000</f>
        <v>9058.8996763754058</v>
      </c>
      <c r="M356" s="19">
        <f>'price-new'!M112/VLOOKUP($C356,'nymex-new'!$A$2:$B$243,2,FALSE)*1000</f>
        <v>9061.4886731391598</v>
      </c>
      <c r="N356" s="19">
        <f>'price-new'!N112/VLOOKUP($C356,'nymex-new'!$A$2:$B$243,2,FALSE)*1000</f>
        <v>11650.485436893205</v>
      </c>
      <c r="O356" s="19">
        <f>'price-new'!O112/VLOOKUP($C356,'nymex-new'!$A$2:$B$243,2,FALSE)*1000</f>
        <v>8434.9514563106804</v>
      </c>
      <c r="P356" s="19">
        <f>'price-new'!P112/VLOOKUP($C356,'nymex-new'!$A$2:$B$243,2,FALSE)*1000</f>
        <v>9600</v>
      </c>
      <c r="Q356" s="19">
        <f>'price-new'!Q112/VLOOKUP($C356,'nymex-new'!$A$2:$B$243,2,FALSE)*1000</f>
        <v>7987.5728155339812</v>
      </c>
      <c r="R356" s="19">
        <f>'price-new'!R112/VLOOKUP($C356,'nymex-new'!$A$2:$B$243,2,FALSE)*1000</f>
        <v>8608.4142394822011</v>
      </c>
    </row>
    <row r="357" spans="3:18" x14ac:dyDescent="0.2">
      <c r="C357" s="1">
        <f t="shared" si="27"/>
        <v>40210</v>
      </c>
      <c r="E357" s="19">
        <f>'price-new'!E113/VLOOKUP($C357,'nymex-new'!$A$2:$B$243,2,FALSE)*1000</f>
        <v>8099.303822409036</v>
      </c>
      <c r="F357" s="19">
        <f>'price-new'!F113/VLOOKUP($C357,'nymex-new'!$A$2:$B$243,2,FALSE)*1000</f>
        <v>8230.6580848548529</v>
      </c>
      <c r="G357" s="19">
        <f>'price-new'!G113/VLOOKUP($C357,'nymex-new'!$A$2:$B$243,2,FALSE)*1000</f>
        <v>8687.770918166294</v>
      </c>
      <c r="H357" s="19">
        <f>'price-new'!H113/VLOOKUP($C357,'nymex-new'!$A$2:$B$243,2,FALSE)*1000</f>
        <v>7692.1056088270061</v>
      </c>
      <c r="I357" s="19">
        <f>'price-new'!I113/VLOOKUP($C357,'nymex-new'!$A$2:$B$243,2,FALSE)*1000</f>
        <v>7967.9495599632201</v>
      </c>
      <c r="J357" s="19">
        <f>'price-new'!J113/VLOOKUP($C357,'nymex-new'!$A$2:$B$243,2,FALSE)*1000</f>
        <v>8230.6580848548529</v>
      </c>
      <c r="K357" s="19">
        <f>'price-new'!K113/VLOOKUP($C357,'nymex-new'!$A$2:$B$243,2,FALSE)*1000</f>
        <v>11756.206488900563</v>
      </c>
      <c r="L357" s="19">
        <f>'price-new'!L113/VLOOKUP($C357,'nymex-new'!$A$2:$B$243,2,FALSE)*1000</f>
        <v>9094.969131748323</v>
      </c>
      <c r="M357" s="19">
        <f>'price-new'!M113/VLOOKUP($C357,'nymex-new'!$A$2:$B$243,2,FALSE)*1000</f>
        <v>9194.7983712071455</v>
      </c>
      <c r="N357" s="19">
        <f>'price-new'!N113/VLOOKUP($C357,'nymex-new'!$A$2:$B$243,2,FALSE)*1000</f>
        <v>11821.883620123472</v>
      </c>
      <c r="O357" s="19">
        <f>'price-new'!O113/VLOOKUP($C357,'nymex-new'!$A$2:$B$243,2,FALSE)*1000</f>
        <v>8325.2331538158414</v>
      </c>
      <c r="P357" s="19">
        <f>'price-new'!P113/VLOOKUP($C357,'nymex-new'!$A$2:$B$243,2,FALSE)*1000</f>
        <v>9859.4509391829761</v>
      </c>
      <c r="Q357" s="19">
        <f>'price-new'!Q113/VLOOKUP($C357,'nymex-new'!$A$2:$B$243,2,FALSE)*1000</f>
        <v>8069.0923420464987</v>
      </c>
      <c r="R357" s="19">
        <f>'price-new'!R113/VLOOKUP($C357,'nymex-new'!$A$2:$B$243,2,FALSE)*1000</f>
        <v>8735.0584526467883</v>
      </c>
    </row>
    <row r="358" spans="3:18" x14ac:dyDescent="0.2">
      <c r="C358" s="1">
        <f t="shared" si="27"/>
        <v>40238</v>
      </c>
      <c r="E358" s="19">
        <f>'price-new'!E114/VLOOKUP($C358,'nymex-new'!$A$2:$B$243,2,FALSE)*1000</f>
        <v>8013.0558955528368</v>
      </c>
      <c r="F358" s="19">
        <f>'price-new'!F114/VLOOKUP($C358,'nymex-new'!$A$2:$B$243,2,FALSE)*1000</f>
        <v>8217.0542635658912</v>
      </c>
      <c r="G358" s="19">
        <f>'price-new'!G114/VLOOKUP($C358,'nymex-new'!$A$2:$B$243,2,FALSE)*1000</f>
        <v>8569.5634434924523</v>
      </c>
      <c r="H358" s="19">
        <f>'price-new'!H114/VLOOKUP($C358,'nymex-new'!$A$2:$B$243,2,FALSE)*1000</f>
        <v>7591.4592683258534</v>
      </c>
      <c r="I358" s="19">
        <f>'price-new'!I114/VLOOKUP($C358,'nymex-new'!$A$2:$B$243,2,FALSE)*1000</f>
        <v>7877.056983544132</v>
      </c>
      <c r="J358" s="19">
        <f>'price-new'!J114/VLOOKUP($C358,'nymex-new'!$A$2:$B$243,2,FALSE)*1000</f>
        <v>8217.0542635658912</v>
      </c>
      <c r="K358" s="19">
        <f>'price-new'!K114/VLOOKUP($C358,'nymex-new'!$A$2:$B$243,2,FALSE)*1000</f>
        <v>9995.9200326397404</v>
      </c>
      <c r="L358" s="19">
        <f>'price-new'!L114/VLOOKUP($C358,'nymex-new'!$A$2:$B$243,2,FALSE)*1000</f>
        <v>8970.4882360941101</v>
      </c>
      <c r="M358" s="19">
        <f>'price-new'!M114/VLOOKUP($C358,'nymex-new'!$A$2:$B$243,2,FALSE)*1000</f>
        <v>8839.9292805657551</v>
      </c>
      <c r="N358" s="19">
        <f>'price-new'!N114/VLOOKUP($C358,'nymex-new'!$A$2:$B$243,2,FALSE)*1000</f>
        <v>10879.912960696314</v>
      </c>
      <c r="O358" s="19">
        <f>'price-new'!O114/VLOOKUP($C358,'nymex-new'!$A$2:$B$243,2,FALSE)*1000</f>
        <v>8007.6159390724888</v>
      </c>
      <c r="P358" s="19">
        <f>'price-new'!P114/VLOOKUP($C358,'nymex-new'!$A$2:$B$243,2,FALSE)*1000</f>
        <v>9359.4451244390038</v>
      </c>
      <c r="Q358" s="19">
        <f>'price-new'!Q114/VLOOKUP($C358,'nymex-new'!$A$2:$B$243,2,FALSE)*1000</f>
        <v>8286.6857065143486</v>
      </c>
      <c r="R358" s="19">
        <f>'price-new'!R114/VLOOKUP($C358,'nymex-new'!$A$2:$B$243,2,FALSE)*1000</f>
        <v>8431.9325445396425</v>
      </c>
    </row>
    <row r="359" spans="3:18" x14ac:dyDescent="0.2">
      <c r="C359" s="1">
        <f t="shared" si="27"/>
        <v>40269</v>
      </c>
      <c r="E359" s="19">
        <f>'price-new'!E115/VLOOKUP($C359,'nymex-new'!$A$2:$B$243,2,FALSE)*1000</f>
        <v>8426.1778605184027</v>
      </c>
      <c r="F359" s="19">
        <f>'price-new'!F115/VLOOKUP($C359,'nymex-new'!$A$2:$B$243,2,FALSE)*1000</f>
        <v>8640.9852498925975</v>
      </c>
      <c r="G359" s="19">
        <f>'price-new'!G115/VLOOKUP($C359,'nymex-new'!$A$2:$B$243,2,FALSE)*1000</f>
        <v>9248.1741371903208</v>
      </c>
      <c r="H359" s="19">
        <f>'price-new'!H115/VLOOKUP($C359,'nymex-new'!$A$2:$B$243,2,FALSE)*1000</f>
        <v>7982.2425891450675</v>
      </c>
      <c r="I359" s="19">
        <f>'price-new'!I115/VLOOKUP($C359,'nymex-new'!$A$2:$B$243,2,FALSE)*1000</f>
        <v>8282.9729342689407</v>
      </c>
      <c r="J359" s="19">
        <f>'price-new'!J115/VLOOKUP($C359,'nymex-new'!$A$2:$B$243,2,FALSE)*1000</f>
        <v>8640.9852498925975</v>
      </c>
      <c r="K359" s="19">
        <f>'price-new'!K115/VLOOKUP($C359,'nymex-new'!$A$2:$B$243,2,FALSE)*1000</f>
        <v>10597.164542460261</v>
      </c>
      <c r="L359" s="19">
        <f>'price-new'!L115/VLOOKUP($C359,'nymex-new'!$A$2:$B$243,2,FALSE)*1000</f>
        <v>9434.3405413146211</v>
      </c>
      <c r="M359" s="19">
        <f>'price-new'!M115/VLOOKUP($C359,'nymex-new'!$A$2:$B$243,2,FALSE)*1000</f>
        <v>9308.3202062150958</v>
      </c>
      <c r="N359" s="19">
        <f>'price-new'!N115/VLOOKUP($C359,'nymex-new'!$A$2:$B$243,2,FALSE)*1000</f>
        <v>11456.394099957039</v>
      </c>
      <c r="O359" s="19">
        <f>'price-new'!O115/VLOOKUP($C359,'nymex-new'!$A$2:$B$243,2,FALSE)*1000</f>
        <v>8431.9060575683816</v>
      </c>
      <c r="P359" s="19">
        <f>'price-new'!P115/VLOOKUP($C359,'nymex-new'!$A$2:$B$243,2,FALSE)*1000</f>
        <v>9715.0221967635698</v>
      </c>
      <c r="Q359" s="19">
        <f>'price-new'!Q115/VLOOKUP($C359,'nymex-new'!$A$2:$B$243,2,FALSE)*1000</f>
        <v>8725.7625662322789</v>
      </c>
      <c r="R359" s="19">
        <f>'price-new'!R115/VLOOKUP($C359,'nymex-new'!$A$2:$B$243,2,FALSE)*1000</f>
        <v>8878.7054274667062</v>
      </c>
    </row>
    <row r="360" spans="3:18" x14ac:dyDescent="0.2">
      <c r="C360" s="1">
        <f t="shared" si="27"/>
        <v>40299</v>
      </c>
      <c r="E360" s="19">
        <f>'price-new'!E116/VLOOKUP($C360,'nymex-new'!$A$2:$B$243,2,FALSE)*1000</f>
        <v>9347.4831492901194</v>
      </c>
      <c r="F360" s="19">
        <f>'price-new'!F116/VLOOKUP($C360,'nymex-new'!$A$2:$B$243,2,FALSE)*1000</f>
        <v>9634.3037430087479</v>
      </c>
      <c r="G360" s="19">
        <f>'price-new'!G116/VLOOKUP($C360,'nymex-new'!$A$2:$B$243,2,FALSE)*1000</f>
        <v>9823.605334863043</v>
      </c>
      <c r="H360" s="19">
        <f>'price-new'!H116/VLOOKUP($C360,'nymex-new'!$A$2:$B$243,2,FALSE)*1000</f>
        <v>8917.2522587121766</v>
      </c>
      <c r="I360" s="19">
        <f>'price-new'!I116/VLOOKUP($C360,'nymex-new'!$A$2:$B$243,2,FALSE)*1000</f>
        <v>9204.0728524308051</v>
      </c>
      <c r="J360" s="19">
        <f>'price-new'!J116/VLOOKUP($C360,'nymex-new'!$A$2:$B$243,2,FALSE)*1000</f>
        <v>9634.3037430087479</v>
      </c>
      <c r="K360" s="19">
        <f>'price-new'!K116/VLOOKUP($C360,'nymex-new'!$A$2:$B$243,2,FALSE)*1000</f>
        <v>10612.361967589273</v>
      </c>
      <c r="L360" s="19">
        <f>'price-new'!L116/VLOOKUP($C360,'nymex-new'!$A$2:$B$243,2,FALSE)*1000</f>
        <v>10873.368707873224</v>
      </c>
      <c r="M360" s="19">
        <f>'price-new'!M116/VLOOKUP($C360,'nymex-new'!$A$2:$B$243,2,FALSE)*1000</f>
        <v>9680.1950380037288</v>
      </c>
      <c r="N360" s="19">
        <f>'price-new'!N116/VLOOKUP($C360,'nymex-new'!$A$2:$B$243,2,FALSE)*1000</f>
        <v>12046.464936182419</v>
      </c>
      <c r="O360" s="19">
        <f>'price-new'!O116/VLOOKUP($C360,'nymex-new'!$A$2:$B$243,2,FALSE)*1000</f>
        <v>9648.6447726946808</v>
      </c>
      <c r="P360" s="19">
        <f>'price-new'!P116/VLOOKUP($C360,'nymex-new'!$A$2:$B$243,2,FALSE)*1000</f>
        <v>9146.7087336870791</v>
      </c>
      <c r="Q360" s="19">
        <f>'price-new'!Q116/VLOOKUP($C360,'nymex-new'!$A$2:$B$243,2,FALSE)*1000</f>
        <v>9843.9695970170651</v>
      </c>
      <c r="R360" s="19">
        <f>'price-new'!R116/VLOOKUP($C360,'nymex-new'!$A$2:$B$243,2,FALSE)*1000</f>
        <v>9465.0795927147574</v>
      </c>
    </row>
    <row r="361" spans="3:18" x14ac:dyDescent="0.2">
      <c r="C361" s="1">
        <f t="shared" si="27"/>
        <v>40330</v>
      </c>
      <c r="E361" s="19">
        <f>'price-new'!E117/VLOOKUP($C361,'nymex-new'!$A$2:$B$243,2,FALSE)*1000</f>
        <v>11003.833593639074</v>
      </c>
      <c r="F361" s="19">
        <f>'price-new'!F117/VLOOKUP($C361,'nymex-new'!$A$2:$B$243,2,FALSE)*1000</f>
        <v>11429.788442425102</v>
      </c>
      <c r="G361" s="19">
        <f>'price-new'!G117/VLOOKUP($C361,'nymex-new'!$A$2:$B$243,2,FALSE)*1000</f>
        <v>10876.047139003264</v>
      </c>
      <c r="H361" s="19">
        <f>'price-new'!H117/VLOOKUP($C361,'nymex-new'!$A$2:$B$243,2,FALSE)*1000</f>
        <v>10535.283259974443</v>
      </c>
      <c r="I361" s="19">
        <f>'price-new'!I117/VLOOKUP($C361,'nymex-new'!$A$2:$B$243,2,FALSE)*1000</f>
        <v>10861.84864404373</v>
      </c>
      <c r="J361" s="19">
        <f>'price-new'!J117/VLOOKUP($C361,'nymex-new'!$A$2:$B$243,2,FALSE)*1000</f>
        <v>11429.788442425102</v>
      </c>
      <c r="K361" s="19">
        <f>'price-new'!K117/VLOOKUP($C361,'nymex-new'!$A$2:$B$243,2,FALSE)*1000</f>
        <v>11855.743291211133</v>
      </c>
      <c r="L361" s="19">
        <f>'price-new'!L117/VLOOKUP($C361,'nymex-new'!$A$2:$B$243,2,FALSE)*1000</f>
        <v>12230.583558142836</v>
      </c>
      <c r="M361" s="19">
        <f>'price-new'!M117/VLOOKUP($C361,'nymex-new'!$A$2:$B$243,2,FALSE)*1000</f>
        <v>12352.69061479483</v>
      </c>
      <c r="N361" s="19">
        <f>'price-new'!N117/VLOOKUP($C361,'nymex-new'!$A$2:$B$243,2,FALSE)*1000</f>
        <v>14766.434757915662</v>
      </c>
      <c r="O361" s="19">
        <f>'price-new'!O117/VLOOKUP($C361,'nymex-new'!$A$2:$B$243,2,FALSE)*1000</f>
        <v>11915.376970041176</v>
      </c>
      <c r="P361" s="19">
        <f>'price-new'!P117/VLOOKUP($C361,'nymex-new'!$A$2:$B$243,2,FALSE)*1000</f>
        <v>10293.908845662359</v>
      </c>
      <c r="Q361" s="19">
        <f>'price-new'!Q117/VLOOKUP($C361,'nymex-new'!$A$2:$B$243,2,FALSE)*1000</f>
        <v>12243.362203606419</v>
      </c>
      <c r="R361" s="19">
        <f>'price-new'!R117/VLOOKUP($C361,'nymex-new'!$A$2:$B$243,2,FALSE)*1000</f>
        <v>12352.69061479483</v>
      </c>
    </row>
    <row r="362" spans="3:18" x14ac:dyDescent="0.2">
      <c r="C362" s="1">
        <f t="shared" si="27"/>
        <v>40360</v>
      </c>
      <c r="E362" s="19">
        <f>'price-new'!E118/VLOOKUP($C362,'nymex-new'!$A$2:$B$243,2,FALSE)*1000</f>
        <v>15148.111750666854</v>
      </c>
      <c r="F362" s="19">
        <f>'price-new'!F118/VLOOKUP($C362,'nymex-new'!$A$2:$B$243,2,FALSE)*1000</f>
        <v>15850.063175628247</v>
      </c>
      <c r="G362" s="19">
        <f>'price-new'!G118/VLOOKUP($C362,'nymex-new'!$A$2:$B$243,2,FALSE)*1000</f>
        <v>13435.350273761056</v>
      </c>
      <c r="H362" s="19">
        <f>'price-new'!H118/VLOOKUP($C362,'nymex-new'!$A$2:$B$243,2,FALSE)*1000</f>
        <v>14572.511582198511</v>
      </c>
      <c r="I362" s="19">
        <f>'price-new'!I118/VLOOKUP($C362,'nymex-new'!$A$2:$B$243,2,FALSE)*1000</f>
        <v>15007.721465674576</v>
      </c>
      <c r="J362" s="19">
        <f>'price-new'!J118/VLOOKUP($C362,'nymex-new'!$A$2:$B$243,2,FALSE)*1000</f>
        <v>15850.063175628247</v>
      </c>
      <c r="K362" s="19">
        <f>'price-new'!K118/VLOOKUP($C362,'nymex-new'!$A$2:$B$243,2,FALSE)*1000</f>
        <v>13758.247929243296</v>
      </c>
      <c r="L362" s="19">
        <f>'price-new'!L118/VLOOKUP($C362,'nymex-new'!$A$2:$B$243,2,FALSE)*1000</f>
        <v>15218.306893162993</v>
      </c>
      <c r="M362" s="19">
        <f>'price-new'!M118/VLOOKUP($C362,'nymex-new'!$A$2:$B$243,2,FALSE)*1000</f>
        <v>15302.54106415836</v>
      </c>
      <c r="N362" s="19">
        <f>'price-new'!N118/VLOOKUP($C362,'nymex-new'!$A$2:$B$243,2,FALSE)*1000</f>
        <v>20216.20103888811</v>
      </c>
      <c r="O362" s="19">
        <f>'price-new'!O118/VLOOKUP($C362,'nymex-new'!$A$2:$B$243,2,FALSE)*1000</f>
        <v>14895.409237680751</v>
      </c>
      <c r="P362" s="19">
        <f>'price-new'!P118/VLOOKUP($C362,'nymex-new'!$A$2:$B$243,2,FALSE)*1000</f>
        <v>11750.666853853714</v>
      </c>
      <c r="Q362" s="19">
        <f>'price-new'!Q118/VLOOKUP($C362,'nymex-new'!$A$2:$B$243,2,FALSE)*1000</f>
        <v>15603.537835181805</v>
      </c>
      <c r="R362" s="19">
        <f>'price-new'!R118/VLOOKUP($C362,'nymex-new'!$A$2:$B$243,2,FALSE)*1000</f>
        <v>14600.589639196967</v>
      </c>
    </row>
    <row r="363" spans="3:18" x14ac:dyDescent="0.2">
      <c r="C363" s="1">
        <f t="shared" si="27"/>
        <v>40391</v>
      </c>
      <c r="E363" s="19">
        <f>'price-new'!E119/VLOOKUP($C363,'nymex-new'!$A$2:$B$243,2,FALSE)*1000</f>
        <v>14982.646119672358</v>
      </c>
      <c r="F363" s="19">
        <f>'price-new'!F119/VLOOKUP($C363,'nymex-new'!$A$2:$B$243,2,FALSE)*1000</f>
        <v>15676.801332778008</v>
      </c>
      <c r="G363" s="19">
        <f>'price-new'!G119/VLOOKUP($C363,'nymex-new'!$A$2:$B$243,2,FALSE)*1000</f>
        <v>13175.065944745245</v>
      </c>
      <c r="H363" s="19">
        <f>'price-new'!H119/VLOOKUP($C363,'nymex-new'!$A$2:$B$243,2,FALSE)*1000</f>
        <v>14413.438844925724</v>
      </c>
      <c r="I363" s="19">
        <f>'price-new'!I119/VLOOKUP($C363,'nymex-new'!$A$2:$B$243,2,FALSE)*1000</f>
        <v>14843.815077051229</v>
      </c>
      <c r="J363" s="19">
        <f>'price-new'!J119/VLOOKUP($C363,'nymex-new'!$A$2:$B$243,2,FALSE)*1000</f>
        <v>15676.801332778008</v>
      </c>
      <c r="K363" s="19">
        <f>'price-new'!K119/VLOOKUP($C363,'nymex-new'!$A$2:$B$243,2,FALSE)*1000</f>
        <v>13605.442176870747</v>
      </c>
      <c r="L363" s="19">
        <f>'price-new'!L119/VLOOKUP($C363,'nymex-new'!$A$2:$B$243,2,FALSE)*1000</f>
        <v>15329.723726225184</v>
      </c>
      <c r="M363" s="19">
        <f>'price-new'!M119/VLOOKUP($C363,'nymex-new'!$A$2:$B$243,2,FALSE)*1000</f>
        <v>15132.583645703178</v>
      </c>
      <c r="N363" s="19">
        <f>'price-new'!N119/VLOOKUP($C363,'nymex-new'!$A$2:$B$243,2,FALSE)*1000</f>
        <v>19991.670137442732</v>
      </c>
      <c r="O363" s="19">
        <f>'price-new'!O119/VLOOKUP($C363,'nymex-new'!$A$2:$B$243,2,FALSE)*1000</f>
        <v>14452.311536859641</v>
      </c>
      <c r="P363" s="19">
        <f>'price-new'!P119/VLOOKUP($C363,'nymex-new'!$A$2:$B$243,2,FALSE)*1000</f>
        <v>11622.93488824101</v>
      </c>
      <c r="Q363" s="19">
        <f>'price-new'!Q119/VLOOKUP($C363,'nymex-new'!$A$2:$B$243,2,FALSE)*1000</f>
        <v>15499.652922393449</v>
      </c>
      <c r="R363" s="19">
        <f>'price-new'!R119/VLOOKUP($C363,'nymex-new'!$A$2:$B$243,2,FALSE)*1000</f>
        <v>14438.428432597528</v>
      </c>
    </row>
    <row r="364" spans="3:18" x14ac:dyDescent="0.2">
      <c r="C364" s="1">
        <f t="shared" si="27"/>
        <v>40422</v>
      </c>
      <c r="E364" s="19">
        <f>'price-new'!E120/VLOOKUP($C364,'nymex-new'!$A$2:$B$243,2,FALSE)*1000</f>
        <v>8015.0648626028733</v>
      </c>
      <c r="F364" s="19">
        <f>'price-new'!F120/VLOOKUP($C364,'nymex-new'!$A$2:$B$243,2,FALSE)*1000</f>
        <v>8433.5332682382486</v>
      </c>
      <c r="G364" s="19">
        <f>'price-new'!G120/VLOOKUP($C364,'nymex-new'!$A$2:$B$243,2,FALSE)*1000</f>
        <v>9820.0585855767895</v>
      </c>
      <c r="H364" s="19">
        <f>'price-new'!H120/VLOOKUP($C364,'nymex-new'!$A$2:$B$243,2,FALSE)*1000</f>
        <v>7666.3411912400625</v>
      </c>
      <c r="I364" s="19">
        <f>'price-new'!I120/VLOOKUP($C364,'nymex-new'!$A$2:$B$243,2,FALSE)*1000</f>
        <v>7875.5753940577497</v>
      </c>
      <c r="J364" s="19">
        <f>'price-new'!J120/VLOOKUP($C364,'nymex-new'!$A$2:$B$243,2,FALSE)*1000</f>
        <v>8433.5332682382486</v>
      </c>
      <c r="K364" s="19">
        <f>'price-new'!K120/VLOOKUP($C364,'nymex-new'!$A$2:$B$243,2,FALSE)*1000</f>
        <v>10043.241735248988</v>
      </c>
      <c r="L364" s="19">
        <f>'price-new'!L120/VLOOKUP($C364,'nymex-new'!$A$2:$B$243,2,FALSE)*1000</f>
        <v>8762.7284140047432</v>
      </c>
      <c r="M364" s="19">
        <f>'price-new'!M120/VLOOKUP($C364,'nymex-new'!$A$2:$B$243,2,FALSE)*1000</f>
        <v>8927.3259868879904</v>
      </c>
      <c r="N364" s="19">
        <f>'price-new'!N120/VLOOKUP($C364,'nymex-new'!$A$2:$B$243,2,FALSE)*1000</f>
        <v>11159.157483609988</v>
      </c>
      <c r="O364" s="19">
        <f>'price-new'!O120/VLOOKUP($C364,'nymex-new'!$A$2:$B$243,2,FALSE)*1000</f>
        <v>7616.124982563817</v>
      </c>
      <c r="P364" s="19">
        <f>'price-new'!P120/VLOOKUP($C364,'nymex-new'!$A$2:$B$243,2,FALSE)*1000</f>
        <v>7624.4943506765239</v>
      </c>
      <c r="Q364" s="19">
        <f>'price-new'!Q120/VLOOKUP($C364,'nymex-new'!$A$2:$B$243,2,FALSE)*1000</f>
        <v>7404.6589482494082</v>
      </c>
      <c r="R364" s="19">
        <f>'price-new'!R120/VLOOKUP($C364,'nymex-new'!$A$2:$B$243,2,FALSE)*1000</f>
        <v>8578.6023155251769</v>
      </c>
    </row>
    <row r="365" spans="3:18" x14ac:dyDescent="0.2">
      <c r="C365" s="1">
        <f t="shared" si="27"/>
        <v>40452</v>
      </c>
      <c r="E365" s="19">
        <f>'price-new'!E121/VLOOKUP($C365,'nymex-new'!$A$2:$B$243,2,FALSE)*1000</f>
        <v>8255.9911345061646</v>
      </c>
      <c r="F365" s="19">
        <f>'price-new'!F121/VLOOKUP($C365,'nymex-new'!$A$2:$B$243,2,FALSE)*1000</f>
        <v>8255.9911345061646</v>
      </c>
      <c r="G365" s="19">
        <f>'price-new'!G121/VLOOKUP($C365,'nymex-new'!$A$2:$B$243,2,FALSE)*1000</f>
        <v>9258.9001246710068</v>
      </c>
      <c r="H365" s="19">
        <f>'price-new'!H121/VLOOKUP($C365,'nymex-new'!$A$2:$B$243,2,FALSE)*1000</f>
        <v>7909.6827815486904</v>
      </c>
      <c r="I365" s="19">
        <f>'price-new'!I121/VLOOKUP($C365,'nymex-new'!$A$2:$B$243,2,FALSE)*1000</f>
        <v>8117.467793323176</v>
      </c>
      <c r="J365" s="19">
        <f>'price-new'!J121/VLOOKUP($C365,'nymex-new'!$A$2:$B$243,2,FALSE)*1000</f>
        <v>8255.9911345061646</v>
      </c>
      <c r="K365" s="19">
        <f>'price-new'!K121/VLOOKUP($C365,'nymex-new'!$A$2:$B$243,2,FALSE)*1000</f>
        <v>9904.4188945837359</v>
      </c>
      <c r="L365" s="19">
        <f>'price-new'!L121/VLOOKUP($C365,'nymex-new'!$A$2:$B$243,2,FALSE)*1000</f>
        <v>8710.3476935863691</v>
      </c>
      <c r="M365" s="19">
        <f>'price-new'!M121/VLOOKUP($C365,'nymex-new'!$A$2:$B$243,2,FALSE)*1000</f>
        <v>8865.4938357113169</v>
      </c>
      <c r="N365" s="19">
        <f>'price-new'!N121/VLOOKUP($C365,'nymex-new'!$A$2:$B$243,2,FALSE)*1000</f>
        <v>11081.867294639145</v>
      </c>
      <c r="O365" s="19">
        <f>'price-new'!O121/VLOOKUP($C365,'nymex-new'!$A$2:$B$243,2,FALSE)*1000</f>
        <v>8322.4823382739978</v>
      </c>
      <c r="P365" s="19">
        <f>'price-new'!P121/VLOOKUP($C365,'nymex-new'!$A$2:$B$243,2,FALSE)*1000</f>
        <v>9347.5550630281214</v>
      </c>
      <c r="Q365" s="19">
        <f>'price-new'!Q121/VLOOKUP($C365,'nymex-new'!$A$2:$B$243,2,FALSE)*1000</f>
        <v>8087.5467516276485</v>
      </c>
      <c r="R365" s="19">
        <f>'price-new'!R121/VLOOKUP($C365,'nymex-new'!$A$2:$B$243,2,FALSE)*1000</f>
        <v>8519.1854827538446</v>
      </c>
    </row>
    <row r="366" spans="3:18" x14ac:dyDescent="0.2">
      <c r="C366" s="1">
        <f t="shared" si="27"/>
        <v>40483</v>
      </c>
      <c r="E366" s="19">
        <f>'price-new'!E122/VLOOKUP($C366,'nymex-new'!$A$2:$B$243,2,FALSE)*1000</f>
        <v>7885.1521999202441</v>
      </c>
      <c r="F366" s="19">
        <f>'price-new'!F122/VLOOKUP($C366,'nymex-new'!$A$2:$B$243,2,FALSE)*1000</f>
        <v>7885.1521999202441</v>
      </c>
      <c r="G366" s="19">
        <f>'price-new'!G122/VLOOKUP($C366,'nymex-new'!$A$2:$B$243,2,FALSE)*1000</f>
        <v>8618.9020337631282</v>
      </c>
      <c r="H366" s="19">
        <f>'price-new'!H122/VLOOKUP($C366,'nymex-new'!$A$2:$B$243,2,FALSE)*1000</f>
        <v>7552.8379635783604</v>
      </c>
      <c r="I366" s="19">
        <f>'price-new'!I122/VLOOKUP($C366,'nymex-new'!$A$2:$B$243,2,FALSE)*1000</f>
        <v>7752.2265053834908</v>
      </c>
      <c r="J366" s="19">
        <f>'price-new'!J122/VLOOKUP($C366,'nymex-new'!$A$2:$B$243,2,FALSE)*1000</f>
        <v>7885.1521999202441</v>
      </c>
      <c r="K366" s="19">
        <f>'price-new'!K122/VLOOKUP($C366,'nymex-new'!$A$2:$B$243,2,FALSE)*1000</f>
        <v>9504.1871593779088</v>
      </c>
      <c r="L366" s="19">
        <f>'price-new'!L122/VLOOKUP($C366,'nymex-new'!$A$2:$B$243,2,FALSE)*1000</f>
        <v>8321.1484780007995</v>
      </c>
      <c r="M366" s="19">
        <f>'price-new'!M122/VLOOKUP($C366,'nymex-new'!$A$2:$B$243,2,FALSE)*1000</f>
        <v>8507.2444503522529</v>
      </c>
      <c r="N366" s="19">
        <f>'price-new'!N122/VLOOKUP($C366,'nymex-new'!$A$2:$B$243,2,FALSE)*1000</f>
        <v>10634.055562940317</v>
      </c>
      <c r="O366" s="19">
        <f>'price-new'!O122/VLOOKUP($C366,'nymex-new'!$A$2:$B$243,2,FALSE)*1000</f>
        <v>7986.1757277681772</v>
      </c>
      <c r="P366" s="19">
        <f>'price-new'!P122/VLOOKUP($C366,'nymex-new'!$A$2:$B$243,2,FALSE)*1000</f>
        <v>9836.5013957197934</v>
      </c>
      <c r="Q366" s="19">
        <f>'price-new'!Q122/VLOOKUP($C366,'nymex-new'!$A$2:$B$243,2,FALSE)*1000</f>
        <v>7787.3188887411943</v>
      </c>
      <c r="R366" s="19">
        <f>'price-new'!R122/VLOOKUP($C366,'nymex-new'!$A$2:$B$243,2,FALSE)*1000</f>
        <v>8174.9302140103682</v>
      </c>
    </row>
    <row r="367" spans="3:18" x14ac:dyDescent="0.2">
      <c r="C367" s="1">
        <f t="shared" si="27"/>
        <v>40513</v>
      </c>
      <c r="E367" s="19">
        <f>'price-new'!E123/VLOOKUP($C367,'nymex-new'!$A$2:$B$243,2,FALSE)*1000</f>
        <v>7557.9459597899859</v>
      </c>
      <c r="F367" s="19">
        <f>'price-new'!F123/VLOOKUP($C367,'nymex-new'!$A$2:$B$243,2,FALSE)*1000</f>
        <v>7557.9459597899859</v>
      </c>
      <c r="G367" s="19">
        <f>'price-new'!G123/VLOOKUP($C367,'nymex-new'!$A$2:$B$243,2,FALSE)*1000</f>
        <v>8533.7431169163774</v>
      </c>
      <c r="H367" s="19">
        <f>'price-new'!H123/VLOOKUP($C367,'nymex-new'!$A$2:$B$243,2,FALSE)*1000</f>
        <v>7237.8025355359196</v>
      </c>
      <c r="I367" s="19">
        <f>'price-new'!I123/VLOOKUP($C367,'nymex-new'!$A$2:$B$243,2,FALSE)*1000</f>
        <v>7429.8885900883597</v>
      </c>
      <c r="J367" s="19">
        <f>'price-new'!J123/VLOOKUP($C367,'nymex-new'!$A$2:$B$243,2,FALSE)*1000</f>
        <v>7557.9459597899859</v>
      </c>
      <c r="K367" s="19">
        <f>'price-new'!K123/VLOOKUP($C367,'nymex-new'!$A$2:$B$243,2,FALSE)*1000</f>
        <v>9156.1019336662812</v>
      </c>
      <c r="L367" s="19">
        <f>'price-new'!L123/VLOOKUP($C367,'nymex-new'!$A$2:$B$243,2,FALSE)*1000</f>
        <v>7977.9741324113202</v>
      </c>
      <c r="M367" s="19">
        <f>'price-new'!M123/VLOOKUP($C367,'nymex-new'!$A$2:$B$243,2,FALSE)*1000</f>
        <v>8195.671660904085</v>
      </c>
      <c r="N367" s="19">
        <f>'price-new'!N123/VLOOKUP($C367,'nymex-new'!$A$2:$B$243,2,FALSE)*1000</f>
        <v>10244.589576130107</v>
      </c>
      <c r="O367" s="19">
        <f>'price-new'!O123/VLOOKUP($C367,'nymex-new'!$A$2:$B$243,2,FALSE)*1000</f>
        <v>7693.6867716737097</v>
      </c>
      <c r="P367" s="19">
        <f>'price-new'!P123/VLOOKUP($C367,'nymex-new'!$A$2:$B$243,2,FALSE)*1000</f>
        <v>9540.2740427711615</v>
      </c>
      <c r="Q367" s="19">
        <f>'price-new'!Q123/VLOOKUP($C367,'nymex-new'!$A$2:$B$243,2,FALSE)*1000</f>
        <v>7527.7244205404013</v>
      </c>
      <c r="R367" s="19">
        <f>'price-new'!R123/VLOOKUP($C367,'nymex-new'!$A$2:$B$243,2,FALSE)*1000</f>
        <v>7875.5282366500187</v>
      </c>
    </row>
    <row r="368" spans="3:18" x14ac:dyDescent="0.2">
      <c r="C368" s="1"/>
    </row>
    <row r="369" spans="1:20" s="5" customFormat="1" x14ac:dyDescent="0.2">
      <c r="A369" s="5" t="s">
        <v>44</v>
      </c>
      <c r="E369" s="13" t="str">
        <f t="shared" ref="E369:R369" si="28">E$1</f>
        <v>CINERGY</v>
      </c>
      <c r="F369" s="13" t="str">
        <f t="shared" si="28"/>
        <v>AMEREN</v>
      </c>
      <c r="G369" s="13" t="str">
        <f t="shared" si="28"/>
        <v>ERCOT</v>
      </c>
      <c r="H369" s="13" t="str">
        <f t="shared" si="28"/>
        <v>INTO COMED</v>
      </c>
      <c r="I369" s="13" t="str">
        <f t="shared" si="28"/>
        <v>INTO TVA</v>
      </c>
      <c r="J369" s="13" t="str">
        <f t="shared" si="28"/>
        <v>MAPP</v>
      </c>
      <c r="K369" s="13" t="str">
        <f t="shared" si="28"/>
        <v>NEPOOL</v>
      </c>
      <c r="L369" s="13" t="str">
        <f t="shared" si="28"/>
        <v>INTO AEP</v>
      </c>
      <c r="M369" s="13" t="str">
        <f t="shared" si="28"/>
        <v>NY Zone A</v>
      </c>
      <c r="N369" s="13"/>
      <c r="O369" s="13" t="str">
        <f t="shared" si="28"/>
        <v>SOCO</v>
      </c>
      <c r="P369" s="13" t="str">
        <f t="shared" si="28"/>
        <v>NSP</v>
      </c>
      <c r="Q369" s="13" t="str">
        <f t="shared" si="28"/>
        <v>ENTERGY</v>
      </c>
      <c r="R369" s="13" t="str">
        <f t="shared" si="28"/>
        <v>WESTERN HUB</v>
      </c>
      <c r="S369" s="5" t="s">
        <v>37</v>
      </c>
      <c r="T369" s="5" t="s">
        <v>38</v>
      </c>
    </row>
    <row r="370" spans="1:20" x14ac:dyDescent="0.2">
      <c r="C370" s="1">
        <f t="shared" ref="C370:C401" si="29">C3</f>
        <v>36892</v>
      </c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</row>
    <row r="371" spans="1:20" x14ac:dyDescent="0.2">
      <c r="C371" s="1">
        <f t="shared" si="29"/>
        <v>36923</v>
      </c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 spans="1:20" x14ac:dyDescent="0.2">
      <c r="C372" s="1">
        <f t="shared" si="29"/>
        <v>36951</v>
      </c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 spans="1:20" x14ac:dyDescent="0.2">
      <c r="C373" s="1">
        <f t="shared" si="29"/>
        <v>36982</v>
      </c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 spans="1:20" x14ac:dyDescent="0.2">
      <c r="C374" s="1">
        <f t="shared" si="29"/>
        <v>37012</v>
      </c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</row>
    <row r="375" spans="1:20" x14ac:dyDescent="0.2">
      <c r="C375" s="1">
        <f t="shared" si="29"/>
        <v>37043</v>
      </c>
      <c r="E375" s="17">
        <f t="shared" ref="E375:R375" si="30">E8*E253/1000/10000</f>
        <v>0</v>
      </c>
      <c r="F375" s="17">
        <f t="shared" si="30"/>
        <v>0</v>
      </c>
      <c r="G375" s="17">
        <f t="shared" si="30"/>
        <v>0</v>
      </c>
      <c r="H375" s="17">
        <f t="shared" si="30"/>
        <v>0</v>
      </c>
      <c r="I375" s="17">
        <f t="shared" si="30"/>
        <v>0</v>
      </c>
      <c r="J375" s="17">
        <f t="shared" si="30"/>
        <v>0</v>
      </c>
      <c r="K375" s="17">
        <f t="shared" si="30"/>
        <v>0</v>
      </c>
      <c r="L375" s="17">
        <f t="shared" si="30"/>
        <v>0</v>
      </c>
      <c r="M375" s="17">
        <f t="shared" si="30"/>
        <v>0</v>
      </c>
      <c r="N375" s="17" t="e">
        <f t="shared" si="30"/>
        <v>#N/A</v>
      </c>
      <c r="O375" s="17">
        <f t="shared" si="30"/>
        <v>0</v>
      </c>
      <c r="P375" s="17">
        <f t="shared" si="30"/>
        <v>0</v>
      </c>
      <c r="Q375" s="17">
        <f t="shared" si="30"/>
        <v>0</v>
      </c>
      <c r="R375" s="17">
        <f t="shared" si="30"/>
        <v>0</v>
      </c>
    </row>
    <row r="376" spans="1:20" x14ac:dyDescent="0.2">
      <c r="C376" s="1">
        <f t="shared" si="29"/>
        <v>37073</v>
      </c>
      <c r="E376" s="17">
        <f t="shared" ref="E376:R376" si="31">E9*E254/1000/10000</f>
        <v>0</v>
      </c>
      <c r="F376" s="17">
        <f t="shared" si="31"/>
        <v>0</v>
      </c>
      <c r="G376" s="17">
        <f t="shared" si="31"/>
        <v>0</v>
      </c>
      <c r="H376" s="17">
        <f t="shared" si="31"/>
        <v>0</v>
      </c>
      <c r="I376" s="17">
        <f t="shared" si="31"/>
        <v>0</v>
      </c>
      <c r="J376" s="17">
        <f t="shared" si="31"/>
        <v>0</v>
      </c>
      <c r="K376" s="17">
        <f t="shared" si="31"/>
        <v>0</v>
      </c>
      <c r="L376" s="17">
        <f t="shared" si="31"/>
        <v>0</v>
      </c>
      <c r="M376" s="17">
        <f t="shared" si="31"/>
        <v>0</v>
      </c>
      <c r="N376" s="17">
        <f t="shared" si="31"/>
        <v>0</v>
      </c>
      <c r="O376" s="17">
        <f t="shared" si="31"/>
        <v>0</v>
      </c>
      <c r="P376" s="17">
        <f t="shared" si="31"/>
        <v>0</v>
      </c>
      <c r="Q376" s="17">
        <f t="shared" si="31"/>
        <v>0</v>
      </c>
      <c r="R376" s="17">
        <f t="shared" si="31"/>
        <v>0</v>
      </c>
    </row>
    <row r="377" spans="1:20" x14ac:dyDescent="0.2">
      <c r="C377" s="1">
        <f t="shared" si="29"/>
        <v>37104</v>
      </c>
      <c r="E377" s="17">
        <f t="shared" ref="E377:R377" si="32">E10*E255/1000/10000</f>
        <v>0</v>
      </c>
      <c r="F377" s="17">
        <f t="shared" si="32"/>
        <v>0</v>
      </c>
      <c r="G377" s="17">
        <f t="shared" si="32"/>
        <v>0</v>
      </c>
      <c r="H377" s="17">
        <f t="shared" si="32"/>
        <v>0</v>
      </c>
      <c r="I377" s="17">
        <f t="shared" si="32"/>
        <v>0</v>
      </c>
      <c r="J377" s="17">
        <f t="shared" si="32"/>
        <v>0</v>
      </c>
      <c r="K377" s="17">
        <f t="shared" si="32"/>
        <v>0</v>
      </c>
      <c r="L377" s="17">
        <f t="shared" si="32"/>
        <v>0</v>
      </c>
      <c r="M377" s="17">
        <f t="shared" si="32"/>
        <v>0</v>
      </c>
      <c r="N377" s="17">
        <f t="shared" si="32"/>
        <v>0</v>
      </c>
      <c r="O377" s="17">
        <f t="shared" si="32"/>
        <v>0</v>
      </c>
      <c r="P377" s="17">
        <f t="shared" si="32"/>
        <v>0</v>
      </c>
      <c r="Q377" s="17">
        <f t="shared" si="32"/>
        <v>0</v>
      </c>
      <c r="R377" s="17">
        <f t="shared" si="32"/>
        <v>0</v>
      </c>
    </row>
    <row r="378" spans="1:20" x14ac:dyDescent="0.2">
      <c r="C378" s="1">
        <f t="shared" si="29"/>
        <v>37135</v>
      </c>
      <c r="E378" s="17">
        <f t="shared" ref="E378:R378" si="33">E11*E256/1000/10000</f>
        <v>0</v>
      </c>
      <c r="F378" s="17">
        <f t="shared" si="33"/>
        <v>0</v>
      </c>
      <c r="G378" s="17">
        <f t="shared" si="33"/>
        <v>0</v>
      </c>
      <c r="H378" s="17">
        <f t="shared" si="33"/>
        <v>0</v>
      </c>
      <c r="I378" s="17">
        <f t="shared" si="33"/>
        <v>0</v>
      </c>
      <c r="J378" s="17">
        <f t="shared" si="33"/>
        <v>0</v>
      </c>
      <c r="K378" s="17">
        <f t="shared" si="33"/>
        <v>0</v>
      </c>
      <c r="L378" s="17">
        <f t="shared" si="33"/>
        <v>0</v>
      </c>
      <c r="M378" s="17">
        <f t="shared" si="33"/>
        <v>0</v>
      </c>
      <c r="N378" s="17">
        <f t="shared" si="33"/>
        <v>0</v>
      </c>
      <c r="O378" s="17">
        <f t="shared" si="33"/>
        <v>0</v>
      </c>
      <c r="P378" s="17">
        <f t="shared" si="33"/>
        <v>0</v>
      </c>
      <c r="Q378" s="17">
        <f t="shared" si="33"/>
        <v>0</v>
      </c>
      <c r="R378" s="17">
        <f t="shared" si="33"/>
        <v>0</v>
      </c>
    </row>
    <row r="379" spans="1:20" x14ac:dyDescent="0.2">
      <c r="C379" s="1">
        <f t="shared" si="29"/>
        <v>37165</v>
      </c>
      <c r="E379" s="17">
        <v>0</v>
      </c>
      <c r="F379" s="17">
        <f>F12*F257/1000/10000</f>
        <v>0</v>
      </c>
      <c r="G379" s="17">
        <f>G12*G257/1000/10000</f>
        <v>0</v>
      </c>
      <c r="H379" s="17">
        <v>0</v>
      </c>
      <c r="I379" s="17">
        <v>0</v>
      </c>
      <c r="J379" s="17">
        <f>J12*J257/1000/10000</f>
        <v>0</v>
      </c>
      <c r="K379" s="17">
        <v>0</v>
      </c>
      <c r="L379" s="17">
        <v>0</v>
      </c>
      <c r="M379" s="17">
        <f>M12*M257/1000/10000</f>
        <v>0</v>
      </c>
      <c r="N379" s="17">
        <f>N12*N257/1000/10000</f>
        <v>0</v>
      </c>
      <c r="O379" s="17">
        <v>0</v>
      </c>
      <c r="P379" s="17">
        <v>0</v>
      </c>
      <c r="Q379" s="17">
        <v>0</v>
      </c>
      <c r="R379" s="17">
        <v>0</v>
      </c>
    </row>
    <row r="380" spans="1:20" x14ac:dyDescent="0.2">
      <c r="C380" s="1">
        <f t="shared" si="29"/>
        <v>37196</v>
      </c>
      <c r="E380" s="17">
        <f t="shared" ref="E380:R380" si="34">E13*E258/1000/10000</f>
        <v>0</v>
      </c>
      <c r="F380" s="17">
        <f t="shared" si="34"/>
        <v>0</v>
      </c>
      <c r="G380" s="17">
        <f t="shared" si="34"/>
        <v>0</v>
      </c>
      <c r="H380" s="17">
        <f t="shared" si="34"/>
        <v>0</v>
      </c>
      <c r="I380" s="17">
        <f t="shared" si="34"/>
        <v>0</v>
      </c>
      <c r="J380" s="17">
        <f t="shared" si="34"/>
        <v>0</v>
      </c>
      <c r="K380" s="17">
        <f t="shared" si="34"/>
        <v>0</v>
      </c>
      <c r="L380" s="17">
        <f t="shared" si="34"/>
        <v>0</v>
      </c>
      <c r="M380" s="17" t="e">
        <f t="shared" si="34"/>
        <v>#VALUE!</v>
      </c>
      <c r="N380" s="17" t="e">
        <f t="shared" si="34"/>
        <v>#VALUE!</v>
      </c>
      <c r="O380" s="17">
        <f t="shared" si="34"/>
        <v>0</v>
      </c>
      <c r="P380" s="17">
        <f t="shared" si="34"/>
        <v>0</v>
      </c>
      <c r="Q380" s="17">
        <f t="shared" si="34"/>
        <v>0</v>
      </c>
      <c r="R380" s="17">
        <f t="shared" si="34"/>
        <v>0</v>
      </c>
    </row>
    <row r="381" spans="1:20" x14ac:dyDescent="0.2">
      <c r="C381" s="1">
        <f t="shared" si="29"/>
        <v>37226</v>
      </c>
      <c r="E381" s="17">
        <f t="shared" ref="E381:R381" si="35">E14*E259/1000/10000</f>
        <v>413.47789291882572</v>
      </c>
      <c r="F381" s="17">
        <f t="shared" si="35"/>
        <v>0</v>
      </c>
      <c r="G381" s="17">
        <f t="shared" si="35"/>
        <v>0</v>
      </c>
      <c r="H381" s="17">
        <f t="shared" si="35"/>
        <v>53.737094607560941</v>
      </c>
      <c r="I381" s="17">
        <f t="shared" si="35"/>
        <v>13.704663212435236</v>
      </c>
      <c r="J381" s="17">
        <f t="shared" si="35"/>
        <v>0</v>
      </c>
      <c r="K381" s="17">
        <f t="shared" si="35"/>
        <v>92.530224525043195</v>
      </c>
      <c r="L381" s="17">
        <f t="shared" si="35"/>
        <v>0</v>
      </c>
      <c r="M381" s="17">
        <f t="shared" si="35"/>
        <v>163.00518134715023</v>
      </c>
      <c r="N381" s="17">
        <f t="shared" si="35"/>
        <v>202.07253886010366</v>
      </c>
      <c r="O381" s="17">
        <f t="shared" si="35"/>
        <v>13.497409326424872</v>
      </c>
      <c r="P381" s="17">
        <f t="shared" si="35"/>
        <v>0</v>
      </c>
      <c r="Q381" s="17">
        <f t="shared" si="35"/>
        <v>0</v>
      </c>
      <c r="R381" s="17">
        <f t="shared" si="35"/>
        <v>29.05008635578584</v>
      </c>
    </row>
    <row r="382" spans="1:20" x14ac:dyDescent="0.2">
      <c r="C382" s="1">
        <f t="shared" si="29"/>
        <v>37257</v>
      </c>
      <c r="E382" s="17">
        <f t="shared" ref="E382:R382" si="36">E15*E260/1000/10000</f>
        <v>-858.775676325826</v>
      </c>
      <c r="F382" s="17">
        <f t="shared" si="36"/>
        <v>0</v>
      </c>
      <c r="G382" s="17">
        <f t="shared" si="36"/>
        <v>0</v>
      </c>
      <c r="H382" s="17">
        <f t="shared" si="36"/>
        <v>-313.55572644528058</v>
      </c>
      <c r="I382" s="17">
        <f t="shared" si="36"/>
        <v>-195.39642995545685</v>
      </c>
      <c r="J382" s="17">
        <f t="shared" si="36"/>
        <v>0</v>
      </c>
      <c r="K382" s="17">
        <f t="shared" si="36"/>
        <v>519.31210169108851</v>
      </c>
      <c r="L382" s="17">
        <f t="shared" si="36"/>
        <v>9.9758017167467035</v>
      </c>
      <c r="M382" s="17">
        <f t="shared" si="36"/>
        <v>413.32798073063026</v>
      </c>
      <c r="N382" s="17">
        <f t="shared" si="36"/>
        <v>541.56563629064635</v>
      </c>
      <c r="O382" s="17">
        <f t="shared" si="36"/>
        <v>0</v>
      </c>
      <c r="P382" s="17">
        <f t="shared" si="36"/>
        <v>18.727418829857768</v>
      </c>
      <c r="Q382" s="17">
        <f t="shared" si="36"/>
        <v>0</v>
      </c>
      <c r="R382" s="17">
        <f t="shared" si="36"/>
        <v>463.13930148534729</v>
      </c>
    </row>
    <row r="383" spans="1:20" x14ac:dyDescent="0.2">
      <c r="C383" s="1">
        <f t="shared" si="29"/>
        <v>37288</v>
      </c>
      <c r="E383" s="17">
        <f t="shared" ref="E383:R383" si="37">E16*E261/1000/10000</f>
        <v>-752.18689778963403</v>
      </c>
      <c r="F383" s="17">
        <f t="shared" si="37"/>
        <v>0</v>
      </c>
      <c r="G383" s="17">
        <f t="shared" si="37"/>
        <v>0</v>
      </c>
      <c r="H383" s="17">
        <f t="shared" si="37"/>
        <v>-260.51707317073169</v>
      </c>
      <c r="I383" s="17">
        <f t="shared" si="37"/>
        <v>-155.91463414634146</v>
      </c>
      <c r="J383" s="17">
        <f t="shared" si="37"/>
        <v>0</v>
      </c>
      <c r="K383" s="17">
        <f t="shared" si="37"/>
        <v>448.17073170731709</v>
      </c>
      <c r="L383" s="17">
        <f t="shared" si="37"/>
        <v>9.772682926829269</v>
      </c>
      <c r="M383" s="17">
        <f t="shared" si="37"/>
        <v>356.70731707317077</v>
      </c>
      <c r="N383" s="17">
        <f t="shared" si="37"/>
        <v>467.37804878048786</v>
      </c>
      <c r="O383" s="17">
        <f t="shared" si="37"/>
        <v>0</v>
      </c>
      <c r="P383" s="17">
        <f t="shared" si="37"/>
        <v>17.957317073170731</v>
      </c>
      <c r="Q383" s="17">
        <f t="shared" si="37"/>
        <v>0</v>
      </c>
      <c r="R383" s="17">
        <f t="shared" si="37"/>
        <v>399.69512195121951</v>
      </c>
    </row>
    <row r="384" spans="1:20" x14ac:dyDescent="0.2">
      <c r="C384" s="1">
        <f t="shared" si="29"/>
        <v>37316</v>
      </c>
      <c r="E384" s="17">
        <f t="shared" ref="E384:R384" si="38">E17*E262/1000/10000</f>
        <v>-711.77815740782967</v>
      </c>
      <c r="F384" s="17">
        <f t="shared" si="38"/>
        <v>0</v>
      </c>
      <c r="G384" s="17">
        <f t="shared" si="38"/>
        <v>0</v>
      </c>
      <c r="H384" s="17">
        <f t="shared" si="38"/>
        <v>-20.632519954389966</v>
      </c>
      <c r="I384" s="17">
        <f t="shared" si="38"/>
        <v>-45.936602052451533</v>
      </c>
      <c r="J384" s="17">
        <f t="shared" si="38"/>
        <v>0</v>
      </c>
      <c r="K384" s="17">
        <f t="shared" si="38"/>
        <v>0</v>
      </c>
      <c r="L384" s="17">
        <f t="shared" si="38"/>
        <v>9.8892041049030794</v>
      </c>
      <c r="M384" s="17">
        <f t="shared" si="38"/>
        <v>86.2029646522235</v>
      </c>
      <c r="N384" s="17">
        <f t="shared" si="38"/>
        <v>111.74458380843788</v>
      </c>
      <c r="O384" s="17">
        <f t="shared" si="38"/>
        <v>49.423033067274808</v>
      </c>
      <c r="P384" s="17">
        <f t="shared" si="38"/>
        <v>-32.348460661345499</v>
      </c>
      <c r="Q384" s="17">
        <f t="shared" si="38"/>
        <v>0</v>
      </c>
      <c r="R384" s="17">
        <f t="shared" si="38"/>
        <v>51.530216647662492</v>
      </c>
    </row>
    <row r="385" spans="3:18" x14ac:dyDescent="0.2">
      <c r="C385" s="1">
        <f t="shared" si="29"/>
        <v>37347</v>
      </c>
      <c r="E385" s="17">
        <f t="shared" ref="E385:R385" si="39">E18*E263/1000/10000</f>
        <v>-764.642763663859</v>
      </c>
      <c r="F385" s="17">
        <f t="shared" si="39"/>
        <v>0</v>
      </c>
      <c r="G385" s="17">
        <f t="shared" si="39"/>
        <v>0</v>
      </c>
      <c r="H385" s="17">
        <f t="shared" si="39"/>
        <v>-22.196753445635526</v>
      </c>
      <c r="I385" s="17">
        <f t="shared" si="39"/>
        <v>-49.383767228177646</v>
      </c>
      <c r="J385" s="17">
        <f t="shared" si="39"/>
        <v>0</v>
      </c>
      <c r="K385" s="17">
        <f t="shared" si="39"/>
        <v>0</v>
      </c>
      <c r="L385" s="17">
        <f t="shared" si="39"/>
        <v>10.599215926493105</v>
      </c>
      <c r="M385" s="17">
        <f t="shared" si="39"/>
        <v>90.964777947932603</v>
      </c>
      <c r="N385" s="17">
        <f t="shared" si="39"/>
        <v>117.91730474732006</v>
      </c>
      <c r="O385" s="17">
        <f t="shared" si="39"/>
        <v>52.153139356814705</v>
      </c>
      <c r="P385" s="17">
        <f t="shared" si="39"/>
        <v>-34.741807044410415</v>
      </c>
      <c r="Q385" s="17">
        <f t="shared" si="39"/>
        <v>44.06838361408883</v>
      </c>
      <c r="R385" s="17">
        <f t="shared" si="39"/>
        <v>54.376722817764161</v>
      </c>
    </row>
    <row r="386" spans="3:18" x14ac:dyDescent="0.2">
      <c r="C386" s="1">
        <f t="shared" si="29"/>
        <v>37377</v>
      </c>
      <c r="E386" s="17">
        <f t="shared" ref="E386:R386" si="40">E19*E264/1000/10000</f>
        <v>-641.06735493594579</v>
      </c>
      <c r="F386" s="17">
        <f t="shared" si="40"/>
        <v>0</v>
      </c>
      <c r="G386" s="17">
        <f t="shared" si="40"/>
        <v>0</v>
      </c>
      <c r="H386" s="17">
        <f t="shared" si="40"/>
        <v>-22.764611906556144</v>
      </c>
      <c r="I386" s="17">
        <f t="shared" si="40"/>
        <v>-35.160211002260745</v>
      </c>
      <c r="J386" s="17">
        <f t="shared" si="40"/>
        <v>0</v>
      </c>
      <c r="K386" s="17">
        <f t="shared" si="40"/>
        <v>0</v>
      </c>
      <c r="L386" s="17">
        <f t="shared" si="40"/>
        <v>10.975795026375284</v>
      </c>
      <c r="M386" s="17">
        <f t="shared" si="40"/>
        <v>96.156744536548615</v>
      </c>
      <c r="N386" s="17">
        <f t="shared" si="40"/>
        <v>72.117558402411461</v>
      </c>
      <c r="O386" s="17">
        <f t="shared" si="40"/>
        <v>129.04898266767145</v>
      </c>
      <c r="P386" s="17">
        <f t="shared" si="40"/>
        <v>0</v>
      </c>
      <c r="Q386" s="17">
        <f t="shared" si="40"/>
        <v>0</v>
      </c>
      <c r="R386" s="17">
        <f t="shared" si="40"/>
        <v>19.894498869630745</v>
      </c>
    </row>
    <row r="387" spans="3:18" x14ac:dyDescent="0.2">
      <c r="C387" s="1">
        <f t="shared" si="29"/>
        <v>37408</v>
      </c>
      <c r="E387" s="17">
        <f t="shared" ref="E387:R387" si="41">E20*E265/1000/10000</f>
        <v>-1020.8949363905325</v>
      </c>
      <c r="F387" s="17">
        <f t="shared" si="41"/>
        <v>0</v>
      </c>
      <c r="G387" s="17">
        <f t="shared" si="41"/>
        <v>0</v>
      </c>
      <c r="H387" s="17">
        <f t="shared" si="41"/>
        <v>39.195266272189343</v>
      </c>
      <c r="I387" s="17">
        <f t="shared" si="41"/>
        <v>-81.207100591715971</v>
      </c>
      <c r="J387" s="17">
        <f t="shared" si="41"/>
        <v>0</v>
      </c>
      <c r="K387" s="17">
        <f t="shared" si="41"/>
        <v>0</v>
      </c>
      <c r="L387" s="17">
        <f t="shared" si="41"/>
        <v>12.940828402366863</v>
      </c>
      <c r="M387" s="17">
        <f t="shared" si="41"/>
        <v>233.72781065088753</v>
      </c>
      <c r="N387" s="17">
        <f t="shared" si="41"/>
        <v>77.218934911242599</v>
      </c>
      <c r="O387" s="17">
        <f t="shared" si="41"/>
        <v>107.98816568047337</v>
      </c>
      <c r="P387" s="17">
        <f t="shared" si="41"/>
        <v>0</v>
      </c>
      <c r="Q387" s="17">
        <f t="shared" si="41"/>
        <v>0</v>
      </c>
      <c r="R387" s="17">
        <f t="shared" si="41"/>
        <v>23.520710059171599</v>
      </c>
    </row>
    <row r="388" spans="3:18" x14ac:dyDescent="0.2">
      <c r="C388" s="1">
        <f t="shared" si="29"/>
        <v>37438</v>
      </c>
      <c r="E388" s="17">
        <f t="shared" ref="E388:R388" si="42">E21*E266/1000/10000</f>
        <v>-880.16720116618058</v>
      </c>
      <c r="F388" s="17">
        <f t="shared" si="42"/>
        <v>0</v>
      </c>
      <c r="G388" s="17">
        <f t="shared" si="42"/>
        <v>0</v>
      </c>
      <c r="H388" s="17">
        <f t="shared" si="42"/>
        <v>-164.51895043731776</v>
      </c>
      <c r="I388" s="17">
        <f t="shared" si="42"/>
        <v>-173.27405247813408</v>
      </c>
      <c r="J388" s="17">
        <f t="shared" si="42"/>
        <v>0</v>
      </c>
      <c r="K388" s="17">
        <f t="shared" si="42"/>
        <v>33.192419825072882</v>
      </c>
      <c r="L388" s="17">
        <f t="shared" si="42"/>
        <v>18.385714285714283</v>
      </c>
      <c r="M388" s="17">
        <f t="shared" si="42"/>
        <v>1710.9329446064137</v>
      </c>
      <c r="N388" s="17">
        <f t="shared" si="42"/>
        <v>514.88338192419826</v>
      </c>
      <c r="O388" s="17">
        <f t="shared" si="42"/>
        <v>217.7551020408163</v>
      </c>
      <c r="P388" s="17">
        <f t="shared" si="42"/>
        <v>-32.310495626822146</v>
      </c>
      <c r="Q388" s="17">
        <f t="shared" si="42"/>
        <v>0</v>
      </c>
      <c r="R388" s="17">
        <f t="shared" si="42"/>
        <v>-466.9387755102041</v>
      </c>
    </row>
    <row r="389" spans="3:18" x14ac:dyDescent="0.2">
      <c r="C389" s="1">
        <f t="shared" si="29"/>
        <v>37469</v>
      </c>
      <c r="E389" s="17">
        <f t="shared" ref="E389:R389" si="43">E22*E267/1000/10000</f>
        <v>-878.37925053879326</v>
      </c>
      <c r="F389" s="17">
        <f t="shared" si="43"/>
        <v>0</v>
      </c>
      <c r="G389" s="17">
        <f t="shared" si="43"/>
        <v>0</v>
      </c>
      <c r="H389" s="17">
        <f t="shared" si="43"/>
        <v>-162.15517241379311</v>
      </c>
      <c r="I389" s="17">
        <f t="shared" si="43"/>
        <v>-170.7844827586207</v>
      </c>
      <c r="J389" s="17">
        <f t="shared" si="43"/>
        <v>0</v>
      </c>
      <c r="K389" s="17">
        <f t="shared" si="43"/>
        <v>32.715517241379317</v>
      </c>
      <c r="L389" s="17">
        <f t="shared" si="43"/>
        <v>18.121551724137934</v>
      </c>
      <c r="M389" s="17">
        <f t="shared" si="43"/>
        <v>1686.3505747126437</v>
      </c>
      <c r="N389" s="17">
        <f t="shared" si="43"/>
        <v>507.48563218390819</v>
      </c>
      <c r="O389" s="17">
        <f t="shared" si="43"/>
        <v>214.62643678160924</v>
      </c>
      <c r="P389" s="17">
        <f t="shared" si="43"/>
        <v>-31.846264367816097</v>
      </c>
      <c r="Q389" s="17">
        <f t="shared" si="43"/>
        <v>0</v>
      </c>
      <c r="R389" s="17">
        <f t="shared" si="43"/>
        <v>-460.22988505747139</v>
      </c>
    </row>
    <row r="390" spans="3:18" x14ac:dyDescent="0.2">
      <c r="C390" s="1">
        <f t="shared" si="29"/>
        <v>37500</v>
      </c>
      <c r="E390" s="17">
        <f t="shared" ref="E390:R390" si="44">E23*E268/1000/10000</f>
        <v>-618.27761783015455</v>
      </c>
      <c r="F390" s="17">
        <f t="shared" si="44"/>
        <v>0</v>
      </c>
      <c r="G390" s="17">
        <f t="shared" si="44"/>
        <v>0</v>
      </c>
      <c r="H390" s="17">
        <f t="shared" si="44"/>
        <v>134.00503778337531</v>
      </c>
      <c r="I390" s="17">
        <f t="shared" si="44"/>
        <v>14.082763584023033</v>
      </c>
      <c r="J390" s="17">
        <f t="shared" si="44"/>
        <v>0</v>
      </c>
      <c r="K390" s="17">
        <f t="shared" si="44"/>
        <v>0</v>
      </c>
      <c r="L390" s="17">
        <f t="shared" si="44"/>
        <v>8.4876574307304793</v>
      </c>
      <c r="M390" s="17">
        <f t="shared" si="44"/>
        <v>78.445483987045705</v>
      </c>
      <c r="N390" s="17">
        <f t="shared" si="44"/>
        <v>59.589780496581504</v>
      </c>
      <c r="O390" s="17">
        <f t="shared" si="44"/>
        <v>15.45879812882332</v>
      </c>
      <c r="P390" s="17">
        <f t="shared" si="44"/>
        <v>0</v>
      </c>
      <c r="Q390" s="17">
        <f t="shared" si="44"/>
        <v>0</v>
      </c>
      <c r="R390" s="17">
        <f t="shared" si="44"/>
        <v>-15.545160129543001</v>
      </c>
    </row>
    <row r="391" spans="3:18" x14ac:dyDescent="0.2">
      <c r="C391" s="1">
        <f t="shared" si="29"/>
        <v>37530</v>
      </c>
      <c r="E391" s="17">
        <f t="shared" ref="E391:R391" si="45">E24*E269/1000/10000</f>
        <v>-202.74758670003578</v>
      </c>
      <c r="F391" s="17">
        <f t="shared" si="45"/>
        <v>0</v>
      </c>
      <c r="G391" s="17">
        <f t="shared" si="45"/>
        <v>0</v>
      </c>
      <c r="H391" s="17">
        <f t="shared" si="45"/>
        <v>76.063639613871999</v>
      </c>
      <c r="I391" s="17">
        <f t="shared" si="45"/>
        <v>0</v>
      </c>
      <c r="J391" s="17">
        <f t="shared" si="45"/>
        <v>0</v>
      </c>
      <c r="K391" s="17">
        <f t="shared" si="45"/>
        <v>217.08973900607796</v>
      </c>
      <c r="L391" s="17">
        <f t="shared" si="45"/>
        <v>9.5736574901680349</v>
      </c>
      <c r="M391" s="17">
        <f t="shared" si="45"/>
        <v>179.26349660350374</v>
      </c>
      <c r="N391" s="17">
        <f t="shared" si="45"/>
        <v>272.34894529853415</v>
      </c>
      <c r="O391" s="17">
        <f t="shared" si="45"/>
        <v>293.56453342867354</v>
      </c>
      <c r="P391" s="17">
        <f t="shared" si="45"/>
        <v>0</v>
      </c>
      <c r="Q391" s="17">
        <f t="shared" si="45"/>
        <v>-30.693014372542013</v>
      </c>
      <c r="R391" s="17">
        <f t="shared" si="45"/>
        <v>0</v>
      </c>
    </row>
    <row r="392" spans="3:18" x14ac:dyDescent="0.2">
      <c r="C392" s="1">
        <f t="shared" si="29"/>
        <v>37561</v>
      </c>
      <c r="E392" s="17">
        <f t="shared" ref="E392:R392" si="46">E25*E270/1000/10000</f>
        <v>-165.4725280373832</v>
      </c>
      <c r="F392" s="17">
        <f t="shared" si="46"/>
        <v>0</v>
      </c>
      <c r="G392" s="17">
        <f t="shared" si="46"/>
        <v>0</v>
      </c>
      <c r="H392" s="17">
        <f t="shared" si="46"/>
        <v>62.283044058744991</v>
      </c>
      <c r="I392" s="17">
        <f t="shared" si="46"/>
        <v>0</v>
      </c>
      <c r="J392" s="17">
        <f t="shared" si="46"/>
        <v>0</v>
      </c>
      <c r="K392" s="17">
        <f t="shared" si="46"/>
        <v>176.2349799732977</v>
      </c>
      <c r="L392" s="17">
        <f t="shared" si="46"/>
        <v>7.829639519359147</v>
      </c>
      <c r="M392" s="17">
        <f t="shared" si="46"/>
        <v>145.52736982643523</v>
      </c>
      <c r="N392" s="17">
        <f t="shared" si="46"/>
        <v>221.0947930574099</v>
      </c>
      <c r="O392" s="17">
        <f t="shared" si="46"/>
        <v>238.31775700934577</v>
      </c>
      <c r="P392" s="17">
        <f t="shared" si="46"/>
        <v>0</v>
      </c>
      <c r="Q392" s="17">
        <f t="shared" si="46"/>
        <v>-24.850983544726301</v>
      </c>
      <c r="R392" s="17">
        <f t="shared" si="46"/>
        <v>0</v>
      </c>
    </row>
    <row r="393" spans="3:18" x14ac:dyDescent="0.2">
      <c r="C393" s="1">
        <f t="shared" si="29"/>
        <v>37591</v>
      </c>
      <c r="E393" s="17">
        <f t="shared" ref="E393:R393" si="47">E26*E271/1000/10000</f>
        <v>-164.45686337629675</v>
      </c>
      <c r="F393" s="17">
        <f t="shared" si="47"/>
        <v>0</v>
      </c>
      <c r="G393" s="17">
        <f t="shared" si="47"/>
        <v>0</v>
      </c>
      <c r="H393" s="17">
        <f t="shared" si="47"/>
        <v>62.121974221942786</v>
      </c>
      <c r="I393" s="17">
        <f t="shared" si="47"/>
        <v>0</v>
      </c>
      <c r="J393" s="17">
        <f t="shared" si="47"/>
        <v>0</v>
      </c>
      <c r="K393" s="17">
        <f t="shared" si="47"/>
        <v>174.28481609556744</v>
      </c>
      <c r="L393" s="17">
        <f t="shared" si="47"/>
        <v>7.8000377239861702</v>
      </c>
      <c r="M393" s="17">
        <f t="shared" si="47"/>
        <v>143.9170072304307</v>
      </c>
      <c r="N393" s="17">
        <f t="shared" si="47"/>
        <v>218.64822382898461</v>
      </c>
      <c r="O393" s="17">
        <f t="shared" si="47"/>
        <v>235.68060358377872</v>
      </c>
      <c r="P393" s="17">
        <f t="shared" si="47"/>
        <v>0</v>
      </c>
      <c r="Q393" s="17">
        <f t="shared" si="47"/>
        <v>-24.504169286387928</v>
      </c>
      <c r="R393" s="17">
        <f t="shared" si="47"/>
        <v>0</v>
      </c>
    </row>
    <row r="394" spans="3:18" x14ac:dyDescent="0.2">
      <c r="C394" s="1">
        <f t="shared" si="29"/>
        <v>37622</v>
      </c>
      <c r="E394" s="17">
        <f t="shared" ref="E394:R394" si="48">E27*E272/1000/10000</f>
        <v>-171.32135301160659</v>
      </c>
      <c r="F394" s="17">
        <f t="shared" si="48"/>
        <v>0</v>
      </c>
      <c r="G394" s="17">
        <f t="shared" si="48"/>
        <v>0</v>
      </c>
      <c r="H394" s="17">
        <f t="shared" si="48"/>
        <v>-265.8653634697618</v>
      </c>
      <c r="I394" s="17">
        <f t="shared" si="48"/>
        <v>-15.041172877214413</v>
      </c>
      <c r="J394" s="17">
        <f t="shared" si="48"/>
        <v>0</v>
      </c>
      <c r="K394" s="17">
        <f t="shared" si="48"/>
        <v>-20.293219303604157</v>
      </c>
      <c r="L394" s="17">
        <f t="shared" si="48"/>
        <v>9.2050042761148454</v>
      </c>
      <c r="M394" s="17">
        <f t="shared" si="48"/>
        <v>82.651191203420893</v>
      </c>
      <c r="N394" s="17">
        <f t="shared" si="48"/>
        <v>0</v>
      </c>
      <c r="O394" s="17">
        <f t="shared" si="48"/>
        <v>15.240073304825902</v>
      </c>
      <c r="P394" s="17">
        <f t="shared" si="48"/>
        <v>0</v>
      </c>
      <c r="Q394" s="17">
        <f t="shared" si="48"/>
        <v>41.52100363439218</v>
      </c>
      <c r="R394" s="17">
        <f t="shared" si="48"/>
        <v>0</v>
      </c>
    </row>
    <row r="395" spans="3:18" x14ac:dyDescent="0.2">
      <c r="C395" s="1">
        <f t="shared" si="29"/>
        <v>37653</v>
      </c>
      <c r="E395" s="17">
        <f t="shared" ref="E395:R395" si="49">E28*E273/1000/10000</f>
        <v>-155.10057551885319</v>
      </c>
      <c r="F395" s="17">
        <f t="shared" si="49"/>
        <v>0</v>
      </c>
      <c r="G395" s="17">
        <f t="shared" si="49"/>
        <v>0</v>
      </c>
      <c r="H395" s="17">
        <f t="shared" si="49"/>
        <v>-240.90744780305391</v>
      </c>
      <c r="I395" s="17">
        <f t="shared" si="49"/>
        <v>-13.651604861327517</v>
      </c>
      <c r="J395" s="17">
        <f t="shared" si="49"/>
        <v>0</v>
      </c>
      <c r="K395" s="17">
        <f t="shared" si="49"/>
        <v>-18.822062947958869</v>
      </c>
      <c r="L395" s="17">
        <f t="shared" si="49"/>
        <v>8.3761421003427845</v>
      </c>
      <c r="M395" s="17">
        <f t="shared" si="49"/>
        <v>76.659395450296046</v>
      </c>
      <c r="N395" s="17">
        <f t="shared" si="49"/>
        <v>0</v>
      </c>
      <c r="O395" s="17">
        <f t="shared" si="49"/>
        <v>14.135244624493611</v>
      </c>
      <c r="P395" s="17">
        <f t="shared" si="49"/>
        <v>0</v>
      </c>
      <c r="Q395" s="17">
        <f t="shared" si="49"/>
        <v>38.398736315986284</v>
      </c>
      <c r="R395" s="17">
        <f t="shared" si="49"/>
        <v>0</v>
      </c>
    </row>
    <row r="396" spans="3:18" x14ac:dyDescent="0.2">
      <c r="C396" s="1">
        <f t="shared" si="29"/>
        <v>37681</v>
      </c>
      <c r="E396" s="17">
        <f t="shared" ref="E396:R396" si="50">E29*E274/1000/10000</f>
        <v>-136.66546611093301</v>
      </c>
      <c r="F396" s="17">
        <f t="shared" si="50"/>
        <v>0</v>
      </c>
      <c r="G396" s="17">
        <f t="shared" si="50"/>
        <v>0</v>
      </c>
      <c r="H396" s="17">
        <f t="shared" si="50"/>
        <v>-212.89515870471303</v>
      </c>
      <c r="I396" s="17">
        <f t="shared" si="50"/>
        <v>-14.596986213529981</v>
      </c>
      <c r="J396" s="17">
        <f t="shared" si="50"/>
        <v>0</v>
      </c>
      <c r="K396" s="17">
        <f t="shared" si="50"/>
        <v>-18.044244950304581</v>
      </c>
      <c r="L396" s="17">
        <f t="shared" si="50"/>
        <v>8.8858480282141699</v>
      </c>
      <c r="M396" s="17">
        <f t="shared" si="50"/>
        <v>76.755370310997108</v>
      </c>
      <c r="N396" s="17">
        <f t="shared" si="50"/>
        <v>0</v>
      </c>
      <c r="O396" s="17">
        <f t="shared" si="50"/>
        <v>14.596986213529981</v>
      </c>
      <c r="P396" s="17">
        <f t="shared" si="50"/>
        <v>0</v>
      </c>
      <c r="Q396" s="17">
        <f t="shared" si="50"/>
        <v>79.104903406861155</v>
      </c>
      <c r="R396" s="17">
        <f t="shared" si="50"/>
        <v>109.3427380570696</v>
      </c>
    </row>
    <row r="397" spans="3:18" x14ac:dyDescent="0.2">
      <c r="C397" s="1">
        <f t="shared" si="29"/>
        <v>37712</v>
      </c>
      <c r="E397" s="17">
        <f t="shared" ref="E397:R397" si="51">E30*E275/1000/10000</f>
        <v>-150.73255346334901</v>
      </c>
      <c r="F397" s="17">
        <f t="shared" si="51"/>
        <v>0</v>
      </c>
      <c r="G397" s="17">
        <f t="shared" si="51"/>
        <v>0</v>
      </c>
      <c r="H397" s="17">
        <f t="shared" si="51"/>
        <v>-235.68258238063211</v>
      </c>
      <c r="I397" s="17">
        <f t="shared" si="51"/>
        <v>-16.156018829858773</v>
      </c>
      <c r="J397" s="17">
        <f t="shared" si="51"/>
        <v>0</v>
      </c>
      <c r="K397" s="17">
        <f t="shared" si="51"/>
        <v>-19.825151311365161</v>
      </c>
      <c r="L397" s="17">
        <f t="shared" si="51"/>
        <v>9.8267652992602539</v>
      </c>
      <c r="M397" s="17">
        <f t="shared" si="51"/>
        <v>84.330867518493605</v>
      </c>
      <c r="N397" s="17">
        <f t="shared" si="51"/>
        <v>0</v>
      </c>
      <c r="O397" s="17">
        <f t="shared" si="51"/>
        <v>16.037659717552117</v>
      </c>
      <c r="P397" s="17">
        <f t="shared" si="51"/>
        <v>0</v>
      </c>
      <c r="Q397" s="17">
        <f t="shared" si="51"/>
        <v>86.619553796570287</v>
      </c>
      <c r="R397" s="17">
        <f t="shared" si="51"/>
        <v>120.13449899125759</v>
      </c>
    </row>
    <row r="398" spans="3:18" x14ac:dyDescent="0.2">
      <c r="C398" s="1">
        <f t="shared" si="29"/>
        <v>37742</v>
      </c>
      <c r="E398" s="17">
        <f t="shared" ref="E398:R398" si="52">E31*E276/1000/10000</f>
        <v>-233.69672549596498</v>
      </c>
      <c r="F398" s="17">
        <f t="shared" si="52"/>
        <v>0</v>
      </c>
      <c r="G398" s="17">
        <f t="shared" si="52"/>
        <v>0</v>
      </c>
      <c r="H398" s="17">
        <f t="shared" si="52"/>
        <v>-216.28446536650975</v>
      </c>
      <c r="I398" s="17">
        <f t="shared" si="52"/>
        <v>-30.815063887020848</v>
      </c>
      <c r="J398" s="17">
        <f t="shared" si="52"/>
        <v>0</v>
      </c>
      <c r="K398" s="17">
        <f t="shared" si="52"/>
        <v>-19.206455951580363</v>
      </c>
      <c r="L398" s="17">
        <f t="shared" si="52"/>
        <v>10.07406859448554</v>
      </c>
      <c r="M398" s="17">
        <f t="shared" si="52"/>
        <v>84.734364492266309</v>
      </c>
      <c r="N398" s="17">
        <f t="shared" si="52"/>
        <v>0</v>
      </c>
      <c r="O398" s="17">
        <f t="shared" si="52"/>
        <v>16.523201075991931</v>
      </c>
      <c r="P398" s="17">
        <f t="shared" si="52"/>
        <v>0</v>
      </c>
      <c r="Q398" s="17">
        <f t="shared" si="52"/>
        <v>-14.514527444519167</v>
      </c>
      <c r="R398" s="17">
        <f t="shared" si="52"/>
        <v>170.88096839273703</v>
      </c>
    </row>
    <row r="399" spans="3:18" x14ac:dyDescent="0.2">
      <c r="C399" s="1">
        <f t="shared" si="29"/>
        <v>37773</v>
      </c>
      <c r="E399" s="17">
        <f t="shared" ref="E399:R399" si="53">E32*E277/1000/10000</f>
        <v>-223.34365061584552</v>
      </c>
      <c r="F399" s="17">
        <f t="shared" si="53"/>
        <v>0</v>
      </c>
      <c r="G399" s="17">
        <f t="shared" si="53"/>
        <v>0</v>
      </c>
      <c r="H399" s="17">
        <f t="shared" si="53"/>
        <v>-286.43608521970708</v>
      </c>
      <c r="I399" s="17">
        <f t="shared" si="53"/>
        <v>19.599067909454064</v>
      </c>
      <c r="J399" s="17">
        <f t="shared" si="53"/>
        <v>0</v>
      </c>
      <c r="K399" s="17">
        <f t="shared" si="53"/>
        <v>-42.223701731025301</v>
      </c>
      <c r="L399" s="17">
        <f t="shared" si="53"/>
        <v>12.132743009320906</v>
      </c>
      <c r="M399" s="17">
        <f t="shared" si="53"/>
        <v>109.05459387483357</v>
      </c>
      <c r="N399" s="17">
        <f t="shared" si="53"/>
        <v>0</v>
      </c>
      <c r="O399" s="17">
        <f t="shared" si="53"/>
        <v>40.937416777629828</v>
      </c>
      <c r="P399" s="17">
        <f t="shared" si="53"/>
        <v>0</v>
      </c>
      <c r="Q399" s="17">
        <f t="shared" si="53"/>
        <v>-19.090454210053267</v>
      </c>
      <c r="R399" s="17">
        <f t="shared" si="53"/>
        <v>292.62982689747002</v>
      </c>
    </row>
    <row r="400" spans="3:18" x14ac:dyDescent="0.2">
      <c r="C400" s="1">
        <f t="shared" si="29"/>
        <v>37803</v>
      </c>
      <c r="E400" s="17">
        <f t="shared" ref="E400:R400" si="54">E33*E278/1000/10000</f>
        <v>-456.83399520039421</v>
      </c>
      <c r="F400" s="17">
        <f t="shared" si="54"/>
        <v>0</v>
      </c>
      <c r="G400" s="17">
        <f t="shared" si="54"/>
        <v>0</v>
      </c>
      <c r="H400" s="17">
        <f t="shared" si="54"/>
        <v>-589.51327201051254</v>
      </c>
      <c r="I400" s="17">
        <f t="shared" si="54"/>
        <v>26.700657030223393</v>
      </c>
      <c r="J400" s="17">
        <f t="shared" si="54"/>
        <v>0</v>
      </c>
      <c r="K400" s="17">
        <f t="shared" si="54"/>
        <v>-54.060446780551914</v>
      </c>
      <c r="L400" s="17">
        <f t="shared" si="54"/>
        <v>15.312462549277264</v>
      </c>
      <c r="M400" s="17">
        <f t="shared" si="54"/>
        <v>87.595269382391578</v>
      </c>
      <c r="N400" s="17">
        <f t="shared" si="54"/>
        <v>0</v>
      </c>
      <c r="O400" s="17">
        <f t="shared" si="54"/>
        <v>52.036793692509853</v>
      </c>
      <c r="P400" s="17">
        <f t="shared" si="54"/>
        <v>0</v>
      </c>
      <c r="Q400" s="17">
        <f t="shared" si="54"/>
        <v>-21.748026182654399</v>
      </c>
      <c r="R400" s="17">
        <f t="shared" si="54"/>
        <v>-86.727989487516425</v>
      </c>
    </row>
    <row r="401" spans="3:18" x14ac:dyDescent="0.2">
      <c r="C401" s="1">
        <f t="shared" si="29"/>
        <v>37834</v>
      </c>
      <c r="E401" s="17">
        <f t="shared" ref="E401:R401" si="55">E34*E279/1000/10000</f>
        <v>-442.46873712244241</v>
      </c>
      <c r="F401" s="17">
        <f t="shared" si="55"/>
        <v>0</v>
      </c>
      <c r="G401" s="17">
        <f t="shared" si="55"/>
        <v>0</v>
      </c>
      <c r="H401" s="17">
        <f t="shared" si="55"/>
        <v>-557.45008119519321</v>
      </c>
      <c r="I401" s="17">
        <f t="shared" si="55"/>
        <v>25.246378694381292</v>
      </c>
      <c r="J401" s="17">
        <f t="shared" si="55"/>
        <v>0</v>
      </c>
      <c r="K401" s="17">
        <f t="shared" si="55"/>
        <v>-51.016563819421883</v>
      </c>
      <c r="L401" s="17">
        <f t="shared" si="55"/>
        <v>14.475827216628776</v>
      </c>
      <c r="M401" s="17">
        <f t="shared" si="55"/>
        <v>82.663202338421556</v>
      </c>
      <c r="N401" s="17">
        <f t="shared" si="55"/>
        <v>0</v>
      </c>
      <c r="O401" s="17">
        <f t="shared" si="55"/>
        <v>49.106852874309837</v>
      </c>
      <c r="P401" s="17">
        <f t="shared" si="55"/>
        <v>0</v>
      </c>
      <c r="Q401" s="17">
        <f t="shared" si="55"/>
        <v>-20.442746162715164</v>
      </c>
      <c r="R401" s="17">
        <f t="shared" si="55"/>
        <v>-81.84475479051639</v>
      </c>
    </row>
    <row r="402" spans="3:18" x14ac:dyDescent="0.2">
      <c r="C402" s="1">
        <f t="shared" ref="C402:C433" si="56">C35</f>
        <v>37865</v>
      </c>
      <c r="E402" s="17">
        <f t="shared" ref="E402:R402" si="57">E35*E280/1000/10000</f>
        <v>-102.35872478077297</v>
      </c>
      <c r="F402" s="17">
        <f t="shared" si="57"/>
        <v>0</v>
      </c>
      <c r="G402" s="17">
        <f t="shared" si="57"/>
        <v>0</v>
      </c>
      <c r="H402" s="17">
        <f t="shared" si="57"/>
        <v>-179.10360506658003</v>
      </c>
      <c r="I402" s="17">
        <f t="shared" si="57"/>
        <v>-14.131860993829163</v>
      </c>
      <c r="J402" s="17">
        <f t="shared" si="57"/>
        <v>0</v>
      </c>
      <c r="K402" s="17">
        <f t="shared" si="57"/>
        <v>-18.005846053913608</v>
      </c>
      <c r="L402" s="17">
        <f t="shared" si="57"/>
        <v>8.0495953231568702</v>
      </c>
      <c r="M402" s="17">
        <f t="shared" si="57"/>
        <v>77.752517050990562</v>
      </c>
      <c r="N402" s="17">
        <f t="shared" si="57"/>
        <v>0</v>
      </c>
      <c r="O402" s="17">
        <f t="shared" si="57"/>
        <v>29.955180253329001</v>
      </c>
      <c r="P402" s="17">
        <f t="shared" si="57"/>
        <v>0</v>
      </c>
      <c r="Q402" s="17">
        <f t="shared" si="57"/>
        <v>-12.933168621630399</v>
      </c>
      <c r="R402" s="17">
        <f t="shared" si="57"/>
        <v>125.49529067879182</v>
      </c>
    </row>
    <row r="403" spans="3:18" x14ac:dyDescent="0.2">
      <c r="C403" s="1">
        <f t="shared" si="56"/>
        <v>37895</v>
      </c>
      <c r="E403" s="17">
        <f t="shared" ref="E403:R403" si="58">E36*E281/1000/10000</f>
        <v>-38.429786834462739</v>
      </c>
      <c r="F403" s="17">
        <f t="shared" si="58"/>
        <v>0</v>
      </c>
      <c r="G403" s="17">
        <f t="shared" si="58"/>
        <v>0</v>
      </c>
      <c r="H403" s="17">
        <f t="shared" si="58"/>
        <v>-185.95934172313645</v>
      </c>
      <c r="I403" s="17">
        <f t="shared" si="58"/>
        <v>31.349467570183926</v>
      </c>
      <c r="J403" s="17">
        <f t="shared" si="58"/>
        <v>0</v>
      </c>
      <c r="K403" s="17">
        <f t="shared" si="58"/>
        <v>-20.335592126492418</v>
      </c>
      <c r="L403" s="17">
        <f t="shared" si="58"/>
        <v>9.0510900290416263</v>
      </c>
      <c r="M403" s="17">
        <f t="shared" si="58"/>
        <v>84.607938044530485</v>
      </c>
      <c r="N403" s="17">
        <f t="shared" si="58"/>
        <v>0</v>
      </c>
      <c r="O403" s="17">
        <f t="shared" si="58"/>
        <v>32.418199419167472</v>
      </c>
      <c r="P403" s="17">
        <f t="shared" si="58"/>
        <v>0</v>
      </c>
      <c r="Q403" s="17">
        <f t="shared" si="58"/>
        <v>43.886564109390122</v>
      </c>
      <c r="R403" s="17">
        <f t="shared" si="58"/>
        <v>170.70022587931589</v>
      </c>
    </row>
    <row r="404" spans="3:18" x14ac:dyDescent="0.2">
      <c r="C404" s="1">
        <f t="shared" si="56"/>
        <v>37926</v>
      </c>
      <c r="E404" s="17">
        <f t="shared" ref="E404:R404" si="59">E37*E282/1000/10000</f>
        <v>-30.409441171923316</v>
      </c>
      <c r="F404" s="17">
        <f t="shared" si="59"/>
        <v>0</v>
      </c>
      <c r="G404" s="17">
        <f t="shared" si="59"/>
        <v>0</v>
      </c>
      <c r="H404" s="17">
        <f t="shared" si="59"/>
        <v>-147.76994434137288</v>
      </c>
      <c r="I404" s="17">
        <f t="shared" si="59"/>
        <v>24.910327767470626</v>
      </c>
      <c r="J404" s="17">
        <f t="shared" si="59"/>
        <v>0</v>
      </c>
      <c r="K404" s="17">
        <f t="shared" si="59"/>
        <v>-16.097711811997527</v>
      </c>
      <c r="L404" s="17">
        <f t="shared" si="59"/>
        <v>7.1877105751391452</v>
      </c>
      <c r="M404" s="17">
        <f t="shared" si="59"/>
        <v>66.975881261595546</v>
      </c>
      <c r="N404" s="17">
        <f t="shared" si="59"/>
        <v>0</v>
      </c>
      <c r="O404" s="17">
        <f t="shared" si="59"/>
        <v>25.662337662337666</v>
      </c>
      <c r="P404" s="17">
        <f t="shared" si="59"/>
        <v>0</v>
      </c>
      <c r="Q404" s="17">
        <f t="shared" si="59"/>
        <v>34.599946289734078</v>
      </c>
      <c r="R404" s="17">
        <f t="shared" si="59"/>
        <v>135.12677798392082</v>
      </c>
    </row>
    <row r="405" spans="3:18" x14ac:dyDescent="0.2">
      <c r="C405" s="1">
        <f t="shared" si="56"/>
        <v>37956</v>
      </c>
      <c r="E405" s="17">
        <f t="shared" ref="E405:R405" si="60">E38*E283/1000/10000</f>
        <v>-33.779563668744437</v>
      </c>
      <c r="F405" s="17">
        <f t="shared" si="60"/>
        <v>0</v>
      </c>
      <c r="G405" s="17">
        <f t="shared" si="60"/>
        <v>0</v>
      </c>
      <c r="H405" s="17">
        <f t="shared" si="60"/>
        <v>-164.8726625111309</v>
      </c>
      <c r="I405" s="17">
        <f t="shared" si="60"/>
        <v>27.792223211635498</v>
      </c>
      <c r="J405" s="17">
        <f t="shared" si="60"/>
        <v>0</v>
      </c>
      <c r="K405" s="17">
        <f t="shared" si="60"/>
        <v>-17.892549718017214</v>
      </c>
      <c r="L405" s="17">
        <f t="shared" si="60"/>
        <v>8.0173250222617973</v>
      </c>
      <c r="M405" s="17">
        <f t="shared" si="60"/>
        <v>74.443455031166522</v>
      </c>
      <c r="N405" s="17">
        <f t="shared" si="60"/>
        <v>0</v>
      </c>
      <c r="O405" s="17">
        <f t="shared" si="60"/>
        <v>28.523597506678541</v>
      </c>
      <c r="P405" s="17">
        <f t="shared" si="60"/>
        <v>0</v>
      </c>
      <c r="Q405" s="17">
        <f t="shared" si="60"/>
        <v>38.293905331552381</v>
      </c>
      <c r="R405" s="17">
        <f t="shared" si="60"/>
        <v>150.19293558919557</v>
      </c>
    </row>
    <row r="406" spans="3:18" x14ac:dyDescent="0.2">
      <c r="C406" s="1">
        <f t="shared" si="56"/>
        <v>37987</v>
      </c>
      <c r="E406" s="17">
        <f t="shared" ref="E406:R406" si="61">E39*E284/1000/10000</f>
        <v>6.0297802857976102</v>
      </c>
      <c r="F406" s="17">
        <f t="shared" si="61"/>
        <v>0</v>
      </c>
      <c r="G406" s="17">
        <f t="shared" si="61"/>
        <v>0</v>
      </c>
      <c r="H406" s="17">
        <f t="shared" si="61"/>
        <v>0</v>
      </c>
      <c r="I406" s="17">
        <f t="shared" si="61"/>
        <v>27.799125109361334</v>
      </c>
      <c r="J406" s="17">
        <f t="shared" si="61"/>
        <v>0</v>
      </c>
      <c r="K406" s="17">
        <f t="shared" si="61"/>
        <v>0</v>
      </c>
      <c r="L406" s="17">
        <f t="shared" si="61"/>
        <v>0</v>
      </c>
      <c r="M406" s="17">
        <f t="shared" si="61"/>
        <v>-15.43307086614173</v>
      </c>
      <c r="N406" s="17">
        <f t="shared" si="61"/>
        <v>0</v>
      </c>
      <c r="O406" s="17">
        <f t="shared" si="61"/>
        <v>0</v>
      </c>
      <c r="P406" s="17">
        <f t="shared" si="61"/>
        <v>0</v>
      </c>
      <c r="Q406" s="17">
        <f t="shared" si="61"/>
        <v>-0.52431286089238849</v>
      </c>
      <c r="R406" s="17">
        <f t="shared" si="61"/>
        <v>60.75240594925635</v>
      </c>
    </row>
    <row r="407" spans="3:18" x14ac:dyDescent="0.2">
      <c r="C407" s="1">
        <f t="shared" si="56"/>
        <v>38018</v>
      </c>
      <c r="E407" s="17">
        <f t="shared" ref="E407:R407" si="62">E40*E285/1000/10000</f>
        <v>5.7932614593301448</v>
      </c>
      <c r="F407" s="17">
        <f t="shared" si="62"/>
        <v>0</v>
      </c>
      <c r="G407" s="17">
        <f t="shared" si="62"/>
        <v>0</v>
      </c>
      <c r="H407" s="17">
        <f t="shared" si="62"/>
        <v>0</v>
      </c>
      <c r="I407" s="17">
        <f t="shared" si="62"/>
        <v>26.813397129186605</v>
      </c>
      <c r="J407" s="17">
        <f t="shared" si="62"/>
        <v>0</v>
      </c>
      <c r="K407" s="17">
        <f t="shared" si="62"/>
        <v>0</v>
      </c>
      <c r="L407" s="17">
        <f t="shared" si="62"/>
        <v>0</v>
      </c>
      <c r="M407" s="17">
        <f t="shared" si="62"/>
        <v>-15.071770334928232</v>
      </c>
      <c r="N407" s="17">
        <f t="shared" si="62"/>
        <v>0</v>
      </c>
      <c r="O407" s="17">
        <f t="shared" si="62"/>
        <v>0</v>
      </c>
      <c r="P407" s="17">
        <f t="shared" si="62"/>
        <v>0</v>
      </c>
      <c r="Q407" s="17">
        <f t="shared" si="62"/>
        <v>-0.53080756309808608</v>
      </c>
      <c r="R407" s="17">
        <f t="shared" si="62"/>
        <v>59.330143540669859</v>
      </c>
    </row>
    <row r="408" spans="3:18" x14ac:dyDescent="0.2">
      <c r="C408" s="1">
        <f t="shared" si="56"/>
        <v>38047</v>
      </c>
      <c r="E408" s="17">
        <f t="shared" ref="E408:R408" si="63">E41*E286/1000/10000</f>
        <v>6.8310100248911025</v>
      </c>
      <c r="F408" s="17">
        <f t="shared" si="63"/>
        <v>0</v>
      </c>
      <c r="G408" s="17">
        <f t="shared" si="63"/>
        <v>0</v>
      </c>
      <c r="H408" s="17">
        <f t="shared" si="63"/>
        <v>0</v>
      </c>
      <c r="I408" s="17">
        <f t="shared" si="63"/>
        <v>31.750591163659003</v>
      </c>
      <c r="J408" s="17">
        <f t="shared" si="63"/>
        <v>0</v>
      </c>
      <c r="K408" s="17">
        <f t="shared" si="63"/>
        <v>0</v>
      </c>
      <c r="L408" s="17">
        <f t="shared" si="63"/>
        <v>0</v>
      </c>
      <c r="M408" s="17">
        <f t="shared" si="63"/>
        <v>-16.888612321095209</v>
      </c>
      <c r="N408" s="17">
        <f t="shared" si="63"/>
        <v>0</v>
      </c>
      <c r="O408" s="17">
        <f t="shared" si="63"/>
        <v>0</v>
      </c>
      <c r="P408" s="17">
        <f t="shared" si="63"/>
        <v>0</v>
      </c>
      <c r="Q408" s="17">
        <f t="shared" si="63"/>
        <v>-0.54570504791537022</v>
      </c>
      <c r="R408" s="17">
        <f t="shared" si="63"/>
        <v>66.981953951462344</v>
      </c>
    </row>
    <row r="409" spans="3:18" x14ac:dyDescent="0.2">
      <c r="C409" s="1">
        <f t="shared" si="56"/>
        <v>38078</v>
      </c>
      <c r="E409" s="17">
        <f t="shared" ref="E409:R409" si="64">E42*E287/1000/10000</f>
        <v>7.0107189237372074</v>
      </c>
      <c r="F409" s="17">
        <f t="shared" si="64"/>
        <v>0</v>
      </c>
      <c r="G409" s="17">
        <f t="shared" si="64"/>
        <v>0</v>
      </c>
      <c r="H409" s="17">
        <f t="shared" si="64"/>
        <v>0</v>
      </c>
      <c r="I409" s="17">
        <f t="shared" si="64"/>
        <v>32.736348629910857</v>
      </c>
      <c r="J409" s="17">
        <f t="shared" si="64"/>
        <v>0</v>
      </c>
      <c r="K409" s="17">
        <f t="shared" si="64"/>
        <v>0</v>
      </c>
      <c r="L409" s="17">
        <f t="shared" si="64"/>
        <v>0</v>
      </c>
      <c r="M409" s="17">
        <f t="shared" si="64"/>
        <v>-17.140970617365468</v>
      </c>
      <c r="N409" s="17">
        <f t="shared" si="64"/>
        <v>0</v>
      </c>
      <c r="O409" s="17">
        <f t="shared" si="64"/>
        <v>0</v>
      </c>
      <c r="P409" s="17">
        <f t="shared" si="64"/>
        <v>0</v>
      </c>
      <c r="Q409" s="17">
        <f t="shared" si="64"/>
        <v>-0.82723878441729959</v>
      </c>
      <c r="R409" s="17">
        <f t="shared" si="64"/>
        <v>67.982832618025753</v>
      </c>
    </row>
    <row r="410" spans="3:18" x14ac:dyDescent="0.2">
      <c r="C410" s="1">
        <f t="shared" si="56"/>
        <v>38108</v>
      </c>
      <c r="E410" s="17">
        <f t="shared" ref="E410:R410" si="65">E43*E288/1000/10000</f>
        <v>6.5279664682539682</v>
      </c>
      <c r="F410" s="17">
        <f t="shared" si="65"/>
        <v>0</v>
      </c>
      <c r="G410" s="17">
        <f t="shared" si="65"/>
        <v>0</v>
      </c>
      <c r="H410" s="17">
        <f t="shared" si="65"/>
        <v>0</v>
      </c>
      <c r="I410" s="17">
        <f t="shared" si="65"/>
        <v>30.634920634920633</v>
      </c>
      <c r="J410" s="17">
        <f t="shared" si="65"/>
        <v>0</v>
      </c>
      <c r="K410" s="17">
        <f t="shared" si="65"/>
        <v>0</v>
      </c>
      <c r="L410" s="17">
        <f t="shared" si="65"/>
        <v>0</v>
      </c>
      <c r="M410" s="17">
        <f t="shared" si="65"/>
        <v>-16.137566137566139</v>
      </c>
      <c r="N410" s="17">
        <f t="shared" si="65"/>
        <v>0</v>
      </c>
      <c r="O410" s="17">
        <f t="shared" si="65"/>
        <v>0</v>
      </c>
      <c r="P410" s="17">
        <f t="shared" si="65"/>
        <v>0</v>
      </c>
      <c r="Q410" s="17">
        <f t="shared" si="65"/>
        <v>-0.81942499999999985</v>
      </c>
      <c r="R410" s="17">
        <f t="shared" si="65"/>
        <v>65.07936507936509</v>
      </c>
    </row>
    <row r="411" spans="3:18" x14ac:dyDescent="0.2">
      <c r="C411" s="1">
        <f t="shared" si="56"/>
        <v>38139</v>
      </c>
      <c r="E411" s="17">
        <f t="shared" ref="E411:R411" si="66">E44*E289/1000/10000</f>
        <v>-190.85888642039882</v>
      </c>
      <c r="F411" s="17">
        <f t="shared" si="66"/>
        <v>0</v>
      </c>
      <c r="G411" s="17">
        <f t="shared" si="66"/>
        <v>0</v>
      </c>
      <c r="H411" s="17">
        <f t="shared" si="66"/>
        <v>0</v>
      </c>
      <c r="I411" s="17">
        <f t="shared" si="66"/>
        <v>39.36554429552141</v>
      </c>
      <c r="J411" s="17">
        <f t="shared" si="66"/>
        <v>0</v>
      </c>
      <c r="K411" s="17">
        <f t="shared" si="66"/>
        <v>0</v>
      </c>
      <c r="L411" s="17">
        <f t="shared" si="66"/>
        <v>0</v>
      </c>
      <c r="M411" s="17">
        <f t="shared" si="66"/>
        <v>-23.014056881333769</v>
      </c>
      <c r="N411" s="17">
        <f t="shared" si="66"/>
        <v>0</v>
      </c>
      <c r="O411" s="17">
        <f t="shared" si="66"/>
        <v>0</v>
      </c>
      <c r="P411" s="17">
        <f t="shared" si="66"/>
        <v>0</v>
      </c>
      <c r="Q411" s="17">
        <f t="shared" si="66"/>
        <v>-99.311555284733572</v>
      </c>
      <c r="R411" s="17">
        <f t="shared" si="66"/>
        <v>93.782281791435096</v>
      </c>
    </row>
    <row r="412" spans="3:18" x14ac:dyDescent="0.2">
      <c r="C412" s="1">
        <f t="shared" si="56"/>
        <v>38169</v>
      </c>
      <c r="E412" s="17">
        <f t="shared" ref="E412:R412" si="67">E45*E290/1000/10000</f>
        <v>-57.007366253630202</v>
      </c>
      <c r="F412" s="17">
        <f t="shared" si="67"/>
        <v>0</v>
      </c>
      <c r="G412" s="17">
        <f t="shared" si="67"/>
        <v>0</v>
      </c>
      <c r="H412" s="17">
        <f t="shared" si="67"/>
        <v>0</v>
      </c>
      <c r="I412" s="17">
        <f t="shared" si="67"/>
        <v>49.191093901258462</v>
      </c>
      <c r="J412" s="17">
        <f t="shared" si="67"/>
        <v>0</v>
      </c>
      <c r="K412" s="17">
        <f t="shared" si="67"/>
        <v>0</v>
      </c>
      <c r="L412" s="17">
        <f t="shared" si="67"/>
        <v>-0.494621490803485</v>
      </c>
      <c r="M412" s="17">
        <f t="shared" si="67"/>
        <v>-27.918683446272986</v>
      </c>
      <c r="N412" s="17">
        <f t="shared" si="67"/>
        <v>0</v>
      </c>
      <c r="O412" s="17">
        <f t="shared" si="67"/>
        <v>0</v>
      </c>
      <c r="P412" s="17">
        <f t="shared" si="67"/>
        <v>0</v>
      </c>
      <c r="Q412" s="17">
        <f t="shared" si="67"/>
        <v>-45.949878528557605</v>
      </c>
      <c r="R412" s="17">
        <f t="shared" si="67"/>
        <v>190.68731848983543</v>
      </c>
    </row>
    <row r="413" spans="3:18" x14ac:dyDescent="0.2">
      <c r="C413" s="1">
        <f t="shared" si="56"/>
        <v>38200</v>
      </c>
      <c r="E413" s="17">
        <f t="shared" ref="E413:R413" si="68">E46*E291/1000/10000</f>
        <v>-57.164594061803129</v>
      </c>
      <c r="F413" s="17">
        <f t="shared" si="68"/>
        <v>0</v>
      </c>
      <c r="G413" s="17">
        <f t="shared" si="68"/>
        <v>0</v>
      </c>
      <c r="H413" s="17">
        <f t="shared" si="68"/>
        <v>0</v>
      </c>
      <c r="I413" s="17">
        <f t="shared" si="68"/>
        <v>49.542402038865887</v>
      </c>
      <c r="J413" s="17">
        <f t="shared" si="68"/>
        <v>0</v>
      </c>
      <c r="K413" s="17">
        <f t="shared" si="68"/>
        <v>0</v>
      </c>
      <c r="L413" s="17">
        <f t="shared" si="68"/>
        <v>-0.5038343421471807</v>
      </c>
      <c r="M413" s="17">
        <f t="shared" si="68"/>
        <v>-28.875438037591596</v>
      </c>
      <c r="N413" s="17">
        <f t="shared" si="68"/>
        <v>0</v>
      </c>
      <c r="O413" s="17">
        <f t="shared" si="68"/>
        <v>0</v>
      </c>
      <c r="P413" s="17">
        <f t="shared" si="68"/>
        <v>0</v>
      </c>
      <c r="Q413" s="17">
        <f t="shared" si="68"/>
        <v>-46.851861331634289</v>
      </c>
      <c r="R413" s="17">
        <f t="shared" si="68"/>
        <v>197.22204523733674</v>
      </c>
    </row>
    <row r="414" spans="3:18" x14ac:dyDescent="0.2">
      <c r="C414" s="1">
        <f t="shared" si="56"/>
        <v>38231</v>
      </c>
      <c r="E414" s="17">
        <f t="shared" ref="E414:R414" si="69">E47*E292/1000/10000</f>
        <v>6.1432118033311971</v>
      </c>
      <c r="F414" s="17">
        <f t="shared" si="69"/>
        <v>0</v>
      </c>
      <c r="G414" s="17">
        <f t="shared" si="69"/>
        <v>0</v>
      </c>
      <c r="H414" s="17">
        <f t="shared" si="69"/>
        <v>0</v>
      </c>
      <c r="I414" s="17">
        <f t="shared" si="69"/>
        <v>29.327354260089685</v>
      </c>
      <c r="J414" s="17">
        <f t="shared" si="69"/>
        <v>0</v>
      </c>
      <c r="K414" s="17">
        <f t="shared" si="69"/>
        <v>0</v>
      </c>
      <c r="L414" s="17">
        <f t="shared" si="69"/>
        <v>0</v>
      </c>
      <c r="M414" s="17">
        <f t="shared" si="69"/>
        <v>-15.605381165919281</v>
      </c>
      <c r="N414" s="17">
        <f t="shared" si="69"/>
        <v>0</v>
      </c>
      <c r="O414" s="17">
        <f t="shared" si="69"/>
        <v>0</v>
      </c>
      <c r="P414" s="17">
        <f t="shared" si="69"/>
        <v>0</v>
      </c>
      <c r="Q414" s="17">
        <f t="shared" si="69"/>
        <v>-0.71056438180653425</v>
      </c>
      <c r="R414" s="17">
        <f t="shared" si="69"/>
        <v>62.421524663677125</v>
      </c>
    </row>
    <row r="415" spans="3:18" x14ac:dyDescent="0.2">
      <c r="C415" s="1">
        <f t="shared" si="56"/>
        <v>38261</v>
      </c>
      <c r="E415" s="17">
        <f t="shared" ref="E415:R415" si="70">E48*E293/1000/10000</f>
        <v>6.1028843724181767</v>
      </c>
      <c r="F415" s="17">
        <f t="shared" si="70"/>
        <v>0</v>
      </c>
      <c r="G415" s="17">
        <f t="shared" si="70"/>
        <v>0</v>
      </c>
      <c r="H415" s="17">
        <f t="shared" si="70"/>
        <v>0</v>
      </c>
      <c r="I415" s="17">
        <f t="shared" si="70"/>
        <v>29.275881792183036</v>
      </c>
      <c r="J415" s="17">
        <f t="shared" si="70"/>
        <v>0</v>
      </c>
      <c r="K415" s="17">
        <f t="shared" si="70"/>
        <v>0</v>
      </c>
      <c r="L415" s="17">
        <f t="shared" si="70"/>
        <v>0</v>
      </c>
      <c r="M415" s="17">
        <f t="shared" si="70"/>
        <v>-15.481410867492851</v>
      </c>
      <c r="N415" s="17">
        <f t="shared" si="70"/>
        <v>0</v>
      </c>
      <c r="O415" s="17">
        <f t="shared" si="70"/>
        <v>0</v>
      </c>
      <c r="P415" s="17">
        <f t="shared" si="70"/>
        <v>0</v>
      </c>
      <c r="Q415" s="17">
        <f t="shared" si="70"/>
        <v>-0.74607322529393072</v>
      </c>
      <c r="R415" s="17">
        <f t="shared" si="70"/>
        <v>61.925643469971405</v>
      </c>
    </row>
    <row r="416" spans="3:18" x14ac:dyDescent="0.2">
      <c r="C416" s="1">
        <f t="shared" si="56"/>
        <v>38292</v>
      </c>
      <c r="E416" s="17">
        <f t="shared" ref="E416:R416" si="71">E49*E294/1000/10000</f>
        <v>5.8654876386783883</v>
      </c>
      <c r="F416" s="17">
        <f t="shared" si="71"/>
        <v>0</v>
      </c>
      <c r="G416" s="17">
        <f t="shared" si="71"/>
        <v>0</v>
      </c>
      <c r="H416" s="17">
        <f t="shared" si="71"/>
        <v>0</v>
      </c>
      <c r="I416" s="17">
        <f t="shared" si="71"/>
        <v>28.273294937859959</v>
      </c>
      <c r="J416" s="17">
        <f t="shared" si="71"/>
        <v>0</v>
      </c>
      <c r="K416" s="17">
        <f t="shared" si="71"/>
        <v>0</v>
      </c>
      <c r="L416" s="17">
        <f t="shared" si="71"/>
        <v>0</v>
      </c>
      <c r="M416" s="17">
        <f t="shared" si="71"/>
        <v>-14.768111548954231</v>
      </c>
      <c r="N416" s="17">
        <f t="shared" si="71"/>
        <v>0</v>
      </c>
      <c r="O416" s="17">
        <f t="shared" si="71"/>
        <v>0</v>
      </c>
      <c r="P416" s="17">
        <f t="shared" si="71"/>
        <v>0</v>
      </c>
      <c r="Q416" s="17">
        <f t="shared" si="71"/>
        <v>-0.70821610184904515</v>
      </c>
      <c r="R416" s="17">
        <f t="shared" si="71"/>
        <v>59.072446195816923</v>
      </c>
    </row>
    <row r="417" spans="3:18" x14ac:dyDescent="0.2">
      <c r="C417" s="1">
        <f t="shared" si="56"/>
        <v>38322</v>
      </c>
      <c r="E417" s="17">
        <f t="shared" ref="E417:R417" si="72">E50*E295/1000/10000</f>
        <v>6.0627222777454977</v>
      </c>
      <c r="F417" s="17">
        <f t="shared" si="72"/>
        <v>0</v>
      </c>
      <c r="G417" s="17">
        <f t="shared" si="72"/>
        <v>0</v>
      </c>
      <c r="H417" s="17">
        <f t="shared" si="72"/>
        <v>0</v>
      </c>
      <c r="I417" s="17">
        <f t="shared" si="72"/>
        <v>29.358744915746659</v>
      </c>
      <c r="J417" s="17">
        <f t="shared" si="72"/>
        <v>0</v>
      </c>
      <c r="K417" s="17">
        <f t="shared" si="72"/>
        <v>0</v>
      </c>
      <c r="L417" s="17">
        <f t="shared" si="72"/>
        <v>0</v>
      </c>
      <c r="M417" s="17">
        <f t="shared" si="72"/>
        <v>-15.502614758861123</v>
      </c>
      <c r="N417" s="17">
        <f t="shared" si="72"/>
        <v>0</v>
      </c>
      <c r="O417" s="17">
        <f t="shared" si="72"/>
        <v>0</v>
      </c>
      <c r="P417" s="17">
        <f t="shared" si="72"/>
        <v>0</v>
      </c>
      <c r="Q417" s="17">
        <f t="shared" si="72"/>
        <v>-0.74698357582800712</v>
      </c>
      <c r="R417" s="17">
        <f t="shared" si="72"/>
        <v>62.010459035444491</v>
      </c>
    </row>
    <row r="418" spans="3:18" x14ac:dyDescent="0.2">
      <c r="C418" s="1">
        <f t="shared" si="56"/>
        <v>38353</v>
      </c>
      <c r="E418" s="17">
        <f t="shared" ref="E418:R418" si="73">E51*E296/1000/10000</f>
        <v>-19.573820684892084</v>
      </c>
      <c r="F418" s="17">
        <f t="shared" si="73"/>
        <v>0</v>
      </c>
      <c r="G418" s="17">
        <f t="shared" si="73"/>
        <v>0</v>
      </c>
      <c r="H418" s="17">
        <f t="shared" si="73"/>
        <v>-13.734906474820143</v>
      </c>
      <c r="I418" s="17">
        <f t="shared" si="73"/>
        <v>7.1212661870503595</v>
      </c>
      <c r="J418" s="17">
        <f t="shared" si="73"/>
        <v>0</v>
      </c>
      <c r="K418" s="17">
        <f t="shared" si="73"/>
        <v>0</v>
      </c>
      <c r="L418" s="17">
        <f t="shared" si="73"/>
        <v>0</v>
      </c>
      <c r="M418" s="17">
        <f t="shared" si="73"/>
        <v>0</v>
      </c>
      <c r="N418" s="17">
        <f t="shared" si="73"/>
        <v>0</v>
      </c>
      <c r="O418" s="17">
        <f t="shared" si="73"/>
        <v>0</v>
      </c>
      <c r="P418" s="17">
        <f t="shared" si="73"/>
        <v>0</v>
      </c>
      <c r="Q418" s="17">
        <f t="shared" si="73"/>
        <v>29.55159675366906</v>
      </c>
      <c r="R418" s="17">
        <f t="shared" si="73"/>
        <v>15.107913669064747</v>
      </c>
    </row>
    <row r="419" spans="3:18" x14ac:dyDescent="0.2">
      <c r="C419" s="1">
        <f t="shared" si="56"/>
        <v>38384</v>
      </c>
      <c r="E419" s="17">
        <f t="shared" ref="E419:R419" si="74">E52*E297/1000/10000</f>
        <v>-18.297515530856973</v>
      </c>
      <c r="F419" s="17">
        <f t="shared" si="74"/>
        <v>0</v>
      </c>
      <c r="G419" s="17">
        <f t="shared" si="74"/>
        <v>0</v>
      </c>
      <c r="H419" s="17">
        <f t="shared" si="74"/>
        <v>-12.873939748464462</v>
      </c>
      <c r="I419" s="17">
        <f t="shared" si="74"/>
        <v>6.6826557472945289</v>
      </c>
      <c r="J419" s="17">
        <f t="shared" si="74"/>
        <v>0</v>
      </c>
      <c r="K419" s="17">
        <f t="shared" si="74"/>
        <v>0</v>
      </c>
      <c r="L419" s="17">
        <f t="shared" si="74"/>
        <v>0</v>
      </c>
      <c r="M419" s="17">
        <f t="shared" si="74"/>
        <v>0</v>
      </c>
      <c r="N419" s="17">
        <f t="shared" si="74"/>
        <v>0</v>
      </c>
      <c r="O419" s="17">
        <f t="shared" si="74"/>
        <v>0</v>
      </c>
      <c r="P419" s="17">
        <f t="shared" si="74"/>
        <v>0</v>
      </c>
      <c r="Q419" s="17">
        <f t="shared" si="74"/>
        <v>28.478231544311193</v>
      </c>
      <c r="R419" s="17">
        <f t="shared" si="74"/>
        <v>14.624159110851126</v>
      </c>
    </row>
    <row r="420" spans="3:18" x14ac:dyDescent="0.2">
      <c r="C420" s="1">
        <f t="shared" si="56"/>
        <v>38412</v>
      </c>
      <c r="E420" s="17">
        <f t="shared" ref="E420:R420" si="75">E53*E298/1000/10000</f>
        <v>-20.15793</v>
      </c>
      <c r="F420" s="17">
        <f t="shared" si="75"/>
        <v>0</v>
      </c>
      <c r="G420" s="17">
        <f t="shared" si="75"/>
        <v>0</v>
      </c>
      <c r="H420" s="17">
        <f t="shared" si="75"/>
        <v>-14.187412587412586</v>
      </c>
      <c r="I420" s="17">
        <f t="shared" si="75"/>
        <v>7.3874125874125864</v>
      </c>
      <c r="J420" s="17">
        <f t="shared" si="75"/>
        <v>0</v>
      </c>
      <c r="K420" s="17">
        <f t="shared" si="75"/>
        <v>0</v>
      </c>
      <c r="L420" s="17">
        <f t="shared" si="75"/>
        <v>0</v>
      </c>
      <c r="M420" s="17">
        <f t="shared" si="75"/>
        <v>0</v>
      </c>
      <c r="N420" s="17">
        <f t="shared" si="75"/>
        <v>0</v>
      </c>
      <c r="O420" s="17">
        <f t="shared" si="75"/>
        <v>0</v>
      </c>
      <c r="P420" s="17">
        <f t="shared" si="75"/>
        <v>0</v>
      </c>
      <c r="Q420" s="17">
        <f t="shared" si="75"/>
        <v>33.581295638491937</v>
      </c>
      <c r="R420" s="17">
        <f t="shared" si="75"/>
        <v>16.503496503496503</v>
      </c>
    </row>
    <row r="421" spans="3:18" x14ac:dyDescent="0.2">
      <c r="C421" s="1">
        <f t="shared" si="56"/>
        <v>38443</v>
      </c>
      <c r="E421" s="17">
        <f t="shared" ref="E421:R421" si="76">E54*E299/1000/10000</f>
        <v>-20.283352796391753</v>
      </c>
      <c r="F421" s="17">
        <f t="shared" si="76"/>
        <v>0</v>
      </c>
      <c r="G421" s="17">
        <f t="shared" si="76"/>
        <v>0</v>
      </c>
      <c r="H421" s="17">
        <f t="shared" si="76"/>
        <v>-14.380670103092779</v>
      </c>
      <c r="I421" s="17">
        <f t="shared" si="76"/>
        <v>7.4744845360824748</v>
      </c>
      <c r="J421" s="17">
        <f t="shared" si="76"/>
        <v>0</v>
      </c>
      <c r="K421" s="17">
        <f t="shared" si="76"/>
        <v>0</v>
      </c>
      <c r="L421" s="17">
        <f t="shared" si="76"/>
        <v>0</v>
      </c>
      <c r="M421" s="17">
        <f t="shared" si="76"/>
        <v>0</v>
      </c>
      <c r="N421" s="17">
        <f t="shared" si="76"/>
        <v>0</v>
      </c>
      <c r="O421" s="17">
        <f t="shared" si="76"/>
        <v>0</v>
      </c>
      <c r="P421" s="17">
        <f t="shared" si="76"/>
        <v>0</v>
      </c>
      <c r="Q421" s="17">
        <f t="shared" si="76"/>
        <v>32.073804907860826</v>
      </c>
      <c r="R421" s="17">
        <f t="shared" si="76"/>
        <v>15.96649484536082</v>
      </c>
    </row>
    <row r="422" spans="3:18" x14ac:dyDescent="0.2">
      <c r="C422" s="1">
        <f t="shared" si="56"/>
        <v>38473</v>
      </c>
      <c r="E422" s="17">
        <f t="shared" ref="E422:R422" si="77">E55*E300/1000/10000</f>
        <v>-21.396220406582771</v>
      </c>
      <c r="F422" s="17">
        <f t="shared" si="77"/>
        <v>0</v>
      </c>
      <c r="G422" s="17">
        <f t="shared" si="77"/>
        <v>0</v>
      </c>
      <c r="H422" s="17">
        <f t="shared" si="77"/>
        <v>-15.320038722168439</v>
      </c>
      <c r="I422" s="17">
        <f t="shared" si="77"/>
        <v>7.9310745401742508</v>
      </c>
      <c r="J422" s="17">
        <f t="shared" si="77"/>
        <v>0</v>
      </c>
      <c r="K422" s="17">
        <f t="shared" si="77"/>
        <v>0</v>
      </c>
      <c r="L422" s="17">
        <f t="shared" si="77"/>
        <v>0</v>
      </c>
      <c r="M422" s="17">
        <f t="shared" si="77"/>
        <v>0</v>
      </c>
      <c r="N422" s="17">
        <f t="shared" si="77"/>
        <v>0</v>
      </c>
      <c r="O422" s="17">
        <f t="shared" si="77"/>
        <v>0</v>
      </c>
      <c r="P422" s="17">
        <f t="shared" si="77"/>
        <v>0</v>
      </c>
      <c r="Q422" s="17">
        <f t="shared" si="77"/>
        <v>33.512655084220718</v>
      </c>
      <c r="R422" s="17">
        <f t="shared" si="77"/>
        <v>16.805421103581796</v>
      </c>
    </row>
    <row r="423" spans="3:18" x14ac:dyDescent="0.2">
      <c r="C423" s="1">
        <f t="shared" si="56"/>
        <v>38504</v>
      </c>
      <c r="E423" s="17">
        <f t="shared" ref="E423:R423" si="78">E56*E301/1000/10000</f>
        <v>-43.244170070197832</v>
      </c>
      <c r="F423" s="17">
        <f t="shared" si="78"/>
        <v>0</v>
      </c>
      <c r="G423" s="17">
        <f t="shared" si="78"/>
        <v>0</v>
      </c>
      <c r="H423" s="17">
        <f t="shared" si="78"/>
        <v>-18.936566687938736</v>
      </c>
      <c r="I423" s="17">
        <f t="shared" si="78"/>
        <v>9.7911933631142318</v>
      </c>
      <c r="J423" s="17">
        <f t="shared" si="78"/>
        <v>0</v>
      </c>
      <c r="K423" s="17">
        <f t="shared" si="78"/>
        <v>0</v>
      </c>
      <c r="L423" s="17">
        <f t="shared" si="78"/>
        <v>0</v>
      </c>
      <c r="M423" s="17">
        <f t="shared" si="78"/>
        <v>0</v>
      </c>
      <c r="N423" s="17">
        <f t="shared" si="78"/>
        <v>0</v>
      </c>
      <c r="O423" s="17">
        <f t="shared" si="78"/>
        <v>0</v>
      </c>
      <c r="P423" s="17">
        <f t="shared" si="78"/>
        <v>0</v>
      </c>
      <c r="Q423" s="17">
        <f t="shared" si="78"/>
        <v>42.974822745692414</v>
      </c>
      <c r="R423" s="17">
        <f t="shared" si="78"/>
        <v>23.024888321633696</v>
      </c>
    </row>
    <row r="424" spans="3:18" x14ac:dyDescent="0.2">
      <c r="C424" s="1">
        <f t="shared" si="56"/>
        <v>38534</v>
      </c>
      <c r="E424" s="17">
        <f t="shared" ref="E424:R424" si="79">E57*E302/1000/10000</f>
        <v>-30.050761184625078</v>
      </c>
      <c r="F424" s="17">
        <f t="shared" si="79"/>
        <v>0</v>
      </c>
      <c r="G424" s="17">
        <f t="shared" si="79"/>
        <v>0</v>
      </c>
      <c r="H424" s="17">
        <f t="shared" si="79"/>
        <v>-21.844990548204159</v>
      </c>
      <c r="I424" s="17">
        <f t="shared" si="79"/>
        <v>11.313169502205419</v>
      </c>
      <c r="J424" s="17">
        <f t="shared" si="79"/>
        <v>0</v>
      </c>
      <c r="K424" s="17">
        <f t="shared" si="79"/>
        <v>0</v>
      </c>
      <c r="L424" s="17">
        <f t="shared" si="79"/>
        <v>-0.44496534341524885</v>
      </c>
      <c r="M424" s="17">
        <f t="shared" si="79"/>
        <v>0</v>
      </c>
      <c r="N424" s="17">
        <f t="shared" si="79"/>
        <v>0</v>
      </c>
      <c r="O424" s="17">
        <f t="shared" si="79"/>
        <v>0</v>
      </c>
      <c r="P424" s="17">
        <f t="shared" si="79"/>
        <v>0</v>
      </c>
      <c r="Q424" s="17">
        <f t="shared" si="79"/>
        <v>48.031866666666666</v>
      </c>
      <c r="R424" s="17">
        <f t="shared" si="79"/>
        <v>25.330812854442346</v>
      </c>
    </row>
    <row r="425" spans="3:18" x14ac:dyDescent="0.2">
      <c r="C425" s="1">
        <f t="shared" si="56"/>
        <v>38565</v>
      </c>
      <c r="E425" s="17">
        <f t="shared" ref="E425:R425" si="80">E58*E303/1000/10000</f>
        <v>-33.473304760423147</v>
      </c>
      <c r="F425" s="17">
        <f t="shared" si="80"/>
        <v>0</v>
      </c>
      <c r="G425" s="17">
        <f t="shared" si="80"/>
        <v>0</v>
      </c>
      <c r="H425" s="17">
        <f t="shared" si="80"/>
        <v>-24.436963285625392</v>
      </c>
      <c r="I425" s="17">
        <f t="shared" si="80"/>
        <v>12.662165525824518</v>
      </c>
      <c r="J425" s="17">
        <f t="shared" si="80"/>
        <v>0</v>
      </c>
      <c r="K425" s="17">
        <f t="shared" si="80"/>
        <v>0</v>
      </c>
      <c r="L425" s="17">
        <f t="shared" si="80"/>
        <v>-0.50934909769757319</v>
      </c>
      <c r="M425" s="17">
        <f t="shared" si="80"/>
        <v>0</v>
      </c>
      <c r="N425" s="17">
        <f t="shared" si="80"/>
        <v>0</v>
      </c>
      <c r="O425" s="17">
        <f t="shared" si="80"/>
        <v>0</v>
      </c>
      <c r="P425" s="17">
        <f t="shared" si="80"/>
        <v>0</v>
      </c>
      <c r="Q425" s="17">
        <f t="shared" si="80"/>
        <v>55.028026695706288</v>
      </c>
      <c r="R425" s="17">
        <f t="shared" si="80"/>
        <v>28.767890479153703</v>
      </c>
    </row>
    <row r="426" spans="3:18" x14ac:dyDescent="0.2">
      <c r="C426" s="1">
        <f t="shared" si="56"/>
        <v>38596</v>
      </c>
      <c r="E426" s="17">
        <f t="shared" ref="E426:R426" si="81">E59*E304/1000/10000</f>
        <v>-19.248782533625274</v>
      </c>
      <c r="F426" s="17">
        <f t="shared" si="81"/>
        <v>0</v>
      </c>
      <c r="G426" s="17">
        <f t="shared" si="81"/>
        <v>0</v>
      </c>
      <c r="H426" s="17">
        <f t="shared" si="81"/>
        <v>-14.141007194244603</v>
      </c>
      <c r="I426" s="17">
        <f t="shared" si="81"/>
        <v>7.2675633406318436</v>
      </c>
      <c r="J426" s="17">
        <f t="shared" si="81"/>
        <v>0</v>
      </c>
      <c r="K426" s="17">
        <f t="shared" si="81"/>
        <v>0</v>
      </c>
      <c r="L426" s="17">
        <f t="shared" si="81"/>
        <v>0</v>
      </c>
      <c r="M426" s="17">
        <f t="shared" si="81"/>
        <v>0</v>
      </c>
      <c r="N426" s="17">
        <f t="shared" si="81"/>
        <v>0</v>
      </c>
      <c r="O426" s="17">
        <f t="shared" si="81"/>
        <v>0</v>
      </c>
      <c r="P426" s="17">
        <f t="shared" si="81"/>
        <v>0</v>
      </c>
      <c r="Q426" s="17">
        <f t="shared" si="81"/>
        <v>27.444704294651235</v>
      </c>
      <c r="R426" s="17">
        <f t="shared" si="81"/>
        <v>15.23928683140444</v>
      </c>
    </row>
    <row r="427" spans="3:18" x14ac:dyDescent="0.2">
      <c r="C427" s="1">
        <f t="shared" si="56"/>
        <v>38626</v>
      </c>
      <c r="E427" s="17">
        <f t="shared" ref="E427:R427" si="82">E60*E305/1000/10000</f>
        <v>-18.795655555555559</v>
      </c>
      <c r="F427" s="17">
        <f t="shared" si="82"/>
        <v>0</v>
      </c>
      <c r="G427" s="17">
        <f t="shared" si="82"/>
        <v>0</v>
      </c>
      <c r="H427" s="17">
        <f t="shared" si="82"/>
        <v>-13.869646182495346</v>
      </c>
      <c r="I427" s="17">
        <f t="shared" si="82"/>
        <v>7.1303538175046564</v>
      </c>
      <c r="J427" s="17">
        <f t="shared" si="82"/>
        <v>0</v>
      </c>
      <c r="K427" s="17">
        <f t="shared" si="82"/>
        <v>0</v>
      </c>
      <c r="L427" s="17">
        <f t="shared" si="82"/>
        <v>0</v>
      </c>
      <c r="M427" s="17">
        <f t="shared" si="82"/>
        <v>0</v>
      </c>
      <c r="N427" s="17">
        <f t="shared" si="82"/>
        <v>0</v>
      </c>
      <c r="O427" s="17">
        <f t="shared" si="82"/>
        <v>0</v>
      </c>
      <c r="P427" s="17">
        <f t="shared" si="82"/>
        <v>0</v>
      </c>
      <c r="Q427" s="17">
        <f t="shared" si="82"/>
        <v>28.647333527001873</v>
      </c>
      <c r="R427" s="17">
        <f t="shared" si="82"/>
        <v>15.121042830540036</v>
      </c>
    </row>
    <row r="428" spans="3:18" x14ac:dyDescent="0.2">
      <c r="C428" s="1">
        <f t="shared" si="56"/>
        <v>38657</v>
      </c>
      <c r="E428" s="17">
        <f t="shared" ref="E428:R428" si="83">E61*E306/1000/10000</f>
        <v>-18.575265014819205</v>
      </c>
      <c r="F428" s="17">
        <f t="shared" si="83"/>
        <v>0</v>
      </c>
      <c r="G428" s="17">
        <f t="shared" si="83"/>
        <v>0</v>
      </c>
      <c r="H428" s="17">
        <f t="shared" si="83"/>
        <v>-13.797510373443982</v>
      </c>
      <c r="I428" s="17">
        <f t="shared" si="83"/>
        <v>7.0854771784232362</v>
      </c>
      <c r="J428" s="17">
        <f t="shared" si="83"/>
        <v>0</v>
      </c>
      <c r="K428" s="17">
        <f t="shared" si="83"/>
        <v>0</v>
      </c>
      <c r="L428" s="17">
        <f t="shared" si="83"/>
        <v>0</v>
      </c>
      <c r="M428" s="17">
        <f t="shared" si="83"/>
        <v>0</v>
      </c>
      <c r="N428" s="17">
        <f t="shared" si="83"/>
        <v>0</v>
      </c>
      <c r="O428" s="17">
        <f t="shared" si="83"/>
        <v>0</v>
      </c>
      <c r="P428" s="17">
        <f t="shared" si="83"/>
        <v>0</v>
      </c>
      <c r="Q428" s="17">
        <f t="shared" si="83"/>
        <v>27.327922986366325</v>
      </c>
      <c r="R428" s="17">
        <f t="shared" si="83"/>
        <v>14.439834024896264</v>
      </c>
    </row>
    <row r="429" spans="3:18" x14ac:dyDescent="0.2">
      <c r="C429" s="1">
        <f t="shared" si="56"/>
        <v>38687</v>
      </c>
      <c r="E429" s="17">
        <f t="shared" ref="E429:R429" si="84">E62*E307/1000/10000</f>
        <v>-18.052975308501562</v>
      </c>
      <c r="F429" s="17">
        <f t="shared" si="84"/>
        <v>0</v>
      </c>
      <c r="G429" s="17">
        <f t="shared" si="84"/>
        <v>0</v>
      </c>
      <c r="H429" s="17">
        <f t="shared" si="84"/>
        <v>-13.484901905032698</v>
      </c>
      <c r="I429" s="17">
        <f t="shared" si="84"/>
        <v>6.9215808928063689</v>
      </c>
      <c r="J429" s="17">
        <f t="shared" si="84"/>
        <v>0</v>
      </c>
      <c r="K429" s="17">
        <f t="shared" si="84"/>
        <v>0</v>
      </c>
      <c r="L429" s="17">
        <f t="shared" si="84"/>
        <v>0</v>
      </c>
      <c r="M429" s="17">
        <f t="shared" si="84"/>
        <v>0</v>
      </c>
      <c r="N429" s="17">
        <f t="shared" si="84"/>
        <v>0</v>
      </c>
      <c r="O429" s="17">
        <f t="shared" si="84"/>
        <v>0</v>
      </c>
      <c r="P429" s="17">
        <f t="shared" si="84"/>
        <v>0</v>
      </c>
      <c r="Q429" s="17">
        <f t="shared" si="84"/>
        <v>26.188310705715097</v>
      </c>
      <c r="R429" s="17">
        <f t="shared" si="84"/>
        <v>13.852715382428208</v>
      </c>
    </row>
    <row r="430" spans="3:18" x14ac:dyDescent="0.2">
      <c r="C430" s="1">
        <f t="shared" si="56"/>
        <v>38718</v>
      </c>
      <c r="E430" s="17">
        <f t="shared" ref="E430:R430" si="85">E63*E308/1000/10000</f>
        <v>5.5568134901408452</v>
      </c>
      <c r="F430" s="17">
        <f t="shared" si="85"/>
        <v>0</v>
      </c>
      <c r="G430" s="17">
        <f t="shared" si="85"/>
        <v>0</v>
      </c>
      <c r="H430" s="17">
        <f t="shared" si="85"/>
        <v>-78.097000563380277</v>
      </c>
      <c r="I430" s="17">
        <f t="shared" si="85"/>
        <v>-7.1719436619718309</v>
      </c>
      <c r="J430" s="17">
        <f t="shared" si="85"/>
        <v>0</v>
      </c>
      <c r="K430" s="17">
        <f t="shared" si="85"/>
        <v>0</v>
      </c>
      <c r="L430" s="17">
        <f t="shared" si="85"/>
        <v>0</v>
      </c>
      <c r="M430" s="17">
        <f t="shared" si="85"/>
        <v>0</v>
      </c>
      <c r="N430" s="17">
        <f t="shared" si="85"/>
        <v>0</v>
      </c>
      <c r="O430" s="17">
        <f t="shared" si="85"/>
        <v>0</v>
      </c>
      <c r="P430" s="17">
        <f t="shared" si="85"/>
        <v>0</v>
      </c>
      <c r="Q430" s="17">
        <f t="shared" si="85"/>
        <v>27.866000317746476</v>
      </c>
      <c r="R430" s="17">
        <f t="shared" si="85"/>
        <v>0</v>
      </c>
    </row>
    <row r="431" spans="3:18" x14ac:dyDescent="0.2">
      <c r="C431" s="1">
        <f t="shared" si="56"/>
        <v>38749</v>
      </c>
      <c r="E431" s="17">
        <f t="shared" ref="E431:R431" si="86">E64*E309/1000/10000</f>
        <v>5.1278565855752714</v>
      </c>
      <c r="F431" s="17">
        <f t="shared" si="86"/>
        <v>0</v>
      </c>
      <c r="G431" s="17">
        <f t="shared" si="86"/>
        <v>0</v>
      </c>
      <c r="H431" s="17">
        <f t="shared" si="86"/>
        <v>-72.212661705781329</v>
      </c>
      <c r="I431" s="17">
        <f t="shared" si="86"/>
        <v>-6.6422438465941607</v>
      </c>
      <c r="J431" s="17">
        <f t="shared" si="86"/>
        <v>0</v>
      </c>
      <c r="K431" s="17">
        <f t="shared" si="86"/>
        <v>0</v>
      </c>
      <c r="L431" s="17">
        <f t="shared" si="86"/>
        <v>0</v>
      </c>
      <c r="M431" s="17">
        <f t="shared" si="86"/>
        <v>0</v>
      </c>
      <c r="N431" s="17">
        <f t="shared" si="86"/>
        <v>0</v>
      </c>
      <c r="O431" s="17">
        <f t="shared" si="86"/>
        <v>0</v>
      </c>
      <c r="P431" s="17">
        <f t="shared" si="86"/>
        <v>0</v>
      </c>
      <c r="Q431" s="17">
        <f t="shared" si="86"/>
        <v>26.618206382369781</v>
      </c>
      <c r="R431" s="17">
        <f t="shared" si="86"/>
        <v>0</v>
      </c>
    </row>
    <row r="432" spans="3:18" x14ac:dyDescent="0.2">
      <c r="C432" s="1">
        <f t="shared" si="56"/>
        <v>38777</v>
      </c>
      <c r="E432" s="17">
        <f t="shared" ref="E432:R432" si="87">E65*E310/1000/10000</f>
        <v>5.8764134661117717</v>
      </c>
      <c r="F432" s="17">
        <f t="shared" si="87"/>
        <v>0</v>
      </c>
      <c r="G432" s="17">
        <f t="shared" si="87"/>
        <v>0</v>
      </c>
      <c r="H432" s="17">
        <f t="shared" si="87"/>
        <v>-84.160856123662313</v>
      </c>
      <c r="I432" s="17">
        <f t="shared" si="87"/>
        <v>-7.6438763376932215</v>
      </c>
      <c r="J432" s="17">
        <f t="shared" si="87"/>
        <v>0</v>
      </c>
      <c r="K432" s="17">
        <f t="shared" si="87"/>
        <v>0</v>
      </c>
      <c r="L432" s="17">
        <f t="shared" si="87"/>
        <v>0</v>
      </c>
      <c r="M432" s="17">
        <f t="shared" si="87"/>
        <v>0</v>
      </c>
      <c r="N432" s="17">
        <f t="shared" si="87"/>
        <v>0</v>
      </c>
      <c r="O432" s="17">
        <f t="shared" si="87"/>
        <v>0</v>
      </c>
      <c r="P432" s="17">
        <f t="shared" si="87"/>
        <v>0</v>
      </c>
      <c r="Q432" s="17">
        <f t="shared" si="87"/>
        <v>31.364269539239</v>
      </c>
      <c r="R432" s="17">
        <f t="shared" si="87"/>
        <v>0</v>
      </c>
    </row>
    <row r="433" spans="3:18" x14ac:dyDescent="0.2">
      <c r="C433" s="1">
        <f t="shared" si="56"/>
        <v>38808</v>
      </c>
      <c r="E433" s="17">
        <f t="shared" ref="E433:R433" si="88">E66*E311/1000/10000</f>
        <v>5.3723705567788613</v>
      </c>
      <c r="F433" s="17">
        <f t="shared" si="88"/>
        <v>0</v>
      </c>
      <c r="G433" s="17">
        <f t="shared" si="88"/>
        <v>0</v>
      </c>
      <c r="H433" s="17">
        <f t="shared" si="88"/>
        <v>-77.027996225228065</v>
      </c>
      <c r="I433" s="17">
        <f t="shared" si="88"/>
        <v>-7.0210758100031452</v>
      </c>
      <c r="J433" s="17">
        <f t="shared" si="88"/>
        <v>0</v>
      </c>
      <c r="K433" s="17">
        <f t="shared" si="88"/>
        <v>0</v>
      </c>
      <c r="L433" s="17">
        <f t="shared" si="88"/>
        <v>0</v>
      </c>
      <c r="M433" s="17">
        <f t="shared" si="88"/>
        <v>0</v>
      </c>
      <c r="N433" s="17">
        <f t="shared" si="88"/>
        <v>0</v>
      </c>
      <c r="O433" s="17">
        <f t="shared" si="88"/>
        <v>0</v>
      </c>
      <c r="P433" s="17">
        <f t="shared" si="88"/>
        <v>0</v>
      </c>
      <c r="Q433" s="17">
        <f t="shared" si="88"/>
        <v>28.491272644227749</v>
      </c>
      <c r="R433" s="17">
        <f t="shared" si="88"/>
        <v>0</v>
      </c>
    </row>
    <row r="434" spans="3:18" x14ac:dyDescent="0.2">
      <c r="C434" s="1">
        <f t="shared" ref="C434:C465" si="89">C67</f>
        <v>38838</v>
      </c>
      <c r="E434" s="17">
        <f t="shared" ref="E434:R434" si="90">E67*E312/1000/10000</f>
        <v>6.0692788610586001</v>
      </c>
      <c r="F434" s="17">
        <f t="shared" si="90"/>
        <v>0</v>
      </c>
      <c r="G434" s="17">
        <f t="shared" si="90"/>
        <v>0</v>
      </c>
      <c r="H434" s="17">
        <f t="shared" si="90"/>
        <v>-84.985043478260863</v>
      </c>
      <c r="I434" s="17">
        <f t="shared" si="90"/>
        <v>-7.9751732829237545</v>
      </c>
      <c r="J434" s="17">
        <f t="shared" si="90"/>
        <v>0</v>
      </c>
      <c r="K434" s="17">
        <f t="shared" si="90"/>
        <v>0</v>
      </c>
      <c r="L434" s="17">
        <f t="shared" si="90"/>
        <v>0</v>
      </c>
      <c r="M434" s="17">
        <f t="shared" si="90"/>
        <v>0</v>
      </c>
      <c r="N434" s="17">
        <f t="shared" si="90"/>
        <v>0</v>
      </c>
      <c r="O434" s="17">
        <f t="shared" si="90"/>
        <v>0</v>
      </c>
      <c r="P434" s="17">
        <f t="shared" si="90"/>
        <v>0</v>
      </c>
      <c r="Q434" s="17">
        <f t="shared" si="90"/>
        <v>33.276557482041596</v>
      </c>
      <c r="R434" s="17">
        <f t="shared" si="90"/>
        <v>0</v>
      </c>
    </row>
    <row r="435" spans="3:18" x14ac:dyDescent="0.2">
      <c r="C435" s="1">
        <f t="shared" si="89"/>
        <v>38869</v>
      </c>
      <c r="E435" s="17">
        <f t="shared" ref="E435:R435" si="91">E68*E313/1000/10000</f>
        <v>7.2329312683078841</v>
      </c>
      <c r="F435" s="17">
        <f t="shared" si="91"/>
        <v>0</v>
      </c>
      <c r="G435" s="17">
        <f t="shared" si="91"/>
        <v>0</v>
      </c>
      <c r="H435" s="17">
        <f t="shared" si="91"/>
        <v>-100.41576067310689</v>
      </c>
      <c r="I435" s="17">
        <f t="shared" si="91"/>
        <v>-9.5788095980056092</v>
      </c>
      <c r="J435" s="17">
        <f t="shared" si="91"/>
        <v>0</v>
      </c>
      <c r="K435" s="17">
        <f t="shared" si="91"/>
        <v>0</v>
      </c>
      <c r="L435" s="17">
        <f t="shared" si="91"/>
        <v>0</v>
      </c>
      <c r="M435" s="17">
        <f t="shared" si="91"/>
        <v>0</v>
      </c>
      <c r="N435" s="17">
        <f t="shared" si="91"/>
        <v>0</v>
      </c>
      <c r="O435" s="17">
        <f t="shared" si="91"/>
        <v>0</v>
      </c>
      <c r="P435" s="17">
        <f t="shared" si="91"/>
        <v>0</v>
      </c>
      <c r="Q435" s="17">
        <f t="shared" si="91"/>
        <v>40.417491946089115</v>
      </c>
      <c r="R435" s="17">
        <f t="shared" si="91"/>
        <v>0</v>
      </c>
    </row>
    <row r="436" spans="3:18" x14ac:dyDescent="0.2">
      <c r="C436" s="1">
        <f t="shared" si="89"/>
        <v>38899</v>
      </c>
      <c r="E436" s="17">
        <f t="shared" ref="E436:R436" si="92">E69*E314/1000/10000</f>
        <v>8.8541209064327493</v>
      </c>
      <c r="F436" s="17">
        <f t="shared" si="92"/>
        <v>0</v>
      </c>
      <c r="G436" s="17">
        <f t="shared" si="92"/>
        <v>0</v>
      </c>
      <c r="H436" s="17">
        <f t="shared" si="92"/>
        <v>-120.43764850723301</v>
      </c>
      <c r="I436" s="17">
        <f t="shared" si="92"/>
        <v>-11.830101569713758</v>
      </c>
      <c r="J436" s="17">
        <f t="shared" si="92"/>
        <v>0</v>
      </c>
      <c r="K436" s="17">
        <f t="shared" si="92"/>
        <v>0</v>
      </c>
      <c r="L436" s="17">
        <f t="shared" si="92"/>
        <v>-0.46335487842413048</v>
      </c>
      <c r="M436" s="17">
        <f t="shared" si="92"/>
        <v>0</v>
      </c>
      <c r="N436" s="17">
        <f t="shared" si="92"/>
        <v>0</v>
      </c>
      <c r="O436" s="17">
        <f t="shared" si="92"/>
        <v>0</v>
      </c>
      <c r="P436" s="17">
        <f t="shared" si="92"/>
        <v>0</v>
      </c>
      <c r="Q436" s="17">
        <f t="shared" si="92"/>
        <v>46.454921905817173</v>
      </c>
      <c r="R436" s="17">
        <f t="shared" si="92"/>
        <v>0</v>
      </c>
    </row>
    <row r="437" spans="3:18" x14ac:dyDescent="0.2">
      <c r="C437" s="1">
        <f t="shared" si="89"/>
        <v>38930</v>
      </c>
      <c r="E437" s="17">
        <f t="shared" ref="E437:R437" si="93">E70*E315/1000/10000</f>
        <v>9.9728393888719982</v>
      </c>
      <c r="F437" s="17">
        <f t="shared" si="93"/>
        <v>0</v>
      </c>
      <c r="G437" s="17">
        <f t="shared" si="93"/>
        <v>0</v>
      </c>
      <c r="H437" s="17">
        <f t="shared" si="93"/>
        <v>-135.80027972027972</v>
      </c>
      <c r="I437" s="17">
        <f t="shared" si="93"/>
        <v>-13.391608391608392</v>
      </c>
      <c r="J437" s="17">
        <f t="shared" si="93"/>
        <v>0</v>
      </c>
      <c r="K437" s="17">
        <f t="shared" si="93"/>
        <v>0</v>
      </c>
      <c r="L437" s="17">
        <f t="shared" si="93"/>
        <v>-0.53566433566433558</v>
      </c>
      <c r="M437" s="17">
        <f t="shared" si="93"/>
        <v>0</v>
      </c>
      <c r="N437" s="17">
        <f t="shared" si="93"/>
        <v>0</v>
      </c>
      <c r="O437" s="17">
        <f t="shared" si="93"/>
        <v>0</v>
      </c>
      <c r="P437" s="17">
        <f t="shared" si="93"/>
        <v>0</v>
      </c>
      <c r="Q437" s="17">
        <f t="shared" si="93"/>
        <v>53.21827813925205</v>
      </c>
      <c r="R437" s="17">
        <f t="shared" si="93"/>
        <v>0</v>
      </c>
    </row>
    <row r="438" spans="3:18" x14ac:dyDescent="0.2">
      <c r="C438" s="1">
        <f t="shared" si="89"/>
        <v>38961</v>
      </c>
      <c r="E438" s="17">
        <f t="shared" ref="E438:R438" si="94">E71*E316/1000/10000</f>
        <v>4.9813819070904648</v>
      </c>
      <c r="F438" s="17">
        <f t="shared" si="94"/>
        <v>0</v>
      </c>
      <c r="G438" s="17">
        <f t="shared" si="94"/>
        <v>0</v>
      </c>
      <c r="H438" s="17">
        <f t="shared" si="94"/>
        <v>-72.130464547677263</v>
      </c>
      <c r="I438" s="17">
        <f t="shared" si="94"/>
        <v>-6.6699266503667491</v>
      </c>
      <c r="J438" s="17">
        <f t="shared" si="94"/>
        <v>0</v>
      </c>
      <c r="K438" s="17">
        <f t="shared" si="94"/>
        <v>0</v>
      </c>
      <c r="L438" s="17">
        <f t="shared" si="94"/>
        <v>0</v>
      </c>
      <c r="M438" s="17">
        <f t="shared" si="94"/>
        <v>0</v>
      </c>
      <c r="N438" s="17">
        <f t="shared" si="94"/>
        <v>0</v>
      </c>
      <c r="O438" s="17">
        <f t="shared" si="94"/>
        <v>0</v>
      </c>
      <c r="P438" s="17">
        <f t="shared" si="94"/>
        <v>0</v>
      </c>
      <c r="Q438" s="17">
        <f t="shared" si="94"/>
        <v>24.207333414425431</v>
      </c>
      <c r="R438" s="17">
        <f t="shared" si="94"/>
        <v>0</v>
      </c>
    </row>
    <row r="439" spans="3:18" x14ac:dyDescent="0.2">
      <c r="C439" s="1">
        <f t="shared" si="89"/>
        <v>38991</v>
      </c>
      <c r="E439" s="17">
        <f t="shared" ref="E439:R439" si="95">E72*E317/1000/10000</f>
        <v>5.4316557476493781</v>
      </c>
      <c r="F439" s="17">
        <f t="shared" si="95"/>
        <v>0</v>
      </c>
      <c r="G439" s="17">
        <f t="shared" si="95"/>
        <v>0</v>
      </c>
      <c r="H439" s="17">
        <f t="shared" si="95"/>
        <v>-79.352778889899909</v>
      </c>
      <c r="I439" s="17">
        <f t="shared" si="95"/>
        <v>-7.3106460418562316</v>
      </c>
      <c r="J439" s="17">
        <f t="shared" si="95"/>
        <v>0</v>
      </c>
      <c r="K439" s="17">
        <f t="shared" si="95"/>
        <v>0</v>
      </c>
      <c r="L439" s="17">
        <f t="shared" si="95"/>
        <v>0</v>
      </c>
      <c r="M439" s="17">
        <f t="shared" si="95"/>
        <v>0</v>
      </c>
      <c r="N439" s="17">
        <f t="shared" si="95"/>
        <v>0</v>
      </c>
      <c r="O439" s="17">
        <f t="shared" si="95"/>
        <v>0</v>
      </c>
      <c r="P439" s="17">
        <f t="shared" si="95"/>
        <v>0</v>
      </c>
      <c r="Q439" s="17">
        <f t="shared" si="95"/>
        <v>28.016540650288132</v>
      </c>
      <c r="R439" s="17">
        <f t="shared" si="95"/>
        <v>0</v>
      </c>
    </row>
    <row r="440" spans="3:18" x14ac:dyDescent="0.2">
      <c r="C440" s="1">
        <f t="shared" si="89"/>
        <v>39022</v>
      </c>
      <c r="E440" s="17">
        <f t="shared" ref="E440:R440" si="96">E73*E318/1000/10000</f>
        <v>4.9059344157726876</v>
      </c>
      <c r="F440" s="17">
        <f t="shared" si="96"/>
        <v>0</v>
      </c>
      <c r="G440" s="17">
        <f t="shared" si="96"/>
        <v>0</v>
      </c>
      <c r="H440" s="17">
        <f t="shared" si="96"/>
        <v>-72.258022615250795</v>
      </c>
      <c r="I440" s="17">
        <f t="shared" si="96"/>
        <v>-6.6342708031313418</v>
      </c>
      <c r="J440" s="17">
        <f t="shared" si="96"/>
        <v>0</v>
      </c>
      <c r="K440" s="17">
        <f t="shared" si="96"/>
        <v>0</v>
      </c>
      <c r="L440" s="17">
        <f t="shared" si="96"/>
        <v>0</v>
      </c>
      <c r="M440" s="17">
        <f t="shared" si="96"/>
        <v>0</v>
      </c>
      <c r="N440" s="17">
        <f t="shared" si="96"/>
        <v>0</v>
      </c>
      <c r="O440" s="17">
        <f t="shared" si="96"/>
        <v>0</v>
      </c>
      <c r="P440" s="17">
        <f t="shared" si="96"/>
        <v>0</v>
      </c>
      <c r="Q440" s="17">
        <f t="shared" si="96"/>
        <v>25.535577762829806</v>
      </c>
      <c r="R440" s="17">
        <f t="shared" si="96"/>
        <v>0</v>
      </c>
    </row>
    <row r="441" spans="3:18" x14ac:dyDescent="0.2">
      <c r="C441" s="1">
        <f t="shared" si="89"/>
        <v>39052</v>
      </c>
      <c r="E441" s="17">
        <f t="shared" ref="E441:R441" si="97">E74*E319/1000/10000</f>
        <v>4.3550629175946538</v>
      </c>
      <c r="F441" s="17">
        <f t="shared" si="97"/>
        <v>0</v>
      </c>
      <c r="G441" s="17">
        <f t="shared" si="97"/>
        <v>0</v>
      </c>
      <c r="H441" s="17">
        <f t="shared" si="97"/>
        <v>-64.151358574610242</v>
      </c>
      <c r="I441" s="17">
        <f t="shared" si="97"/>
        <v>-5.9153674832962135</v>
      </c>
      <c r="J441" s="17">
        <f t="shared" si="97"/>
        <v>0</v>
      </c>
      <c r="K441" s="17">
        <f t="shared" si="97"/>
        <v>0</v>
      </c>
      <c r="L441" s="17">
        <f t="shared" si="97"/>
        <v>0</v>
      </c>
      <c r="M441" s="17">
        <f t="shared" si="97"/>
        <v>0</v>
      </c>
      <c r="N441" s="17">
        <f t="shared" si="97"/>
        <v>0</v>
      </c>
      <c r="O441" s="17">
        <f t="shared" si="97"/>
        <v>0</v>
      </c>
      <c r="P441" s="17">
        <f t="shared" si="97"/>
        <v>0</v>
      </c>
      <c r="Q441" s="17">
        <f t="shared" si="97"/>
        <v>23.451512570155902</v>
      </c>
      <c r="R441" s="17">
        <f t="shared" si="97"/>
        <v>0</v>
      </c>
    </row>
    <row r="442" spans="3:18" x14ac:dyDescent="0.2">
      <c r="C442" s="1">
        <f t="shared" si="89"/>
        <v>39083</v>
      </c>
      <c r="E442" s="17">
        <f t="shared" ref="E442:R442" si="98">E75*E320/1000/10000</f>
        <v>39.786198620689653</v>
      </c>
      <c r="F442" s="17">
        <f t="shared" si="98"/>
        <v>0</v>
      </c>
      <c r="G442" s="17">
        <f t="shared" si="98"/>
        <v>0</v>
      </c>
      <c r="H442" s="17">
        <f t="shared" si="98"/>
        <v>-64.768000000000001</v>
      </c>
      <c r="I442" s="17">
        <f t="shared" si="98"/>
        <v>-7.2342068965517248</v>
      </c>
      <c r="J442" s="17">
        <f t="shared" si="98"/>
        <v>0</v>
      </c>
      <c r="K442" s="17">
        <f t="shared" si="98"/>
        <v>0</v>
      </c>
      <c r="L442" s="17">
        <f t="shared" si="98"/>
        <v>0</v>
      </c>
      <c r="M442" s="17">
        <f t="shared" si="98"/>
        <v>0</v>
      </c>
      <c r="N442" s="17">
        <f t="shared" si="98"/>
        <v>0</v>
      </c>
      <c r="O442" s="17">
        <f t="shared" si="98"/>
        <v>0</v>
      </c>
      <c r="P442" s="17">
        <f t="shared" si="98"/>
        <v>0</v>
      </c>
      <c r="Q442" s="17">
        <f t="shared" si="98"/>
        <v>5.0428056948965514</v>
      </c>
      <c r="R442" s="17">
        <f t="shared" si="98"/>
        <v>0</v>
      </c>
    </row>
    <row r="443" spans="3:18" x14ac:dyDescent="0.2">
      <c r="C443" s="1">
        <f t="shared" si="89"/>
        <v>39114</v>
      </c>
      <c r="E443" s="17">
        <f t="shared" ref="E443:R443" si="99">E76*E321/1000/10000</f>
        <v>35.995087834127212</v>
      </c>
      <c r="F443" s="17">
        <f t="shared" si="99"/>
        <v>0</v>
      </c>
      <c r="G443" s="17">
        <f t="shared" si="99"/>
        <v>0</v>
      </c>
      <c r="H443" s="17">
        <f t="shared" si="99"/>
        <v>-58.805402073409923</v>
      </c>
      <c r="I443" s="17">
        <f t="shared" si="99"/>
        <v>-6.5721490613617268</v>
      </c>
      <c r="J443" s="17">
        <f t="shared" si="99"/>
        <v>0</v>
      </c>
      <c r="K443" s="17">
        <f t="shared" si="99"/>
        <v>0</v>
      </c>
      <c r="L443" s="17">
        <f t="shared" si="99"/>
        <v>0</v>
      </c>
      <c r="M443" s="17">
        <f t="shared" si="99"/>
        <v>0</v>
      </c>
      <c r="N443" s="17">
        <f t="shared" si="99"/>
        <v>0</v>
      </c>
      <c r="O443" s="17">
        <f t="shared" si="99"/>
        <v>0</v>
      </c>
      <c r="P443" s="17">
        <f t="shared" si="99"/>
        <v>0</v>
      </c>
      <c r="Q443" s="17">
        <f t="shared" si="99"/>
        <v>4.5960898486971136</v>
      </c>
      <c r="R443" s="17">
        <f t="shared" si="99"/>
        <v>0</v>
      </c>
    </row>
    <row r="444" spans="3:18" x14ac:dyDescent="0.2">
      <c r="C444" s="1">
        <f t="shared" si="89"/>
        <v>39142</v>
      </c>
      <c r="E444" s="17">
        <f t="shared" ref="E444:R444" si="100">E77*E322/1000/10000</f>
        <v>39.545451608025594</v>
      </c>
      <c r="F444" s="17">
        <f t="shared" si="100"/>
        <v>0</v>
      </c>
      <c r="G444" s="17">
        <f t="shared" si="100"/>
        <v>0</v>
      </c>
      <c r="H444" s="17">
        <f t="shared" si="100"/>
        <v>-65.921339924396619</v>
      </c>
      <c r="I444" s="17">
        <f t="shared" si="100"/>
        <v>-7.2518755452166328</v>
      </c>
      <c r="J444" s="17">
        <f t="shared" si="100"/>
        <v>0</v>
      </c>
      <c r="K444" s="17">
        <f t="shared" si="100"/>
        <v>0</v>
      </c>
      <c r="L444" s="17">
        <f t="shared" si="100"/>
        <v>0</v>
      </c>
      <c r="M444" s="17">
        <f t="shared" si="100"/>
        <v>0</v>
      </c>
      <c r="N444" s="17">
        <f t="shared" si="100"/>
        <v>0</v>
      </c>
      <c r="O444" s="17">
        <f t="shared" si="100"/>
        <v>0</v>
      </c>
      <c r="P444" s="17">
        <f t="shared" si="100"/>
        <v>0</v>
      </c>
      <c r="Q444" s="17">
        <f t="shared" si="100"/>
        <v>5.1753375981389942</v>
      </c>
      <c r="R444" s="17">
        <f t="shared" si="100"/>
        <v>0</v>
      </c>
    </row>
    <row r="445" spans="3:18" x14ac:dyDescent="0.2">
      <c r="C445" s="1">
        <f t="shared" si="89"/>
        <v>39173</v>
      </c>
      <c r="E445" s="17">
        <f t="shared" ref="E445:R445" si="101">E78*E323/1000/10000</f>
        <v>39.427703995082979</v>
      </c>
      <c r="F445" s="17">
        <f t="shared" si="101"/>
        <v>0</v>
      </c>
      <c r="G445" s="17">
        <f t="shared" si="101"/>
        <v>0</v>
      </c>
      <c r="H445" s="17">
        <f t="shared" si="101"/>
        <v>-65.735291948371241</v>
      </c>
      <c r="I445" s="17">
        <f t="shared" si="101"/>
        <v>-7.2641671788567912</v>
      </c>
      <c r="J445" s="17">
        <f t="shared" si="101"/>
        <v>0</v>
      </c>
      <c r="K445" s="17">
        <f t="shared" si="101"/>
        <v>0</v>
      </c>
      <c r="L445" s="17">
        <f t="shared" si="101"/>
        <v>0</v>
      </c>
      <c r="M445" s="17">
        <f t="shared" si="101"/>
        <v>0</v>
      </c>
      <c r="N445" s="17">
        <f t="shared" si="101"/>
        <v>0</v>
      </c>
      <c r="O445" s="17">
        <f t="shared" si="101"/>
        <v>0</v>
      </c>
      <c r="P445" s="17">
        <f t="shared" si="101"/>
        <v>0</v>
      </c>
      <c r="Q445" s="17">
        <f t="shared" si="101"/>
        <v>4.9697974099569748</v>
      </c>
      <c r="R445" s="17">
        <f t="shared" si="101"/>
        <v>0</v>
      </c>
    </row>
    <row r="446" spans="3:18" x14ac:dyDescent="0.2">
      <c r="C446" s="1">
        <f t="shared" si="89"/>
        <v>39203</v>
      </c>
      <c r="E446" s="17">
        <f t="shared" ref="E446:R446" si="102">E79*E324/1000/10000</f>
        <v>43.72131119113574</v>
      </c>
      <c r="F446" s="17">
        <f t="shared" si="102"/>
        <v>0</v>
      </c>
      <c r="G446" s="17">
        <f t="shared" si="102"/>
        <v>0</v>
      </c>
      <c r="H446" s="17">
        <f t="shared" si="102"/>
        <v>-70.810829178208678</v>
      </c>
      <c r="I446" s="17">
        <f t="shared" si="102"/>
        <v>-8.103908895044631</v>
      </c>
      <c r="J446" s="17">
        <f t="shared" si="102"/>
        <v>0</v>
      </c>
      <c r="K446" s="17">
        <f t="shared" si="102"/>
        <v>0</v>
      </c>
      <c r="L446" s="17">
        <f t="shared" si="102"/>
        <v>0</v>
      </c>
      <c r="M446" s="17">
        <f t="shared" si="102"/>
        <v>0</v>
      </c>
      <c r="N446" s="17">
        <f t="shared" si="102"/>
        <v>0</v>
      </c>
      <c r="O446" s="17">
        <f t="shared" si="102"/>
        <v>0</v>
      </c>
      <c r="P446" s="17">
        <f t="shared" si="102"/>
        <v>0</v>
      </c>
      <c r="Q446" s="17">
        <f t="shared" si="102"/>
        <v>5.6188295346260384</v>
      </c>
      <c r="R446" s="17">
        <f t="shared" si="102"/>
        <v>0</v>
      </c>
    </row>
    <row r="447" spans="3:18" x14ac:dyDescent="0.2">
      <c r="C447" s="1">
        <f t="shared" si="89"/>
        <v>39234</v>
      </c>
      <c r="E447" s="17">
        <f t="shared" ref="E447:R447" si="103">E80*E325/1000/10000</f>
        <v>48.180644241778324</v>
      </c>
      <c r="F447" s="17">
        <f t="shared" si="103"/>
        <v>0</v>
      </c>
      <c r="G447" s="17">
        <f t="shared" si="103"/>
        <v>0</v>
      </c>
      <c r="H447" s="17">
        <f t="shared" si="103"/>
        <v>-76.92415103532278</v>
      </c>
      <c r="I447" s="17">
        <f t="shared" si="103"/>
        <v>-8.9959805115712559</v>
      </c>
      <c r="J447" s="17">
        <f t="shared" si="103"/>
        <v>0</v>
      </c>
      <c r="K447" s="17">
        <f t="shared" si="103"/>
        <v>0</v>
      </c>
      <c r="L447" s="17">
        <f t="shared" si="103"/>
        <v>0</v>
      </c>
      <c r="M447" s="17">
        <f t="shared" si="103"/>
        <v>0</v>
      </c>
      <c r="N447" s="17">
        <f t="shared" si="103"/>
        <v>0</v>
      </c>
      <c r="O447" s="17">
        <f t="shared" si="103"/>
        <v>0</v>
      </c>
      <c r="P447" s="17">
        <f t="shared" si="103"/>
        <v>0</v>
      </c>
      <c r="Q447" s="17">
        <f t="shared" si="103"/>
        <v>6.2456462058465299</v>
      </c>
      <c r="R447" s="17">
        <f t="shared" si="103"/>
        <v>0</v>
      </c>
    </row>
    <row r="448" spans="3:18" x14ac:dyDescent="0.2">
      <c r="C448" s="1">
        <f t="shared" si="89"/>
        <v>39264</v>
      </c>
      <c r="E448" s="17">
        <f t="shared" ref="E448:R448" si="104">E81*E326/1000/10000</f>
        <v>63.155172847472933</v>
      </c>
      <c r="F448" s="17">
        <f t="shared" si="104"/>
        <v>0</v>
      </c>
      <c r="G448" s="17">
        <f t="shared" si="104"/>
        <v>0</v>
      </c>
      <c r="H448" s="17">
        <f t="shared" si="104"/>
        <v>-97.996916967509037</v>
      </c>
      <c r="I448" s="17">
        <f t="shared" si="104"/>
        <v>-11.893682310469314</v>
      </c>
      <c r="J448" s="17">
        <f t="shared" si="104"/>
        <v>0</v>
      </c>
      <c r="K448" s="17">
        <f t="shared" si="104"/>
        <v>0</v>
      </c>
      <c r="L448" s="17">
        <f t="shared" si="104"/>
        <v>-0.47322021660649816</v>
      </c>
      <c r="M448" s="17">
        <f t="shared" si="104"/>
        <v>0</v>
      </c>
      <c r="N448" s="17">
        <f t="shared" si="104"/>
        <v>0</v>
      </c>
      <c r="O448" s="17">
        <f t="shared" si="104"/>
        <v>0</v>
      </c>
      <c r="P448" s="17">
        <f t="shared" si="104"/>
        <v>0</v>
      </c>
      <c r="Q448" s="17">
        <f t="shared" si="104"/>
        <v>7.6052157400722047</v>
      </c>
      <c r="R448" s="17">
        <f t="shared" si="104"/>
        <v>0</v>
      </c>
    </row>
    <row r="449" spans="3:18" x14ac:dyDescent="0.2">
      <c r="C449" s="1">
        <f t="shared" si="89"/>
        <v>39295</v>
      </c>
      <c r="E449" s="17">
        <f t="shared" ref="E449:R449" si="105">E82*E327/1000/10000</f>
        <v>68.859527510404291</v>
      </c>
      <c r="F449" s="17">
        <f t="shared" si="105"/>
        <v>0</v>
      </c>
      <c r="G449" s="17">
        <f t="shared" si="105"/>
        <v>0</v>
      </c>
      <c r="H449" s="17">
        <f t="shared" si="105"/>
        <v>-106.94731985731273</v>
      </c>
      <c r="I449" s="17">
        <f t="shared" si="105"/>
        <v>-13.035612366230678</v>
      </c>
      <c r="J449" s="17">
        <f t="shared" si="105"/>
        <v>0</v>
      </c>
      <c r="K449" s="17">
        <f t="shared" si="105"/>
        <v>0</v>
      </c>
      <c r="L449" s="17">
        <f t="shared" si="105"/>
        <v>-0.52962901307966714</v>
      </c>
      <c r="M449" s="17">
        <f t="shared" si="105"/>
        <v>0</v>
      </c>
      <c r="N449" s="17">
        <f t="shared" si="105"/>
        <v>0</v>
      </c>
      <c r="O449" s="17">
        <f t="shared" si="105"/>
        <v>0</v>
      </c>
      <c r="P449" s="17">
        <f t="shared" si="105"/>
        <v>0</v>
      </c>
      <c r="Q449" s="17">
        <f t="shared" si="105"/>
        <v>8.6435245862068992</v>
      </c>
      <c r="R449" s="17">
        <f t="shared" si="105"/>
        <v>0</v>
      </c>
    </row>
    <row r="450" spans="3:18" x14ac:dyDescent="0.2">
      <c r="C450" s="1">
        <f t="shared" si="89"/>
        <v>39326</v>
      </c>
      <c r="E450" s="17">
        <f t="shared" ref="E450:R450" si="106">E83*E328/1000/10000</f>
        <v>33.273760979982079</v>
      </c>
      <c r="F450" s="17">
        <f t="shared" si="106"/>
        <v>0</v>
      </c>
      <c r="G450" s="17">
        <f t="shared" si="106"/>
        <v>0</v>
      </c>
      <c r="H450" s="17">
        <f t="shared" si="106"/>
        <v>-55.747805198685391</v>
      </c>
      <c r="I450" s="17">
        <f t="shared" si="106"/>
        <v>-6.2829997012249779</v>
      </c>
      <c r="J450" s="17">
        <f t="shared" si="106"/>
        <v>0</v>
      </c>
      <c r="K450" s="17">
        <f t="shared" si="106"/>
        <v>0</v>
      </c>
      <c r="L450" s="17">
        <f t="shared" si="106"/>
        <v>0</v>
      </c>
      <c r="M450" s="17">
        <f t="shared" si="106"/>
        <v>0</v>
      </c>
      <c r="N450" s="17">
        <f t="shared" si="106"/>
        <v>0</v>
      </c>
      <c r="O450" s="17">
        <f t="shared" si="106"/>
        <v>0</v>
      </c>
      <c r="P450" s="17">
        <f t="shared" si="106"/>
        <v>0</v>
      </c>
      <c r="Q450" s="17">
        <f t="shared" si="106"/>
        <v>3.7887578129668356</v>
      </c>
      <c r="R450" s="17">
        <f t="shared" si="106"/>
        <v>0</v>
      </c>
    </row>
    <row r="451" spans="3:18" x14ac:dyDescent="0.2">
      <c r="C451" s="1">
        <f t="shared" si="89"/>
        <v>39356</v>
      </c>
      <c r="E451" s="17">
        <f t="shared" ref="E451:R451" si="107">E84*E329/1000/10000</f>
        <v>41.695974673784107</v>
      </c>
      <c r="F451" s="17">
        <f t="shared" si="107"/>
        <v>0</v>
      </c>
      <c r="G451" s="17">
        <f t="shared" si="107"/>
        <v>0</v>
      </c>
      <c r="H451" s="17">
        <f t="shared" si="107"/>
        <v>-70.676517200474493</v>
      </c>
      <c r="I451" s="17">
        <f t="shared" si="107"/>
        <v>-7.9204033214709373</v>
      </c>
      <c r="J451" s="17">
        <f t="shared" si="107"/>
        <v>0</v>
      </c>
      <c r="K451" s="17">
        <f t="shared" si="107"/>
        <v>0</v>
      </c>
      <c r="L451" s="17">
        <f t="shared" si="107"/>
        <v>0</v>
      </c>
      <c r="M451" s="17">
        <f t="shared" si="107"/>
        <v>0</v>
      </c>
      <c r="N451" s="17">
        <f t="shared" si="107"/>
        <v>0</v>
      </c>
      <c r="O451" s="17">
        <f t="shared" si="107"/>
        <v>0</v>
      </c>
      <c r="P451" s="17">
        <f t="shared" si="107"/>
        <v>0</v>
      </c>
      <c r="Q451" s="17">
        <f t="shared" si="107"/>
        <v>4.8686081257413996</v>
      </c>
      <c r="R451" s="17">
        <f t="shared" si="107"/>
        <v>0</v>
      </c>
    </row>
    <row r="452" spans="3:18" x14ac:dyDescent="0.2">
      <c r="C452" s="1">
        <f t="shared" si="89"/>
        <v>39387</v>
      </c>
      <c r="E452" s="17">
        <f t="shared" ref="E452:R452" si="108">E85*E330/1000/10000</f>
        <v>35.878622290011343</v>
      </c>
      <c r="F452" s="17">
        <f t="shared" si="108"/>
        <v>0</v>
      </c>
      <c r="G452" s="17">
        <f t="shared" si="108"/>
        <v>0</v>
      </c>
      <c r="H452" s="17">
        <f t="shared" si="108"/>
        <v>-61.359091940976164</v>
      </c>
      <c r="I452" s="17">
        <f t="shared" si="108"/>
        <v>-6.8482406356413161</v>
      </c>
      <c r="J452" s="17">
        <f t="shared" si="108"/>
        <v>0</v>
      </c>
      <c r="K452" s="17">
        <f t="shared" si="108"/>
        <v>0</v>
      </c>
      <c r="L452" s="17">
        <f t="shared" si="108"/>
        <v>0</v>
      </c>
      <c r="M452" s="17">
        <f t="shared" si="108"/>
        <v>0</v>
      </c>
      <c r="N452" s="17">
        <f t="shared" si="108"/>
        <v>0</v>
      </c>
      <c r="O452" s="17">
        <f t="shared" si="108"/>
        <v>0</v>
      </c>
      <c r="P452" s="17">
        <f t="shared" si="108"/>
        <v>0</v>
      </c>
      <c r="Q452" s="17">
        <f t="shared" si="108"/>
        <v>4.247906582860387</v>
      </c>
      <c r="R452" s="17">
        <f t="shared" si="108"/>
        <v>0</v>
      </c>
    </row>
    <row r="453" spans="3:18" x14ac:dyDescent="0.2">
      <c r="C453" s="1">
        <f t="shared" si="89"/>
        <v>39417</v>
      </c>
      <c r="E453" s="17">
        <f t="shared" ref="E453:R453" si="109">E86*E331/1000/10000</f>
        <v>32.511355260430868</v>
      </c>
      <c r="F453" s="17">
        <f t="shared" si="109"/>
        <v>0</v>
      </c>
      <c r="G453" s="17">
        <f t="shared" si="109"/>
        <v>0</v>
      </c>
      <c r="H453" s="17">
        <f t="shared" si="109"/>
        <v>-55.634447777474776</v>
      </c>
      <c r="I453" s="17">
        <f t="shared" si="109"/>
        <v>-6.2372511589855471</v>
      </c>
      <c r="J453" s="17">
        <f t="shared" si="109"/>
        <v>0</v>
      </c>
      <c r="K453" s="17">
        <f t="shared" si="109"/>
        <v>0</v>
      </c>
      <c r="L453" s="17">
        <f t="shared" si="109"/>
        <v>0</v>
      </c>
      <c r="M453" s="17">
        <f t="shared" si="109"/>
        <v>0</v>
      </c>
      <c r="N453" s="17">
        <f t="shared" si="109"/>
        <v>0</v>
      </c>
      <c r="O453" s="17">
        <f t="shared" si="109"/>
        <v>0</v>
      </c>
      <c r="P453" s="17">
        <f t="shared" si="109"/>
        <v>0</v>
      </c>
      <c r="Q453" s="17">
        <f t="shared" si="109"/>
        <v>3.8820486424870468</v>
      </c>
      <c r="R453" s="17">
        <f t="shared" si="109"/>
        <v>0</v>
      </c>
    </row>
    <row r="454" spans="3:18" x14ac:dyDescent="0.2">
      <c r="C454" s="1">
        <f t="shared" si="89"/>
        <v>39448</v>
      </c>
      <c r="E454" s="17">
        <f t="shared" ref="E454:R454" si="110">E87*E332/1000/10000</f>
        <v>25.938815222147202</v>
      </c>
      <c r="F454" s="17">
        <f t="shared" si="110"/>
        <v>0</v>
      </c>
      <c r="G454" s="17">
        <f t="shared" si="110"/>
        <v>0</v>
      </c>
      <c r="H454" s="17">
        <f t="shared" si="110"/>
        <v>-35.853517353139772</v>
      </c>
      <c r="I454" s="17">
        <f t="shared" si="110"/>
        <v>-7.04</v>
      </c>
      <c r="J454" s="17">
        <f t="shared" si="110"/>
        <v>0</v>
      </c>
      <c r="K454" s="17">
        <f t="shared" si="110"/>
        <v>0</v>
      </c>
      <c r="L454" s="17">
        <f t="shared" si="110"/>
        <v>0</v>
      </c>
      <c r="M454" s="17">
        <f t="shared" si="110"/>
        <v>0</v>
      </c>
      <c r="N454" s="17">
        <f t="shared" si="110"/>
        <v>0</v>
      </c>
      <c r="O454" s="17">
        <f t="shared" si="110"/>
        <v>0</v>
      </c>
      <c r="P454" s="17">
        <f t="shared" si="110"/>
        <v>0</v>
      </c>
      <c r="Q454" s="17">
        <f t="shared" si="110"/>
        <v>4.7724620742741379</v>
      </c>
      <c r="R454" s="17">
        <f t="shared" si="110"/>
        <v>0</v>
      </c>
    </row>
    <row r="455" spans="3:18" x14ac:dyDescent="0.2">
      <c r="C455" s="1">
        <f t="shared" si="89"/>
        <v>39479</v>
      </c>
      <c r="E455" s="17">
        <f t="shared" ref="E455:R455" si="111">E88*E333/1000/10000</f>
        <v>23.671545865898807</v>
      </c>
      <c r="F455" s="17">
        <f t="shared" si="111"/>
        <v>0</v>
      </c>
      <c r="G455" s="17">
        <f t="shared" si="111"/>
        <v>0</v>
      </c>
      <c r="H455" s="17">
        <f t="shared" si="111"/>
        <v>-32.779004524886879</v>
      </c>
      <c r="I455" s="17">
        <f t="shared" si="111"/>
        <v>-6.450020567667627</v>
      </c>
      <c r="J455" s="17">
        <f t="shared" si="111"/>
        <v>0</v>
      </c>
      <c r="K455" s="17">
        <f t="shared" si="111"/>
        <v>0</v>
      </c>
      <c r="L455" s="17">
        <f t="shared" si="111"/>
        <v>0</v>
      </c>
      <c r="M455" s="17">
        <f t="shared" si="111"/>
        <v>0</v>
      </c>
      <c r="N455" s="17">
        <f t="shared" si="111"/>
        <v>0</v>
      </c>
      <c r="O455" s="17">
        <f t="shared" si="111"/>
        <v>0</v>
      </c>
      <c r="P455" s="17">
        <f t="shared" si="111"/>
        <v>0</v>
      </c>
      <c r="Q455" s="17">
        <f t="shared" si="111"/>
        <v>4.5893610256410247</v>
      </c>
      <c r="R455" s="17">
        <f t="shared" si="111"/>
        <v>0</v>
      </c>
    </row>
    <row r="456" spans="3:18" x14ac:dyDescent="0.2">
      <c r="C456" s="1">
        <f t="shared" si="89"/>
        <v>39508</v>
      </c>
      <c r="E456" s="17">
        <f t="shared" ref="E456:R456" si="112">E89*E334/1000/10000</f>
        <v>24.45195848144462</v>
      </c>
      <c r="F456" s="17">
        <f t="shared" si="112"/>
        <v>0</v>
      </c>
      <c r="G456" s="17">
        <f t="shared" si="112"/>
        <v>0</v>
      </c>
      <c r="H456" s="17">
        <f t="shared" si="112"/>
        <v>-35.072800796246263</v>
      </c>
      <c r="I456" s="17">
        <f t="shared" si="112"/>
        <v>-6.6980236030143594</v>
      </c>
      <c r="J456" s="17">
        <f t="shared" si="112"/>
        <v>0</v>
      </c>
      <c r="K456" s="17">
        <f t="shared" si="112"/>
        <v>0</v>
      </c>
      <c r="L456" s="17">
        <f t="shared" si="112"/>
        <v>0</v>
      </c>
      <c r="M456" s="17">
        <f t="shared" si="112"/>
        <v>0</v>
      </c>
      <c r="N456" s="17">
        <f t="shared" si="112"/>
        <v>0</v>
      </c>
      <c r="O456" s="17">
        <f t="shared" si="112"/>
        <v>0</v>
      </c>
      <c r="P456" s="17">
        <f t="shared" si="112"/>
        <v>0</v>
      </c>
      <c r="Q456" s="17">
        <f t="shared" si="112"/>
        <v>4.6939751471633722</v>
      </c>
      <c r="R456" s="17">
        <f t="shared" si="112"/>
        <v>0</v>
      </c>
    </row>
    <row r="457" spans="3:18" x14ac:dyDescent="0.2">
      <c r="C457" s="1">
        <f t="shared" si="89"/>
        <v>39539</v>
      </c>
      <c r="E457" s="17">
        <f t="shared" ref="E457:R457" si="113">E90*E335/1000/10000</f>
        <v>27.485000234128769</v>
      </c>
      <c r="F457" s="17">
        <f t="shared" si="113"/>
        <v>0</v>
      </c>
      <c r="G457" s="17">
        <f t="shared" si="113"/>
        <v>0</v>
      </c>
      <c r="H457" s="17">
        <f t="shared" si="113"/>
        <v>-39.382476361999103</v>
      </c>
      <c r="I457" s="17">
        <f t="shared" si="113"/>
        <v>-7.570403722047125</v>
      </c>
      <c r="J457" s="17">
        <f t="shared" si="113"/>
        <v>0</v>
      </c>
      <c r="K457" s="17">
        <f t="shared" si="113"/>
        <v>0</v>
      </c>
      <c r="L457" s="17">
        <f t="shared" si="113"/>
        <v>0</v>
      </c>
      <c r="M457" s="17">
        <f t="shared" si="113"/>
        <v>0</v>
      </c>
      <c r="N457" s="17">
        <f t="shared" si="113"/>
        <v>0</v>
      </c>
      <c r="O457" s="17">
        <f t="shared" si="113"/>
        <v>0</v>
      </c>
      <c r="P457" s="17">
        <f t="shared" si="113"/>
        <v>0</v>
      </c>
      <c r="Q457" s="17">
        <f t="shared" si="113"/>
        <v>4.9391275923758071</v>
      </c>
      <c r="R457" s="17">
        <f t="shared" si="113"/>
        <v>0</v>
      </c>
    </row>
    <row r="458" spans="3:18" x14ac:dyDescent="0.2">
      <c r="C458" s="1">
        <f t="shared" si="89"/>
        <v>39569</v>
      </c>
      <c r="E458" s="17">
        <f t="shared" ref="E458:R458" si="114">E91*E336/1000/10000</f>
        <v>28.519721238539006</v>
      </c>
      <c r="F458" s="17">
        <f t="shared" si="114"/>
        <v>0</v>
      </c>
      <c r="G458" s="17">
        <f t="shared" si="114"/>
        <v>0</v>
      </c>
      <c r="H458" s="17">
        <f t="shared" si="114"/>
        <v>-38.58793085825944</v>
      </c>
      <c r="I458" s="17">
        <f t="shared" si="114"/>
        <v>-7.9088531489553588</v>
      </c>
      <c r="J458" s="17">
        <f t="shared" si="114"/>
        <v>0</v>
      </c>
      <c r="K458" s="17">
        <f t="shared" si="114"/>
        <v>0</v>
      </c>
      <c r="L458" s="17">
        <f t="shared" si="114"/>
        <v>0</v>
      </c>
      <c r="M458" s="17">
        <f t="shared" si="114"/>
        <v>0</v>
      </c>
      <c r="N458" s="17">
        <f t="shared" si="114"/>
        <v>0</v>
      </c>
      <c r="O458" s="17">
        <f t="shared" si="114"/>
        <v>0</v>
      </c>
      <c r="P458" s="17">
        <f t="shared" si="114"/>
        <v>0</v>
      </c>
      <c r="Q458" s="17">
        <f t="shared" si="114"/>
        <v>5.1540745828949355</v>
      </c>
      <c r="R458" s="17">
        <f t="shared" si="114"/>
        <v>0</v>
      </c>
    </row>
    <row r="459" spans="3:18" x14ac:dyDescent="0.2">
      <c r="C459" s="1">
        <f t="shared" si="89"/>
        <v>39600</v>
      </c>
      <c r="E459" s="17">
        <f t="shared" ref="E459:R459" si="115">E92*E337/1000/10000</f>
        <v>32.232946160940067</v>
      </c>
      <c r="F459" s="17">
        <f t="shared" si="115"/>
        <v>0</v>
      </c>
      <c r="G459" s="17">
        <f t="shared" si="115"/>
        <v>0</v>
      </c>
      <c r="H459" s="17">
        <f t="shared" si="115"/>
        <v>-42.185966979027228</v>
      </c>
      <c r="I459" s="17">
        <f t="shared" si="115"/>
        <v>-9.0034805890227574</v>
      </c>
      <c r="J459" s="17">
        <f t="shared" si="115"/>
        <v>0</v>
      </c>
      <c r="K459" s="17">
        <f t="shared" si="115"/>
        <v>0</v>
      </c>
      <c r="L459" s="17">
        <f t="shared" si="115"/>
        <v>0</v>
      </c>
      <c r="M459" s="17">
        <f t="shared" si="115"/>
        <v>0</v>
      </c>
      <c r="N459" s="17">
        <f t="shared" si="115"/>
        <v>0</v>
      </c>
      <c r="O459" s="17">
        <f t="shared" si="115"/>
        <v>0</v>
      </c>
      <c r="P459" s="17">
        <f t="shared" si="115"/>
        <v>0</v>
      </c>
      <c r="Q459" s="17">
        <f t="shared" si="115"/>
        <v>5.8932431950022321</v>
      </c>
      <c r="R459" s="17">
        <f t="shared" si="115"/>
        <v>0</v>
      </c>
    </row>
    <row r="460" spans="3:18" x14ac:dyDescent="0.2">
      <c r="C460" s="1">
        <f t="shared" si="89"/>
        <v>39630</v>
      </c>
      <c r="E460" s="17">
        <f t="shared" ref="E460:R460" si="116">E93*E338/1000/10000</f>
        <v>45.8578001999118</v>
      </c>
      <c r="F460" s="17">
        <f t="shared" si="116"/>
        <v>0</v>
      </c>
      <c r="G460" s="17">
        <f t="shared" si="116"/>
        <v>0</v>
      </c>
      <c r="H460" s="17">
        <f t="shared" si="116"/>
        <v>-56.620723798324271</v>
      </c>
      <c r="I460" s="17">
        <f t="shared" si="116"/>
        <v>-12.927708363957077</v>
      </c>
      <c r="J460" s="17">
        <f t="shared" si="116"/>
        <v>0</v>
      </c>
      <c r="K460" s="17">
        <f t="shared" si="116"/>
        <v>0</v>
      </c>
      <c r="L460" s="17">
        <f t="shared" si="116"/>
        <v>-0.519695428487432</v>
      </c>
      <c r="M460" s="17">
        <f t="shared" si="116"/>
        <v>0</v>
      </c>
      <c r="N460" s="17">
        <f t="shared" si="116"/>
        <v>0</v>
      </c>
      <c r="O460" s="17">
        <f t="shared" si="116"/>
        <v>0</v>
      </c>
      <c r="P460" s="17">
        <f t="shared" si="116"/>
        <v>0</v>
      </c>
      <c r="Q460" s="17">
        <f t="shared" si="116"/>
        <v>7.6150534446567688</v>
      </c>
      <c r="R460" s="17">
        <f t="shared" si="116"/>
        <v>0</v>
      </c>
    </row>
    <row r="461" spans="3:18" x14ac:dyDescent="0.2">
      <c r="C461" s="1">
        <f t="shared" si="89"/>
        <v>39661</v>
      </c>
      <c r="E461" s="17">
        <f t="shared" ref="E461:R461" si="117">E94*E339/1000/10000</f>
        <v>42.468514014237982</v>
      </c>
      <c r="F461" s="17">
        <f t="shared" si="117"/>
        <v>0</v>
      </c>
      <c r="G461" s="17">
        <f t="shared" si="117"/>
        <v>0</v>
      </c>
      <c r="H461" s="17">
        <f t="shared" si="117"/>
        <v>-52.224446317012919</v>
      </c>
      <c r="I461" s="17">
        <f t="shared" si="117"/>
        <v>-12.035565886967891</v>
      </c>
      <c r="J461" s="17">
        <f t="shared" si="117"/>
        <v>0</v>
      </c>
      <c r="K461" s="17">
        <f t="shared" si="117"/>
        <v>0</v>
      </c>
      <c r="L461" s="17">
        <f t="shared" si="117"/>
        <v>-0.49362661630103155</v>
      </c>
      <c r="M461" s="17">
        <f t="shared" si="117"/>
        <v>0</v>
      </c>
      <c r="N461" s="17">
        <f t="shared" si="117"/>
        <v>0</v>
      </c>
      <c r="O461" s="17">
        <f t="shared" si="117"/>
        <v>0</v>
      </c>
      <c r="P461" s="17">
        <f t="shared" si="117"/>
        <v>0</v>
      </c>
      <c r="Q461" s="17">
        <f t="shared" si="117"/>
        <v>7.5405941484817669</v>
      </c>
      <c r="R461" s="17">
        <f t="shared" si="117"/>
        <v>0</v>
      </c>
    </row>
    <row r="462" spans="3:18" x14ac:dyDescent="0.2">
      <c r="C462" s="1">
        <f t="shared" si="89"/>
        <v>39692</v>
      </c>
      <c r="E462" s="17">
        <f t="shared" ref="E462:R462" si="118">E95*E340/1000/10000</f>
        <v>22.911084993429693</v>
      </c>
      <c r="F462" s="17">
        <f t="shared" si="118"/>
        <v>0</v>
      </c>
      <c r="G462" s="17">
        <f t="shared" si="118"/>
        <v>0</v>
      </c>
      <c r="H462" s="17">
        <f t="shared" si="118"/>
        <v>-25.147262374069204</v>
      </c>
      <c r="I462" s="17">
        <f t="shared" si="118"/>
        <v>-6.4707840560665781</v>
      </c>
      <c r="J462" s="17">
        <f t="shared" si="118"/>
        <v>0</v>
      </c>
      <c r="K462" s="17">
        <f t="shared" si="118"/>
        <v>0</v>
      </c>
      <c r="L462" s="17">
        <f t="shared" si="118"/>
        <v>0</v>
      </c>
      <c r="M462" s="17">
        <f t="shared" si="118"/>
        <v>0</v>
      </c>
      <c r="N462" s="17">
        <f t="shared" si="118"/>
        <v>0</v>
      </c>
      <c r="O462" s="17">
        <f t="shared" si="118"/>
        <v>0</v>
      </c>
      <c r="P462" s="17">
        <f t="shared" si="118"/>
        <v>0</v>
      </c>
      <c r="Q462" s="17">
        <f t="shared" si="118"/>
        <v>3.9414911432325885</v>
      </c>
      <c r="R462" s="17">
        <f t="shared" si="118"/>
        <v>0</v>
      </c>
    </row>
    <row r="463" spans="3:18" x14ac:dyDescent="0.2">
      <c r="C463" s="1">
        <f t="shared" si="89"/>
        <v>39722</v>
      </c>
      <c r="E463" s="17">
        <f t="shared" ref="E463:R463" si="119">E96*E341/1000/10000</f>
        <v>26.618895677634434</v>
      </c>
      <c r="F463" s="17">
        <f t="shared" si="119"/>
        <v>0</v>
      </c>
      <c r="G463" s="17">
        <f t="shared" si="119"/>
        <v>0</v>
      </c>
      <c r="H463" s="17">
        <f t="shared" si="119"/>
        <v>-29.476271923467174</v>
      </c>
      <c r="I463" s="17">
        <f t="shared" si="119"/>
        <v>-7.5690969705754441</v>
      </c>
      <c r="J463" s="17">
        <f t="shared" si="119"/>
        <v>0</v>
      </c>
      <c r="K463" s="17">
        <f t="shared" si="119"/>
        <v>0</v>
      </c>
      <c r="L463" s="17">
        <f t="shared" si="119"/>
        <v>0</v>
      </c>
      <c r="M463" s="17">
        <f t="shared" si="119"/>
        <v>0</v>
      </c>
      <c r="N463" s="17">
        <f t="shared" si="119"/>
        <v>0</v>
      </c>
      <c r="O463" s="17">
        <f t="shared" si="119"/>
        <v>0</v>
      </c>
      <c r="P463" s="17">
        <f t="shared" si="119"/>
        <v>0</v>
      </c>
      <c r="Q463" s="17">
        <f t="shared" si="119"/>
        <v>4.619855631250906</v>
      </c>
      <c r="R463" s="17">
        <f t="shared" si="119"/>
        <v>0</v>
      </c>
    </row>
    <row r="464" spans="3:18" x14ac:dyDescent="0.2">
      <c r="C464" s="1">
        <f t="shared" si="89"/>
        <v>39753</v>
      </c>
      <c r="E464" s="17">
        <f t="shared" ref="E464:R464" si="120">E97*E342/1000/10000</f>
        <v>21.331812244897957</v>
      </c>
      <c r="F464" s="17">
        <f t="shared" si="120"/>
        <v>0</v>
      </c>
      <c r="G464" s="17">
        <f t="shared" si="120"/>
        <v>0</v>
      </c>
      <c r="H464" s="17">
        <f t="shared" si="120"/>
        <v>-23.761210606691652</v>
      </c>
      <c r="I464" s="17">
        <f t="shared" si="120"/>
        <v>-6.0985700402610021</v>
      </c>
      <c r="J464" s="17">
        <f t="shared" si="120"/>
        <v>0</v>
      </c>
      <c r="K464" s="17">
        <f t="shared" si="120"/>
        <v>0</v>
      </c>
      <c r="L464" s="17">
        <f t="shared" si="120"/>
        <v>0</v>
      </c>
      <c r="M464" s="17">
        <f t="shared" si="120"/>
        <v>0</v>
      </c>
      <c r="N464" s="17">
        <f t="shared" si="120"/>
        <v>0</v>
      </c>
      <c r="O464" s="17">
        <f t="shared" si="120"/>
        <v>0</v>
      </c>
      <c r="P464" s="17">
        <f t="shared" si="120"/>
        <v>0</v>
      </c>
      <c r="Q464" s="17">
        <f t="shared" si="120"/>
        <v>3.6496534466194643</v>
      </c>
      <c r="R464" s="17">
        <f t="shared" si="120"/>
        <v>0</v>
      </c>
    </row>
    <row r="465" spans="3:18" x14ac:dyDescent="0.2">
      <c r="C465" s="1">
        <f t="shared" si="89"/>
        <v>39783</v>
      </c>
      <c r="E465" s="17">
        <f t="shared" ref="E465:R465" si="121">E98*E343/1000/10000</f>
        <v>23.909657460275067</v>
      </c>
      <c r="F465" s="17">
        <f t="shared" si="121"/>
        <v>0</v>
      </c>
      <c r="G465" s="17">
        <f t="shared" si="121"/>
        <v>0</v>
      </c>
      <c r="H465" s="17">
        <f t="shared" si="121"/>
        <v>-26.781893443717454</v>
      </c>
      <c r="I465" s="17">
        <f t="shared" si="121"/>
        <v>-6.8717318734143413</v>
      </c>
      <c r="J465" s="17">
        <f t="shared" si="121"/>
        <v>0</v>
      </c>
      <c r="K465" s="17">
        <f t="shared" si="121"/>
        <v>0</v>
      </c>
      <c r="L465" s="17">
        <f t="shared" si="121"/>
        <v>0</v>
      </c>
      <c r="M465" s="17">
        <f t="shared" si="121"/>
        <v>0</v>
      </c>
      <c r="N465" s="17">
        <f t="shared" si="121"/>
        <v>0</v>
      </c>
      <c r="O465" s="17">
        <f t="shared" si="121"/>
        <v>0</v>
      </c>
      <c r="P465" s="17">
        <f t="shared" si="121"/>
        <v>0</v>
      </c>
      <c r="Q465" s="17">
        <f t="shared" si="121"/>
        <v>4.0585620510081455</v>
      </c>
      <c r="R465" s="17">
        <f t="shared" si="121"/>
        <v>0</v>
      </c>
    </row>
    <row r="466" spans="3:18" x14ac:dyDescent="0.2">
      <c r="C466" s="1">
        <f t="shared" ref="C466:C489" si="122">C99</f>
        <v>39814</v>
      </c>
      <c r="E466" s="17">
        <f t="shared" ref="E466:R466" si="123">E99*E344/1000/10000</f>
        <v>-9.694203555849306</v>
      </c>
      <c r="F466" s="17">
        <f t="shared" si="123"/>
        <v>0</v>
      </c>
      <c r="G466" s="17">
        <f t="shared" si="123"/>
        <v>0</v>
      </c>
      <c r="H466" s="17">
        <f t="shared" si="123"/>
        <v>-39.97356245869134</v>
      </c>
      <c r="I466" s="17">
        <f t="shared" si="123"/>
        <v>0</v>
      </c>
      <c r="J466" s="17">
        <f t="shared" si="123"/>
        <v>0</v>
      </c>
      <c r="K466" s="17">
        <f t="shared" si="123"/>
        <v>0</v>
      </c>
      <c r="L466" s="17">
        <f t="shared" si="123"/>
        <v>0</v>
      </c>
      <c r="M466" s="17">
        <f t="shared" si="123"/>
        <v>0</v>
      </c>
      <c r="N466" s="17">
        <f t="shared" si="123"/>
        <v>0</v>
      </c>
      <c r="O466" s="17">
        <f t="shared" si="123"/>
        <v>0</v>
      </c>
      <c r="P466" s="17">
        <f t="shared" si="123"/>
        <v>0</v>
      </c>
      <c r="Q466" s="17">
        <f t="shared" si="123"/>
        <v>-0.37984697951090551</v>
      </c>
      <c r="R466" s="17">
        <f t="shared" si="123"/>
        <v>0</v>
      </c>
    </row>
    <row r="467" spans="3:18" x14ac:dyDescent="0.2">
      <c r="C467" s="1">
        <f t="shared" si="122"/>
        <v>39845</v>
      </c>
      <c r="E467" s="17">
        <f t="shared" ref="E467:R467" si="124">E100*E345/1000/10000</f>
        <v>-8.822870833221522</v>
      </c>
      <c r="F467" s="17">
        <f t="shared" si="124"/>
        <v>0</v>
      </c>
      <c r="G467" s="17">
        <f t="shared" si="124"/>
        <v>0</v>
      </c>
      <c r="H467" s="17">
        <f t="shared" si="124"/>
        <v>-36.439554541795246</v>
      </c>
      <c r="I467" s="17">
        <f t="shared" si="124"/>
        <v>0</v>
      </c>
      <c r="J467" s="17">
        <f t="shared" si="124"/>
        <v>0</v>
      </c>
      <c r="K467" s="17">
        <f t="shared" si="124"/>
        <v>0</v>
      </c>
      <c r="L467" s="17">
        <f t="shared" si="124"/>
        <v>0</v>
      </c>
      <c r="M467" s="17">
        <f t="shared" si="124"/>
        <v>0</v>
      </c>
      <c r="N467" s="17">
        <f t="shared" si="124"/>
        <v>0</v>
      </c>
      <c r="O467" s="17">
        <f t="shared" si="124"/>
        <v>0</v>
      </c>
      <c r="P467" s="17">
        <f t="shared" si="124"/>
        <v>0</v>
      </c>
      <c r="Q467" s="17">
        <f t="shared" si="124"/>
        <v>-0.3557983657587549</v>
      </c>
      <c r="R467" s="17">
        <f t="shared" si="124"/>
        <v>0</v>
      </c>
    </row>
    <row r="468" spans="3:18" x14ac:dyDescent="0.2">
      <c r="C468" s="1">
        <f t="shared" si="122"/>
        <v>39873</v>
      </c>
      <c r="E468" s="17">
        <f t="shared" ref="E468:R468" si="125">E101*E346/1000/10000</f>
        <v>-9.5120472626164343</v>
      </c>
      <c r="F468" s="17">
        <f t="shared" si="125"/>
        <v>0</v>
      </c>
      <c r="G468" s="17">
        <f t="shared" si="125"/>
        <v>0</v>
      </c>
      <c r="H468" s="17">
        <f t="shared" si="125"/>
        <v>-39.374280550535246</v>
      </c>
      <c r="I468" s="17">
        <f t="shared" si="125"/>
        <v>0</v>
      </c>
      <c r="J468" s="17">
        <f t="shared" si="125"/>
        <v>0</v>
      </c>
      <c r="K468" s="17">
        <f t="shared" si="125"/>
        <v>0</v>
      </c>
      <c r="L468" s="17">
        <f t="shared" si="125"/>
        <v>0</v>
      </c>
      <c r="M468" s="17">
        <f t="shared" si="125"/>
        <v>0</v>
      </c>
      <c r="N468" s="17">
        <f t="shared" si="125"/>
        <v>0</v>
      </c>
      <c r="O468" s="17">
        <f t="shared" si="125"/>
        <v>0</v>
      </c>
      <c r="P468" s="17">
        <f t="shared" si="125"/>
        <v>0</v>
      </c>
      <c r="Q468" s="17">
        <f t="shared" si="125"/>
        <v>-0.40005537105519262</v>
      </c>
      <c r="R468" s="17">
        <f t="shared" si="125"/>
        <v>0</v>
      </c>
    </row>
    <row r="469" spans="3:18" x14ac:dyDescent="0.2">
      <c r="C469" s="1">
        <f t="shared" si="122"/>
        <v>39904</v>
      </c>
      <c r="E469" s="17">
        <f t="shared" ref="E469:R469" si="126">E102*E347/1000/10000</f>
        <v>-9.7744390737212363</v>
      </c>
      <c r="F469" s="17">
        <f t="shared" si="126"/>
        <v>0</v>
      </c>
      <c r="G469" s="17">
        <f t="shared" si="126"/>
        <v>0</v>
      </c>
      <c r="H469" s="17">
        <f t="shared" si="126"/>
        <v>-40.611812985490253</v>
      </c>
      <c r="I469" s="17">
        <f t="shared" si="126"/>
        <v>0</v>
      </c>
      <c r="J469" s="17">
        <f t="shared" si="126"/>
        <v>0</v>
      </c>
      <c r="K469" s="17">
        <f t="shared" si="126"/>
        <v>0</v>
      </c>
      <c r="L469" s="17">
        <f t="shared" si="126"/>
        <v>0</v>
      </c>
      <c r="M469" s="17">
        <f t="shared" si="126"/>
        <v>0</v>
      </c>
      <c r="N469" s="17">
        <f t="shared" si="126"/>
        <v>0</v>
      </c>
      <c r="O469" s="17">
        <f t="shared" si="126"/>
        <v>0</v>
      </c>
      <c r="P469" s="17">
        <f t="shared" si="126"/>
        <v>0</v>
      </c>
      <c r="Q469" s="17">
        <f t="shared" si="126"/>
        <v>-0.6295140360545215</v>
      </c>
      <c r="R469" s="17">
        <f t="shared" si="126"/>
        <v>0</v>
      </c>
    </row>
    <row r="470" spans="3:18" x14ac:dyDescent="0.2">
      <c r="C470" s="1">
        <f t="shared" si="122"/>
        <v>39934</v>
      </c>
      <c r="E470" s="17">
        <f t="shared" ref="E470:R470" si="127">E103*E348/1000/10000</f>
        <v>-10.137311158080141</v>
      </c>
      <c r="F470" s="17">
        <f t="shared" si="127"/>
        <v>0</v>
      </c>
      <c r="G470" s="17">
        <f t="shared" si="127"/>
        <v>0</v>
      </c>
      <c r="H470" s="17">
        <f t="shared" si="127"/>
        <v>-42.723029502421845</v>
      </c>
      <c r="I470" s="17">
        <f t="shared" si="127"/>
        <v>0</v>
      </c>
      <c r="J470" s="17">
        <f t="shared" si="127"/>
        <v>0</v>
      </c>
      <c r="K470" s="17">
        <f t="shared" si="127"/>
        <v>0</v>
      </c>
      <c r="L470" s="17">
        <f t="shared" si="127"/>
        <v>0</v>
      </c>
      <c r="M470" s="17">
        <f t="shared" si="127"/>
        <v>0</v>
      </c>
      <c r="N470" s="17">
        <f t="shared" si="127"/>
        <v>0</v>
      </c>
      <c r="O470" s="17">
        <f t="shared" si="127"/>
        <v>0</v>
      </c>
      <c r="P470" s="17">
        <f t="shared" si="127"/>
        <v>0</v>
      </c>
      <c r="Q470" s="17">
        <f t="shared" si="127"/>
        <v>-0.63468061558784672</v>
      </c>
      <c r="R470" s="17">
        <f t="shared" si="127"/>
        <v>0</v>
      </c>
    </row>
    <row r="471" spans="3:18" x14ac:dyDescent="0.2">
      <c r="C471" s="1">
        <f t="shared" si="122"/>
        <v>39965</v>
      </c>
      <c r="E471" s="17">
        <f t="shared" ref="E471:R471" si="128">E104*E349/1000/10000</f>
        <v>-13.115934912102279</v>
      </c>
      <c r="F471" s="17">
        <f t="shared" si="128"/>
        <v>0</v>
      </c>
      <c r="G471" s="17">
        <f t="shared" si="128"/>
        <v>0</v>
      </c>
      <c r="H471" s="17">
        <f t="shared" si="128"/>
        <v>-55.768705506319911</v>
      </c>
      <c r="I471" s="17">
        <f t="shared" si="128"/>
        <v>0</v>
      </c>
      <c r="J471" s="17">
        <f t="shared" si="128"/>
        <v>0</v>
      </c>
      <c r="K471" s="17">
        <f t="shared" si="128"/>
        <v>0</v>
      </c>
      <c r="L471" s="17">
        <f t="shared" si="128"/>
        <v>0</v>
      </c>
      <c r="M471" s="17">
        <f t="shared" si="128"/>
        <v>0</v>
      </c>
      <c r="N471" s="17">
        <f t="shared" si="128"/>
        <v>0</v>
      </c>
      <c r="O471" s="17">
        <f t="shared" si="128"/>
        <v>0</v>
      </c>
      <c r="P471" s="17">
        <f t="shared" si="128"/>
        <v>0</v>
      </c>
      <c r="Q471" s="17">
        <f t="shared" si="128"/>
        <v>-1.1272285311637369</v>
      </c>
      <c r="R471" s="17">
        <f t="shared" si="128"/>
        <v>0</v>
      </c>
    </row>
    <row r="472" spans="3:18" x14ac:dyDescent="0.2">
      <c r="C472" s="1">
        <f t="shared" si="122"/>
        <v>39995</v>
      </c>
      <c r="E472" s="17">
        <f t="shared" ref="E472:R472" si="129">E105*E350/1000/10000</f>
        <v>-18.447634664656043</v>
      </c>
      <c r="F472" s="17">
        <f t="shared" si="129"/>
        <v>0</v>
      </c>
      <c r="G472" s="17">
        <f t="shared" si="129"/>
        <v>0</v>
      </c>
      <c r="H472" s="17">
        <f t="shared" si="129"/>
        <v>-79.17311503662215</v>
      </c>
      <c r="I472" s="17">
        <f t="shared" si="129"/>
        <v>0</v>
      </c>
      <c r="J472" s="17">
        <f t="shared" si="129"/>
        <v>0</v>
      </c>
      <c r="K472" s="17">
        <f t="shared" si="129"/>
        <v>0</v>
      </c>
      <c r="L472" s="17">
        <f t="shared" si="129"/>
        <v>0</v>
      </c>
      <c r="M472" s="17">
        <f t="shared" si="129"/>
        <v>0</v>
      </c>
      <c r="N472" s="17">
        <f t="shared" si="129"/>
        <v>0</v>
      </c>
      <c r="O472" s="17">
        <f t="shared" si="129"/>
        <v>0</v>
      </c>
      <c r="P472" s="17">
        <f t="shared" si="129"/>
        <v>0</v>
      </c>
      <c r="Q472" s="17">
        <f t="shared" si="129"/>
        <v>0</v>
      </c>
      <c r="R472" s="17">
        <f t="shared" si="129"/>
        <v>0</v>
      </c>
    </row>
    <row r="473" spans="3:18" x14ac:dyDescent="0.2">
      <c r="C473" s="1">
        <f t="shared" si="122"/>
        <v>40026</v>
      </c>
      <c r="E473" s="17">
        <f t="shared" ref="E473:R473" si="130">E106*E351/1000/10000</f>
        <v>-16.30810575039046</v>
      </c>
      <c r="F473" s="17">
        <f t="shared" si="130"/>
        <v>0</v>
      </c>
      <c r="G473" s="17">
        <f t="shared" si="130"/>
        <v>0</v>
      </c>
      <c r="H473" s="17">
        <f t="shared" si="130"/>
        <v>-70.308107340621888</v>
      </c>
      <c r="I473" s="17">
        <f t="shared" si="130"/>
        <v>0</v>
      </c>
      <c r="J473" s="17">
        <f t="shared" si="130"/>
        <v>0</v>
      </c>
      <c r="K473" s="17">
        <f t="shared" si="130"/>
        <v>0</v>
      </c>
      <c r="L473" s="17">
        <f t="shared" si="130"/>
        <v>0</v>
      </c>
      <c r="M473" s="17">
        <f t="shared" si="130"/>
        <v>0</v>
      </c>
      <c r="N473" s="17">
        <f t="shared" si="130"/>
        <v>0</v>
      </c>
      <c r="O473" s="17">
        <f t="shared" si="130"/>
        <v>0</v>
      </c>
      <c r="P473" s="17">
        <f t="shared" si="130"/>
        <v>0</v>
      </c>
      <c r="Q473" s="17">
        <f t="shared" si="130"/>
        <v>0</v>
      </c>
      <c r="R473" s="17">
        <f t="shared" si="130"/>
        <v>0</v>
      </c>
    </row>
    <row r="474" spans="3:18" x14ac:dyDescent="0.2">
      <c r="C474" s="1">
        <f t="shared" si="122"/>
        <v>40057</v>
      </c>
      <c r="E474" s="17">
        <f t="shared" ref="E474:R474" si="131">E107*E352/1000/10000</f>
        <v>-8.8479285062063067</v>
      </c>
      <c r="F474" s="17">
        <f t="shared" si="131"/>
        <v>0</v>
      </c>
      <c r="G474" s="17">
        <f t="shared" si="131"/>
        <v>0</v>
      </c>
      <c r="H474" s="17">
        <f t="shared" si="131"/>
        <v>-38.139763161649306</v>
      </c>
      <c r="I474" s="17">
        <f t="shared" si="131"/>
        <v>0</v>
      </c>
      <c r="J474" s="17">
        <f t="shared" si="131"/>
        <v>0</v>
      </c>
      <c r="K474" s="17">
        <f t="shared" si="131"/>
        <v>0</v>
      </c>
      <c r="L474" s="17">
        <f t="shared" si="131"/>
        <v>0</v>
      </c>
      <c r="M474" s="17">
        <f t="shared" si="131"/>
        <v>0</v>
      </c>
      <c r="N474" s="17">
        <f t="shared" si="131"/>
        <v>0</v>
      </c>
      <c r="O474" s="17">
        <f t="shared" si="131"/>
        <v>0</v>
      </c>
      <c r="P474" s="17">
        <f t="shared" si="131"/>
        <v>0</v>
      </c>
      <c r="Q474" s="17">
        <f t="shared" si="131"/>
        <v>0</v>
      </c>
      <c r="R474" s="17">
        <f t="shared" si="131"/>
        <v>0</v>
      </c>
    </row>
    <row r="475" spans="3:18" x14ac:dyDescent="0.2">
      <c r="C475" s="1">
        <f t="shared" si="122"/>
        <v>40087</v>
      </c>
      <c r="E475" s="17">
        <f t="shared" ref="E475:R475" si="132">E108*E353/1000/10000</f>
        <v>-9.5811136988241934</v>
      </c>
      <c r="F475" s="17">
        <f t="shared" si="132"/>
        <v>0</v>
      </c>
      <c r="G475" s="17">
        <f t="shared" si="132"/>
        <v>0</v>
      </c>
      <c r="H475" s="17">
        <f t="shared" si="132"/>
        <v>-41.602719932001698</v>
      </c>
      <c r="I475" s="17">
        <f t="shared" si="132"/>
        <v>0</v>
      </c>
      <c r="J475" s="17">
        <f t="shared" si="132"/>
        <v>0</v>
      </c>
      <c r="K475" s="17">
        <f t="shared" si="132"/>
        <v>0</v>
      </c>
      <c r="L475" s="17">
        <f t="shared" si="132"/>
        <v>0</v>
      </c>
      <c r="M475" s="17">
        <f t="shared" si="132"/>
        <v>0</v>
      </c>
      <c r="N475" s="17">
        <f t="shared" si="132"/>
        <v>0</v>
      </c>
      <c r="O475" s="17">
        <f t="shared" si="132"/>
        <v>0</v>
      </c>
      <c r="P475" s="17">
        <f t="shared" si="132"/>
        <v>0</v>
      </c>
      <c r="Q475" s="17">
        <f t="shared" si="132"/>
        <v>0</v>
      </c>
      <c r="R475" s="17">
        <f t="shared" si="132"/>
        <v>0</v>
      </c>
    </row>
    <row r="476" spans="3:18" x14ac:dyDescent="0.2">
      <c r="C476" s="1">
        <f t="shared" si="122"/>
        <v>40118</v>
      </c>
      <c r="E476" s="17">
        <f t="shared" ref="E476:R476" si="133">E109*E354/1000/10000</f>
        <v>-8.1139587885372801</v>
      </c>
      <c r="F476" s="17">
        <f t="shared" si="133"/>
        <v>0</v>
      </c>
      <c r="G476" s="17">
        <f t="shared" si="133"/>
        <v>0</v>
      </c>
      <c r="H476" s="17">
        <f t="shared" si="133"/>
        <v>-35.372538367513251</v>
      </c>
      <c r="I476" s="17">
        <f t="shared" si="133"/>
        <v>0</v>
      </c>
      <c r="J476" s="17">
        <f t="shared" si="133"/>
        <v>0</v>
      </c>
      <c r="K476" s="17">
        <f t="shared" si="133"/>
        <v>0</v>
      </c>
      <c r="L476" s="17">
        <f t="shared" si="133"/>
        <v>0</v>
      </c>
      <c r="M476" s="17">
        <f t="shared" si="133"/>
        <v>0</v>
      </c>
      <c r="N476" s="17">
        <f t="shared" si="133"/>
        <v>0</v>
      </c>
      <c r="O476" s="17">
        <f t="shared" si="133"/>
        <v>0</v>
      </c>
      <c r="P476" s="17">
        <f t="shared" si="133"/>
        <v>0</v>
      </c>
      <c r="Q476" s="17">
        <f t="shared" si="133"/>
        <v>0</v>
      </c>
      <c r="R476" s="17">
        <f t="shared" si="133"/>
        <v>0</v>
      </c>
    </row>
    <row r="477" spans="3:18" x14ac:dyDescent="0.2">
      <c r="C477" s="1">
        <f t="shared" si="122"/>
        <v>40148</v>
      </c>
      <c r="E477" s="17">
        <f t="shared" ref="E477:R477" si="134">E110*E355/1000/10000</f>
        <v>-8.880989258726629</v>
      </c>
      <c r="F477" s="17">
        <f t="shared" si="134"/>
        <v>0</v>
      </c>
      <c r="G477" s="17">
        <f t="shared" si="134"/>
        <v>0</v>
      </c>
      <c r="H477" s="17">
        <f t="shared" si="134"/>
        <v>-38.98737089815662</v>
      </c>
      <c r="I477" s="17">
        <f t="shared" si="134"/>
        <v>0</v>
      </c>
      <c r="J477" s="17">
        <f t="shared" si="134"/>
        <v>0</v>
      </c>
      <c r="K477" s="17">
        <f t="shared" si="134"/>
        <v>0</v>
      </c>
      <c r="L477" s="17">
        <f t="shared" si="134"/>
        <v>0</v>
      </c>
      <c r="M477" s="17">
        <f t="shared" si="134"/>
        <v>0</v>
      </c>
      <c r="N477" s="17">
        <f t="shared" si="134"/>
        <v>0</v>
      </c>
      <c r="O477" s="17">
        <f t="shared" si="134"/>
        <v>0</v>
      </c>
      <c r="P477" s="17">
        <f t="shared" si="134"/>
        <v>0</v>
      </c>
      <c r="Q477" s="17">
        <f t="shared" si="134"/>
        <v>0</v>
      </c>
      <c r="R477" s="17">
        <f t="shared" si="134"/>
        <v>0</v>
      </c>
    </row>
    <row r="478" spans="3:18" x14ac:dyDescent="0.2">
      <c r="C478" s="1">
        <f t="shared" si="122"/>
        <v>40179</v>
      </c>
      <c r="E478" s="17">
        <f t="shared" ref="E478:R478" si="135">E111*E356/1000/10000</f>
        <v>8.4619247067961165</v>
      </c>
      <c r="F478" s="17">
        <f t="shared" si="135"/>
        <v>0</v>
      </c>
      <c r="G478" s="17">
        <f t="shared" si="135"/>
        <v>0</v>
      </c>
      <c r="H478" s="17">
        <f t="shared" si="135"/>
        <v>-24.713527508090618</v>
      </c>
      <c r="I478" s="17">
        <f t="shared" si="135"/>
        <v>0</v>
      </c>
      <c r="J478" s="17">
        <f t="shared" si="135"/>
        <v>0</v>
      </c>
      <c r="K478" s="17">
        <f t="shared" si="135"/>
        <v>0</v>
      </c>
      <c r="L478" s="17">
        <f t="shared" si="135"/>
        <v>0</v>
      </c>
      <c r="M478" s="17">
        <f t="shared" si="135"/>
        <v>0</v>
      </c>
      <c r="N478" s="17">
        <f t="shared" si="135"/>
        <v>0</v>
      </c>
      <c r="O478" s="17">
        <f t="shared" si="135"/>
        <v>0</v>
      </c>
      <c r="P478" s="17">
        <f t="shared" si="135"/>
        <v>0</v>
      </c>
      <c r="Q478" s="17">
        <f t="shared" si="135"/>
        <v>0</v>
      </c>
      <c r="R478" s="17">
        <f t="shared" si="135"/>
        <v>0</v>
      </c>
    </row>
    <row r="479" spans="3:18" x14ac:dyDescent="0.2">
      <c r="C479" s="1">
        <f t="shared" si="122"/>
        <v>40210</v>
      </c>
      <c r="E479" s="17">
        <f t="shared" ref="E479:R479" si="136">E112*E357/1000/10000</f>
        <v>8.3958274346512543</v>
      </c>
      <c r="F479" s="17">
        <f t="shared" si="136"/>
        <v>0</v>
      </c>
      <c r="G479" s="17">
        <f t="shared" si="136"/>
        <v>0</v>
      </c>
      <c r="H479" s="17">
        <f t="shared" si="136"/>
        <v>-24.614737948246418</v>
      </c>
      <c r="I479" s="17">
        <f t="shared" si="136"/>
        <v>0</v>
      </c>
      <c r="J479" s="17">
        <f t="shared" si="136"/>
        <v>0</v>
      </c>
      <c r="K479" s="17">
        <f t="shared" si="136"/>
        <v>0</v>
      </c>
      <c r="L479" s="17">
        <f t="shared" si="136"/>
        <v>0</v>
      </c>
      <c r="M479" s="17">
        <f t="shared" si="136"/>
        <v>0</v>
      </c>
      <c r="N479" s="17">
        <f t="shared" si="136"/>
        <v>0</v>
      </c>
      <c r="O479" s="17">
        <f t="shared" si="136"/>
        <v>0</v>
      </c>
      <c r="P479" s="17">
        <f t="shared" si="136"/>
        <v>0</v>
      </c>
      <c r="Q479" s="17">
        <f t="shared" si="136"/>
        <v>0</v>
      </c>
      <c r="R479" s="17">
        <f t="shared" si="136"/>
        <v>0</v>
      </c>
    </row>
    <row r="480" spans="3:18" x14ac:dyDescent="0.2">
      <c r="C480" s="1">
        <f t="shared" si="122"/>
        <v>40238</v>
      </c>
      <c r="E480" s="17">
        <f t="shared" ref="E480:R480" si="137">E113*E358/1000/10000</f>
        <v>9.5019698245614048</v>
      </c>
      <c r="F480" s="17">
        <f t="shared" si="137"/>
        <v>0</v>
      </c>
      <c r="G480" s="17">
        <f t="shared" si="137"/>
        <v>0</v>
      </c>
      <c r="H480" s="17">
        <f t="shared" si="137"/>
        <v>-27.936570107439142</v>
      </c>
      <c r="I480" s="17">
        <f t="shared" si="137"/>
        <v>0</v>
      </c>
      <c r="J480" s="17">
        <f t="shared" si="137"/>
        <v>0</v>
      </c>
      <c r="K480" s="17">
        <f t="shared" si="137"/>
        <v>0</v>
      </c>
      <c r="L480" s="17">
        <f t="shared" si="137"/>
        <v>0</v>
      </c>
      <c r="M480" s="17">
        <f t="shared" si="137"/>
        <v>0</v>
      </c>
      <c r="N480" s="17">
        <f t="shared" si="137"/>
        <v>0</v>
      </c>
      <c r="O480" s="17">
        <f t="shared" si="137"/>
        <v>0</v>
      </c>
      <c r="P480" s="17">
        <f t="shared" si="137"/>
        <v>0</v>
      </c>
      <c r="Q480" s="17">
        <f t="shared" si="137"/>
        <v>0</v>
      </c>
      <c r="R480" s="17">
        <f t="shared" si="137"/>
        <v>0</v>
      </c>
    </row>
    <row r="481" spans="1:19" x14ac:dyDescent="0.2">
      <c r="C481" s="1">
        <f t="shared" si="122"/>
        <v>40269</v>
      </c>
      <c r="E481" s="17">
        <f t="shared" ref="E481:R481" si="138">E114*E359/1000/10000</f>
        <v>9.5084614234569678</v>
      </c>
      <c r="F481" s="17">
        <f t="shared" si="138"/>
        <v>0</v>
      </c>
      <c r="G481" s="17">
        <f t="shared" si="138"/>
        <v>0</v>
      </c>
      <c r="H481" s="17">
        <f t="shared" si="138"/>
        <v>-28.097493913790636</v>
      </c>
      <c r="I481" s="17">
        <f t="shared" si="138"/>
        <v>0</v>
      </c>
      <c r="J481" s="17">
        <f t="shared" si="138"/>
        <v>0</v>
      </c>
      <c r="K481" s="17">
        <f t="shared" si="138"/>
        <v>0</v>
      </c>
      <c r="L481" s="17">
        <f t="shared" si="138"/>
        <v>0</v>
      </c>
      <c r="M481" s="17">
        <f t="shared" si="138"/>
        <v>0</v>
      </c>
      <c r="N481" s="17">
        <f t="shared" si="138"/>
        <v>0</v>
      </c>
      <c r="O481" s="17">
        <f t="shared" si="138"/>
        <v>0</v>
      </c>
      <c r="P481" s="17">
        <f t="shared" si="138"/>
        <v>0</v>
      </c>
      <c r="Q481" s="17">
        <f t="shared" si="138"/>
        <v>0</v>
      </c>
      <c r="R481" s="17">
        <f t="shared" si="138"/>
        <v>0</v>
      </c>
    </row>
    <row r="482" spans="1:19" x14ac:dyDescent="0.2">
      <c r="C482" s="1">
        <f t="shared" si="122"/>
        <v>40299</v>
      </c>
      <c r="E482" s="17">
        <f t="shared" ref="E482:R482" si="139">E115*E360/1000/10000</f>
        <v>9.5382559328839811</v>
      </c>
      <c r="F482" s="17">
        <f t="shared" si="139"/>
        <v>0</v>
      </c>
      <c r="G482" s="17">
        <f t="shared" si="139"/>
        <v>0</v>
      </c>
      <c r="H482" s="17">
        <f t="shared" si="139"/>
        <v>-28.535207227878963</v>
      </c>
      <c r="I482" s="17">
        <f t="shared" si="139"/>
        <v>0</v>
      </c>
      <c r="J482" s="17">
        <f t="shared" si="139"/>
        <v>0</v>
      </c>
      <c r="K482" s="17">
        <f t="shared" si="139"/>
        <v>0</v>
      </c>
      <c r="L482" s="17">
        <f t="shared" si="139"/>
        <v>0</v>
      </c>
      <c r="M482" s="17">
        <f t="shared" si="139"/>
        <v>0</v>
      </c>
      <c r="N482" s="17">
        <f t="shared" si="139"/>
        <v>0</v>
      </c>
      <c r="O482" s="17">
        <f t="shared" si="139"/>
        <v>0</v>
      </c>
      <c r="P482" s="17">
        <f t="shared" si="139"/>
        <v>0</v>
      </c>
      <c r="Q482" s="17">
        <f t="shared" si="139"/>
        <v>0</v>
      </c>
      <c r="R482" s="17">
        <f t="shared" si="139"/>
        <v>0</v>
      </c>
    </row>
    <row r="483" spans="1:19" x14ac:dyDescent="0.2">
      <c r="C483" s="1">
        <f t="shared" si="122"/>
        <v>40330</v>
      </c>
      <c r="E483" s="17">
        <f t="shared" ref="E483:R483" si="140">E116*E361/1000/10000</f>
        <v>12.287562828340196</v>
      </c>
      <c r="F483" s="17">
        <f t="shared" si="140"/>
        <v>0</v>
      </c>
      <c r="G483" s="17">
        <f t="shared" si="140"/>
        <v>0</v>
      </c>
      <c r="H483" s="17">
        <f t="shared" si="140"/>
        <v>-37.08419707511004</v>
      </c>
      <c r="I483" s="17">
        <f t="shared" si="140"/>
        <v>0</v>
      </c>
      <c r="J483" s="17">
        <f t="shared" si="140"/>
        <v>0</v>
      </c>
      <c r="K483" s="17">
        <f t="shared" si="140"/>
        <v>0</v>
      </c>
      <c r="L483" s="17">
        <f t="shared" si="140"/>
        <v>0</v>
      </c>
      <c r="M483" s="17">
        <f t="shared" si="140"/>
        <v>0</v>
      </c>
      <c r="N483" s="17">
        <f t="shared" si="140"/>
        <v>0</v>
      </c>
      <c r="O483" s="17">
        <f t="shared" si="140"/>
        <v>0</v>
      </c>
      <c r="P483" s="17">
        <f t="shared" si="140"/>
        <v>0</v>
      </c>
      <c r="Q483" s="17">
        <f t="shared" si="140"/>
        <v>0</v>
      </c>
      <c r="R483" s="17">
        <f t="shared" si="140"/>
        <v>0</v>
      </c>
    </row>
    <row r="484" spans="1:19" x14ac:dyDescent="0.2">
      <c r="C484" s="1">
        <f t="shared" si="122"/>
        <v>40360</v>
      </c>
      <c r="E484" s="17">
        <f t="shared" ref="E484:R484" si="141">E117*E362/1000/10000</f>
        <v>16.060164411062757</v>
      </c>
      <c r="F484" s="17">
        <f t="shared" si="141"/>
        <v>0</v>
      </c>
      <c r="G484" s="17">
        <f t="shared" si="141"/>
        <v>0</v>
      </c>
      <c r="H484" s="17">
        <f t="shared" si="141"/>
        <v>-48.963638916186994</v>
      </c>
      <c r="I484" s="17">
        <f t="shared" si="141"/>
        <v>0</v>
      </c>
      <c r="J484" s="17">
        <f t="shared" si="141"/>
        <v>0</v>
      </c>
      <c r="K484" s="17">
        <f t="shared" si="141"/>
        <v>0</v>
      </c>
      <c r="L484" s="17">
        <f t="shared" si="141"/>
        <v>0</v>
      </c>
      <c r="M484" s="17">
        <f t="shared" si="141"/>
        <v>0</v>
      </c>
      <c r="N484" s="17">
        <f t="shared" si="141"/>
        <v>0</v>
      </c>
      <c r="O484" s="17">
        <f t="shared" si="141"/>
        <v>0</v>
      </c>
      <c r="P484" s="17">
        <f t="shared" si="141"/>
        <v>0</v>
      </c>
      <c r="Q484" s="17">
        <f t="shared" si="141"/>
        <v>0</v>
      </c>
      <c r="R484" s="17">
        <f t="shared" si="141"/>
        <v>0</v>
      </c>
    </row>
    <row r="485" spans="1:19" x14ac:dyDescent="0.2">
      <c r="C485" s="1">
        <f t="shared" si="122"/>
        <v>40391</v>
      </c>
      <c r="E485" s="17">
        <f t="shared" ref="E485:R485" si="142">E118*E363/1000/10000</f>
        <v>16.551928474246839</v>
      </c>
      <c r="F485" s="17">
        <f t="shared" si="142"/>
        <v>0</v>
      </c>
      <c r="G485" s="17">
        <f t="shared" si="142"/>
        <v>0</v>
      </c>
      <c r="H485" s="17">
        <f t="shared" si="142"/>
        <v>-50.735304734138552</v>
      </c>
      <c r="I485" s="17">
        <f t="shared" si="142"/>
        <v>0</v>
      </c>
      <c r="J485" s="17">
        <f t="shared" si="142"/>
        <v>0</v>
      </c>
      <c r="K485" s="17">
        <f t="shared" si="142"/>
        <v>0</v>
      </c>
      <c r="L485" s="17">
        <f t="shared" si="142"/>
        <v>0</v>
      </c>
      <c r="M485" s="17">
        <f t="shared" si="142"/>
        <v>0</v>
      </c>
      <c r="N485" s="17">
        <f t="shared" si="142"/>
        <v>0</v>
      </c>
      <c r="O485" s="17">
        <f t="shared" si="142"/>
        <v>0</v>
      </c>
      <c r="P485" s="17">
        <f t="shared" si="142"/>
        <v>0</v>
      </c>
      <c r="Q485" s="17">
        <f t="shared" si="142"/>
        <v>0</v>
      </c>
      <c r="R485" s="17">
        <f t="shared" si="142"/>
        <v>0</v>
      </c>
    </row>
    <row r="486" spans="1:19" x14ac:dyDescent="0.2">
      <c r="C486" s="1">
        <f t="shared" si="122"/>
        <v>40422</v>
      </c>
      <c r="E486" s="17">
        <f t="shared" ref="E486:R486" si="143">E119*E364/1000/10000</f>
        <v>8.4080835681406061</v>
      </c>
      <c r="F486" s="17">
        <f t="shared" si="143"/>
        <v>0</v>
      </c>
      <c r="G486" s="17">
        <f t="shared" si="143"/>
        <v>0</v>
      </c>
      <c r="H486" s="17">
        <f t="shared" si="143"/>
        <v>-25.758906402566609</v>
      </c>
      <c r="I486" s="17">
        <f t="shared" si="143"/>
        <v>0</v>
      </c>
      <c r="J486" s="17">
        <f t="shared" si="143"/>
        <v>0</v>
      </c>
      <c r="K486" s="17">
        <f t="shared" si="143"/>
        <v>0</v>
      </c>
      <c r="L486" s="17">
        <f t="shared" si="143"/>
        <v>0</v>
      </c>
      <c r="M486" s="17">
        <f t="shared" si="143"/>
        <v>0</v>
      </c>
      <c r="N486" s="17">
        <f t="shared" si="143"/>
        <v>0</v>
      </c>
      <c r="O486" s="17">
        <f t="shared" si="143"/>
        <v>0</v>
      </c>
      <c r="P486" s="17">
        <f t="shared" si="143"/>
        <v>0</v>
      </c>
      <c r="Q486" s="17">
        <f t="shared" si="143"/>
        <v>0</v>
      </c>
      <c r="R486" s="17">
        <f t="shared" si="143"/>
        <v>0</v>
      </c>
    </row>
    <row r="487" spans="1:19" x14ac:dyDescent="0.2">
      <c r="C487" s="1">
        <f t="shared" si="122"/>
        <v>40452</v>
      </c>
      <c r="E487" s="17">
        <f t="shared" ref="E487:R487" si="144">E120*E365/1000/10000</f>
        <v>8.6141030059565029</v>
      </c>
      <c r="F487" s="17">
        <f t="shared" si="144"/>
        <v>0</v>
      </c>
      <c r="G487" s="17">
        <f t="shared" si="144"/>
        <v>0</v>
      </c>
      <c r="H487" s="17">
        <f t="shared" si="144"/>
        <v>-26.576534146003599</v>
      </c>
      <c r="I487" s="17">
        <f t="shared" si="144"/>
        <v>0</v>
      </c>
      <c r="J487" s="17">
        <f t="shared" si="144"/>
        <v>0</v>
      </c>
      <c r="K487" s="17">
        <f t="shared" si="144"/>
        <v>0</v>
      </c>
      <c r="L487" s="17">
        <f t="shared" si="144"/>
        <v>0</v>
      </c>
      <c r="M487" s="17">
        <f t="shared" si="144"/>
        <v>0</v>
      </c>
      <c r="N487" s="17">
        <f t="shared" si="144"/>
        <v>0</v>
      </c>
      <c r="O487" s="17">
        <f t="shared" si="144"/>
        <v>0</v>
      </c>
      <c r="P487" s="17">
        <f t="shared" si="144"/>
        <v>0</v>
      </c>
      <c r="Q487" s="17">
        <f t="shared" si="144"/>
        <v>0</v>
      </c>
      <c r="R487" s="17">
        <f t="shared" si="144"/>
        <v>0</v>
      </c>
    </row>
    <row r="488" spans="1:19" x14ac:dyDescent="0.2">
      <c r="C488" s="1">
        <f t="shared" si="122"/>
        <v>40483</v>
      </c>
      <c r="E488" s="17">
        <f t="shared" ref="E488:R488" si="145">E121*E366/1000/10000</f>
        <v>8.1840862049714218</v>
      </c>
      <c r="F488" s="17">
        <f t="shared" si="145"/>
        <v>0</v>
      </c>
      <c r="G488" s="17">
        <f t="shared" si="145"/>
        <v>0</v>
      </c>
      <c r="H488" s="17">
        <f t="shared" si="145"/>
        <v>-25.377535557623293</v>
      </c>
      <c r="I488" s="17">
        <f t="shared" si="145"/>
        <v>0</v>
      </c>
      <c r="J488" s="17">
        <f t="shared" si="145"/>
        <v>0</v>
      </c>
      <c r="K488" s="17">
        <f t="shared" si="145"/>
        <v>0</v>
      </c>
      <c r="L488" s="17">
        <f t="shared" si="145"/>
        <v>0</v>
      </c>
      <c r="M488" s="17">
        <f t="shared" si="145"/>
        <v>0</v>
      </c>
      <c r="N488" s="17">
        <f t="shared" si="145"/>
        <v>0</v>
      </c>
      <c r="O488" s="17">
        <f t="shared" si="145"/>
        <v>0</v>
      </c>
      <c r="P488" s="17">
        <f t="shared" si="145"/>
        <v>0</v>
      </c>
      <c r="Q488" s="17">
        <f t="shared" si="145"/>
        <v>0</v>
      </c>
      <c r="R488" s="17">
        <f t="shared" si="145"/>
        <v>0</v>
      </c>
    </row>
    <row r="489" spans="1:19" x14ac:dyDescent="0.2">
      <c r="C489" s="1">
        <f t="shared" si="122"/>
        <v>40513</v>
      </c>
      <c r="E489" s="17">
        <f t="shared" ref="E489:R489" si="146">E122*E367/1000/10000</f>
        <v>8.5449305647329989</v>
      </c>
      <c r="F489" s="17">
        <f t="shared" si="146"/>
        <v>0</v>
      </c>
      <c r="G489" s="17">
        <f t="shared" si="146"/>
        <v>0</v>
      </c>
      <c r="H489" s="17">
        <f t="shared" si="146"/>
        <v>-26.635113330772189</v>
      </c>
      <c r="I489" s="17">
        <f t="shared" si="146"/>
        <v>0</v>
      </c>
      <c r="J489" s="17">
        <f t="shared" si="146"/>
        <v>0</v>
      </c>
      <c r="K489" s="17">
        <f t="shared" si="146"/>
        <v>0</v>
      </c>
      <c r="L489" s="17">
        <f t="shared" si="146"/>
        <v>0</v>
      </c>
      <c r="M489" s="17">
        <f t="shared" si="146"/>
        <v>0</v>
      </c>
      <c r="N489" s="17">
        <f t="shared" si="146"/>
        <v>0</v>
      </c>
      <c r="O489" s="17">
        <f t="shared" si="146"/>
        <v>0</v>
      </c>
      <c r="P489" s="17">
        <f t="shared" si="146"/>
        <v>0</v>
      </c>
      <c r="Q489" s="17">
        <f t="shared" si="146"/>
        <v>0</v>
      </c>
      <c r="R489" s="17">
        <f t="shared" si="146"/>
        <v>0</v>
      </c>
    </row>
    <row r="490" spans="1:19" x14ac:dyDescent="0.2">
      <c r="C490" s="1"/>
    </row>
    <row r="491" spans="1:19" s="5" customFormat="1" ht="15.75" x14ac:dyDescent="0.25">
      <c r="A491" s="269" t="s">
        <v>46</v>
      </c>
      <c r="B491" s="13"/>
      <c r="C491" s="13"/>
      <c r="E491" s="13" t="str">
        <f t="shared" ref="E491:R491" si="147">E$1</f>
        <v>CINERGY</v>
      </c>
      <c r="F491" s="13" t="str">
        <f t="shared" si="147"/>
        <v>AMEREN</v>
      </c>
      <c r="G491" s="13" t="str">
        <f t="shared" si="147"/>
        <v>ERCOT</v>
      </c>
      <c r="H491" s="13" t="str">
        <f t="shared" si="147"/>
        <v>INTO COMED</v>
      </c>
      <c r="I491" s="13" t="str">
        <f t="shared" si="147"/>
        <v>INTO TVA</v>
      </c>
      <c r="J491" s="13" t="str">
        <f t="shared" si="147"/>
        <v>MAPP</v>
      </c>
      <c r="K491" s="13" t="str">
        <f t="shared" si="147"/>
        <v>NEPOOL</v>
      </c>
      <c r="L491" s="13" t="str">
        <f t="shared" si="147"/>
        <v>INTO AEP</v>
      </c>
      <c r="M491" s="13" t="str">
        <f t="shared" si="147"/>
        <v>NY Zone A</v>
      </c>
      <c r="N491" s="13"/>
      <c r="O491" s="13" t="str">
        <f t="shared" si="147"/>
        <v>SOCO</v>
      </c>
      <c r="P491" s="13" t="str">
        <f t="shared" si="147"/>
        <v>NSP</v>
      </c>
      <c r="Q491" s="13" t="str">
        <f t="shared" si="147"/>
        <v>ENTERGY</v>
      </c>
      <c r="R491" s="13" t="str">
        <f t="shared" si="147"/>
        <v>WESTERN HUB</v>
      </c>
    </row>
    <row r="492" spans="1:19" s="8" customFormat="1" x14ac:dyDescent="0.2">
      <c r="A492" s="11">
        <v>2001</v>
      </c>
      <c r="B492" s="8">
        <f>IF(B490=12,1,B490+1)</f>
        <v>1</v>
      </c>
      <c r="C492" s="9">
        <f t="shared" ref="C492:C523" si="148">DATE(A492,B492,1)</f>
        <v>36892</v>
      </c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5"/>
      <c r="R492" s="14"/>
    </row>
    <row r="493" spans="1:19" s="8" customFormat="1" x14ac:dyDescent="0.2">
      <c r="A493" s="8">
        <f t="shared" ref="A493:A524" si="149">IF(B492=12,A492+1,A492)</f>
        <v>2001</v>
      </c>
      <c r="B493" s="8">
        <f t="shared" ref="B493:B524" si="150">IF(B492=12,1,B492+1)</f>
        <v>2</v>
      </c>
      <c r="C493" s="9">
        <f t="shared" si="148"/>
        <v>36923</v>
      </c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5"/>
      <c r="R493" s="14"/>
    </row>
    <row r="494" spans="1:19" s="8" customFormat="1" x14ac:dyDescent="0.2">
      <c r="A494" s="8">
        <f t="shared" si="149"/>
        <v>2001</v>
      </c>
      <c r="B494" s="8">
        <f t="shared" si="150"/>
        <v>3</v>
      </c>
      <c r="C494" s="9">
        <f t="shared" si="148"/>
        <v>36951</v>
      </c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5"/>
      <c r="R494" s="14"/>
    </row>
    <row r="495" spans="1:19" s="8" customFormat="1" x14ac:dyDescent="0.2">
      <c r="A495" s="8">
        <f t="shared" si="149"/>
        <v>2001</v>
      </c>
      <c r="B495" s="8">
        <f t="shared" si="150"/>
        <v>4</v>
      </c>
      <c r="C495" s="9">
        <f t="shared" si="148"/>
        <v>36982</v>
      </c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5"/>
      <c r="R495" s="14"/>
    </row>
    <row r="496" spans="1:19" s="8" customFormat="1" x14ac:dyDescent="0.2">
      <c r="A496" s="8">
        <f t="shared" si="149"/>
        <v>2001</v>
      </c>
      <c r="B496" s="8">
        <f t="shared" si="150"/>
        <v>5</v>
      </c>
      <c r="C496" s="9">
        <f t="shared" si="148"/>
        <v>37012</v>
      </c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5"/>
      <c r="R496" s="14"/>
      <c r="S496" s="10"/>
    </row>
    <row r="497" spans="1:19" s="8" customFormat="1" x14ac:dyDescent="0.2">
      <c r="A497" s="8">
        <f t="shared" si="149"/>
        <v>2001</v>
      </c>
      <c r="B497" s="8">
        <f t="shared" si="150"/>
        <v>6</v>
      </c>
      <c r="C497" s="9">
        <f t="shared" si="148"/>
        <v>37043</v>
      </c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5"/>
      <c r="R497" s="14"/>
      <c r="S497" s="10"/>
    </row>
    <row r="498" spans="1:19" s="8" customFormat="1" x14ac:dyDescent="0.2">
      <c r="A498" s="8">
        <f t="shared" si="149"/>
        <v>2001</v>
      </c>
      <c r="B498" s="8">
        <f t="shared" si="150"/>
        <v>7</v>
      </c>
      <c r="C498" s="9">
        <f t="shared" si="148"/>
        <v>37073</v>
      </c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5"/>
      <c r="R498" s="14"/>
      <c r="S498" s="10"/>
    </row>
    <row r="499" spans="1:19" s="8" customFormat="1" x14ac:dyDescent="0.2">
      <c r="A499" s="8">
        <f t="shared" si="149"/>
        <v>2001</v>
      </c>
      <c r="B499" s="8">
        <f t="shared" si="150"/>
        <v>8</v>
      </c>
      <c r="C499" s="9">
        <f t="shared" si="148"/>
        <v>37104</v>
      </c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5"/>
      <c r="R499" s="14"/>
      <c r="S499" s="10"/>
    </row>
    <row r="500" spans="1:19" s="8" customFormat="1" x14ac:dyDescent="0.2">
      <c r="A500" s="8">
        <f t="shared" si="149"/>
        <v>2001</v>
      </c>
      <c r="B500" s="8">
        <f t="shared" si="150"/>
        <v>9</v>
      </c>
      <c r="C500" s="9">
        <f t="shared" si="148"/>
        <v>37135</v>
      </c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5"/>
      <c r="R500" s="14"/>
      <c r="S500" s="10"/>
    </row>
    <row r="501" spans="1:19" s="8" customFormat="1" x14ac:dyDescent="0.2">
      <c r="A501" s="8">
        <f t="shared" si="149"/>
        <v>2001</v>
      </c>
      <c r="B501" s="8">
        <f t="shared" si="150"/>
        <v>10</v>
      </c>
      <c r="C501" s="9">
        <f t="shared" si="148"/>
        <v>37165</v>
      </c>
      <c r="D501" s="8">
        <v>1</v>
      </c>
      <c r="E501" s="14" t="str">
        <f>IF(ISNA(VLOOKUP(E$1,'offpeak-new'!$A$3:$DQ$20,$D501,FALSE)),0,VLOOKUP(E$1,'offpeak-new'!$A$3:$DQ$20,$D501,FALSE))</f>
        <v>CINERGY</v>
      </c>
      <c r="F501" s="14">
        <f>IF(ISNA(VLOOKUP(F$1,'offpeak-new'!$A$3:$DQ$20,$D501,FALSE)),0,VLOOKUP(F$1,'offpeak-new'!$A$3:$DQ$20,$D501,FALSE))</f>
        <v>0</v>
      </c>
      <c r="G501" s="14">
        <f>IF(ISNA(VLOOKUP(G$1,'offpeak-new'!$A$3:$DQ$20,$D501,FALSE)),0,VLOOKUP(G$1,'offpeak-new'!$A$3:$DQ$20,$D501,FALSE))</f>
        <v>0</v>
      </c>
      <c r="H501" s="14" t="str">
        <f>IF(ISNA(VLOOKUP(H$1,'offpeak-new'!$A$3:$DQ$20,$D501,FALSE)),0,VLOOKUP(H$1,'offpeak-new'!$A$3:$DQ$20,$D501,FALSE))</f>
        <v>INTO COMED</v>
      </c>
      <c r="I501" s="14" t="str">
        <f>IF(ISNA(VLOOKUP(I$1,'offpeak-new'!$A$3:$DQ$20,$D501,FALSE)),0,VLOOKUP(I$1,'offpeak-new'!$A$3:$DQ$20,$D501,FALSE))</f>
        <v>INTO TVA</v>
      </c>
      <c r="J501" s="14">
        <f>IF(ISNA(VLOOKUP(J$1,'offpeak-new'!$A$3:$DQ$20,$D501,FALSE)),0,VLOOKUP(J$1,'offpeak-new'!$A$3:$DQ$20,$D501,FALSE))</f>
        <v>0</v>
      </c>
      <c r="K501" s="14" t="str">
        <f>IF(ISNA(VLOOKUP(K$1,'offpeak-new'!$A$3:$DQ$20,$D501,FALSE)),0,VLOOKUP(K$1,'offpeak-new'!$A$3:$DQ$20,$D501,FALSE))</f>
        <v>NEPOOL</v>
      </c>
      <c r="L501" s="14" t="str">
        <f>IF(ISNA(VLOOKUP(L$1,'offpeak-new'!$A$3:$DQ$20,$D501,FALSE)),0,VLOOKUP(L$1,'offpeak-new'!$A$3:$DQ$20,$D501,FALSE))</f>
        <v>INTO AEP</v>
      </c>
      <c r="M501" s="14">
        <f>IF(ISNA(VLOOKUP(M$1,'offpeak-new'!$A$3:$DQ$20,$D501,FALSE)),0,VLOOKUP(M$1,'offpeak-new'!$A$3:$DQ$20,$D501,FALSE))</f>
        <v>0</v>
      </c>
      <c r="N501" s="14">
        <f>IF(ISNA(VLOOKUP(N$1,'offpeak-new'!$A$3:$DQ$20,$D501,FALSE)),0,VLOOKUP(N$1,'offpeak-new'!$A$3:$DQ$20,$D501,FALSE))</f>
        <v>0</v>
      </c>
      <c r="O501" s="14">
        <f>IF(ISNA(VLOOKUP(O$1,'offpeak-new'!$A$3:$DQ$20,$D501,FALSE)),0,VLOOKUP(O$1,'offpeak-new'!$A$3:$DQ$20,$D501,FALSE))</f>
        <v>0</v>
      </c>
      <c r="P501" s="14">
        <f>IF(ISNA(VLOOKUP(P$1,'offpeak-new'!$A$3:$DQ$20,$D501,FALSE)),0,VLOOKUP(P$1,'offpeak-new'!$A$3:$DQ$20,$D501,FALSE))</f>
        <v>0</v>
      </c>
      <c r="Q501" s="15" t="str">
        <f>IF(ISNA(VLOOKUP(Q$1,'offpeak-new'!$A$3:$DQ$20,$D501,FALSE)),0,VLOOKUP(Q$1,'offpeak-new'!$A$3:$DQ$20,$D501,FALSE))</f>
        <v>Entergy</v>
      </c>
      <c r="R501" s="14" t="str">
        <f>IF(ISNA(VLOOKUP(R$1,'offpeak-new'!$A$3:$DQ$20,$D501,FALSE)),0,VLOOKUP(R$1,'offpeak-new'!$A$3:$DQ$20,$D501,FALSE))</f>
        <v>WESTERN HUB</v>
      </c>
      <c r="S501" s="10"/>
    </row>
    <row r="502" spans="1:19" s="8" customFormat="1" x14ac:dyDescent="0.2">
      <c r="A502" s="8">
        <f t="shared" si="149"/>
        <v>2001</v>
      </c>
      <c r="B502" s="8">
        <f t="shared" si="150"/>
        <v>11</v>
      </c>
      <c r="C502" s="9">
        <f t="shared" si="148"/>
        <v>37196</v>
      </c>
      <c r="D502" s="8">
        <f t="shared" ref="D502:D528" si="151">D501+1</f>
        <v>2</v>
      </c>
      <c r="E502" s="14">
        <f>IF(ISNA(VLOOKUP(E$1,'offpeak-new'!$A$3:$DQ$20,$D502,FALSE)),0,VLOOKUP(E$1,'offpeak-new'!$A$3:$DQ$20,$D502,FALSE))</f>
        <v>29600</v>
      </c>
      <c r="F502" s="14">
        <f>IF(ISNA(VLOOKUP(F$1,'offpeak-new'!$A$3:$DQ$20,$D502,FALSE)),0,VLOOKUP(F$1,'offpeak-new'!$A$3:$DQ$20,$D502,FALSE))</f>
        <v>0</v>
      </c>
      <c r="G502" s="14">
        <f>IF(ISNA(VLOOKUP(G$1,'offpeak-new'!$A$3:$DQ$20,$D502,FALSE)),0,VLOOKUP(G$1,'offpeak-new'!$A$3:$DQ$20,$D502,FALSE))</f>
        <v>0</v>
      </c>
      <c r="H502" s="14">
        <f>IF(ISNA(VLOOKUP(H$1,'offpeak-new'!$A$3:$DQ$20,$D502,FALSE)),0,VLOOKUP(H$1,'offpeak-new'!$A$3:$DQ$20,$D502,FALSE))</f>
        <v>54000</v>
      </c>
      <c r="I502" s="14">
        <f>IF(ISNA(VLOOKUP(I$1,'offpeak-new'!$A$3:$DQ$20,$D502,FALSE)),0,VLOOKUP(I$1,'offpeak-new'!$A$3:$DQ$20,$D502,FALSE))</f>
        <v>0</v>
      </c>
      <c r="J502" s="14">
        <f>IF(ISNA(VLOOKUP(J$1,'offpeak-new'!$A$3:$DQ$20,$D502,FALSE)),0,VLOOKUP(J$1,'offpeak-new'!$A$3:$DQ$20,$D502,FALSE))</f>
        <v>0</v>
      </c>
      <c r="K502" s="14">
        <f>IF(ISNA(VLOOKUP(K$1,'offpeak-new'!$A$3:$DQ$20,$D502,FALSE)),0,VLOOKUP(K$1,'offpeak-new'!$A$3:$DQ$20,$D502,FALSE))</f>
        <v>0</v>
      </c>
      <c r="L502" s="14">
        <f>IF(ISNA(VLOOKUP(L$1,'offpeak-new'!$A$3:$DQ$20,$D502,FALSE)),0,VLOOKUP(L$1,'offpeak-new'!$A$3:$DQ$20,$D502,FALSE))</f>
        <v>0</v>
      </c>
      <c r="M502" s="14">
        <f>IF(ISNA(VLOOKUP(M$1,'offpeak-new'!$A$3:$DQ$20,$D502,FALSE)),0,VLOOKUP(M$1,'offpeak-new'!$A$3:$DQ$20,$D502,FALSE))</f>
        <v>0</v>
      </c>
      <c r="N502" s="14">
        <f>IF(ISNA(VLOOKUP(N$1,'offpeak-new'!$A$3:$DQ$20,$D502,FALSE)),0,VLOOKUP(N$1,'offpeak-new'!$A$3:$DQ$20,$D502,FALSE))</f>
        <v>0</v>
      </c>
      <c r="O502" s="14">
        <f>IF(ISNA(VLOOKUP(O$1,'offpeak-new'!$A$3:$DQ$20,$D502,FALSE)),0,VLOOKUP(O$1,'offpeak-new'!$A$3:$DQ$20,$D502,FALSE))</f>
        <v>0</v>
      </c>
      <c r="P502" s="14">
        <f>IF(ISNA(VLOOKUP(P$1,'offpeak-new'!$A$3:$DQ$20,$D502,FALSE)),0,VLOOKUP(P$1,'offpeak-new'!$A$3:$DQ$20,$D502,FALSE))</f>
        <v>0</v>
      </c>
      <c r="Q502" s="15">
        <f>IF(ISNA(VLOOKUP(Q$1,'offpeak-new'!$A$3:$DQ$20,$D502,FALSE)),0,VLOOKUP(Q$1,'offpeak-new'!$A$3:$DQ$20,$D502,FALSE))</f>
        <v>18000</v>
      </c>
      <c r="R502" s="14">
        <f>IF(ISNA(VLOOKUP(R$1,'offpeak-new'!$A$3:$DQ$20,$D502,FALSE)),0,VLOOKUP(R$1,'offpeak-new'!$A$3:$DQ$20,$D502,FALSE))</f>
        <v>-18000</v>
      </c>
      <c r="S502" s="10"/>
    </row>
    <row r="503" spans="1:19" s="8" customFormat="1" x14ac:dyDescent="0.2">
      <c r="A503" s="8">
        <f t="shared" si="149"/>
        <v>2001</v>
      </c>
      <c r="B503" s="8">
        <f t="shared" si="150"/>
        <v>12</v>
      </c>
      <c r="C503" s="9">
        <f t="shared" si="148"/>
        <v>37226</v>
      </c>
      <c r="D503" s="8">
        <f t="shared" si="151"/>
        <v>3</v>
      </c>
      <c r="E503" s="14">
        <f>IF(ISNA(VLOOKUP(E$1,'offpeak-new'!$A$3:$DQ$20,$D503,FALSE)),0,VLOOKUP(E$1,'offpeak-new'!$A$3:$DQ$20,$D503,FALSE))</f>
        <v>-97624</v>
      </c>
      <c r="F503" s="14">
        <f>IF(ISNA(VLOOKUP(F$1,'offpeak-new'!$A$3:$DQ$20,$D503,FALSE)),0,VLOOKUP(F$1,'offpeak-new'!$A$3:$DQ$20,$D503,FALSE))</f>
        <v>0</v>
      </c>
      <c r="G503" s="14">
        <f>IF(ISNA(VLOOKUP(G$1,'offpeak-new'!$A$3:$DQ$20,$D503,FALSE)),0,VLOOKUP(G$1,'offpeak-new'!$A$3:$DQ$20,$D503,FALSE))</f>
        <v>0</v>
      </c>
      <c r="H503" s="14">
        <f>IF(ISNA(VLOOKUP(H$1,'offpeak-new'!$A$3:$DQ$20,$D503,FALSE)),0,VLOOKUP(H$1,'offpeak-new'!$A$3:$DQ$20,$D503,FALSE))</f>
        <v>-58800</v>
      </c>
      <c r="I503" s="14">
        <f>IF(ISNA(VLOOKUP(I$1,'offpeak-new'!$A$3:$DQ$20,$D503,FALSE)),0,VLOOKUP(I$1,'offpeak-new'!$A$3:$DQ$20,$D503,FALSE))</f>
        <v>19600</v>
      </c>
      <c r="J503" s="14">
        <f>IF(ISNA(VLOOKUP(J$1,'offpeak-new'!$A$3:$DQ$20,$D503,FALSE)),0,VLOOKUP(J$1,'offpeak-new'!$A$3:$DQ$20,$D503,FALSE))</f>
        <v>0</v>
      </c>
      <c r="K503" s="14">
        <f>IF(ISNA(VLOOKUP(K$1,'offpeak-new'!$A$3:$DQ$20,$D503,FALSE)),0,VLOOKUP(K$1,'offpeak-new'!$A$3:$DQ$20,$D503,FALSE))</f>
        <v>-39200</v>
      </c>
      <c r="L503" s="14">
        <f>IF(ISNA(VLOOKUP(L$1,'offpeak-new'!$A$3:$DQ$20,$D503,FALSE)),0,VLOOKUP(L$1,'offpeak-new'!$A$3:$DQ$20,$D503,FALSE))</f>
        <v>10584</v>
      </c>
      <c r="M503" s="14">
        <f>IF(ISNA(VLOOKUP(M$1,'offpeak-new'!$A$3:$DQ$20,$D503,FALSE)),0,VLOOKUP(M$1,'offpeak-new'!$A$3:$DQ$20,$D503,FALSE))</f>
        <v>0</v>
      </c>
      <c r="N503" s="14">
        <f>IF(ISNA(VLOOKUP(N$1,'offpeak-new'!$A$3:$DQ$20,$D503,FALSE)),0,VLOOKUP(N$1,'offpeak-new'!$A$3:$DQ$20,$D503,FALSE))</f>
        <v>0</v>
      </c>
      <c r="O503" s="14">
        <f>IF(ISNA(VLOOKUP(O$1,'offpeak-new'!$A$3:$DQ$20,$D503,FALSE)),0,VLOOKUP(O$1,'offpeak-new'!$A$3:$DQ$20,$D503,FALSE))</f>
        <v>0</v>
      </c>
      <c r="P503" s="14">
        <f>IF(ISNA(VLOOKUP(P$1,'offpeak-new'!$A$3:$DQ$20,$D503,FALSE)),0,VLOOKUP(P$1,'offpeak-new'!$A$3:$DQ$20,$D503,FALSE))</f>
        <v>0</v>
      </c>
      <c r="Q503" s="15">
        <f>IF(ISNA(VLOOKUP(Q$1,'offpeak-new'!$A$3:$DQ$20,$D503,FALSE)),0,VLOOKUP(Q$1,'offpeak-new'!$A$3:$DQ$20,$D503,FALSE))</f>
        <v>0</v>
      </c>
      <c r="R503" s="14">
        <f>IF(ISNA(VLOOKUP(R$1,'offpeak-new'!$A$3:$DQ$20,$D503,FALSE)),0,VLOOKUP(R$1,'offpeak-new'!$A$3:$DQ$20,$D503,FALSE))</f>
        <v>0</v>
      </c>
      <c r="S503" s="10"/>
    </row>
    <row r="504" spans="1:19" s="8" customFormat="1" x14ac:dyDescent="0.2">
      <c r="A504" s="8">
        <f t="shared" si="149"/>
        <v>2002</v>
      </c>
      <c r="B504" s="8">
        <f t="shared" si="150"/>
        <v>1</v>
      </c>
      <c r="C504" s="9">
        <f t="shared" si="148"/>
        <v>37257</v>
      </c>
      <c r="D504" s="8">
        <f t="shared" si="151"/>
        <v>4</v>
      </c>
      <c r="E504" s="14">
        <f>IF(ISNA(VLOOKUP(E$1,'offpeak-new'!$A$3:$DQ$20,$D504,FALSE)),0,VLOOKUP(E$1,'offpeak-new'!$A$3:$DQ$20,$D504,FALSE))</f>
        <v>-87584</v>
      </c>
      <c r="F504" s="14">
        <f>IF(ISNA(VLOOKUP(F$1,'offpeak-new'!$A$3:$DQ$20,$D504,FALSE)),0,VLOOKUP(F$1,'offpeak-new'!$A$3:$DQ$20,$D504,FALSE))</f>
        <v>0</v>
      </c>
      <c r="G504" s="14">
        <f>IF(ISNA(VLOOKUP(G$1,'offpeak-new'!$A$3:$DQ$20,$D504,FALSE)),0,VLOOKUP(G$1,'offpeak-new'!$A$3:$DQ$20,$D504,FALSE))</f>
        <v>0</v>
      </c>
      <c r="H504" s="14">
        <f>IF(ISNA(VLOOKUP(H$1,'offpeak-new'!$A$3:$DQ$20,$D504,FALSE)),0,VLOOKUP(H$1,'offpeak-new'!$A$3:$DQ$20,$D504,FALSE))</f>
        <v>-52800</v>
      </c>
      <c r="I504" s="14">
        <f>IF(ISNA(VLOOKUP(I$1,'offpeak-new'!$A$3:$DQ$20,$D504,FALSE)),0,VLOOKUP(I$1,'offpeak-new'!$A$3:$DQ$20,$D504,FALSE))</f>
        <v>17600</v>
      </c>
      <c r="J504" s="14">
        <f>IF(ISNA(VLOOKUP(J$1,'offpeak-new'!$A$3:$DQ$20,$D504,FALSE)),0,VLOOKUP(J$1,'offpeak-new'!$A$3:$DQ$20,$D504,FALSE))</f>
        <v>0</v>
      </c>
      <c r="K504" s="14">
        <f>IF(ISNA(VLOOKUP(K$1,'offpeak-new'!$A$3:$DQ$20,$D504,FALSE)),0,VLOOKUP(K$1,'offpeak-new'!$A$3:$DQ$20,$D504,FALSE))</f>
        <v>-35200</v>
      </c>
      <c r="L504" s="14">
        <f>IF(ISNA(VLOOKUP(L$1,'offpeak-new'!$A$3:$DQ$20,$D504,FALSE)),0,VLOOKUP(L$1,'offpeak-new'!$A$3:$DQ$20,$D504,FALSE))</f>
        <v>9504</v>
      </c>
      <c r="M504" s="14">
        <f>IF(ISNA(VLOOKUP(M$1,'offpeak-new'!$A$3:$DQ$20,$D504,FALSE)),0,VLOOKUP(M$1,'offpeak-new'!$A$3:$DQ$20,$D504,FALSE))</f>
        <v>0</v>
      </c>
      <c r="N504" s="14">
        <f>IF(ISNA(VLOOKUP(N$1,'offpeak-new'!$A$3:$DQ$20,$D504,FALSE)),0,VLOOKUP(N$1,'offpeak-new'!$A$3:$DQ$20,$D504,FALSE))</f>
        <v>0</v>
      </c>
      <c r="O504" s="14">
        <f>IF(ISNA(VLOOKUP(O$1,'offpeak-new'!$A$3:$DQ$20,$D504,FALSE)),0,VLOOKUP(O$1,'offpeak-new'!$A$3:$DQ$20,$D504,FALSE))</f>
        <v>0</v>
      </c>
      <c r="P504" s="14">
        <f>IF(ISNA(VLOOKUP(P$1,'offpeak-new'!$A$3:$DQ$20,$D504,FALSE)),0,VLOOKUP(P$1,'offpeak-new'!$A$3:$DQ$20,$D504,FALSE))</f>
        <v>0</v>
      </c>
      <c r="Q504" s="15">
        <f>IF(ISNA(VLOOKUP(Q$1,'offpeak-new'!$A$3:$DQ$20,$D504,FALSE)),0,VLOOKUP(Q$1,'offpeak-new'!$A$3:$DQ$20,$D504,FALSE))</f>
        <v>0</v>
      </c>
      <c r="R504" s="14">
        <f>IF(ISNA(VLOOKUP(R$1,'offpeak-new'!$A$3:$DQ$20,$D504,FALSE)),0,VLOOKUP(R$1,'offpeak-new'!$A$3:$DQ$20,$D504,FALSE))</f>
        <v>0</v>
      </c>
      <c r="S504" s="10"/>
    </row>
    <row r="505" spans="1:19" s="8" customFormat="1" x14ac:dyDescent="0.2">
      <c r="A505" s="8">
        <f t="shared" si="149"/>
        <v>2002</v>
      </c>
      <c r="B505" s="8">
        <f t="shared" si="150"/>
        <v>2</v>
      </c>
      <c r="C505" s="9">
        <f t="shared" si="148"/>
        <v>37288</v>
      </c>
      <c r="D505" s="8">
        <f t="shared" si="151"/>
        <v>5</v>
      </c>
      <c r="E505" s="14">
        <f>IF(ISNA(VLOOKUP(E$1,'offpeak-new'!$A$3:$DQ$20,$D505,FALSE)),0,VLOOKUP(E$1,'offpeak-new'!$A$3:$DQ$20,$D505,FALSE))</f>
        <v>-81816</v>
      </c>
      <c r="F505" s="14">
        <f>IF(ISNA(VLOOKUP(F$1,'offpeak-new'!$A$3:$DQ$20,$D505,FALSE)),0,VLOOKUP(F$1,'offpeak-new'!$A$3:$DQ$20,$D505,FALSE))</f>
        <v>0</v>
      </c>
      <c r="G505" s="14">
        <f>IF(ISNA(VLOOKUP(G$1,'offpeak-new'!$A$3:$DQ$20,$D505,FALSE)),0,VLOOKUP(G$1,'offpeak-new'!$A$3:$DQ$20,$D505,FALSE))</f>
        <v>0</v>
      </c>
      <c r="H505" s="14">
        <f>IF(ISNA(VLOOKUP(H$1,'offpeak-new'!$A$3:$DQ$20,$D505,FALSE)),0,VLOOKUP(H$1,'offpeak-new'!$A$3:$DQ$20,$D505,FALSE))</f>
        <v>-40800</v>
      </c>
      <c r="I505" s="14">
        <f>IF(ISNA(VLOOKUP(I$1,'offpeak-new'!$A$3:$DQ$20,$D505,FALSE)),0,VLOOKUP(I$1,'offpeak-new'!$A$3:$DQ$20,$D505,FALSE))</f>
        <v>20400</v>
      </c>
      <c r="J505" s="14">
        <f>IF(ISNA(VLOOKUP(J$1,'offpeak-new'!$A$3:$DQ$20,$D505,FALSE)),0,VLOOKUP(J$1,'offpeak-new'!$A$3:$DQ$20,$D505,FALSE))</f>
        <v>0</v>
      </c>
      <c r="K505" s="14">
        <f>IF(ISNA(VLOOKUP(K$1,'offpeak-new'!$A$3:$DQ$20,$D505,FALSE)),0,VLOOKUP(K$1,'offpeak-new'!$A$3:$DQ$20,$D505,FALSE))</f>
        <v>-40800</v>
      </c>
      <c r="L505" s="14">
        <f>IF(ISNA(VLOOKUP(L$1,'offpeak-new'!$A$3:$DQ$20,$D505,FALSE)),0,VLOOKUP(L$1,'offpeak-new'!$A$3:$DQ$20,$D505,FALSE))</f>
        <v>11016</v>
      </c>
      <c r="M505" s="14">
        <f>IF(ISNA(VLOOKUP(M$1,'offpeak-new'!$A$3:$DQ$20,$D505,FALSE)),0,VLOOKUP(M$1,'offpeak-new'!$A$3:$DQ$20,$D505,FALSE))</f>
        <v>0</v>
      </c>
      <c r="N505" s="14">
        <f>IF(ISNA(VLOOKUP(N$1,'offpeak-new'!$A$3:$DQ$20,$D505,FALSE)),0,VLOOKUP(N$1,'offpeak-new'!$A$3:$DQ$20,$D505,FALSE))</f>
        <v>0</v>
      </c>
      <c r="O505" s="14">
        <f>IF(ISNA(VLOOKUP(O$1,'offpeak-new'!$A$3:$DQ$20,$D505,FALSE)),0,VLOOKUP(O$1,'offpeak-new'!$A$3:$DQ$20,$D505,FALSE))</f>
        <v>0</v>
      </c>
      <c r="P505" s="14">
        <f>IF(ISNA(VLOOKUP(P$1,'offpeak-new'!$A$3:$DQ$20,$D505,FALSE)),0,VLOOKUP(P$1,'offpeak-new'!$A$3:$DQ$20,$D505,FALSE))</f>
        <v>0</v>
      </c>
      <c r="Q505" s="15">
        <f>IF(ISNA(VLOOKUP(Q$1,'offpeak-new'!$A$3:$DQ$20,$D505,FALSE)),0,VLOOKUP(Q$1,'offpeak-new'!$A$3:$DQ$20,$D505,FALSE))</f>
        <v>0</v>
      </c>
      <c r="R505" s="14">
        <f>IF(ISNA(VLOOKUP(R$1,'offpeak-new'!$A$3:$DQ$20,$D505,FALSE)),0,VLOOKUP(R$1,'offpeak-new'!$A$3:$DQ$20,$D505,FALSE))</f>
        <v>-20400</v>
      </c>
      <c r="S505" s="10"/>
    </row>
    <row r="506" spans="1:19" s="8" customFormat="1" x14ac:dyDescent="0.2">
      <c r="A506" s="8">
        <f t="shared" si="149"/>
        <v>2002</v>
      </c>
      <c r="B506" s="8">
        <f t="shared" si="150"/>
        <v>3</v>
      </c>
      <c r="C506" s="9">
        <f t="shared" si="148"/>
        <v>37316</v>
      </c>
      <c r="D506" s="8">
        <f t="shared" si="151"/>
        <v>6</v>
      </c>
      <c r="E506" s="14">
        <f>IF(ISNA(VLOOKUP(E$1,'offpeak-new'!$A$3:$DQ$20,$D506,FALSE)),0,VLOOKUP(E$1,'offpeak-new'!$A$3:$DQ$20,$D506,FALSE))</f>
        <v>-72639</v>
      </c>
      <c r="F506" s="14">
        <f>IF(ISNA(VLOOKUP(F$1,'offpeak-new'!$A$3:$DQ$20,$D506,FALSE)),0,VLOOKUP(F$1,'offpeak-new'!$A$3:$DQ$20,$D506,FALSE))</f>
        <v>0</v>
      </c>
      <c r="G506" s="14">
        <f>IF(ISNA(VLOOKUP(G$1,'offpeak-new'!$A$3:$DQ$20,$D506,FALSE)),0,VLOOKUP(G$1,'offpeak-new'!$A$3:$DQ$20,$D506,FALSE))</f>
        <v>0</v>
      </c>
      <c r="H506" s="14">
        <f>IF(ISNA(VLOOKUP(H$1,'offpeak-new'!$A$3:$DQ$20,$D506,FALSE)),0,VLOOKUP(H$1,'offpeak-new'!$A$3:$DQ$20,$D506,FALSE))</f>
        <v>-36700</v>
      </c>
      <c r="I506" s="14">
        <f>IF(ISNA(VLOOKUP(I$1,'offpeak-new'!$A$3:$DQ$20,$D506,FALSE)),0,VLOOKUP(I$1,'offpeak-new'!$A$3:$DQ$20,$D506,FALSE))</f>
        <v>18350</v>
      </c>
      <c r="J506" s="14">
        <f>IF(ISNA(VLOOKUP(J$1,'offpeak-new'!$A$3:$DQ$20,$D506,FALSE)),0,VLOOKUP(J$1,'offpeak-new'!$A$3:$DQ$20,$D506,FALSE))</f>
        <v>0</v>
      </c>
      <c r="K506" s="14">
        <f>IF(ISNA(VLOOKUP(K$1,'offpeak-new'!$A$3:$DQ$20,$D506,FALSE)),0,VLOOKUP(K$1,'offpeak-new'!$A$3:$DQ$20,$D506,FALSE))</f>
        <v>-36700</v>
      </c>
      <c r="L506" s="14">
        <f>IF(ISNA(VLOOKUP(L$1,'offpeak-new'!$A$3:$DQ$20,$D506,FALSE)),0,VLOOKUP(L$1,'offpeak-new'!$A$3:$DQ$20,$D506,FALSE))</f>
        <v>9909</v>
      </c>
      <c r="M506" s="14">
        <f>IF(ISNA(VLOOKUP(M$1,'offpeak-new'!$A$3:$DQ$20,$D506,FALSE)),0,VLOOKUP(M$1,'offpeak-new'!$A$3:$DQ$20,$D506,FALSE))</f>
        <v>0</v>
      </c>
      <c r="N506" s="14">
        <f>IF(ISNA(VLOOKUP(N$1,'offpeak-new'!$A$3:$DQ$20,$D506,FALSE)),0,VLOOKUP(N$1,'offpeak-new'!$A$3:$DQ$20,$D506,FALSE))</f>
        <v>0</v>
      </c>
      <c r="O506" s="14">
        <f>IF(ISNA(VLOOKUP(O$1,'offpeak-new'!$A$3:$DQ$20,$D506,FALSE)),0,VLOOKUP(O$1,'offpeak-new'!$A$3:$DQ$20,$D506,FALSE))</f>
        <v>0</v>
      </c>
      <c r="P506" s="14">
        <f>IF(ISNA(VLOOKUP(P$1,'offpeak-new'!$A$3:$DQ$20,$D506,FALSE)),0,VLOOKUP(P$1,'offpeak-new'!$A$3:$DQ$20,$D506,FALSE))</f>
        <v>0</v>
      </c>
      <c r="Q506" s="15">
        <f>IF(ISNA(VLOOKUP(Q$1,'offpeak-new'!$A$3:$DQ$20,$D506,FALSE)),0,VLOOKUP(Q$1,'offpeak-new'!$A$3:$DQ$20,$D506,FALSE))</f>
        <v>0</v>
      </c>
      <c r="R506" s="14">
        <f>IF(ISNA(VLOOKUP(R$1,'offpeak-new'!$A$3:$DQ$20,$D506,FALSE)),0,VLOOKUP(R$1,'offpeak-new'!$A$3:$DQ$20,$D506,FALSE))</f>
        <v>-18350</v>
      </c>
      <c r="S506" s="10"/>
    </row>
    <row r="507" spans="1:19" s="8" customFormat="1" x14ac:dyDescent="0.2">
      <c r="A507" s="8">
        <f t="shared" si="149"/>
        <v>2002</v>
      </c>
      <c r="B507" s="8">
        <f t="shared" si="150"/>
        <v>4</v>
      </c>
      <c r="C507" s="9">
        <f t="shared" si="148"/>
        <v>37347</v>
      </c>
      <c r="D507" s="8">
        <f t="shared" si="151"/>
        <v>7</v>
      </c>
      <c r="E507" s="14">
        <f>IF(ISNA(VLOOKUP(E$1,'offpeak-new'!$A$3:$DQ$20,$D507,FALSE)),0,VLOOKUP(E$1,'offpeak-new'!$A$3:$DQ$20,$D507,FALSE))</f>
        <v>-58424</v>
      </c>
      <c r="F507" s="14">
        <f>IF(ISNA(VLOOKUP(F$1,'offpeak-new'!$A$3:$DQ$20,$D507,FALSE)),0,VLOOKUP(F$1,'offpeak-new'!$A$3:$DQ$20,$D507,FALSE))</f>
        <v>0</v>
      </c>
      <c r="G507" s="14">
        <f>IF(ISNA(VLOOKUP(G$1,'offpeak-new'!$A$3:$DQ$20,$D507,FALSE)),0,VLOOKUP(G$1,'offpeak-new'!$A$3:$DQ$20,$D507,FALSE))</f>
        <v>0</v>
      </c>
      <c r="H507" s="14">
        <f>IF(ISNA(VLOOKUP(H$1,'offpeak-new'!$A$3:$DQ$20,$D507,FALSE)),0,VLOOKUP(H$1,'offpeak-new'!$A$3:$DQ$20,$D507,FALSE))</f>
        <v>-39200</v>
      </c>
      <c r="I507" s="14">
        <f>IF(ISNA(VLOOKUP(I$1,'offpeak-new'!$A$3:$DQ$20,$D507,FALSE)),0,VLOOKUP(I$1,'offpeak-new'!$A$3:$DQ$20,$D507,FALSE))</f>
        <v>19600</v>
      </c>
      <c r="J507" s="14">
        <f>IF(ISNA(VLOOKUP(J$1,'offpeak-new'!$A$3:$DQ$20,$D507,FALSE)),0,VLOOKUP(J$1,'offpeak-new'!$A$3:$DQ$20,$D507,FALSE))</f>
        <v>0</v>
      </c>
      <c r="K507" s="14">
        <f>IF(ISNA(VLOOKUP(K$1,'offpeak-new'!$A$3:$DQ$20,$D507,FALSE)),0,VLOOKUP(K$1,'offpeak-new'!$A$3:$DQ$20,$D507,FALSE))</f>
        <v>-39200</v>
      </c>
      <c r="L507" s="14">
        <f>IF(ISNA(VLOOKUP(L$1,'offpeak-new'!$A$3:$DQ$20,$D507,FALSE)),0,VLOOKUP(L$1,'offpeak-new'!$A$3:$DQ$20,$D507,FALSE))</f>
        <v>10584</v>
      </c>
      <c r="M507" s="14">
        <f>IF(ISNA(VLOOKUP(M$1,'offpeak-new'!$A$3:$DQ$20,$D507,FALSE)),0,VLOOKUP(M$1,'offpeak-new'!$A$3:$DQ$20,$D507,FALSE))</f>
        <v>0</v>
      </c>
      <c r="N507" s="14">
        <f>IF(ISNA(VLOOKUP(N$1,'offpeak-new'!$A$3:$DQ$20,$D507,FALSE)),0,VLOOKUP(N$1,'offpeak-new'!$A$3:$DQ$20,$D507,FALSE))</f>
        <v>0</v>
      </c>
      <c r="O507" s="14">
        <f>IF(ISNA(VLOOKUP(O$1,'offpeak-new'!$A$3:$DQ$20,$D507,FALSE)),0,VLOOKUP(O$1,'offpeak-new'!$A$3:$DQ$20,$D507,FALSE))</f>
        <v>0</v>
      </c>
      <c r="P507" s="14">
        <f>IF(ISNA(VLOOKUP(P$1,'offpeak-new'!$A$3:$DQ$20,$D507,FALSE)),0,VLOOKUP(P$1,'offpeak-new'!$A$3:$DQ$20,$D507,FALSE))</f>
        <v>0</v>
      </c>
      <c r="Q507" s="15">
        <f>IF(ISNA(VLOOKUP(Q$1,'offpeak-new'!$A$3:$DQ$20,$D507,FALSE)),0,VLOOKUP(Q$1,'offpeak-new'!$A$3:$DQ$20,$D507,FALSE))</f>
        <v>0</v>
      </c>
      <c r="R507" s="14">
        <f>IF(ISNA(VLOOKUP(R$1,'offpeak-new'!$A$3:$DQ$20,$D507,FALSE)),0,VLOOKUP(R$1,'offpeak-new'!$A$3:$DQ$20,$D507,FALSE))</f>
        <v>0</v>
      </c>
      <c r="S507" s="10"/>
    </row>
    <row r="508" spans="1:19" s="8" customFormat="1" x14ac:dyDescent="0.2">
      <c r="A508" s="8">
        <f t="shared" si="149"/>
        <v>2002</v>
      </c>
      <c r="B508" s="8">
        <f t="shared" si="150"/>
        <v>5</v>
      </c>
      <c r="C508" s="9">
        <f t="shared" si="148"/>
        <v>37377</v>
      </c>
      <c r="D508" s="8">
        <f t="shared" si="151"/>
        <v>8</v>
      </c>
      <c r="E508" s="14">
        <f>IF(ISNA(VLOOKUP(E$1,'offpeak-new'!$A$3:$DQ$20,$D508,FALSE)),0,VLOOKUP(E$1,'offpeak-new'!$A$3:$DQ$20,$D508,FALSE))</f>
        <v>-20400</v>
      </c>
      <c r="F508" s="14">
        <f>IF(ISNA(VLOOKUP(F$1,'offpeak-new'!$A$3:$DQ$20,$D508,FALSE)),0,VLOOKUP(F$1,'offpeak-new'!$A$3:$DQ$20,$D508,FALSE))</f>
        <v>0</v>
      </c>
      <c r="G508" s="14">
        <f>IF(ISNA(VLOOKUP(G$1,'offpeak-new'!$A$3:$DQ$20,$D508,FALSE)),0,VLOOKUP(G$1,'offpeak-new'!$A$3:$DQ$20,$D508,FALSE))</f>
        <v>0</v>
      </c>
      <c r="H508" s="14">
        <f>IF(ISNA(VLOOKUP(H$1,'offpeak-new'!$A$3:$DQ$20,$D508,FALSE)),0,VLOOKUP(H$1,'offpeak-new'!$A$3:$DQ$20,$D508,FALSE))</f>
        <v>-40000</v>
      </c>
      <c r="I508" s="14">
        <f>IF(ISNA(VLOOKUP(I$1,'offpeak-new'!$A$3:$DQ$20,$D508,FALSE)),0,VLOOKUP(I$1,'offpeak-new'!$A$3:$DQ$20,$D508,FALSE))</f>
        <v>20000</v>
      </c>
      <c r="J508" s="14">
        <f>IF(ISNA(VLOOKUP(J$1,'offpeak-new'!$A$3:$DQ$20,$D508,FALSE)),0,VLOOKUP(J$1,'offpeak-new'!$A$3:$DQ$20,$D508,FALSE))</f>
        <v>0</v>
      </c>
      <c r="K508" s="14">
        <f>IF(ISNA(VLOOKUP(K$1,'offpeak-new'!$A$3:$DQ$20,$D508,FALSE)),0,VLOOKUP(K$1,'offpeak-new'!$A$3:$DQ$20,$D508,FALSE))</f>
        <v>-40000</v>
      </c>
      <c r="L508" s="14">
        <f>IF(ISNA(VLOOKUP(L$1,'offpeak-new'!$A$3:$DQ$20,$D508,FALSE)),0,VLOOKUP(L$1,'offpeak-new'!$A$3:$DQ$20,$D508,FALSE))</f>
        <v>10800</v>
      </c>
      <c r="M508" s="14">
        <f>IF(ISNA(VLOOKUP(M$1,'offpeak-new'!$A$3:$DQ$20,$D508,FALSE)),0,VLOOKUP(M$1,'offpeak-new'!$A$3:$DQ$20,$D508,FALSE))</f>
        <v>0</v>
      </c>
      <c r="N508" s="14">
        <f>IF(ISNA(VLOOKUP(N$1,'offpeak-new'!$A$3:$DQ$20,$D508,FALSE)),0,VLOOKUP(N$1,'offpeak-new'!$A$3:$DQ$20,$D508,FALSE))</f>
        <v>0</v>
      </c>
      <c r="O508" s="14">
        <f>IF(ISNA(VLOOKUP(O$1,'offpeak-new'!$A$3:$DQ$20,$D508,FALSE)),0,VLOOKUP(O$1,'offpeak-new'!$A$3:$DQ$20,$D508,FALSE))</f>
        <v>0</v>
      </c>
      <c r="P508" s="14">
        <f>IF(ISNA(VLOOKUP(P$1,'offpeak-new'!$A$3:$DQ$20,$D508,FALSE)),0,VLOOKUP(P$1,'offpeak-new'!$A$3:$DQ$20,$D508,FALSE))</f>
        <v>0</v>
      </c>
      <c r="Q508" s="15">
        <f>IF(ISNA(VLOOKUP(Q$1,'offpeak-new'!$A$3:$DQ$20,$D508,FALSE)),0,VLOOKUP(Q$1,'offpeak-new'!$A$3:$DQ$20,$D508,FALSE))</f>
        <v>0</v>
      </c>
      <c r="R508" s="14">
        <f>IF(ISNA(VLOOKUP(R$1,'offpeak-new'!$A$3:$DQ$20,$D508,FALSE)),0,VLOOKUP(R$1,'offpeak-new'!$A$3:$DQ$20,$D508,FALSE))</f>
        <v>0</v>
      </c>
      <c r="S508" s="10"/>
    </row>
    <row r="509" spans="1:19" s="8" customFormat="1" x14ac:dyDescent="0.2">
      <c r="A509" s="8">
        <f t="shared" si="149"/>
        <v>2002</v>
      </c>
      <c r="B509" s="8">
        <f t="shared" si="150"/>
        <v>6</v>
      </c>
      <c r="C509" s="9">
        <f t="shared" si="148"/>
        <v>37408</v>
      </c>
      <c r="D509" s="8">
        <f t="shared" si="151"/>
        <v>9</v>
      </c>
      <c r="E509" s="14">
        <f>IF(ISNA(VLOOKUP(E$1,'offpeak-new'!$A$3:$DQ$20,$D509,FALSE)),0,VLOOKUP(E$1,'offpeak-new'!$A$3:$DQ$20,$D509,FALSE))</f>
        <v>-19224</v>
      </c>
      <c r="F509" s="14">
        <f>IF(ISNA(VLOOKUP(F$1,'offpeak-new'!$A$3:$DQ$20,$D509,FALSE)),0,VLOOKUP(F$1,'offpeak-new'!$A$3:$DQ$20,$D509,FALSE))</f>
        <v>0</v>
      </c>
      <c r="G509" s="14">
        <f>IF(ISNA(VLOOKUP(G$1,'offpeak-new'!$A$3:$DQ$20,$D509,FALSE)),0,VLOOKUP(G$1,'offpeak-new'!$A$3:$DQ$20,$D509,FALSE))</f>
        <v>0</v>
      </c>
      <c r="H509" s="14">
        <f>IF(ISNA(VLOOKUP(H$1,'offpeak-new'!$A$3:$DQ$20,$D509,FALSE)),0,VLOOKUP(H$1,'offpeak-new'!$A$3:$DQ$20,$D509,FALSE))</f>
        <v>19600</v>
      </c>
      <c r="I509" s="14">
        <f>IF(ISNA(VLOOKUP(I$1,'offpeak-new'!$A$3:$DQ$20,$D509,FALSE)),0,VLOOKUP(I$1,'offpeak-new'!$A$3:$DQ$20,$D509,FALSE))</f>
        <v>19600</v>
      </c>
      <c r="J509" s="14">
        <f>IF(ISNA(VLOOKUP(J$1,'offpeak-new'!$A$3:$DQ$20,$D509,FALSE)),0,VLOOKUP(J$1,'offpeak-new'!$A$3:$DQ$20,$D509,FALSE))</f>
        <v>0</v>
      </c>
      <c r="K509" s="14">
        <f>IF(ISNA(VLOOKUP(K$1,'offpeak-new'!$A$3:$DQ$20,$D509,FALSE)),0,VLOOKUP(K$1,'offpeak-new'!$A$3:$DQ$20,$D509,FALSE))</f>
        <v>-39200</v>
      </c>
      <c r="L509" s="14">
        <f>IF(ISNA(VLOOKUP(L$1,'offpeak-new'!$A$3:$DQ$20,$D509,FALSE)),0,VLOOKUP(L$1,'offpeak-new'!$A$3:$DQ$20,$D509,FALSE))</f>
        <v>10584</v>
      </c>
      <c r="M509" s="14">
        <f>IF(ISNA(VLOOKUP(M$1,'offpeak-new'!$A$3:$DQ$20,$D509,FALSE)),0,VLOOKUP(M$1,'offpeak-new'!$A$3:$DQ$20,$D509,FALSE))</f>
        <v>0</v>
      </c>
      <c r="N509" s="14">
        <f>IF(ISNA(VLOOKUP(N$1,'offpeak-new'!$A$3:$DQ$20,$D509,FALSE)),0,VLOOKUP(N$1,'offpeak-new'!$A$3:$DQ$20,$D509,FALSE))</f>
        <v>0</v>
      </c>
      <c r="O509" s="14">
        <f>IF(ISNA(VLOOKUP(O$1,'offpeak-new'!$A$3:$DQ$20,$D509,FALSE)),0,VLOOKUP(O$1,'offpeak-new'!$A$3:$DQ$20,$D509,FALSE))</f>
        <v>0</v>
      </c>
      <c r="P509" s="14">
        <f>IF(ISNA(VLOOKUP(P$1,'offpeak-new'!$A$3:$DQ$20,$D509,FALSE)),0,VLOOKUP(P$1,'offpeak-new'!$A$3:$DQ$20,$D509,FALSE))</f>
        <v>0</v>
      </c>
      <c r="Q509" s="15">
        <f>IF(ISNA(VLOOKUP(Q$1,'offpeak-new'!$A$3:$DQ$20,$D509,FALSE)),0,VLOOKUP(Q$1,'offpeak-new'!$A$3:$DQ$20,$D509,FALSE))</f>
        <v>0</v>
      </c>
      <c r="R509" s="14">
        <f>IF(ISNA(VLOOKUP(R$1,'offpeak-new'!$A$3:$DQ$20,$D509,FALSE)),0,VLOOKUP(R$1,'offpeak-new'!$A$3:$DQ$20,$D509,FALSE))</f>
        <v>-19600</v>
      </c>
      <c r="S509" s="10"/>
    </row>
    <row r="510" spans="1:19" s="8" customFormat="1" x14ac:dyDescent="0.2">
      <c r="A510" s="8">
        <f t="shared" si="149"/>
        <v>2002</v>
      </c>
      <c r="B510" s="8">
        <f t="shared" si="150"/>
        <v>7</v>
      </c>
      <c r="C510" s="9">
        <f t="shared" si="148"/>
        <v>37438</v>
      </c>
      <c r="D510" s="8">
        <f t="shared" si="151"/>
        <v>10</v>
      </c>
      <c r="E510" s="14">
        <f>IF(ISNA(VLOOKUP(E$1,'offpeak-new'!$A$3:$DQ$20,$D510,FALSE)),0,VLOOKUP(E$1,'offpeak-new'!$A$3:$DQ$20,$D510,FALSE))</f>
        <v>-19224</v>
      </c>
      <c r="F510" s="14">
        <f>IF(ISNA(VLOOKUP(F$1,'offpeak-new'!$A$3:$DQ$20,$D510,FALSE)),0,VLOOKUP(F$1,'offpeak-new'!$A$3:$DQ$20,$D510,FALSE))</f>
        <v>0</v>
      </c>
      <c r="G510" s="14">
        <f>IF(ISNA(VLOOKUP(G$1,'offpeak-new'!$A$3:$DQ$20,$D510,FALSE)),0,VLOOKUP(G$1,'offpeak-new'!$A$3:$DQ$20,$D510,FALSE))</f>
        <v>0</v>
      </c>
      <c r="H510" s="14">
        <f>IF(ISNA(VLOOKUP(H$1,'offpeak-new'!$A$3:$DQ$20,$D510,FALSE)),0,VLOOKUP(H$1,'offpeak-new'!$A$3:$DQ$20,$D510,FALSE))</f>
        <v>19600</v>
      </c>
      <c r="I510" s="14">
        <f>IF(ISNA(VLOOKUP(I$1,'offpeak-new'!$A$3:$DQ$20,$D510,FALSE)),0,VLOOKUP(I$1,'offpeak-new'!$A$3:$DQ$20,$D510,FALSE))</f>
        <v>19600</v>
      </c>
      <c r="J510" s="14">
        <f>IF(ISNA(VLOOKUP(J$1,'offpeak-new'!$A$3:$DQ$20,$D510,FALSE)),0,VLOOKUP(J$1,'offpeak-new'!$A$3:$DQ$20,$D510,FALSE))</f>
        <v>0</v>
      </c>
      <c r="K510" s="14">
        <f>IF(ISNA(VLOOKUP(K$1,'offpeak-new'!$A$3:$DQ$20,$D510,FALSE)),0,VLOOKUP(K$1,'offpeak-new'!$A$3:$DQ$20,$D510,FALSE))</f>
        <v>-39200</v>
      </c>
      <c r="L510" s="14">
        <f>IF(ISNA(VLOOKUP(L$1,'offpeak-new'!$A$3:$DQ$20,$D510,FALSE)),0,VLOOKUP(L$1,'offpeak-new'!$A$3:$DQ$20,$D510,FALSE))</f>
        <v>10584</v>
      </c>
      <c r="M510" s="14">
        <f>IF(ISNA(VLOOKUP(M$1,'offpeak-new'!$A$3:$DQ$20,$D510,FALSE)),0,VLOOKUP(M$1,'offpeak-new'!$A$3:$DQ$20,$D510,FALSE))</f>
        <v>0</v>
      </c>
      <c r="N510" s="14">
        <f>IF(ISNA(VLOOKUP(N$1,'offpeak-new'!$A$3:$DQ$20,$D510,FALSE)),0,VLOOKUP(N$1,'offpeak-new'!$A$3:$DQ$20,$D510,FALSE))</f>
        <v>0</v>
      </c>
      <c r="O510" s="14">
        <f>IF(ISNA(VLOOKUP(O$1,'offpeak-new'!$A$3:$DQ$20,$D510,FALSE)),0,VLOOKUP(O$1,'offpeak-new'!$A$3:$DQ$20,$D510,FALSE))</f>
        <v>0</v>
      </c>
      <c r="P510" s="14">
        <f>IF(ISNA(VLOOKUP(P$1,'offpeak-new'!$A$3:$DQ$20,$D510,FALSE)),0,VLOOKUP(P$1,'offpeak-new'!$A$3:$DQ$20,$D510,FALSE))</f>
        <v>0</v>
      </c>
      <c r="Q510" s="15">
        <f>IF(ISNA(VLOOKUP(Q$1,'offpeak-new'!$A$3:$DQ$20,$D510,FALSE)),0,VLOOKUP(Q$1,'offpeak-new'!$A$3:$DQ$20,$D510,FALSE))</f>
        <v>0</v>
      </c>
      <c r="R510" s="14">
        <f>IF(ISNA(VLOOKUP(R$1,'offpeak-new'!$A$3:$DQ$20,$D510,FALSE)),0,VLOOKUP(R$1,'offpeak-new'!$A$3:$DQ$20,$D510,FALSE))</f>
        <v>-19600</v>
      </c>
      <c r="S510" s="10"/>
    </row>
    <row r="511" spans="1:19" s="8" customFormat="1" x14ac:dyDescent="0.2">
      <c r="A511" s="8">
        <f t="shared" si="149"/>
        <v>2002</v>
      </c>
      <c r="B511" s="8">
        <f t="shared" si="150"/>
        <v>8</v>
      </c>
      <c r="C511" s="9">
        <f t="shared" si="148"/>
        <v>37469</v>
      </c>
      <c r="D511" s="8">
        <f t="shared" si="151"/>
        <v>11</v>
      </c>
      <c r="E511" s="14">
        <f>IF(ISNA(VLOOKUP(E$1,'offpeak-new'!$A$3:$DQ$20,$D511,FALSE)),0,VLOOKUP(E$1,'offpeak-new'!$A$3:$DQ$20,$D511,FALSE))</f>
        <v>-60400</v>
      </c>
      <c r="F511" s="14">
        <f>IF(ISNA(VLOOKUP(F$1,'offpeak-new'!$A$3:$DQ$20,$D511,FALSE)),0,VLOOKUP(F$1,'offpeak-new'!$A$3:$DQ$20,$D511,FALSE))</f>
        <v>0</v>
      </c>
      <c r="G511" s="14">
        <f>IF(ISNA(VLOOKUP(G$1,'offpeak-new'!$A$3:$DQ$20,$D511,FALSE)),0,VLOOKUP(G$1,'offpeak-new'!$A$3:$DQ$20,$D511,FALSE))</f>
        <v>0</v>
      </c>
      <c r="H511" s="14">
        <f>IF(ISNA(VLOOKUP(H$1,'offpeak-new'!$A$3:$DQ$20,$D511,FALSE)),0,VLOOKUP(H$1,'offpeak-new'!$A$3:$DQ$20,$D511,FALSE))</f>
        <v>-40000</v>
      </c>
      <c r="I511" s="14">
        <f>IF(ISNA(VLOOKUP(I$1,'offpeak-new'!$A$3:$DQ$20,$D511,FALSE)),0,VLOOKUP(I$1,'offpeak-new'!$A$3:$DQ$20,$D511,FALSE))</f>
        <v>20000</v>
      </c>
      <c r="J511" s="14">
        <f>IF(ISNA(VLOOKUP(J$1,'offpeak-new'!$A$3:$DQ$20,$D511,FALSE)),0,VLOOKUP(J$1,'offpeak-new'!$A$3:$DQ$20,$D511,FALSE))</f>
        <v>0</v>
      </c>
      <c r="K511" s="14">
        <f>IF(ISNA(VLOOKUP(K$1,'offpeak-new'!$A$3:$DQ$20,$D511,FALSE)),0,VLOOKUP(K$1,'offpeak-new'!$A$3:$DQ$20,$D511,FALSE))</f>
        <v>-40000</v>
      </c>
      <c r="L511" s="14">
        <f>IF(ISNA(VLOOKUP(L$1,'offpeak-new'!$A$3:$DQ$20,$D511,FALSE)),0,VLOOKUP(L$1,'offpeak-new'!$A$3:$DQ$20,$D511,FALSE))</f>
        <v>10800</v>
      </c>
      <c r="M511" s="14">
        <f>IF(ISNA(VLOOKUP(M$1,'offpeak-new'!$A$3:$DQ$20,$D511,FALSE)),0,VLOOKUP(M$1,'offpeak-new'!$A$3:$DQ$20,$D511,FALSE))</f>
        <v>0</v>
      </c>
      <c r="N511" s="14">
        <f>IF(ISNA(VLOOKUP(N$1,'offpeak-new'!$A$3:$DQ$20,$D511,FALSE)),0,VLOOKUP(N$1,'offpeak-new'!$A$3:$DQ$20,$D511,FALSE))</f>
        <v>0</v>
      </c>
      <c r="O511" s="14">
        <f>IF(ISNA(VLOOKUP(O$1,'offpeak-new'!$A$3:$DQ$20,$D511,FALSE)),0,VLOOKUP(O$1,'offpeak-new'!$A$3:$DQ$20,$D511,FALSE))</f>
        <v>0</v>
      </c>
      <c r="P511" s="14">
        <f>IF(ISNA(VLOOKUP(P$1,'offpeak-new'!$A$3:$DQ$20,$D511,FALSE)),0,VLOOKUP(P$1,'offpeak-new'!$A$3:$DQ$20,$D511,FALSE))</f>
        <v>0</v>
      </c>
      <c r="Q511" s="15">
        <f>IF(ISNA(VLOOKUP(Q$1,'offpeak-new'!$A$3:$DQ$20,$D511,FALSE)),0,VLOOKUP(Q$1,'offpeak-new'!$A$3:$DQ$20,$D511,FALSE))</f>
        <v>0</v>
      </c>
      <c r="R511" s="14">
        <f>IF(ISNA(VLOOKUP(R$1,'offpeak-new'!$A$3:$DQ$20,$D511,FALSE)),0,VLOOKUP(R$1,'offpeak-new'!$A$3:$DQ$20,$D511,FALSE))</f>
        <v>0</v>
      </c>
      <c r="S511" s="10"/>
    </row>
    <row r="512" spans="1:19" s="8" customFormat="1" x14ac:dyDescent="0.2">
      <c r="A512" s="8">
        <f t="shared" si="149"/>
        <v>2002</v>
      </c>
      <c r="B512" s="8">
        <f t="shared" si="150"/>
        <v>9</v>
      </c>
      <c r="C512" s="9">
        <f t="shared" si="148"/>
        <v>37500</v>
      </c>
      <c r="D512" s="8">
        <f t="shared" si="151"/>
        <v>12</v>
      </c>
      <c r="E512" s="14">
        <f>IF(ISNA(VLOOKUP(E$1,'offpeak-new'!$A$3:$DQ$20,$D512,FALSE)),0,VLOOKUP(E$1,'offpeak-new'!$A$3:$DQ$20,$D512,FALSE))</f>
        <v>-54409</v>
      </c>
      <c r="F512" s="14">
        <f>IF(ISNA(VLOOKUP(F$1,'offpeak-new'!$A$3:$DQ$20,$D512,FALSE)),0,VLOOKUP(F$1,'offpeak-new'!$A$3:$DQ$20,$D512,FALSE))</f>
        <v>0</v>
      </c>
      <c r="G512" s="14">
        <f>IF(ISNA(VLOOKUP(G$1,'offpeak-new'!$A$3:$DQ$20,$D512,FALSE)),0,VLOOKUP(G$1,'offpeak-new'!$A$3:$DQ$20,$D512,FALSE))</f>
        <v>0</v>
      </c>
      <c r="H512" s="14">
        <f>IF(ISNA(VLOOKUP(H$1,'offpeak-new'!$A$3:$DQ$20,$D512,FALSE)),0,VLOOKUP(H$1,'offpeak-new'!$A$3:$DQ$20,$D512,FALSE))</f>
        <v>-37700</v>
      </c>
      <c r="I512" s="14">
        <f>IF(ISNA(VLOOKUP(I$1,'offpeak-new'!$A$3:$DQ$20,$D512,FALSE)),0,VLOOKUP(I$1,'offpeak-new'!$A$3:$DQ$20,$D512,FALSE))</f>
        <v>18850</v>
      </c>
      <c r="J512" s="14">
        <f>IF(ISNA(VLOOKUP(J$1,'offpeak-new'!$A$3:$DQ$20,$D512,FALSE)),0,VLOOKUP(J$1,'offpeak-new'!$A$3:$DQ$20,$D512,FALSE))</f>
        <v>0</v>
      </c>
      <c r="K512" s="14">
        <f>IF(ISNA(VLOOKUP(K$1,'offpeak-new'!$A$3:$DQ$20,$D512,FALSE)),0,VLOOKUP(K$1,'offpeak-new'!$A$3:$DQ$20,$D512,FALSE))</f>
        <v>-37700</v>
      </c>
      <c r="L512" s="14">
        <f>IF(ISNA(VLOOKUP(L$1,'offpeak-new'!$A$3:$DQ$20,$D512,FALSE)),0,VLOOKUP(L$1,'offpeak-new'!$A$3:$DQ$20,$D512,FALSE))</f>
        <v>10179</v>
      </c>
      <c r="M512" s="14">
        <f>IF(ISNA(VLOOKUP(M$1,'offpeak-new'!$A$3:$DQ$20,$D512,FALSE)),0,VLOOKUP(M$1,'offpeak-new'!$A$3:$DQ$20,$D512,FALSE))</f>
        <v>0</v>
      </c>
      <c r="N512" s="14">
        <f>IF(ISNA(VLOOKUP(N$1,'offpeak-new'!$A$3:$DQ$20,$D512,FALSE)),0,VLOOKUP(N$1,'offpeak-new'!$A$3:$DQ$20,$D512,FALSE))</f>
        <v>0</v>
      </c>
      <c r="O512" s="14">
        <f>IF(ISNA(VLOOKUP(O$1,'offpeak-new'!$A$3:$DQ$20,$D512,FALSE)),0,VLOOKUP(O$1,'offpeak-new'!$A$3:$DQ$20,$D512,FALSE))</f>
        <v>0</v>
      </c>
      <c r="P512" s="14">
        <f>IF(ISNA(VLOOKUP(P$1,'offpeak-new'!$A$3:$DQ$20,$D512,FALSE)),0,VLOOKUP(P$1,'offpeak-new'!$A$3:$DQ$20,$D512,FALSE))</f>
        <v>0</v>
      </c>
      <c r="Q512" s="15">
        <f>IF(ISNA(VLOOKUP(Q$1,'offpeak-new'!$A$3:$DQ$20,$D512,FALSE)),0,VLOOKUP(Q$1,'offpeak-new'!$A$3:$DQ$20,$D512,FALSE))</f>
        <v>0</v>
      </c>
      <c r="R512" s="14">
        <f>IF(ISNA(VLOOKUP(R$1,'offpeak-new'!$A$3:$DQ$20,$D512,FALSE)),0,VLOOKUP(R$1,'offpeak-new'!$A$3:$DQ$20,$D512,FALSE))</f>
        <v>0</v>
      </c>
      <c r="S512" s="10"/>
    </row>
    <row r="513" spans="1:19" s="8" customFormat="1" x14ac:dyDescent="0.2">
      <c r="A513" s="8">
        <f t="shared" si="149"/>
        <v>2002</v>
      </c>
      <c r="B513" s="8">
        <f t="shared" si="150"/>
        <v>10</v>
      </c>
      <c r="C513" s="9">
        <f t="shared" si="148"/>
        <v>37530</v>
      </c>
      <c r="D513" s="8">
        <f t="shared" si="151"/>
        <v>13</v>
      </c>
      <c r="E513" s="14">
        <f>IF(ISNA(VLOOKUP(E$1,'offpeak-new'!$A$3:$DQ$20,$D513,FALSE)),0,VLOOKUP(E$1,'offpeak-new'!$A$3:$DQ$20,$D513,FALSE))</f>
        <v>-59400</v>
      </c>
      <c r="F513" s="14">
        <f>IF(ISNA(VLOOKUP(F$1,'offpeak-new'!$A$3:$DQ$20,$D513,FALSE)),0,VLOOKUP(F$1,'offpeak-new'!$A$3:$DQ$20,$D513,FALSE))</f>
        <v>0</v>
      </c>
      <c r="G513" s="14">
        <f>IF(ISNA(VLOOKUP(G$1,'offpeak-new'!$A$3:$DQ$20,$D513,FALSE)),0,VLOOKUP(G$1,'offpeak-new'!$A$3:$DQ$20,$D513,FALSE))</f>
        <v>0</v>
      </c>
      <c r="H513" s="14">
        <f>IF(ISNA(VLOOKUP(H$1,'offpeak-new'!$A$3:$DQ$20,$D513,FALSE)),0,VLOOKUP(H$1,'offpeak-new'!$A$3:$DQ$20,$D513,FALSE))</f>
        <v>-40000</v>
      </c>
      <c r="I513" s="14">
        <f>IF(ISNA(VLOOKUP(I$1,'offpeak-new'!$A$3:$DQ$20,$D513,FALSE)),0,VLOOKUP(I$1,'offpeak-new'!$A$3:$DQ$20,$D513,FALSE))</f>
        <v>20000</v>
      </c>
      <c r="J513" s="14">
        <f>IF(ISNA(VLOOKUP(J$1,'offpeak-new'!$A$3:$DQ$20,$D513,FALSE)),0,VLOOKUP(J$1,'offpeak-new'!$A$3:$DQ$20,$D513,FALSE))</f>
        <v>0</v>
      </c>
      <c r="K513" s="14">
        <f>IF(ISNA(VLOOKUP(K$1,'offpeak-new'!$A$3:$DQ$20,$D513,FALSE)),0,VLOOKUP(K$1,'offpeak-new'!$A$3:$DQ$20,$D513,FALSE))</f>
        <v>-40000</v>
      </c>
      <c r="L513" s="14">
        <f>IF(ISNA(VLOOKUP(L$1,'offpeak-new'!$A$3:$DQ$20,$D513,FALSE)),0,VLOOKUP(L$1,'offpeak-new'!$A$3:$DQ$20,$D513,FALSE))</f>
        <v>10800</v>
      </c>
      <c r="M513" s="14">
        <f>IF(ISNA(VLOOKUP(M$1,'offpeak-new'!$A$3:$DQ$20,$D513,FALSE)),0,VLOOKUP(M$1,'offpeak-new'!$A$3:$DQ$20,$D513,FALSE))</f>
        <v>0</v>
      </c>
      <c r="N513" s="14">
        <f>IF(ISNA(VLOOKUP(N$1,'offpeak-new'!$A$3:$DQ$20,$D513,FALSE)),0,VLOOKUP(N$1,'offpeak-new'!$A$3:$DQ$20,$D513,FALSE))</f>
        <v>0</v>
      </c>
      <c r="O513" s="14">
        <f>IF(ISNA(VLOOKUP(O$1,'offpeak-new'!$A$3:$DQ$20,$D513,FALSE)),0,VLOOKUP(O$1,'offpeak-new'!$A$3:$DQ$20,$D513,FALSE))</f>
        <v>0</v>
      </c>
      <c r="P513" s="14">
        <f>IF(ISNA(VLOOKUP(P$1,'offpeak-new'!$A$3:$DQ$20,$D513,FALSE)),0,VLOOKUP(P$1,'offpeak-new'!$A$3:$DQ$20,$D513,FALSE))</f>
        <v>0</v>
      </c>
      <c r="Q513" s="15">
        <f>IF(ISNA(VLOOKUP(Q$1,'offpeak-new'!$A$3:$DQ$20,$D513,FALSE)),0,VLOOKUP(Q$1,'offpeak-new'!$A$3:$DQ$20,$D513,FALSE))</f>
        <v>0</v>
      </c>
      <c r="R513" s="14">
        <f>IF(ISNA(VLOOKUP(R$1,'offpeak-new'!$A$3:$DQ$20,$D513,FALSE)),0,VLOOKUP(R$1,'offpeak-new'!$A$3:$DQ$20,$D513,FALSE))</f>
        <v>0</v>
      </c>
      <c r="S513" s="10"/>
    </row>
    <row r="514" spans="1:19" s="8" customFormat="1" x14ac:dyDescent="0.2">
      <c r="A514" s="8">
        <f t="shared" si="149"/>
        <v>2002</v>
      </c>
      <c r="B514" s="8">
        <f t="shared" si="150"/>
        <v>11</v>
      </c>
      <c r="C514" s="9">
        <f t="shared" si="148"/>
        <v>37561</v>
      </c>
      <c r="D514" s="8">
        <f t="shared" si="151"/>
        <v>14</v>
      </c>
      <c r="E514" s="14">
        <f>IF(ISNA(VLOOKUP(E$1,'offpeak-new'!$A$3:$DQ$20,$D514,FALSE)),0,VLOOKUP(E$1,'offpeak-new'!$A$3:$DQ$20,$D514,FALSE))</f>
        <v>-60366</v>
      </c>
      <c r="F514" s="14">
        <f>IF(ISNA(VLOOKUP(F$1,'offpeak-new'!$A$3:$DQ$20,$D514,FALSE)),0,VLOOKUP(F$1,'offpeak-new'!$A$3:$DQ$20,$D514,FALSE))</f>
        <v>0</v>
      </c>
      <c r="G514" s="14">
        <f>IF(ISNA(VLOOKUP(G$1,'offpeak-new'!$A$3:$DQ$20,$D514,FALSE)),0,VLOOKUP(G$1,'offpeak-new'!$A$3:$DQ$20,$D514,FALSE))</f>
        <v>0</v>
      </c>
      <c r="H514" s="14">
        <f>IF(ISNA(VLOOKUP(H$1,'offpeak-new'!$A$3:$DQ$20,$D514,FALSE)),0,VLOOKUP(H$1,'offpeak-new'!$A$3:$DQ$20,$D514,FALSE))</f>
        <v>-40800</v>
      </c>
      <c r="I514" s="14">
        <f>IF(ISNA(VLOOKUP(I$1,'offpeak-new'!$A$3:$DQ$20,$D514,FALSE)),0,VLOOKUP(I$1,'offpeak-new'!$A$3:$DQ$20,$D514,FALSE))</f>
        <v>20400</v>
      </c>
      <c r="J514" s="14">
        <f>IF(ISNA(VLOOKUP(J$1,'offpeak-new'!$A$3:$DQ$20,$D514,FALSE)),0,VLOOKUP(J$1,'offpeak-new'!$A$3:$DQ$20,$D514,FALSE))</f>
        <v>0</v>
      </c>
      <c r="K514" s="14">
        <f>IF(ISNA(VLOOKUP(K$1,'offpeak-new'!$A$3:$DQ$20,$D514,FALSE)),0,VLOOKUP(K$1,'offpeak-new'!$A$3:$DQ$20,$D514,FALSE))</f>
        <v>-40800</v>
      </c>
      <c r="L514" s="14">
        <f>IF(ISNA(VLOOKUP(L$1,'offpeak-new'!$A$3:$DQ$20,$D514,FALSE)),0,VLOOKUP(L$1,'offpeak-new'!$A$3:$DQ$20,$D514,FALSE))</f>
        <v>11016</v>
      </c>
      <c r="M514" s="14">
        <f>IF(ISNA(VLOOKUP(M$1,'offpeak-new'!$A$3:$DQ$20,$D514,FALSE)),0,VLOOKUP(M$1,'offpeak-new'!$A$3:$DQ$20,$D514,FALSE))</f>
        <v>0</v>
      </c>
      <c r="N514" s="14">
        <f>IF(ISNA(VLOOKUP(N$1,'offpeak-new'!$A$3:$DQ$20,$D514,FALSE)),0,VLOOKUP(N$1,'offpeak-new'!$A$3:$DQ$20,$D514,FALSE))</f>
        <v>0</v>
      </c>
      <c r="O514" s="14">
        <f>IF(ISNA(VLOOKUP(O$1,'offpeak-new'!$A$3:$DQ$20,$D514,FALSE)),0,VLOOKUP(O$1,'offpeak-new'!$A$3:$DQ$20,$D514,FALSE))</f>
        <v>0</v>
      </c>
      <c r="P514" s="14">
        <f>IF(ISNA(VLOOKUP(P$1,'offpeak-new'!$A$3:$DQ$20,$D514,FALSE)),0,VLOOKUP(P$1,'offpeak-new'!$A$3:$DQ$20,$D514,FALSE))</f>
        <v>0</v>
      </c>
      <c r="Q514" s="15">
        <f>IF(ISNA(VLOOKUP(Q$1,'offpeak-new'!$A$3:$DQ$20,$D514,FALSE)),0,VLOOKUP(Q$1,'offpeak-new'!$A$3:$DQ$20,$D514,FALSE))</f>
        <v>0</v>
      </c>
      <c r="R514" s="14">
        <f>IF(ISNA(VLOOKUP(R$1,'offpeak-new'!$A$3:$DQ$20,$D514,FALSE)),0,VLOOKUP(R$1,'offpeak-new'!$A$3:$DQ$20,$D514,FALSE))</f>
        <v>0</v>
      </c>
      <c r="S514" s="10"/>
    </row>
    <row r="515" spans="1:19" s="8" customFormat="1" x14ac:dyDescent="0.2">
      <c r="A515" s="8">
        <f t="shared" si="149"/>
        <v>2002</v>
      </c>
      <c r="B515" s="8">
        <f t="shared" si="150"/>
        <v>12</v>
      </c>
      <c r="C515" s="9">
        <f t="shared" si="148"/>
        <v>37591</v>
      </c>
      <c r="D515" s="8">
        <f t="shared" si="151"/>
        <v>15</v>
      </c>
      <c r="E515" s="14">
        <f>IF(ISNA(VLOOKUP(E$1,'offpeak-new'!$A$3:$DQ$20,$D515,FALSE)),0,VLOOKUP(E$1,'offpeak-new'!$A$3:$DQ$20,$D515,FALSE))</f>
        <v>-97624</v>
      </c>
      <c r="F515" s="14">
        <f>IF(ISNA(VLOOKUP(F$1,'offpeak-new'!$A$3:$DQ$20,$D515,FALSE)),0,VLOOKUP(F$1,'offpeak-new'!$A$3:$DQ$20,$D515,FALSE))</f>
        <v>0</v>
      </c>
      <c r="G515" s="14">
        <f>IF(ISNA(VLOOKUP(G$1,'offpeak-new'!$A$3:$DQ$20,$D515,FALSE)),0,VLOOKUP(G$1,'offpeak-new'!$A$3:$DQ$20,$D515,FALSE))</f>
        <v>0</v>
      </c>
      <c r="H515" s="14">
        <f>IF(ISNA(VLOOKUP(H$1,'offpeak-new'!$A$3:$DQ$20,$D515,FALSE)),0,VLOOKUP(H$1,'offpeak-new'!$A$3:$DQ$20,$D515,FALSE))</f>
        <v>-19600</v>
      </c>
      <c r="I515" s="14">
        <f>IF(ISNA(VLOOKUP(I$1,'offpeak-new'!$A$3:$DQ$20,$D515,FALSE)),0,VLOOKUP(I$1,'offpeak-new'!$A$3:$DQ$20,$D515,FALSE))</f>
        <v>-39200</v>
      </c>
      <c r="J515" s="14">
        <f>IF(ISNA(VLOOKUP(J$1,'offpeak-new'!$A$3:$DQ$20,$D515,FALSE)),0,VLOOKUP(J$1,'offpeak-new'!$A$3:$DQ$20,$D515,FALSE))</f>
        <v>0</v>
      </c>
      <c r="K515" s="14">
        <f>IF(ISNA(VLOOKUP(K$1,'offpeak-new'!$A$3:$DQ$20,$D515,FALSE)),0,VLOOKUP(K$1,'offpeak-new'!$A$3:$DQ$20,$D515,FALSE))</f>
        <v>0</v>
      </c>
      <c r="L515" s="14">
        <f>IF(ISNA(VLOOKUP(L$1,'offpeak-new'!$A$3:$DQ$20,$D515,FALSE)),0,VLOOKUP(L$1,'offpeak-new'!$A$3:$DQ$20,$D515,FALSE))</f>
        <v>10584</v>
      </c>
      <c r="M515" s="14">
        <f>IF(ISNA(VLOOKUP(M$1,'offpeak-new'!$A$3:$DQ$20,$D515,FALSE)),0,VLOOKUP(M$1,'offpeak-new'!$A$3:$DQ$20,$D515,FALSE))</f>
        <v>0</v>
      </c>
      <c r="N515" s="14">
        <f>IF(ISNA(VLOOKUP(N$1,'offpeak-new'!$A$3:$DQ$20,$D515,FALSE)),0,VLOOKUP(N$1,'offpeak-new'!$A$3:$DQ$20,$D515,FALSE))</f>
        <v>0</v>
      </c>
      <c r="O515" s="14">
        <f>IF(ISNA(VLOOKUP(O$1,'offpeak-new'!$A$3:$DQ$20,$D515,FALSE)),0,VLOOKUP(O$1,'offpeak-new'!$A$3:$DQ$20,$D515,FALSE))</f>
        <v>0</v>
      </c>
      <c r="P515" s="14">
        <f>IF(ISNA(VLOOKUP(P$1,'offpeak-new'!$A$3:$DQ$20,$D515,FALSE)),0,VLOOKUP(P$1,'offpeak-new'!$A$3:$DQ$20,$D515,FALSE))</f>
        <v>0</v>
      </c>
      <c r="Q515" s="15">
        <f>IF(ISNA(VLOOKUP(Q$1,'offpeak-new'!$A$3:$DQ$20,$D515,FALSE)),0,VLOOKUP(Q$1,'offpeak-new'!$A$3:$DQ$20,$D515,FALSE))</f>
        <v>-9800</v>
      </c>
      <c r="R515" s="14">
        <f>IF(ISNA(VLOOKUP(R$1,'offpeak-new'!$A$3:$DQ$20,$D515,FALSE)),0,VLOOKUP(R$1,'offpeak-new'!$A$3:$DQ$20,$D515,FALSE))</f>
        <v>19600</v>
      </c>
      <c r="S515" s="10"/>
    </row>
    <row r="516" spans="1:19" s="8" customFormat="1" x14ac:dyDescent="0.2">
      <c r="A516" s="8">
        <f t="shared" si="149"/>
        <v>2003</v>
      </c>
      <c r="B516" s="8">
        <f t="shared" si="150"/>
        <v>1</v>
      </c>
      <c r="C516" s="9">
        <f t="shared" si="148"/>
        <v>37622</v>
      </c>
      <c r="D516" s="8">
        <f t="shared" si="151"/>
        <v>16</v>
      </c>
      <c r="E516" s="14">
        <f>IF(ISNA(VLOOKUP(E$1,'offpeak-new'!$A$3:$DQ$20,$D516,FALSE)),0,VLOOKUP(E$1,'offpeak-new'!$A$3:$DQ$20,$D516,FALSE))</f>
        <v>-87584</v>
      </c>
      <c r="F516" s="14">
        <f>IF(ISNA(VLOOKUP(F$1,'offpeak-new'!$A$3:$DQ$20,$D516,FALSE)),0,VLOOKUP(F$1,'offpeak-new'!$A$3:$DQ$20,$D516,FALSE))</f>
        <v>0</v>
      </c>
      <c r="G516" s="14">
        <f>IF(ISNA(VLOOKUP(G$1,'offpeak-new'!$A$3:$DQ$20,$D516,FALSE)),0,VLOOKUP(G$1,'offpeak-new'!$A$3:$DQ$20,$D516,FALSE))</f>
        <v>0</v>
      </c>
      <c r="H516" s="14">
        <f>IF(ISNA(VLOOKUP(H$1,'offpeak-new'!$A$3:$DQ$20,$D516,FALSE)),0,VLOOKUP(H$1,'offpeak-new'!$A$3:$DQ$20,$D516,FALSE))</f>
        <v>-17600</v>
      </c>
      <c r="I516" s="14">
        <f>IF(ISNA(VLOOKUP(I$1,'offpeak-new'!$A$3:$DQ$20,$D516,FALSE)),0,VLOOKUP(I$1,'offpeak-new'!$A$3:$DQ$20,$D516,FALSE))</f>
        <v>-35200</v>
      </c>
      <c r="J516" s="14">
        <f>IF(ISNA(VLOOKUP(J$1,'offpeak-new'!$A$3:$DQ$20,$D516,FALSE)),0,VLOOKUP(J$1,'offpeak-new'!$A$3:$DQ$20,$D516,FALSE))</f>
        <v>0</v>
      </c>
      <c r="K516" s="14">
        <f>IF(ISNA(VLOOKUP(K$1,'offpeak-new'!$A$3:$DQ$20,$D516,FALSE)),0,VLOOKUP(K$1,'offpeak-new'!$A$3:$DQ$20,$D516,FALSE))</f>
        <v>0</v>
      </c>
      <c r="L516" s="14">
        <f>IF(ISNA(VLOOKUP(L$1,'offpeak-new'!$A$3:$DQ$20,$D516,FALSE)),0,VLOOKUP(L$1,'offpeak-new'!$A$3:$DQ$20,$D516,FALSE))</f>
        <v>9504</v>
      </c>
      <c r="M516" s="14">
        <f>IF(ISNA(VLOOKUP(M$1,'offpeak-new'!$A$3:$DQ$20,$D516,FALSE)),0,VLOOKUP(M$1,'offpeak-new'!$A$3:$DQ$20,$D516,FALSE))</f>
        <v>0</v>
      </c>
      <c r="N516" s="14">
        <f>IF(ISNA(VLOOKUP(N$1,'offpeak-new'!$A$3:$DQ$20,$D516,FALSE)),0,VLOOKUP(N$1,'offpeak-new'!$A$3:$DQ$20,$D516,FALSE))</f>
        <v>0</v>
      </c>
      <c r="O516" s="14">
        <f>IF(ISNA(VLOOKUP(O$1,'offpeak-new'!$A$3:$DQ$20,$D516,FALSE)),0,VLOOKUP(O$1,'offpeak-new'!$A$3:$DQ$20,$D516,FALSE))</f>
        <v>0</v>
      </c>
      <c r="P516" s="14">
        <f>IF(ISNA(VLOOKUP(P$1,'offpeak-new'!$A$3:$DQ$20,$D516,FALSE)),0,VLOOKUP(P$1,'offpeak-new'!$A$3:$DQ$20,$D516,FALSE))</f>
        <v>0</v>
      </c>
      <c r="Q516" s="15">
        <f>IF(ISNA(VLOOKUP(Q$1,'offpeak-new'!$A$3:$DQ$20,$D516,FALSE)),0,VLOOKUP(Q$1,'offpeak-new'!$A$3:$DQ$20,$D516,FALSE))</f>
        <v>-8800</v>
      </c>
      <c r="R516" s="14">
        <f>IF(ISNA(VLOOKUP(R$1,'offpeak-new'!$A$3:$DQ$20,$D516,FALSE)),0,VLOOKUP(R$1,'offpeak-new'!$A$3:$DQ$20,$D516,FALSE))</f>
        <v>17600</v>
      </c>
      <c r="S516" s="10"/>
    </row>
    <row r="517" spans="1:19" s="8" customFormat="1" x14ac:dyDescent="0.2">
      <c r="A517" s="8">
        <f t="shared" si="149"/>
        <v>2003</v>
      </c>
      <c r="B517" s="8">
        <f t="shared" si="150"/>
        <v>2</v>
      </c>
      <c r="C517" s="9">
        <f t="shared" si="148"/>
        <v>37653</v>
      </c>
      <c r="D517" s="8">
        <f t="shared" si="151"/>
        <v>17</v>
      </c>
      <c r="E517" s="14">
        <f>IF(ISNA(VLOOKUP(E$1,'offpeak-new'!$A$3:$DQ$20,$D517,FALSE)),0,VLOOKUP(E$1,'offpeak-new'!$A$3:$DQ$20,$D517,FALSE))</f>
        <v>-102216</v>
      </c>
      <c r="F517" s="14">
        <f>IF(ISNA(VLOOKUP(F$1,'offpeak-new'!$A$3:$DQ$20,$D517,FALSE)),0,VLOOKUP(F$1,'offpeak-new'!$A$3:$DQ$20,$D517,FALSE))</f>
        <v>0</v>
      </c>
      <c r="G517" s="14">
        <f>IF(ISNA(VLOOKUP(G$1,'offpeak-new'!$A$3:$DQ$20,$D517,FALSE)),0,VLOOKUP(G$1,'offpeak-new'!$A$3:$DQ$20,$D517,FALSE))</f>
        <v>0</v>
      </c>
      <c r="H517" s="14">
        <f>IF(ISNA(VLOOKUP(H$1,'offpeak-new'!$A$3:$DQ$20,$D517,FALSE)),0,VLOOKUP(H$1,'offpeak-new'!$A$3:$DQ$20,$D517,FALSE))</f>
        <v>-20400</v>
      </c>
      <c r="I517" s="14">
        <f>IF(ISNA(VLOOKUP(I$1,'offpeak-new'!$A$3:$DQ$20,$D517,FALSE)),0,VLOOKUP(I$1,'offpeak-new'!$A$3:$DQ$20,$D517,FALSE))</f>
        <v>-40800</v>
      </c>
      <c r="J517" s="14">
        <f>IF(ISNA(VLOOKUP(J$1,'offpeak-new'!$A$3:$DQ$20,$D517,FALSE)),0,VLOOKUP(J$1,'offpeak-new'!$A$3:$DQ$20,$D517,FALSE))</f>
        <v>0</v>
      </c>
      <c r="K517" s="14">
        <f>IF(ISNA(VLOOKUP(K$1,'offpeak-new'!$A$3:$DQ$20,$D517,FALSE)),0,VLOOKUP(K$1,'offpeak-new'!$A$3:$DQ$20,$D517,FALSE))</f>
        <v>0</v>
      </c>
      <c r="L517" s="14">
        <f>IF(ISNA(VLOOKUP(L$1,'offpeak-new'!$A$3:$DQ$20,$D517,FALSE)),0,VLOOKUP(L$1,'offpeak-new'!$A$3:$DQ$20,$D517,FALSE))</f>
        <v>11016</v>
      </c>
      <c r="M517" s="14">
        <f>IF(ISNA(VLOOKUP(M$1,'offpeak-new'!$A$3:$DQ$20,$D517,FALSE)),0,VLOOKUP(M$1,'offpeak-new'!$A$3:$DQ$20,$D517,FALSE))</f>
        <v>0</v>
      </c>
      <c r="N517" s="14">
        <f>IF(ISNA(VLOOKUP(N$1,'offpeak-new'!$A$3:$DQ$20,$D517,FALSE)),0,VLOOKUP(N$1,'offpeak-new'!$A$3:$DQ$20,$D517,FALSE))</f>
        <v>0</v>
      </c>
      <c r="O517" s="14">
        <f>IF(ISNA(VLOOKUP(O$1,'offpeak-new'!$A$3:$DQ$20,$D517,FALSE)),0,VLOOKUP(O$1,'offpeak-new'!$A$3:$DQ$20,$D517,FALSE))</f>
        <v>0</v>
      </c>
      <c r="P517" s="14">
        <f>IF(ISNA(VLOOKUP(P$1,'offpeak-new'!$A$3:$DQ$20,$D517,FALSE)),0,VLOOKUP(P$1,'offpeak-new'!$A$3:$DQ$20,$D517,FALSE))</f>
        <v>0</v>
      </c>
      <c r="Q517" s="15">
        <f>IF(ISNA(VLOOKUP(Q$1,'offpeak-new'!$A$3:$DQ$20,$D517,FALSE)),0,VLOOKUP(Q$1,'offpeak-new'!$A$3:$DQ$20,$D517,FALSE))</f>
        <v>-10200</v>
      </c>
      <c r="R517" s="14">
        <f>IF(ISNA(VLOOKUP(R$1,'offpeak-new'!$A$3:$DQ$20,$D517,FALSE)),0,VLOOKUP(R$1,'offpeak-new'!$A$3:$DQ$20,$D517,FALSE))</f>
        <v>20400</v>
      </c>
      <c r="S517" s="10"/>
    </row>
    <row r="518" spans="1:19" s="8" customFormat="1" x14ac:dyDescent="0.2">
      <c r="A518" s="8">
        <f t="shared" si="149"/>
        <v>2003</v>
      </c>
      <c r="B518" s="8">
        <f t="shared" si="150"/>
        <v>3</v>
      </c>
      <c r="C518" s="9">
        <f t="shared" si="148"/>
        <v>37681</v>
      </c>
      <c r="D518" s="8">
        <f t="shared" si="151"/>
        <v>18</v>
      </c>
      <c r="E518" s="14">
        <f>IF(ISNA(VLOOKUP(E$1,'offpeak-new'!$A$3:$DQ$20,$D518,FALSE)),0,VLOOKUP(E$1,'offpeak-new'!$A$3:$DQ$20,$D518,FALSE))</f>
        <v>-90989</v>
      </c>
      <c r="F518" s="14">
        <f>IF(ISNA(VLOOKUP(F$1,'offpeak-new'!$A$3:$DQ$20,$D518,FALSE)),0,VLOOKUP(F$1,'offpeak-new'!$A$3:$DQ$20,$D518,FALSE))</f>
        <v>0</v>
      </c>
      <c r="G518" s="14">
        <f>IF(ISNA(VLOOKUP(G$1,'offpeak-new'!$A$3:$DQ$20,$D518,FALSE)),0,VLOOKUP(G$1,'offpeak-new'!$A$3:$DQ$20,$D518,FALSE))</f>
        <v>0</v>
      </c>
      <c r="H518" s="14">
        <f>IF(ISNA(VLOOKUP(H$1,'offpeak-new'!$A$3:$DQ$20,$D518,FALSE)),0,VLOOKUP(H$1,'offpeak-new'!$A$3:$DQ$20,$D518,FALSE))</f>
        <v>-18350</v>
      </c>
      <c r="I518" s="14">
        <f>IF(ISNA(VLOOKUP(I$1,'offpeak-new'!$A$3:$DQ$20,$D518,FALSE)),0,VLOOKUP(I$1,'offpeak-new'!$A$3:$DQ$20,$D518,FALSE))</f>
        <v>-36700</v>
      </c>
      <c r="J518" s="14">
        <f>IF(ISNA(VLOOKUP(J$1,'offpeak-new'!$A$3:$DQ$20,$D518,FALSE)),0,VLOOKUP(J$1,'offpeak-new'!$A$3:$DQ$20,$D518,FALSE))</f>
        <v>0</v>
      </c>
      <c r="K518" s="14">
        <f>IF(ISNA(VLOOKUP(K$1,'offpeak-new'!$A$3:$DQ$20,$D518,FALSE)),0,VLOOKUP(K$1,'offpeak-new'!$A$3:$DQ$20,$D518,FALSE))</f>
        <v>0</v>
      </c>
      <c r="L518" s="14">
        <f>IF(ISNA(VLOOKUP(L$1,'offpeak-new'!$A$3:$DQ$20,$D518,FALSE)),0,VLOOKUP(L$1,'offpeak-new'!$A$3:$DQ$20,$D518,FALSE))</f>
        <v>9909</v>
      </c>
      <c r="M518" s="14">
        <f>IF(ISNA(VLOOKUP(M$1,'offpeak-new'!$A$3:$DQ$20,$D518,FALSE)),0,VLOOKUP(M$1,'offpeak-new'!$A$3:$DQ$20,$D518,FALSE))</f>
        <v>0</v>
      </c>
      <c r="N518" s="14">
        <f>IF(ISNA(VLOOKUP(N$1,'offpeak-new'!$A$3:$DQ$20,$D518,FALSE)),0,VLOOKUP(N$1,'offpeak-new'!$A$3:$DQ$20,$D518,FALSE))</f>
        <v>0</v>
      </c>
      <c r="O518" s="14">
        <f>IF(ISNA(VLOOKUP(O$1,'offpeak-new'!$A$3:$DQ$20,$D518,FALSE)),0,VLOOKUP(O$1,'offpeak-new'!$A$3:$DQ$20,$D518,FALSE))</f>
        <v>0</v>
      </c>
      <c r="P518" s="14">
        <f>IF(ISNA(VLOOKUP(P$1,'offpeak-new'!$A$3:$DQ$20,$D518,FALSE)),0,VLOOKUP(P$1,'offpeak-new'!$A$3:$DQ$20,$D518,FALSE))</f>
        <v>0</v>
      </c>
      <c r="Q518" s="15">
        <f>IF(ISNA(VLOOKUP(Q$1,'offpeak-new'!$A$3:$DQ$20,$D518,FALSE)),0,VLOOKUP(Q$1,'offpeak-new'!$A$3:$DQ$20,$D518,FALSE))</f>
        <v>-9175</v>
      </c>
      <c r="R518" s="14">
        <f>IF(ISNA(VLOOKUP(R$1,'offpeak-new'!$A$3:$DQ$20,$D518,FALSE)),0,VLOOKUP(R$1,'offpeak-new'!$A$3:$DQ$20,$D518,FALSE))</f>
        <v>18350</v>
      </c>
      <c r="S518" s="10"/>
    </row>
    <row r="519" spans="1:19" s="8" customFormat="1" x14ac:dyDescent="0.2">
      <c r="A519" s="8">
        <f t="shared" si="149"/>
        <v>2003</v>
      </c>
      <c r="B519" s="8">
        <f t="shared" si="150"/>
        <v>4</v>
      </c>
      <c r="C519" s="9">
        <f t="shared" si="148"/>
        <v>37712</v>
      </c>
      <c r="D519" s="8">
        <f t="shared" si="151"/>
        <v>19</v>
      </c>
      <c r="E519" s="14">
        <f>IF(ISNA(VLOOKUP(E$1,'offpeak-new'!$A$3:$DQ$20,$D519,FALSE)),0,VLOOKUP(E$1,'offpeak-new'!$A$3:$DQ$20,$D519,FALSE))</f>
        <v>-106416</v>
      </c>
      <c r="F519" s="14">
        <f>IF(ISNA(VLOOKUP(F$1,'offpeak-new'!$A$3:$DQ$20,$D519,FALSE)),0,VLOOKUP(F$1,'offpeak-new'!$A$3:$DQ$20,$D519,FALSE))</f>
        <v>0</v>
      </c>
      <c r="G519" s="14">
        <f>IF(ISNA(VLOOKUP(G$1,'offpeak-new'!$A$3:$DQ$20,$D519,FALSE)),0,VLOOKUP(G$1,'offpeak-new'!$A$3:$DQ$20,$D519,FALSE))</f>
        <v>0</v>
      </c>
      <c r="H519" s="14">
        <f>IF(ISNA(VLOOKUP(H$1,'offpeak-new'!$A$3:$DQ$20,$D519,FALSE)),0,VLOOKUP(H$1,'offpeak-new'!$A$3:$DQ$20,$D519,FALSE))</f>
        <v>-20400</v>
      </c>
      <c r="I519" s="14">
        <f>IF(ISNA(VLOOKUP(I$1,'offpeak-new'!$A$3:$DQ$20,$D519,FALSE)),0,VLOOKUP(I$1,'offpeak-new'!$A$3:$DQ$20,$D519,FALSE))</f>
        <v>-40800</v>
      </c>
      <c r="J519" s="14">
        <f>IF(ISNA(VLOOKUP(J$1,'offpeak-new'!$A$3:$DQ$20,$D519,FALSE)),0,VLOOKUP(J$1,'offpeak-new'!$A$3:$DQ$20,$D519,FALSE))</f>
        <v>0</v>
      </c>
      <c r="K519" s="14">
        <f>IF(ISNA(VLOOKUP(K$1,'offpeak-new'!$A$3:$DQ$20,$D519,FALSE)),0,VLOOKUP(K$1,'offpeak-new'!$A$3:$DQ$20,$D519,FALSE))</f>
        <v>0</v>
      </c>
      <c r="L519" s="14">
        <f>IF(ISNA(VLOOKUP(L$1,'offpeak-new'!$A$3:$DQ$20,$D519,FALSE)),0,VLOOKUP(L$1,'offpeak-new'!$A$3:$DQ$20,$D519,FALSE))</f>
        <v>11016</v>
      </c>
      <c r="M519" s="14">
        <f>IF(ISNA(VLOOKUP(M$1,'offpeak-new'!$A$3:$DQ$20,$D519,FALSE)),0,VLOOKUP(M$1,'offpeak-new'!$A$3:$DQ$20,$D519,FALSE))</f>
        <v>0</v>
      </c>
      <c r="N519" s="14">
        <f>IF(ISNA(VLOOKUP(N$1,'offpeak-new'!$A$3:$DQ$20,$D519,FALSE)),0,VLOOKUP(N$1,'offpeak-new'!$A$3:$DQ$20,$D519,FALSE))</f>
        <v>0</v>
      </c>
      <c r="O519" s="14">
        <f>IF(ISNA(VLOOKUP(O$1,'offpeak-new'!$A$3:$DQ$20,$D519,FALSE)),0,VLOOKUP(O$1,'offpeak-new'!$A$3:$DQ$20,$D519,FALSE))</f>
        <v>0</v>
      </c>
      <c r="P519" s="14">
        <f>IF(ISNA(VLOOKUP(P$1,'offpeak-new'!$A$3:$DQ$20,$D519,FALSE)),0,VLOOKUP(P$1,'offpeak-new'!$A$3:$DQ$20,$D519,FALSE))</f>
        <v>0</v>
      </c>
      <c r="Q519" s="15">
        <f>IF(ISNA(VLOOKUP(Q$1,'offpeak-new'!$A$3:$DQ$20,$D519,FALSE)),0,VLOOKUP(Q$1,'offpeak-new'!$A$3:$DQ$20,$D519,FALSE))</f>
        <v>-10200</v>
      </c>
      <c r="R519" s="14">
        <f>IF(ISNA(VLOOKUP(R$1,'offpeak-new'!$A$3:$DQ$20,$D519,FALSE)),0,VLOOKUP(R$1,'offpeak-new'!$A$3:$DQ$20,$D519,FALSE))</f>
        <v>20400</v>
      </c>
      <c r="S519" s="10"/>
    </row>
    <row r="520" spans="1:19" s="8" customFormat="1" x14ac:dyDescent="0.2">
      <c r="A520" s="8">
        <f t="shared" si="149"/>
        <v>2003</v>
      </c>
      <c r="B520" s="8">
        <f t="shared" si="150"/>
        <v>5</v>
      </c>
      <c r="C520" s="9">
        <f t="shared" si="148"/>
        <v>37742</v>
      </c>
      <c r="D520" s="8">
        <f t="shared" si="151"/>
        <v>20</v>
      </c>
      <c r="E520" s="14">
        <f>IF(ISNA(VLOOKUP(E$1,'offpeak-new'!$A$3:$DQ$20,$D520,FALSE)),0,VLOOKUP(E$1,'offpeak-new'!$A$3:$DQ$20,$D520,FALSE))</f>
        <v>-95808</v>
      </c>
      <c r="F520" s="14">
        <f>IF(ISNA(VLOOKUP(F$1,'offpeak-new'!$A$3:$DQ$20,$D520,FALSE)),0,VLOOKUP(F$1,'offpeak-new'!$A$3:$DQ$20,$D520,FALSE))</f>
        <v>0</v>
      </c>
      <c r="G520" s="14">
        <f>IF(ISNA(VLOOKUP(G$1,'offpeak-new'!$A$3:$DQ$20,$D520,FALSE)),0,VLOOKUP(G$1,'offpeak-new'!$A$3:$DQ$20,$D520,FALSE))</f>
        <v>0</v>
      </c>
      <c r="H520" s="14">
        <f>IF(ISNA(VLOOKUP(H$1,'offpeak-new'!$A$3:$DQ$20,$D520,FALSE)),0,VLOOKUP(H$1,'offpeak-new'!$A$3:$DQ$20,$D520,FALSE))</f>
        <v>-19200</v>
      </c>
      <c r="I520" s="14">
        <f>IF(ISNA(VLOOKUP(I$1,'offpeak-new'!$A$3:$DQ$20,$D520,FALSE)),0,VLOOKUP(I$1,'offpeak-new'!$A$3:$DQ$20,$D520,FALSE))</f>
        <v>-38400</v>
      </c>
      <c r="J520" s="14">
        <f>IF(ISNA(VLOOKUP(J$1,'offpeak-new'!$A$3:$DQ$20,$D520,FALSE)),0,VLOOKUP(J$1,'offpeak-new'!$A$3:$DQ$20,$D520,FALSE))</f>
        <v>0</v>
      </c>
      <c r="K520" s="14">
        <f>IF(ISNA(VLOOKUP(K$1,'offpeak-new'!$A$3:$DQ$20,$D520,FALSE)),0,VLOOKUP(K$1,'offpeak-new'!$A$3:$DQ$20,$D520,FALSE))</f>
        <v>0</v>
      </c>
      <c r="L520" s="14">
        <f>IF(ISNA(VLOOKUP(L$1,'offpeak-new'!$A$3:$DQ$20,$D520,FALSE)),0,VLOOKUP(L$1,'offpeak-new'!$A$3:$DQ$20,$D520,FALSE))</f>
        <v>10368</v>
      </c>
      <c r="M520" s="14">
        <f>IF(ISNA(VLOOKUP(M$1,'offpeak-new'!$A$3:$DQ$20,$D520,FALSE)),0,VLOOKUP(M$1,'offpeak-new'!$A$3:$DQ$20,$D520,FALSE))</f>
        <v>0</v>
      </c>
      <c r="N520" s="14">
        <f>IF(ISNA(VLOOKUP(N$1,'offpeak-new'!$A$3:$DQ$20,$D520,FALSE)),0,VLOOKUP(N$1,'offpeak-new'!$A$3:$DQ$20,$D520,FALSE))</f>
        <v>0</v>
      </c>
      <c r="O520" s="14">
        <f>IF(ISNA(VLOOKUP(O$1,'offpeak-new'!$A$3:$DQ$20,$D520,FALSE)),0,VLOOKUP(O$1,'offpeak-new'!$A$3:$DQ$20,$D520,FALSE))</f>
        <v>0</v>
      </c>
      <c r="P520" s="14">
        <f>IF(ISNA(VLOOKUP(P$1,'offpeak-new'!$A$3:$DQ$20,$D520,FALSE)),0,VLOOKUP(P$1,'offpeak-new'!$A$3:$DQ$20,$D520,FALSE))</f>
        <v>0</v>
      </c>
      <c r="Q520" s="15">
        <f>IF(ISNA(VLOOKUP(Q$1,'offpeak-new'!$A$3:$DQ$20,$D520,FALSE)),0,VLOOKUP(Q$1,'offpeak-new'!$A$3:$DQ$20,$D520,FALSE))</f>
        <v>-9600</v>
      </c>
      <c r="R520" s="14">
        <f>IF(ISNA(VLOOKUP(R$1,'offpeak-new'!$A$3:$DQ$20,$D520,FALSE)),0,VLOOKUP(R$1,'offpeak-new'!$A$3:$DQ$20,$D520,FALSE))</f>
        <v>19200</v>
      </c>
      <c r="S520" s="10"/>
    </row>
    <row r="521" spans="1:19" s="8" customFormat="1" x14ac:dyDescent="0.2">
      <c r="A521" s="8">
        <f t="shared" si="149"/>
        <v>2003</v>
      </c>
      <c r="B521" s="8">
        <f t="shared" si="150"/>
        <v>6</v>
      </c>
      <c r="C521" s="9">
        <f t="shared" si="148"/>
        <v>37773</v>
      </c>
      <c r="D521" s="8">
        <f t="shared" si="151"/>
        <v>21</v>
      </c>
      <c r="E521" s="14">
        <f>IF(ISNA(VLOOKUP(E$1,'offpeak-new'!$A$3:$DQ$20,$D521,FALSE)),0,VLOOKUP(E$1,'offpeak-new'!$A$3:$DQ$20,$D521,FALSE))</f>
        <v>-97624</v>
      </c>
      <c r="F521" s="14">
        <f>IF(ISNA(VLOOKUP(F$1,'offpeak-new'!$A$3:$DQ$20,$D521,FALSE)),0,VLOOKUP(F$1,'offpeak-new'!$A$3:$DQ$20,$D521,FALSE))</f>
        <v>0</v>
      </c>
      <c r="G521" s="14">
        <f>IF(ISNA(VLOOKUP(G$1,'offpeak-new'!$A$3:$DQ$20,$D521,FALSE)),0,VLOOKUP(G$1,'offpeak-new'!$A$3:$DQ$20,$D521,FALSE))</f>
        <v>0</v>
      </c>
      <c r="H521" s="14">
        <f>IF(ISNA(VLOOKUP(H$1,'offpeak-new'!$A$3:$DQ$20,$D521,FALSE)),0,VLOOKUP(H$1,'offpeak-new'!$A$3:$DQ$20,$D521,FALSE))</f>
        <v>-19600</v>
      </c>
      <c r="I521" s="14">
        <f>IF(ISNA(VLOOKUP(I$1,'offpeak-new'!$A$3:$DQ$20,$D521,FALSE)),0,VLOOKUP(I$1,'offpeak-new'!$A$3:$DQ$20,$D521,FALSE))</f>
        <v>-39200</v>
      </c>
      <c r="J521" s="14">
        <f>IF(ISNA(VLOOKUP(J$1,'offpeak-new'!$A$3:$DQ$20,$D521,FALSE)),0,VLOOKUP(J$1,'offpeak-new'!$A$3:$DQ$20,$D521,FALSE))</f>
        <v>0</v>
      </c>
      <c r="K521" s="14">
        <f>IF(ISNA(VLOOKUP(K$1,'offpeak-new'!$A$3:$DQ$20,$D521,FALSE)),0,VLOOKUP(K$1,'offpeak-new'!$A$3:$DQ$20,$D521,FALSE))</f>
        <v>0</v>
      </c>
      <c r="L521" s="14">
        <f>IF(ISNA(VLOOKUP(L$1,'offpeak-new'!$A$3:$DQ$20,$D521,FALSE)),0,VLOOKUP(L$1,'offpeak-new'!$A$3:$DQ$20,$D521,FALSE))</f>
        <v>10584</v>
      </c>
      <c r="M521" s="14">
        <f>IF(ISNA(VLOOKUP(M$1,'offpeak-new'!$A$3:$DQ$20,$D521,FALSE)),0,VLOOKUP(M$1,'offpeak-new'!$A$3:$DQ$20,$D521,FALSE))</f>
        <v>0</v>
      </c>
      <c r="N521" s="14">
        <f>IF(ISNA(VLOOKUP(N$1,'offpeak-new'!$A$3:$DQ$20,$D521,FALSE)),0,VLOOKUP(N$1,'offpeak-new'!$A$3:$DQ$20,$D521,FALSE))</f>
        <v>0</v>
      </c>
      <c r="O521" s="14">
        <f>IF(ISNA(VLOOKUP(O$1,'offpeak-new'!$A$3:$DQ$20,$D521,FALSE)),0,VLOOKUP(O$1,'offpeak-new'!$A$3:$DQ$20,$D521,FALSE))</f>
        <v>0</v>
      </c>
      <c r="P521" s="14">
        <f>IF(ISNA(VLOOKUP(P$1,'offpeak-new'!$A$3:$DQ$20,$D521,FALSE)),0,VLOOKUP(P$1,'offpeak-new'!$A$3:$DQ$20,$D521,FALSE))</f>
        <v>0</v>
      </c>
      <c r="Q521" s="15">
        <f>IF(ISNA(VLOOKUP(Q$1,'offpeak-new'!$A$3:$DQ$20,$D521,FALSE)),0,VLOOKUP(Q$1,'offpeak-new'!$A$3:$DQ$20,$D521,FALSE))</f>
        <v>-9800</v>
      </c>
      <c r="R521" s="14">
        <f>IF(ISNA(VLOOKUP(R$1,'offpeak-new'!$A$3:$DQ$20,$D521,FALSE)),0,VLOOKUP(R$1,'offpeak-new'!$A$3:$DQ$20,$D521,FALSE))</f>
        <v>19600</v>
      </c>
      <c r="S521" s="10"/>
    </row>
    <row r="522" spans="1:19" s="8" customFormat="1" x14ac:dyDescent="0.2">
      <c r="A522" s="8">
        <f t="shared" si="149"/>
        <v>2003</v>
      </c>
      <c r="B522" s="8">
        <f t="shared" si="150"/>
        <v>7</v>
      </c>
      <c r="C522" s="9">
        <f t="shared" si="148"/>
        <v>37803</v>
      </c>
      <c r="D522" s="8">
        <f t="shared" si="151"/>
        <v>22</v>
      </c>
      <c r="E522" s="14">
        <f>IF(ISNA(VLOOKUP(E$1,'offpeak-new'!$A$3:$DQ$20,$D522,FALSE)),0,VLOOKUP(E$1,'offpeak-new'!$A$3:$DQ$20,$D522,FALSE))</f>
        <v>-102216</v>
      </c>
      <c r="F522" s="14">
        <f>IF(ISNA(VLOOKUP(F$1,'offpeak-new'!$A$3:$DQ$20,$D522,FALSE)),0,VLOOKUP(F$1,'offpeak-new'!$A$3:$DQ$20,$D522,FALSE))</f>
        <v>0</v>
      </c>
      <c r="G522" s="14">
        <f>IF(ISNA(VLOOKUP(G$1,'offpeak-new'!$A$3:$DQ$20,$D522,FALSE)),0,VLOOKUP(G$1,'offpeak-new'!$A$3:$DQ$20,$D522,FALSE))</f>
        <v>0</v>
      </c>
      <c r="H522" s="14">
        <f>IF(ISNA(VLOOKUP(H$1,'offpeak-new'!$A$3:$DQ$20,$D522,FALSE)),0,VLOOKUP(H$1,'offpeak-new'!$A$3:$DQ$20,$D522,FALSE))</f>
        <v>-20400</v>
      </c>
      <c r="I522" s="14">
        <f>IF(ISNA(VLOOKUP(I$1,'offpeak-new'!$A$3:$DQ$20,$D522,FALSE)),0,VLOOKUP(I$1,'offpeak-new'!$A$3:$DQ$20,$D522,FALSE))</f>
        <v>-40800</v>
      </c>
      <c r="J522" s="14">
        <f>IF(ISNA(VLOOKUP(J$1,'offpeak-new'!$A$3:$DQ$20,$D522,FALSE)),0,VLOOKUP(J$1,'offpeak-new'!$A$3:$DQ$20,$D522,FALSE))</f>
        <v>0</v>
      </c>
      <c r="K522" s="14">
        <f>IF(ISNA(VLOOKUP(K$1,'offpeak-new'!$A$3:$DQ$20,$D522,FALSE)),0,VLOOKUP(K$1,'offpeak-new'!$A$3:$DQ$20,$D522,FALSE))</f>
        <v>0</v>
      </c>
      <c r="L522" s="14">
        <f>IF(ISNA(VLOOKUP(L$1,'offpeak-new'!$A$3:$DQ$20,$D522,FALSE)),0,VLOOKUP(L$1,'offpeak-new'!$A$3:$DQ$20,$D522,FALSE))</f>
        <v>11016</v>
      </c>
      <c r="M522" s="14">
        <f>IF(ISNA(VLOOKUP(M$1,'offpeak-new'!$A$3:$DQ$20,$D522,FALSE)),0,VLOOKUP(M$1,'offpeak-new'!$A$3:$DQ$20,$D522,FALSE))</f>
        <v>0</v>
      </c>
      <c r="N522" s="14">
        <f>IF(ISNA(VLOOKUP(N$1,'offpeak-new'!$A$3:$DQ$20,$D522,FALSE)),0,VLOOKUP(N$1,'offpeak-new'!$A$3:$DQ$20,$D522,FALSE))</f>
        <v>0</v>
      </c>
      <c r="O522" s="14">
        <f>IF(ISNA(VLOOKUP(O$1,'offpeak-new'!$A$3:$DQ$20,$D522,FALSE)),0,VLOOKUP(O$1,'offpeak-new'!$A$3:$DQ$20,$D522,FALSE))</f>
        <v>0</v>
      </c>
      <c r="P522" s="14">
        <f>IF(ISNA(VLOOKUP(P$1,'offpeak-new'!$A$3:$DQ$20,$D522,FALSE)),0,VLOOKUP(P$1,'offpeak-new'!$A$3:$DQ$20,$D522,FALSE))</f>
        <v>0</v>
      </c>
      <c r="Q522" s="15">
        <f>IF(ISNA(VLOOKUP(Q$1,'offpeak-new'!$A$3:$DQ$20,$D522,FALSE)),0,VLOOKUP(Q$1,'offpeak-new'!$A$3:$DQ$20,$D522,FALSE))</f>
        <v>-10200</v>
      </c>
      <c r="R522" s="14">
        <f>IF(ISNA(VLOOKUP(R$1,'offpeak-new'!$A$3:$DQ$20,$D522,FALSE)),0,VLOOKUP(R$1,'offpeak-new'!$A$3:$DQ$20,$D522,FALSE))</f>
        <v>20400</v>
      </c>
      <c r="S522" s="10"/>
    </row>
    <row r="523" spans="1:19" s="8" customFormat="1" x14ac:dyDescent="0.2">
      <c r="A523" s="8">
        <f t="shared" si="149"/>
        <v>2003</v>
      </c>
      <c r="B523" s="8">
        <f t="shared" si="150"/>
        <v>8</v>
      </c>
      <c r="C523" s="9">
        <f t="shared" si="148"/>
        <v>37834</v>
      </c>
      <c r="D523" s="8">
        <f t="shared" si="151"/>
        <v>23</v>
      </c>
      <c r="E523" s="14">
        <f>IF(ISNA(VLOOKUP(E$1,'offpeak-new'!$A$3:$DQ$20,$D523,FALSE)),0,VLOOKUP(E$1,'offpeak-new'!$A$3:$DQ$20,$D523,FALSE))</f>
        <v>-95808</v>
      </c>
      <c r="F523" s="14">
        <f>IF(ISNA(VLOOKUP(F$1,'offpeak-new'!$A$3:$DQ$20,$D523,FALSE)),0,VLOOKUP(F$1,'offpeak-new'!$A$3:$DQ$20,$D523,FALSE))</f>
        <v>0</v>
      </c>
      <c r="G523" s="14">
        <f>IF(ISNA(VLOOKUP(G$1,'offpeak-new'!$A$3:$DQ$20,$D523,FALSE)),0,VLOOKUP(G$1,'offpeak-new'!$A$3:$DQ$20,$D523,FALSE))</f>
        <v>0</v>
      </c>
      <c r="H523" s="14">
        <f>IF(ISNA(VLOOKUP(H$1,'offpeak-new'!$A$3:$DQ$20,$D523,FALSE)),0,VLOOKUP(H$1,'offpeak-new'!$A$3:$DQ$20,$D523,FALSE))</f>
        <v>-19200</v>
      </c>
      <c r="I523" s="14">
        <f>IF(ISNA(VLOOKUP(I$1,'offpeak-new'!$A$3:$DQ$20,$D523,FALSE)),0,VLOOKUP(I$1,'offpeak-new'!$A$3:$DQ$20,$D523,FALSE))</f>
        <v>-38400</v>
      </c>
      <c r="J523" s="14">
        <f>IF(ISNA(VLOOKUP(J$1,'offpeak-new'!$A$3:$DQ$20,$D523,FALSE)),0,VLOOKUP(J$1,'offpeak-new'!$A$3:$DQ$20,$D523,FALSE))</f>
        <v>0</v>
      </c>
      <c r="K523" s="14">
        <f>IF(ISNA(VLOOKUP(K$1,'offpeak-new'!$A$3:$DQ$20,$D523,FALSE)),0,VLOOKUP(K$1,'offpeak-new'!$A$3:$DQ$20,$D523,FALSE))</f>
        <v>0</v>
      </c>
      <c r="L523" s="14">
        <f>IF(ISNA(VLOOKUP(L$1,'offpeak-new'!$A$3:$DQ$20,$D523,FALSE)),0,VLOOKUP(L$1,'offpeak-new'!$A$3:$DQ$20,$D523,FALSE))</f>
        <v>10368</v>
      </c>
      <c r="M523" s="14">
        <f>IF(ISNA(VLOOKUP(M$1,'offpeak-new'!$A$3:$DQ$20,$D523,FALSE)),0,VLOOKUP(M$1,'offpeak-new'!$A$3:$DQ$20,$D523,FALSE))</f>
        <v>0</v>
      </c>
      <c r="N523" s="14">
        <f>IF(ISNA(VLOOKUP(N$1,'offpeak-new'!$A$3:$DQ$20,$D523,FALSE)),0,VLOOKUP(N$1,'offpeak-new'!$A$3:$DQ$20,$D523,FALSE))</f>
        <v>0</v>
      </c>
      <c r="O523" s="14">
        <f>IF(ISNA(VLOOKUP(O$1,'offpeak-new'!$A$3:$DQ$20,$D523,FALSE)),0,VLOOKUP(O$1,'offpeak-new'!$A$3:$DQ$20,$D523,FALSE))</f>
        <v>0</v>
      </c>
      <c r="P523" s="14">
        <f>IF(ISNA(VLOOKUP(P$1,'offpeak-new'!$A$3:$DQ$20,$D523,FALSE)),0,VLOOKUP(P$1,'offpeak-new'!$A$3:$DQ$20,$D523,FALSE))</f>
        <v>0</v>
      </c>
      <c r="Q523" s="15">
        <f>IF(ISNA(VLOOKUP(Q$1,'offpeak-new'!$A$3:$DQ$20,$D523,FALSE)),0,VLOOKUP(Q$1,'offpeak-new'!$A$3:$DQ$20,$D523,FALSE))</f>
        <v>-9600</v>
      </c>
      <c r="R523" s="14">
        <f>IF(ISNA(VLOOKUP(R$1,'offpeak-new'!$A$3:$DQ$20,$D523,FALSE)),0,VLOOKUP(R$1,'offpeak-new'!$A$3:$DQ$20,$D523,FALSE))</f>
        <v>19200</v>
      </c>
      <c r="S523" s="10"/>
    </row>
    <row r="524" spans="1:19" s="8" customFormat="1" x14ac:dyDescent="0.2">
      <c r="A524" s="8">
        <f t="shared" si="149"/>
        <v>2003</v>
      </c>
      <c r="B524" s="8">
        <f t="shared" si="150"/>
        <v>9</v>
      </c>
      <c r="C524" s="9">
        <f t="shared" ref="C524:C555" si="152">DATE(A524,B524,1)</f>
        <v>37865</v>
      </c>
      <c r="D524" s="8">
        <f t="shared" si="151"/>
        <v>24</v>
      </c>
      <c r="E524" s="14">
        <f>IF(ISNA(VLOOKUP(E$1,'offpeak-new'!$A$3:$DQ$20,$D524,FALSE)),0,VLOOKUP(E$1,'offpeak-new'!$A$3:$DQ$20,$D524,FALSE))</f>
        <v>-93259</v>
      </c>
      <c r="F524" s="14">
        <f>IF(ISNA(VLOOKUP(F$1,'offpeak-new'!$A$3:$DQ$20,$D524,FALSE)),0,VLOOKUP(F$1,'offpeak-new'!$A$3:$DQ$20,$D524,FALSE))</f>
        <v>0</v>
      </c>
      <c r="G524" s="14">
        <f>IF(ISNA(VLOOKUP(G$1,'offpeak-new'!$A$3:$DQ$20,$D524,FALSE)),0,VLOOKUP(G$1,'offpeak-new'!$A$3:$DQ$20,$D524,FALSE))</f>
        <v>0</v>
      </c>
      <c r="H524" s="14">
        <f>IF(ISNA(VLOOKUP(H$1,'offpeak-new'!$A$3:$DQ$20,$D524,FALSE)),0,VLOOKUP(H$1,'offpeak-new'!$A$3:$DQ$20,$D524,FALSE))</f>
        <v>-18850</v>
      </c>
      <c r="I524" s="14">
        <f>IF(ISNA(VLOOKUP(I$1,'offpeak-new'!$A$3:$DQ$20,$D524,FALSE)),0,VLOOKUP(I$1,'offpeak-new'!$A$3:$DQ$20,$D524,FALSE))</f>
        <v>-37700</v>
      </c>
      <c r="J524" s="14">
        <f>IF(ISNA(VLOOKUP(J$1,'offpeak-new'!$A$3:$DQ$20,$D524,FALSE)),0,VLOOKUP(J$1,'offpeak-new'!$A$3:$DQ$20,$D524,FALSE))</f>
        <v>0</v>
      </c>
      <c r="K524" s="14">
        <f>IF(ISNA(VLOOKUP(K$1,'offpeak-new'!$A$3:$DQ$20,$D524,FALSE)),0,VLOOKUP(K$1,'offpeak-new'!$A$3:$DQ$20,$D524,FALSE))</f>
        <v>0</v>
      </c>
      <c r="L524" s="14">
        <f>IF(ISNA(VLOOKUP(L$1,'offpeak-new'!$A$3:$DQ$20,$D524,FALSE)),0,VLOOKUP(L$1,'offpeak-new'!$A$3:$DQ$20,$D524,FALSE))</f>
        <v>10179</v>
      </c>
      <c r="M524" s="14">
        <f>IF(ISNA(VLOOKUP(M$1,'offpeak-new'!$A$3:$DQ$20,$D524,FALSE)),0,VLOOKUP(M$1,'offpeak-new'!$A$3:$DQ$20,$D524,FALSE))</f>
        <v>0</v>
      </c>
      <c r="N524" s="14">
        <f>IF(ISNA(VLOOKUP(N$1,'offpeak-new'!$A$3:$DQ$20,$D524,FALSE)),0,VLOOKUP(N$1,'offpeak-new'!$A$3:$DQ$20,$D524,FALSE))</f>
        <v>0</v>
      </c>
      <c r="O524" s="14">
        <f>IF(ISNA(VLOOKUP(O$1,'offpeak-new'!$A$3:$DQ$20,$D524,FALSE)),0,VLOOKUP(O$1,'offpeak-new'!$A$3:$DQ$20,$D524,FALSE))</f>
        <v>0</v>
      </c>
      <c r="P524" s="14">
        <f>IF(ISNA(VLOOKUP(P$1,'offpeak-new'!$A$3:$DQ$20,$D524,FALSE)),0,VLOOKUP(P$1,'offpeak-new'!$A$3:$DQ$20,$D524,FALSE))</f>
        <v>0</v>
      </c>
      <c r="Q524" s="15">
        <f>IF(ISNA(VLOOKUP(Q$1,'offpeak-new'!$A$3:$DQ$20,$D524,FALSE)),0,VLOOKUP(Q$1,'offpeak-new'!$A$3:$DQ$20,$D524,FALSE))</f>
        <v>-9425</v>
      </c>
      <c r="R524" s="14">
        <f>IF(ISNA(VLOOKUP(R$1,'offpeak-new'!$A$3:$DQ$20,$D524,FALSE)),0,VLOOKUP(R$1,'offpeak-new'!$A$3:$DQ$20,$D524,FALSE))</f>
        <v>18850</v>
      </c>
      <c r="S524" s="10"/>
    </row>
    <row r="525" spans="1:19" s="8" customFormat="1" x14ac:dyDescent="0.2">
      <c r="A525" s="8">
        <f t="shared" ref="A525:A556" si="153">IF(B524=12,A524+1,A524)</f>
        <v>2003</v>
      </c>
      <c r="B525" s="8">
        <f t="shared" ref="B525:B556" si="154">IF(B524=12,1,B524+1)</f>
        <v>10</v>
      </c>
      <c r="C525" s="9">
        <f t="shared" si="152"/>
        <v>37895</v>
      </c>
      <c r="D525" s="8">
        <f t="shared" si="151"/>
        <v>25</v>
      </c>
      <c r="E525" s="14">
        <f>IF(ISNA(VLOOKUP(E$1,'offpeak-new'!$A$3:$DQ$20,$D525,FALSE)),0,VLOOKUP(E$1,'offpeak-new'!$A$3:$DQ$20,$D525,FALSE))</f>
        <v>-104992</v>
      </c>
      <c r="F525" s="14">
        <f>IF(ISNA(VLOOKUP(F$1,'offpeak-new'!$A$3:$DQ$20,$D525,FALSE)),0,VLOOKUP(F$1,'offpeak-new'!$A$3:$DQ$20,$D525,FALSE))</f>
        <v>0</v>
      </c>
      <c r="G525" s="14">
        <f>IF(ISNA(VLOOKUP(G$1,'offpeak-new'!$A$3:$DQ$20,$D525,FALSE)),0,VLOOKUP(G$1,'offpeak-new'!$A$3:$DQ$20,$D525,FALSE))</f>
        <v>0</v>
      </c>
      <c r="H525" s="14">
        <f>IF(ISNA(VLOOKUP(H$1,'offpeak-new'!$A$3:$DQ$20,$D525,FALSE)),0,VLOOKUP(H$1,'offpeak-new'!$A$3:$DQ$20,$D525,FALSE))</f>
        <v>-20800</v>
      </c>
      <c r="I525" s="14">
        <f>IF(ISNA(VLOOKUP(I$1,'offpeak-new'!$A$3:$DQ$20,$D525,FALSE)),0,VLOOKUP(I$1,'offpeak-new'!$A$3:$DQ$20,$D525,FALSE))</f>
        <v>-41600</v>
      </c>
      <c r="J525" s="14">
        <f>IF(ISNA(VLOOKUP(J$1,'offpeak-new'!$A$3:$DQ$20,$D525,FALSE)),0,VLOOKUP(J$1,'offpeak-new'!$A$3:$DQ$20,$D525,FALSE))</f>
        <v>0</v>
      </c>
      <c r="K525" s="14">
        <f>IF(ISNA(VLOOKUP(K$1,'offpeak-new'!$A$3:$DQ$20,$D525,FALSE)),0,VLOOKUP(K$1,'offpeak-new'!$A$3:$DQ$20,$D525,FALSE))</f>
        <v>0</v>
      </c>
      <c r="L525" s="14">
        <f>IF(ISNA(VLOOKUP(L$1,'offpeak-new'!$A$3:$DQ$20,$D525,FALSE)),0,VLOOKUP(L$1,'offpeak-new'!$A$3:$DQ$20,$D525,FALSE))</f>
        <v>11232</v>
      </c>
      <c r="M525" s="14">
        <f>IF(ISNA(VLOOKUP(M$1,'offpeak-new'!$A$3:$DQ$20,$D525,FALSE)),0,VLOOKUP(M$1,'offpeak-new'!$A$3:$DQ$20,$D525,FALSE))</f>
        <v>0</v>
      </c>
      <c r="N525" s="14">
        <f>IF(ISNA(VLOOKUP(N$1,'offpeak-new'!$A$3:$DQ$20,$D525,FALSE)),0,VLOOKUP(N$1,'offpeak-new'!$A$3:$DQ$20,$D525,FALSE))</f>
        <v>0</v>
      </c>
      <c r="O525" s="14">
        <f>IF(ISNA(VLOOKUP(O$1,'offpeak-new'!$A$3:$DQ$20,$D525,FALSE)),0,VLOOKUP(O$1,'offpeak-new'!$A$3:$DQ$20,$D525,FALSE))</f>
        <v>0</v>
      </c>
      <c r="P525" s="14">
        <f>IF(ISNA(VLOOKUP(P$1,'offpeak-new'!$A$3:$DQ$20,$D525,FALSE)),0,VLOOKUP(P$1,'offpeak-new'!$A$3:$DQ$20,$D525,FALSE))</f>
        <v>0</v>
      </c>
      <c r="Q525" s="15">
        <f>IF(ISNA(VLOOKUP(Q$1,'offpeak-new'!$A$3:$DQ$20,$D525,FALSE)),0,VLOOKUP(Q$1,'offpeak-new'!$A$3:$DQ$20,$D525,FALSE))</f>
        <v>-10400</v>
      </c>
      <c r="R525" s="14">
        <f>IF(ISNA(VLOOKUP(R$1,'offpeak-new'!$A$3:$DQ$20,$D525,FALSE)),0,VLOOKUP(R$1,'offpeak-new'!$A$3:$DQ$20,$D525,FALSE))</f>
        <v>20800</v>
      </c>
      <c r="S525" s="10"/>
    </row>
    <row r="526" spans="1:19" s="8" customFormat="1" x14ac:dyDescent="0.2">
      <c r="A526" s="8">
        <f t="shared" si="153"/>
        <v>2003</v>
      </c>
      <c r="B526" s="8">
        <f t="shared" si="154"/>
        <v>11</v>
      </c>
      <c r="C526" s="9">
        <f t="shared" si="152"/>
        <v>37926</v>
      </c>
      <c r="D526" s="8">
        <f t="shared" si="151"/>
        <v>26</v>
      </c>
      <c r="E526" s="14">
        <f>IF(ISNA(VLOOKUP(E$1,'offpeak-new'!$A$3:$DQ$20,$D526,FALSE)),0,VLOOKUP(E$1,'offpeak-new'!$A$3:$DQ$20,$D526,FALSE))</f>
        <v>-97624</v>
      </c>
      <c r="F526" s="14">
        <f>IF(ISNA(VLOOKUP(F$1,'offpeak-new'!$A$3:$DQ$20,$D526,FALSE)),0,VLOOKUP(F$1,'offpeak-new'!$A$3:$DQ$20,$D526,FALSE))</f>
        <v>0</v>
      </c>
      <c r="G526" s="14">
        <f>IF(ISNA(VLOOKUP(G$1,'offpeak-new'!$A$3:$DQ$20,$D526,FALSE)),0,VLOOKUP(G$1,'offpeak-new'!$A$3:$DQ$20,$D526,FALSE))</f>
        <v>0</v>
      </c>
      <c r="H526" s="14">
        <f>IF(ISNA(VLOOKUP(H$1,'offpeak-new'!$A$3:$DQ$20,$D526,FALSE)),0,VLOOKUP(H$1,'offpeak-new'!$A$3:$DQ$20,$D526,FALSE))</f>
        <v>-19600</v>
      </c>
      <c r="I526" s="14">
        <f>IF(ISNA(VLOOKUP(I$1,'offpeak-new'!$A$3:$DQ$20,$D526,FALSE)),0,VLOOKUP(I$1,'offpeak-new'!$A$3:$DQ$20,$D526,FALSE))</f>
        <v>-39200</v>
      </c>
      <c r="J526" s="14">
        <f>IF(ISNA(VLOOKUP(J$1,'offpeak-new'!$A$3:$DQ$20,$D526,FALSE)),0,VLOOKUP(J$1,'offpeak-new'!$A$3:$DQ$20,$D526,FALSE))</f>
        <v>0</v>
      </c>
      <c r="K526" s="14">
        <f>IF(ISNA(VLOOKUP(K$1,'offpeak-new'!$A$3:$DQ$20,$D526,FALSE)),0,VLOOKUP(K$1,'offpeak-new'!$A$3:$DQ$20,$D526,FALSE))</f>
        <v>0</v>
      </c>
      <c r="L526" s="14">
        <f>IF(ISNA(VLOOKUP(L$1,'offpeak-new'!$A$3:$DQ$20,$D526,FALSE)),0,VLOOKUP(L$1,'offpeak-new'!$A$3:$DQ$20,$D526,FALSE))</f>
        <v>10584</v>
      </c>
      <c r="M526" s="14">
        <f>IF(ISNA(VLOOKUP(M$1,'offpeak-new'!$A$3:$DQ$20,$D526,FALSE)),0,VLOOKUP(M$1,'offpeak-new'!$A$3:$DQ$20,$D526,FALSE))</f>
        <v>0</v>
      </c>
      <c r="N526" s="14">
        <f>IF(ISNA(VLOOKUP(N$1,'offpeak-new'!$A$3:$DQ$20,$D526,FALSE)),0,VLOOKUP(N$1,'offpeak-new'!$A$3:$DQ$20,$D526,FALSE))</f>
        <v>0</v>
      </c>
      <c r="O526" s="14">
        <f>IF(ISNA(VLOOKUP(O$1,'offpeak-new'!$A$3:$DQ$20,$D526,FALSE)),0,VLOOKUP(O$1,'offpeak-new'!$A$3:$DQ$20,$D526,FALSE))</f>
        <v>0</v>
      </c>
      <c r="P526" s="14">
        <f>IF(ISNA(VLOOKUP(P$1,'offpeak-new'!$A$3:$DQ$20,$D526,FALSE)),0,VLOOKUP(P$1,'offpeak-new'!$A$3:$DQ$20,$D526,FALSE))</f>
        <v>0</v>
      </c>
      <c r="Q526" s="15">
        <f>IF(ISNA(VLOOKUP(Q$1,'offpeak-new'!$A$3:$DQ$20,$D526,FALSE)),0,VLOOKUP(Q$1,'offpeak-new'!$A$3:$DQ$20,$D526,FALSE))</f>
        <v>-9800</v>
      </c>
      <c r="R526" s="14">
        <f>IF(ISNA(VLOOKUP(R$1,'offpeak-new'!$A$3:$DQ$20,$D526,FALSE)),0,VLOOKUP(R$1,'offpeak-new'!$A$3:$DQ$20,$D526,FALSE))</f>
        <v>19600</v>
      </c>
      <c r="S526" s="10"/>
    </row>
    <row r="527" spans="1:19" s="8" customFormat="1" x14ac:dyDescent="0.2">
      <c r="A527" s="8">
        <f t="shared" si="153"/>
        <v>2003</v>
      </c>
      <c r="B527" s="8">
        <f t="shared" si="154"/>
        <v>12</v>
      </c>
      <c r="C527" s="9">
        <f t="shared" si="152"/>
        <v>37956</v>
      </c>
      <c r="D527" s="8">
        <f t="shared" si="151"/>
        <v>27</v>
      </c>
      <c r="E527" s="14">
        <f>IF(ISNA(VLOOKUP(E$1,'offpeak-new'!$A$3:$DQ$20,$D527,FALSE)),0,VLOOKUP(E$1,'offpeak-new'!$A$3:$DQ$20,$D527,FALSE))</f>
        <v>50184</v>
      </c>
      <c r="F527" s="14">
        <f>IF(ISNA(VLOOKUP(F$1,'offpeak-new'!$A$3:$DQ$20,$D527,FALSE)),0,VLOOKUP(F$1,'offpeak-new'!$A$3:$DQ$20,$D527,FALSE))</f>
        <v>0</v>
      </c>
      <c r="G527" s="14">
        <f>IF(ISNA(VLOOKUP(G$1,'offpeak-new'!$A$3:$DQ$20,$D527,FALSE)),0,VLOOKUP(G$1,'offpeak-new'!$A$3:$DQ$20,$D527,FALSE))</f>
        <v>0</v>
      </c>
      <c r="H527" s="14">
        <f>IF(ISNA(VLOOKUP(H$1,'offpeak-new'!$A$3:$DQ$20,$D527,FALSE)),0,VLOOKUP(H$1,'offpeak-new'!$A$3:$DQ$20,$D527,FALSE))</f>
        <v>0</v>
      </c>
      <c r="I527" s="14">
        <f>IF(ISNA(VLOOKUP(I$1,'offpeak-new'!$A$3:$DQ$20,$D527,FALSE)),0,VLOOKUP(I$1,'offpeak-new'!$A$3:$DQ$20,$D527,FALSE))</f>
        <v>0</v>
      </c>
      <c r="J527" s="14">
        <f>IF(ISNA(VLOOKUP(J$1,'offpeak-new'!$A$3:$DQ$20,$D527,FALSE)),0,VLOOKUP(J$1,'offpeak-new'!$A$3:$DQ$20,$D527,FALSE))</f>
        <v>0</v>
      </c>
      <c r="K527" s="14">
        <f>IF(ISNA(VLOOKUP(K$1,'offpeak-new'!$A$3:$DQ$20,$D527,FALSE)),0,VLOOKUP(K$1,'offpeak-new'!$A$3:$DQ$20,$D527,FALSE))</f>
        <v>0</v>
      </c>
      <c r="L527" s="14">
        <f>IF(ISNA(VLOOKUP(L$1,'offpeak-new'!$A$3:$DQ$20,$D527,FALSE)),0,VLOOKUP(L$1,'offpeak-new'!$A$3:$DQ$20,$D527,FALSE))</f>
        <v>0</v>
      </c>
      <c r="M527" s="14">
        <f>IF(ISNA(VLOOKUP(M$1,'offpeak-new'!$A$3:$DQ$20,$D527,FALSE)),0,VLOOKUP(M$1,'offpeak-new'!$A$3:$DQ$20,$D527,FALSE))</f>
        <v>0</v>
      </c>
      <c r="N527" s="14">
        <f>IF(ISNA(VLOOKUP(N$1,'offpeak-new'!$A$3:$DQ$20,$D527,FALSE)),0,VLOOKUP(N$1,'offpeak-new'!$A$3:$DQ$20,$D527,FALSE))</f>
        <v>0</v>
      </c>
      <c r="O527" s="14">
        <f>IF(ISNA(VLOOKUP(O$1,'offpeak-new'!$A$3:$DQ$20,$D527,FALSE)),0,VLOOKUP(O$1,'offpeak-new'!$A$3:$DQ$20,$D527,FALSE))</f>
        <v>0</v>
      </c>
      <c r="P527" s="14">
        <f>IF(ISNA(VLOOKUP(P$1,'offpeak-new'!$A$3:$DQ$20,$D527,FALSE)),0,VLOOKUP(P$1,'offpeak-new'!$A$3:$DQ$20,$D527,FALSE))</f>
        <v>0</v>
      </c>
      <c r="Q527" s="15">
        <f>IF(ISNA(VLOOKUP(Q$1,'offpeak-new'!$A$3:$DQ$20,$D527,FALSE)),0,VLOOKUP(Q$1,'offpeak-new'!$A$3:$DQ$20,$D527,FALSE))</f>
        <v>0</v>
      </c>
      <c r="R527" s="14">
        <f>IF(ISNA(VLOOKUP(R$1,'offpeak-new'!$A$3:$DQ$20,$D527,FALSE)),0,VLOOKUP(R$1,'offpeak-new'!$A$3:$DQ$20,$D527,FALSE))</f>
        <v>-40800</v>
      </c>
      <c r="S527" s="10"/>
    </row>
    <row r="528" spans="1:19" s="8" customFormat="1" x14ac:dyDescent="0.2">
      <c r="A528" s="8">
        <f t="shared" si="153"/>
        <v>2004</v>
      </c>
      <c r="B528" s="8">
        <f t="shared" si="154"/>
        <v>1</v>
      </c>
      <c r="C528" s="9">
        <f t="shared" si="152"/>
        <v>37987</v>
      </c>
      <c r="D528" s="8">
        <f t="shared" si="151"/>
        <v>28</v>
      </c>
      <c r="E528" s="14">
        <f>IF(ISNA(VLOOKUP(E$1,'offpeak-new'!$A$3:$DQ$20,$D528,FALSE)),0,VLOOKUP(E$1,'offpeak-new'!$A$3:$DQ$20,$D528,FALSE))</f>
        <v>46248</v>
      </c>
      <c r="F528" s="14">
        <f>IF(ISNA(VLOOKUP(F$1,'offpeak-new'!$A$3:$DQ$20,$D528,FALSE)),0,VLOOKUP(F$1,'offpeak-new'!$A$3:$DQ$20,$D528,FALSE))</f>
        <v>0</v>
      </c>
      <c r="G528" s="14">
        <f>IF(ISNA(VLOOKUP(G$1,'offpeak-new'!$A$3:$DQ$20,$D528,FALSE)),0,VLOOKUP(G$1,'offpeak-new'!$A$3:$DQ$20,$D528,FALSE))</f>
        <v>0</v>
      </c>
      <c r="H528" s="14">
        <f>IF(ISNA(VLOOKUP(H$1,'offpeak-new'!$A$3:$DQ$20,$D528,FALSE)),0,VLOOKUP(H$1,'offpeak-new'!$A$3:$DQ$20,$D528,FALSE))</f>
        <v>0</v>
      </c>
      <c r="I528" s="14">
        <f>IF(ISNA(VLOOKUP(I$1,'offpeak-new'!$A$3:$DQ$20,$D528,FALSE)),0,VLOOKUP(I$1,'offpeak-new'!$A$3:$DQ$20,$D528,FALSE))</f>
        <v>0</v>
      </c>
      <c r="J528" s="14">
        <f>IF(ISNA(VLOOKUP(J$1,'offpeak-new'!$A$3:$DQ$20,$D528,FALSE)),0,VLOOKUP(J$1,'offpeak-new'!$A$3:$DQ$20,$D528,FALSE))</f>
        <v>0</v>
      </c>
      <c r="K528" s="14">
        <f>IF(ISNA(VLOOKUP(K$1,'offpeak-new'!$A$3:$DQ$20,$D528,FALSE)),0,VLOOKUP(K$1,'offpeak-new'!$A$3:$DQ$20,$D528,FALSE))</f>
        <v>0</v>
      </c>
      <c r="L528" s="14">
        <f>IF(ISNA(VLOOKUP(L$1,'offpeak-new'!$A$3:$DQ$20,$D528,FALSE)),0,VLOOKUP(L$1,'offpeak-new'!$A$3:$DQ$20,$D528,FALSE))</f>
        <v>0</v>
      </c>
      <c r="M528" s="14">
        <f>IF(ISNA(VLOOKUP(M$1,'offpeak-new'!$A$3:$DQ$20,$D528,FALSE)),0,VLOOKUP(M$1,'offpeak-new'!$A$3:$DQ$20,$D528,FALSE))</f>
        <v>0</v>
      </c>
      <c r="N528" s="14">
        <f>IF(ISNA(VLOOKUP(N$1,'offpeak-new'!$A$3:$DQ$20,$D528,FALSE)),0,VLOOKUP(N$1,'offpeak-new'!$A$3:$DQ$20,$D528,FALSE))</f>
        <v>0</v>
      </c>
      <c r="O528" s="14">
        <f>IF(ISNA(VLOOKUP(O$1,'offpeak-new'!$A$3:$DQ$20,$D528,FALSE)),0,VLOOKUP(O$1,'offpeak-new'!$A$3:$DQ$20,$D528,FALSE))</f>
        <v>0</v>
      </c>
      <c r="P528" s="14">
        <f>IF(ISNA(VLOOKUP(P$1,'offpeak-new'!$A$3:$DQ$20,$D528,FALSE)),0,VLOOKUP(P$1,'offpeak-new'!$A$3:$DQ$20,$D528,FALSE))</f>
        <v>0</v>
      </c>
      <c r="Q528" s="15">
        <f>IF(ISNA(VLOOKUP(Q$1,'offpeak-new'!$A$3:$DQ$20,$D528,FALSE)),0,VLOOKUP(Q$1,'offpeak-new'!$A$3:$DQ$20,$D528,FALSE))</f>
        <v>0</v>
      </c>
      <c r="R528" s="14">
        <f>IF(ISNA(VLOOKUP(R$1,'offpeak-new'!$A$3:$DQ$20,$D528,FALSE)),0,VLOOKUP(R$1,'offpeak-new'!$A$3:$DQ$20,$D528,FALSE))</f>
        <v>-37600</v>
      </c>
      <c r="S528" s="10"/>
    </row>
    <row r="529" spans="1:19" s="8" customFormat="1" x14ac:dyDescent="0.2">
      <c r="A529" s="8">
        <f t="shared" si="153"/>
        <v>2004</v>
      </c>
      <c r="B529" s="8">
        <f t="shared" si="154"/>
        <v>2</v>
      </c>
      <c r="C529" s="9">
        <f t="shared" si="152"/>
        <v>38018</v>
      </c>
      <c r="D529" s="8">
        <f t="shared" ref="D529:D560" si="155">D528+1</f>
        <v>29</v>
      </c>
      <c r="E529" s="14">
        <f>IF(ISNA(VLOOKUP(E$1,'offpeak-new'!$A$3:$DQ$20,$D529,FALSE)),0,VLOOKUP(E$1,'offpeak-new'!$A$3:$DQ$20,$D529,FALSE))</f>
        <v>46248</v>
      </c>
      <c r="F529" s="14">
        <f>IF(ISNA(VLOOKUP(F$1,'offpeak-new'!$A$3:$DQ$20,$D529,FALSE)),0,VLOOKUP(F$1,'offpeak-new'!$A$3:$DQ$20,$D529,FALSE))</f>
        <v>0</v>
      </c>
      <c r="G529" s="14">
        <f>IF(ISNA(VLOOKUP(G$1,'offpeak-new'!$A$3:$DQ$20,$D529,FALSE)),0,VLOOKUP(G$1,'offpeak-new'!$A$3:$DQ$20,$D529,FALSE))</f>
        <v>0</v>
      </c>
      <c r="H529" s="14">
        <f>IF(ISNA(VLOOKUP(H$1,'offpeak-new'!$A$3:$DQ$20,$D529,FALSE)),0,VLOOKUP(H$1,'offpeak-new'!$A$3:$DQ$20,$D529,FALSE))</f>
        <v>0</v>
      </c>
      <c r="I529" s="14">
        <f>IF(ISNA(VLOOKUP(I$1,'offpeak-new'!$A$3:$DQ$20,$D529,FALSE)),0,VLOOKUP(I$1,'offpeak-new'!$A$3:$DQ$20,$D529,FALSE))</f>
        <v>0</v>
      </c>
      <c r="J529" s="14">
        <f>IF(ISNA(VLOOKUP(J$1,'offpeak-new'!$A$3:$DQ$20,$D529,FALSE)),0,VLOOKUP(J$1,'offpeak-new'!$A$3:$DQ$20,$D529,FALSE))</f>
        <v>0</v>
      </c>
      <c r="K529" s="14">
        <f>IF(ISNA(VLOOKUP(K$1,'offpeak-new'!$A$3:$DQ$20,$D529,FALSE)),0,VLOOKUP(K$1,'offpeak-new'!$A$3:$DQ$20,$D529,FALSE))</f>
        <v>0</v>
      </c>
      <c r="L529" s="14">
        <f>IF(ISNA(VLOOKUP(L$1,'offpeak-new'!$A$3:$DQ$20,$D529,FALSE)),0,VLOOKUP(L$1,'offpeak-new'!$A$3:$DQ$20,$D529,FALSE))</f>
        <v>0</v>
      </c>
      <c r="M529" s="14">
        <f>IF(ISNA(VLOOKUP(M$1,'offpeak-new'!$A$3:$DQ$20,$D529,FALSE)),0,VLOOKUP(M$1,'offpeak-new'!$A$3:$DQ$20,$D529,FALSE))</f>
        <v>0</v>
      </c>
      <c r="N529" s="14">
        <f>IF(ISNA(VLOOKUP(N$1,'offpeak-new'!$A$3:$DQ$20,$D529,FALSE)),0,VLOOKUP(N$1,'offpeak-new'!$A$3:$DQ$20,$D529,FALSE))</f>
        <v>0</v>
      </c>
      <c r="O529" s="14">
        <f>IF(ISNA(VLOOKUP(O$1,'offpeak-new'!$A$3:$DQ$20,$D529,FALSE)),0,VLOOKUP(O$1,'offpeak-new'!$A$3:$DQ$20,$D529,FALSE))</f>
        <v>0</v>
      </c>
      <c r="P529" s="14">
        <f>IF(ISNA(VLOOKUP(P$1,'offpeak-new'!$A$3:$DQ$20,$D529,FALSE)),0,VLOOKUP(P$1,'offpeak-new'!$A$3:$DQ$20,$D529,FALSE))</f>
        <v>0</v>
      </c>
      <c r="Q529" s="15">
        <f>IF(ISNA(VLOOKUP(Q$1,'offpeak-new'!$A$3:$DQ$20,$D529,FALSE)),0,VLOOKUP(Q$1,'offpeak-new'!$A$3:$DQ$20,$D529,FALSE))</f>
        <v>0</v>
      </c>
      <c r="R529" s="14">
        <f>IF(ISNA(VLOOKUP(R$1,'offpeak-new'!$A$3:$DQ$20,$D529,FALSE)),0,VLOOKUP(R$1,'offpeak-new'!$A$3:$DQ$20,$D529,FALSE))</f>
        <v>-37600</v>
      </c>
      <c r="S529" s="10"/>
    </row>
    <row r="530" spans="1:19" s="8" customFormat="1" x14ac:dyDescent="0.2">
      <c r="A530" s="8">
        <f t="shared" si="153"/>
        <v>2004</v>
      </c>
      <c r="B530" s="8">
        <f t="shared" si="154"/>
        <v>3</v>
      </c>
      <c r="C530" s="9">
        <f t="shared" si="152"/>
        <v>38047</v>
      </c>
      <c r="D530" s="8">
        <f t="shared" si="155"/>
        <v>30</v>
      </c>
      <c r="E530" s="14">
        <f>IF(ISNA(VLOOKUP(E$1,'offpeak-new'!$A$3:$DQ$20,$D530,FALSE)),0,VLOOKUP(E$1,'offpeak-new'!$A$3:$DQ$20,$D530,FALSE))</f>
        <v>45141</v>
      </c>
      <c r="F530" s="14">
        <f>IF(ISNA(VLOOKUP(F$1,'offpeak-new'!$A$3:$DQ$20,$D530,FALSE)),0,VLOOKUP(F$1,'offpeak-new'!$A$3:$DQ$20,$D530,FALSE))</f>
        <v>0</v>
      </c>
      <c r="G530" s="14">
        <f>IF(ISNA(VLOOKUP(G$1,'offpeak-new'!$A$3:$DQ$20,$D530,FALSE)),0,VLOOKUP(G$1,'offpeak-new'!$A$3:$DQ$20,$D530,FALSE))</f>
        <v>0</v>
      </c>
      <c r="H530" s="14">
        <f>IF(ISNA(VLOOKUP(H$1,'offpeak-new'!$A$3:$DQ$20,$D530,FALSE)),0,VLOOKUP(H$1,'offpeak-new'!$A$3:$DQ$20,$D530,FALSE))</f>
        <v>0</v>
      </c>
      <c r="I530" s="14">
        <f>IF(ISNA(VLOOKUP(I$1,'offpeak-new'!$A$3:$DQ$20,$D530,FALSE)),0,VLOOKUP(I$1,'offpeak-new'!$A$3:$DQ$20,$D530,FALSE))</f>
        <v>0</v>
      </c>
      <c r="J530" s="14">
        <f>IF(ISNA(VLOOKUP(J$1,'offpeak-new'!$A$3:$DQ$20,$D530,FALSE)),0,VLOOKUP(J$1,'offpeak-new'!$A$3:$DQ$20,$D530,FALSE))</f>
        <v>0</v>
      </c>
      <c r="K530" s="14">
        <f>IF(ISNA(VLOOKUP(K$1,'offpeak-new'!$A$3:$DQ$20,$D530,FALSE)),0,VLOOKUP(K$1,'offpeak-new'!$A$3:$DQ$20,$D530,FALSE))</f>
        <v>0</v>
      </c>
      <c r="L530" s="14">
        <f>IF(ISNA(VLOOKUP(L$1,'offpeak-new'!$A$3:$DQ$20,$D530,FALSE)),0,VLOOKUP(L$1,'offpeak-new'!$A$3:$DQ$20,$D530,FALSE))</f>
        <v>0</v>
      </c>
      <c r="M530" s="14">
        <f>IF(ISNA(VLOOKUP(M$1,'offpeak-new'!$A$3:$DQ$20,$D530,FALSE)),0,VLOOKUP(M$1,'offpeak-new'!$A$3:$DQ$20,$D530,FALSE))</f>
        <v>0</v>
      </c>
      <c r="N530" s="14">
        <f>IF(ISNA(VLOOKUP(N$1,'offpeak-new'!$A$3:$DQ$20,$D530,FALSE)),0,VLOOKUP(N$1,'offpeak-new'!$A$3:$DQ$20,$D530,FALSE))</f>
        <v>0</v>
      </c>
      <c r="O530" s="14">
        <f>IF(ISNA(VLOOKUP(O$1,'offpeak-new'!$A$3:$DQ$20,$D530,FALSE)),0,VLOOKUP(O$1,'offpeak-new'!$A$3:$DQ$20,$D530,FALSE))</f>
        <v>0</v>
      </c>
      <c r="P530" s="14">
        <f>IF(ISNA(VLOOKUP(P$1,'offpeak-new'!$A$3:$DQ$20,$D530,FALSE)),0,VLOOKUP(P$1,'offpeak-new'!$A$3:$DQ$20,$D530,FALSE))</f>
        <v>0</v>
      </c>
      <c r="Q530" s="15">
        <f>IF(ISNA(VLOOKUP(Q$1,'offpeak-new'!$A$3:$DQ$20,$D530,FALSE)),0,VLOOKUP(Q$1,'offpeak-new'!$A$3:$DQ$20,$D530,FALSE))</f>
        <v>0</v>
      </c>
      <c r="R530" s="14">
        <f>IF(ISNA(VLOOKUP(R$1,'offpeak-new'!$A$3:$DQ$20,$D530,FALSE)),0,VLOOKUP(R$1,'offpeak-new'!$A$3:$DQ$20,$D530,FALSE))</f>
        <v>-36700</v>
      </c>
      <c r="S530" s="10"/>
    </row>
    <row r="531" spans="1:19" s="8" customFormat="1" x14ac:dyDescent="0.2">
      <c r="A531" s="8">
        <f t="shared" si="153"/>
        <v>2004</v>
      </c>
      <c r="B531" s="8">
        <f t="shared" si="154"/>
        <v>4</v>
      </c>
      <c r="C531" s="9">
        <f t="shared" si="152"/>
        <v>38078</v>
      </c>
      <c r="D531" s="8">
        <f t="shared" si="155"/>
        <v>31</v>
      </c>
      <c r="E531" s="14">
        <f>IF(ISNA(VLOOKUP(E$1,'offpeak-new'!$A$3:$DQ$20,$D531,FALSE)),0,VLOOKUP(E$1,'offpeak-new'!$A$3:$DQ$20,$D531,FALSE))</f>
        <v>52152</v>
      </c>
      <c r="F531" s="14">
        <f>IF(ISNA(VLOOKUP(F$1,'offpeak-new'!$A$3:$DQ$20,$D531,FALSE)),0,VLOOKUP(F$1,'offpeak-new'!$A$3:$DQ$20,$D531,FALSE))</f>
        <v>0</v>
      </c>
      <c r="G531" s="14">
        <f>IF(ISNA(VLOOKUP(G$1,'offpeak-new'!$A$3:$DQ$20,$D531,FALSE)),0,VLOOKUP(G$1,'offpeak-new'!$A$3:$DQ$20,$D531,FALSE))</f>
        <v>0</v>
      </c>
      <c r="H531" s="14">
        <f>IF(ISNA(VLOOKUP(H$1,'offpeak-new'!$A$3:$DQ$20,$D531,FALSE)),0,VLOOKUP(H$1,'offpeak-new'!$A$3:$DQ$20,$D531,FALSE))</f>
        <v>0</v>
      </c>
      <c r="I531" s="14">
        <f>IF(ISNA(VLOOKUP(I$1,'offpeak-new'!$A$3:$DQ$20,$D531,FALSE)),0,VLOOKUP(I$1,'offpeak-new'!$A$3:$DQ$20,$D531,FALSE))</f>
        <v>0</v>
      </c>
      <c r="J531" s="14">
        <f>IF(ISNA(VLOOKUP(J$1,'offpeak-new'!$A$3:$DQ$20,$D531,FALSE)),0,VLOOKUP(J$1,'offpeak-new'!$A$3:$DQ$20,$D531,FALSE))</f>
        <v>0</v>
      </c>
      <c r="K531" s="14">
        <f>IF(ISNA(VLOOKUP(K$1,'offpeak-new'!$A$3:$DQ$20,$D531,FALSE)),0,VLOOKUP(K$1,'offpeak-new'!$A$3:$DQ$20,$D531,FALSE))</f>
        <v>0</v>
      </c>
      <c r="L531" s="14">
        <f>IF(ISNA(VLOOKUP(L$1,'offpeak-new'!$A$3:$DQ$20,$D531,FALSE)),0,VLOOKUP(L$1,'offpeak-new'!$A$3:$DQ$20,$D531,FALSE))</f>
        <v>0</v>
      </c>
      <c r="M531" s="14">
        <f>IF(ISNA(VLOOKUP(M$1,'offpeak-new'!$A$3:$DQ$20,$D531,FALSE)),0,VLOOKUP(M$1,'offpeak-new'!$A$3:$DQ$20,$D531,FALSE))</f>
        <v>0</v>
      </c>
      <c r="N531" s="14">
        <f>IF(ISNA(VLOOKUP(N$1,'offpeak-new'!$A$3:$DQ$20,$D531,FALSE)),0,VLOOKUP(N$1,'offpeak-new'!$A$3:$DQ$20,$D531,FALSE))</f>
        <v>0</v>
      </c>
      <c r="O531" s="14">
        <f>IF(ISNA(VLOOKUP(O$1,'offpeak-new'!$A$3:$DQ$20,$D531,FALSE)),0,VLOOKUP(O$1,'offpeak-new'!$A$3:$DQ$20,$D531,FALSE))</f>
        <v>0</v>
      </c>
      <c r="P531" s="14">
        <f>IF(ISNA(VLOOKUP(P$1,'offpeak-new'!$A$3:$DQ$20,$D531,FALSE)),0,VLOOKUP(P$1,'offpeak-new'!$A$3:$DQ$20,$D531,FALSE))</f>
        <v>0</v>
      </c>
      <c r="Q531" s="15">
        <f>IF(ISNA(VLOOKUP(Q$1,'offpeak-new'!$A$3:$DQ$20,$D531,FALSE)),0,VLOOKUP(Q$1,'offpeak-new'!$A$3:$DQ$20,$D531,FALSE))</f>
        <v>0</v>
      </c>
      <c r="R531" s="14">
        <f>IF(ISNA(VLOOKUP(R$1,'offpeak-new'!$A$3:$DQ$20,$D531,FALSE)),0,VLOOKUP(R$1,'offpeak-new'!$A$3:$DQ$20,$D531,FALSE))</f>
        <v>-42400</v>
      </c>
      <c r="S531" s="10"/>
    </row>
    <row r="532" spans="1:19" s="8" customFormat="1" x14ac:dyDescent="0.2">
      <c r="A532" s="8">
        <f t="shared" si="153"/>
        <v>2004</v>
      </c>
      <c r="B532" s="8">
        <f t="shared" si="154"/>
        <v>5</v>
      </c>
      <c r="C532" s="9">
        <f t="shared" si="152"/>
        <v>38108</v>
      </c>
      <c r="D532" s="8">
        <f t="shared" si="155"/>
        <v>32</v>
      </c>
      <c r="E532" s="14">
        <f>IF(ISNA(VLOOKUP(E$1,'offpeak-new'!$A$3:$DQ$20,$D532,FALSE)),0,VLOOKUP(E$1,'offpeak-new'!$A$3:$DQ$20,$D532,FALSE))</f>
        <v>45264</v>
      </c>
      <c r="F532" s="14">
        <f>IF(ISNA(VLOOKUP(F$1,'offpeak-new'!$A$3:$DQ$20,$D532,FALSE)),0,VLOOKUP(F$1,'offpeak-new'!$A$3:$DQ$20,$D532,FALSE))</f>
        <v>0</v>
      </c>
      <c r="G532" s="14">
        <f>IF(ISNA(VLOOKUP(G$1,'offpeak-new'!$A$3:$DQ$20,$D532,FALSE)),0,VLOOKUP(G$1,'offpeak-new'!$A$3:$DQ$20,$D532,FALSE))</f>
        <v>0</v>
      </c>
      <c r="H532" s="14">
        <f>IF(ISNA(VLOOKUP(H$1,'offpeak-new'!$A$3:$DQ$20,$D532,FALSE)),0,VLOOKUP(H$1,'offpeak-new'!$A$3:$DQ$20,$D532,FALSE))</f>
        <v>0</v>
      </c>
      <c r="I532" s="14">
        <f>IF(ISNA(VLOOKUP(I$1,'offpeak-new'!$A$3:$DQ$20,$D532,FALSE)),0,VLOOKUP(I$1,'offpeak-new'!$A$3:$DQ$20,$D532,FALSE))</f>
        <v>0</v>
      </c>
      <c r="J532" s="14">
        <f>IF(ISNA(VLOOKUP(J$1,'offpeak-new'!$A$3:$DQ$20,$D532,FALSE)),0,VLOOKUP(J$1,'offpeak-new'!$A$3:$DQ$20,$D532,FALSE))</f>
        <v>0</v>
      </c>
      <c r="K532" s="14">
        <f>IF(ISNA(VLOOKUP(K$1,'offpeak-new'!$A$3:$DQ$20,$D532,FALSE)),0,VLOOKUP(K$1,'offpeak-new'!$A$3:$DQ$20,$D532,FALSE))</f>
        <v>0</v>
      </c>
      <c r="L532" s="14">
        <f>IF(ISNA(VLOOKUP(L$1,'offpeak-new'!$A$3:$DQ$20,$D532,FALSE)),0,VLOOKUP(L$1,'offpeak-new'!$A$3:$DQ$20,$D532,FALSE))</f>
        <v>0</v>
      </c>
      <c r="M532" s="14">
        <f>IF(ISNA(VLOOKUP(M$1,'offpeak-new'!$A$3:$DQ$20,$D532,FALSE)),0,VLOOKUP(M$1,'offpeak-new'!$A$3:$DQ$20,$D532,FALSE))</f>
        <v>0</v>
      </c>
      <c r="N532" s="14">
        <f>IF(ISNA(VLOOKUP(N$1,'offpeak-new'!$A$3:$DQ$20,$D532,FALSE)),0,VLOOKUP(N$1,'offpeak-new'!$A$3:$DQ$20,$D532,FALSE))</f>
        <v>0</v>
      </c>
      <c r="O532" s="14">
        <f>IF(ISNA(VLOOKUP(O$1,'offpeak-new'!$A$3:$DQ$20,$D532,FALSE)),0,VLOOKUP(O$1,'offpeak-new'!$A$3:$DQ$20,$D532,FALSE))</f>
        <v>0</v>
      </c>
      <c r="P532" s="14">
        <f>IF(ISNA(VLOOKUP(P$1,'offpeak-new'!$A$3:$DQ$20,$D532,FALSE)),0,VLOOKUP(P$1,'offpeak-new'!$A$3:$DQ$20,$D532,FALSE))</f>
        <v>0</v>
      </c>
      <c r="Q532" s="15">
        <f>IF(ISNA(VLOOKUP(Q$1,'offpeak-new'!$A$3:$DQ$20,$D532,FALSE)),0,VLOOKUP(Q$1,'offpeak-new'!$A$3:$DQ$20,$D532,FALSE))</f>
        <v>0</v>
      </c>
      <c r="R532" s="14">
        <f>IF(ISNA(VLOOKUP(R$1,'offpeak-new'!$A$3:$DQ$20,$D532,FALSE)),0,VLOOKUP(R$1,'offpeak-new'!$A$3:$DQ$20,$D532,FALSE))</f>
        <v>-36800</v>
      </c>
      <c r="S532" s="10"/>
    </row>
    <row r="533" spans="1:19" s="8" customFormat="1" x14ac:dyDescent="0.2">
      <c r="A533" s="8">
        <f t="shared" si="153"/>
        <v>2004</v>
      </c>
      <c r="B533" s="8">
        <f t="shared" si="154"/>
        <v>6</v>
      </c>
      <c r="C533" s="9">
        <f t="shared" si="152"/>
        <v>38139</v>
      </c>
      <c r="D533" s="8">
        <f t="shared" si="155"/>
        <v>33</v>
      </c>
      <c r="E533" s="14">
        <f>IF(ISNA(VLOOKUP(E$1,'offpeak-new'!$A$3:$DQ$20,$D533,FALSE)),0,VLOOKUP(E$1,'offpeak-new'!$A$3:$DQ$20,$D533,FALSE))</f>
        <v>50184</v>
      </c>
      <c r="F533" s="14">
        <f>IF(ISNA(VLOOKUP(F$1,'offpeak-new'!$A$3:$DQ$20,$D533,FALSE)),0,VLOOKUP(F$1,'offpeak-new'!$A$3:$DQ$20,$D533,FALSE))</f>
        <v>0</v>
      </c>
      <c r="G533" s="14">
        <f>IF(ISNA(VLOOKUP(G$1,'offpeak-new'!$A$3:$DQ$20,$D533,FALSE)),0,VLOOKUP(G$1,'offpeak-new'!$A$3:$DQ$20,$D533,FALSE))</f>
        <v>0</v>
      </c>
      <c r="H533" s="14">
        <f>IF(ISNA(VLOOKUP(H$1,'offpeak-new'!$A$3:$DQ$20,$D533,FALSE)),0,VLOOKUP(H$1,'offpeak-new'!$A$3:$DQ$20,$D533,FALSE))</f>
        <v>0</v>
      </c>
      <c r="I533" s="14">
        <f>IF(ISNA(VLOOKUP(I$1,'offpeak-new'!$A$3:$DQ$20,$D533,FALSE)),0,VLOOKUP(I$1,'offpeak-new'!$A$3:$DQ$20,$D533,FALSE))</f>
        <v>0</v>
      </c>
      <c r="J533" s="14">
        <f>IF(ISNA(VLOOKUP(J$1,'offpeak-new'!$A$3:$DQ$20,$D533,FALSE)),0,VLOOKUP(J$1,'offpeak-new'!$A$3:$DQ$20,$D533,FALSE))</f>
        <v>0</v>
      </c>
      <c r="K533" s="14">
        <f>IF(ISNA(VLOOKUP(K$1,'offpeak-new'!$A$3:$DQ$20,$D533,FALSE)),0,VLOOKUP(K$1,'offpeak-new'!$A$3:$DQ$20,$D533,FALSE))</f>
        <v>0</v>
      </c>
      <c r="L533" s="14">
        <f>IF(ISNA(VLOOKUP(L$1,'offpeak-new'!$A$3:$DQ$20,$D533,FALSE)),0,VLOOKUP(L$1,'offpeak-new'!$A$3:$DQ$20,$D533,FALSE))</f>
        <v>0</v>
      </c>
      <c r="M533" s="14">
        <f>IF(ISNA(VLOOKUP(M$1,'offpeak-new'!$A$3:$DQ$20,$D533,FALSE)),0,VLOOKUP(M$1,'offpeak-new'!$A$3:$DQ$20,$D533,FALSE))</f>
        <v>0</v>
      </c>
      <c r="N533" s="14">
        <f>IF(ISNA(VLOOKUP(N$1,'offpeak-new'!$A$3:$DQ$20,$D533,FALSE)),0,VLOOKUP(N$1,'offpeak-new'!$A$3:$DQ$20,$D533,FALSE))</f>
        <v>0</v>
      </c>
      <c r="O533" s="14">
        <f>IF(ISNA(VLOOKUP(O$1,'offpeak-new'!$A$3:$DQ$20,$D533,FALSE)),0,VLOOKUP(O$1,'offpeak-new'!$A$3:$DQ$20,$D533,FALSE))</f>
        <v>0</v>
      </c>
      <c r="P533" s="14">
        <f>IF(ISNA(VLOOKUP(P$1,'offpeak-new'!$A$3:$DQ$20,$D533,FALSE)),0,VLOOKUP(P$1,'offpeak-new'!$A$3:$DQ$20,$D533,FALSE))</f>
        <v>0</v>
      </c>
      <c r="Q533" s="15">
        <f>IF(ISNA(VLOOKUP(Q$1,'offpeak-new'!$A$3:$DQ$20,$D533,FALSE)),0,VLOOKUP(Q$1,'offpeak-new'!$A$3:$DQ$20,$D533,FALSE))</f>
        <v>0</v>
      </c>
      <c r="R533" s="14">
        <f>IF(ISNA(VLOOKUP(R$1,'offpeak-new'!$A$3:$DQ$20,$D533,FALSE)),0,VLOOKUP(R$1,'offpeak-new'!$A$3:$DQ$20,$D533,FALSE))</f>
        <v>-40800</v>
      </c>
      <c r="S533" s="10"/>
    </row>
    <row r="534" spans="1:19" s="8" customFormat="1" x14ac:dyDescent="0.2">
      <c r="A534" s="8">
        <f t="shared" si="153"/>
        <v>2004</v>
      </c>
      <c r="B534" s="8">
        <f t="shared" si="154"/>
        <v>7</v>
      </c>
      <c r="C534" s="9">
        <f t="shared" si="152"/>
        <v>38169</v>
      </c>
      <c r="D534" s="8">
        <f t="shared" si="155"/>
        <v>34</v>
      </c>
      <c r="E534" s="14">
        <f>IF(ISNA(VLOOKUP(E$1,'offpeak-new'!$A$3:$DQ$20,$D534,FALSE)),0,VLOOKUP(E$1,'offpeak-new'!$A$3:$DQ$20,$D534,FALSE))</f>
        <v>48216</v>
      </c>
      <c r="F534" s="14">
        <f>IF(ISNA(VLOOKUP(F$1,'offpeak-new'!$A$3:$DQ$20,$D534,FALSE)),0,VLOOKUP(F$1,'offpeak-new'!$A$3:$DQ$20,$D534,FALSE))</f>
        <v>0</v>
      </c>
      <c r="G534" s="14">
        <f>IF(ISNA(VLOOKUP(G$1,'offpeak-new'!$A$3:$DQ$20,$D534,FALSE)),0,VLOOKUP(G$1,'offpeak-new'!$A$3:$DQ$20,$D534,FALSE))</f>
        <v>0</v>
      </c>
      <c r="H534" s="14">
        <f>IF(ISNA(VLOOKUP(H$1,'offpeak-new'!$A$3:$DQ$20,$D534,FALSE)),0,VLOOKUP(H$1,'offpeak-new'!$A$3:$DQ$20,$D534,FALSE))</f>
        <v>0</v>
      </c>
      <c r="I534" s="14">
        <f>IF(ISNA(VLOOKUP(I$1,'offpeak-new'!$A$3:$DQ$20,$D534,FALSE)),0,VLOOKUP(I$1,'offpeak-new'!$A$3:$DQ$20,$D534,FALSE))</f>
        <v>0</v>
      </c>
      <c r="J534" s="14">
        <f>IF(ISNA(VLOOKUP(J$1,'offpeak-new'!$A$3:$DQ$20,$D534,FALSE)),0,VLOOKUP(J$1,'offpeak-new'!$A$3:$DQ$20,$D534,FALSE))</f>
        <v>0</v>
      </c>
      <c r="K534" s="14">
        <f>IF(ISNA(VLOOKUP(K$1,'offpeak-new'!$A$3:$DQ$20,$D534,FALSE)),0,VLOOKUP(K$1,'offpeak-new'!$A$3:$DQ$20,$D534,FALSE))</f>
        <v>0</v>
      </c>
      <c r="L534" s="14">
        <f>IF(ISNA(VLOOKUP(L$1,'offpeak-new'!$A$3:$DQ$20,$D534,FALSE)),0,VLOOKUP(L$1,'offpeak-new'!$A$3:$DQ$20,$D534,FALSE))</f>
        <v>0</v>
      </c>
      <c r="M534" s="14">
        <f>IF(ISNA(VLOOKUP(M$1,'offpeak-new'!$A$3:$DQ$20,$D534,FALSE)),0,VLOOKUP(M$1,'offpeak-new'!$A$3:$DQ$20,$D534,FALSE))</f>
        <v>0</v>
      </c>
      <c r="N534" s="14">
        <f>IF(ISNA(VLOOKUP(N$1,'offpeak-new'!$A$3:$DQ$20,$D534,FALSE)),0,VLOOKUP(N$1,'offpeak-new'!$A$3:$DQ$20,$D534,FALSE))</f>
        <v>0</v>
      </c>
      <c r="O534" s="14">
        <f>IF(ISNA(VLOOKUP(O$1,'offpeak-new'!$A$3:$DQ$20,$D534,FALSE)),0,VLOOKUP(O$1,'offpeak-new'!$A$3:$DQ$20,$D534,FALSE))</f>
        <v>0</v>
      </c>
      <c r="P534" s="14">
        <f>IF(ISNA(VLOOKUP(P$1,'offpeak-new'!$A$3:$DQ$20,$D534,FALSE)),0,VLOOKUP(P$1,'offpeak-new'!$A$3:$DQ$20,$D534,FALSE))</f>
        <v>0</v>
      </c>
      <c r="Q534" s="15">
        <f>IF(ISNA(VLOOKUP(Q$1,'offpeak-new'!$A$3:$DQ$20,$D534,FALSE)),0,VLOOKUP(Q$1,'offpeak-new'!$A$3:$DQ$20,$D534,FALSE))</f>
        <v>0</v>
      </c>
      <c r="R534" s="14">
        <f>IF(ISNA(VLOOKUP(R$1,'offpeak-new'!$A$3:$DQ$20,$D534,FALSE)),0,VLOOKUP(R$1,'offpeak-new'!$A$3:$DQ$20,$D534,FALSE))</f>
        <v>-39200</v>
      </c>
      <c r="S534" s="10"/>
    </row>
    <row r="535" spans="1:19" s="8" customFormat="1" x14ac:dyDescent="0.2">
      <c r="A535" s="8">
        <f t="shared" si="153"/>
        <v>2004</v>
      </c>
      <c r="B535" s="8">
        <f t="shared" si="154"/>
        <v>8</v>
      </c>
      <c r="C535" s="9">
        <f t="shared" si="152"/>
        <v>38200</v>
      </c>
      <c r="D535" s="8">
        <f t="shared" si="155"/>
        <v>35</v>
      </c>
      <c r="E535" s="14">
        <f>IF(ISNA(VLOOKUP(E$1,'offpeak-new'!$A$3:$DQ$20,$D535,FALSE)),0,VLOOKUP(E$1,'offpeak-new'!$A$3:$DQ$20,$D535,FALSE))</f>
        <v>47232</v>
      </c>
      <c r="F535" s="14">
        <f>IF(ISNA(VLOOKUP(F$1,'offpeak-new'!$A$3:$DQ$20,$D535,FALSE)),0,VLOOKUP(F$1,'offpeak-new'!$A$3:$DQ$20,$D535,FALSE))</f>
        <v>0</v>
      </c>
      <c r="G535" s="14">
        <f>IF(ISNA(VLOOKUP(G$1,'offpeak-new'!$A$3:$DQ$20,$D535,FALSE)),0,VLOOKUP(G$1,'offpeak-new'!$A$3:$DQ$20,$D535,FALSE))</f>
        <v>0</v>
      </c>
      <c r="H535" s="14">
        <f>IF(ISNA(VLOOKUP(H$1,'offpeak-new'!$A$3:$DQ$20,$D535,FALSE)),0,VLOOKUP(H$1,'offpeak-new'!$A$3:$DQ$20,$D535,FALSE))</f>
        <v>0</v>
      </c>
      <c r="I535" s="14">
        <f>IF(ISNA(VLOOKUP(I$1,'offpeak-new'!$A$3:$DQ$20,$D535,FALSE)),0,VLOOKUP(I$1,'offpeak-new'!$A$3:$DQ$20,$D535,FALSE))</f>
        <v>0</v>
      </c>
      <c r="J535" s="14">
        <f>IF(ISNA(VLOOKUP(J$1,'offpeak-new'!$A$3:$DQ$20,$D535,FALSE)),0,VLOOKUP(J$1,'offpeak-new'!$A$3:$DQ$20,$D535,FALSE))</f>
        <v>0</v>
      </c>
      <c r="K535" s="14">
        <f>IF(ISNA(VLOOKUP(K$1,'offpeak-new'!$A$3:$DQ$20,$D535,FALSE)),0,VLOOKUP(K$1,'offpeak-new'!$A$3:$DQ$20,$D535,FALSE))</f>
        <v>0</v>
      </c>
      <c r="L535" s="14">
        <f>IF(ISNA(VLOOKUP(L$1,'offpeak-new'!$A$3:$DQ$20,$D535,FALSE)),0,VLOOKUP(L$1,'offpeak-new'!$A$3:$DQ$20,$D535,FALSE))</f>
        <v>0</v>
      </c>
      <c r="M535" s="14">
        <f>IF(ISNA(VLOOKUP(M$1,'offpeak-new'!$A$3:$DQ$20,$D535,FALSE)),0,VLOOKUP(M$1,'offpeak-new'!$A$3:$DQ$20,$D535,FALSE))</f>
        <v>0</v>
      </c>
      <c r="N535" s="14">
        <f>IF(ISNA(VLOOKUP(N$1,'offpeak-new'!$A$3:$DQ$20,$D535,FALSE)),0,VLOOKUP(N$1,'offpeak-new'!$A$3:$DQ$20,$D535,FALSE))</f>
        <v>0</v>
      </c>
      <c r="O535" s="14">
        <f>IF(ISNA(VLOOKUP(O$1,'offpeak-new'!$A$3:$DQ$20,$D535,FALSE)),0,VLOOKUP(O$1,'offpeak-new'!$A$3:$DQ$20,$D535,FALSE))</f>
        <v>0</v>
      </c>
      <c r="P535" s="14">
        <f>IF(ISNA(VLOOKUP(P$1,'offpeak-new'!$A$3:$DQ$20,$D535,FALSE)),0,VLOOKUP(P$1,'offpeak-new'!$A$3:$DQ$20,$D535,FALSE))</f>
        <v>0</v>
      </c>
      <c r="Q535" s="15">
        <f>IF(ISNA(VLOOKUP(Q$1,'offpeak-new'!$A$3:$DQ$20,$D535,FALSE)),0,VLOOKUP(Q$1,'offpeak-new'!$A$3:$DQ$20,$D535,FALSE))</f>
        <v>0</v>
      </c>
      <c r="R535" s="14">
        <f>IF(ISNA(VLOOKUP(R$1,'offpeak-new'!$A$3:$DQ$20,$D535,FALSE)),0,VLOOKUP(R$1,'offpeak-new'!$A$3:$DQ$20,$D535,FALSE))</f>
        <v>-38400</v>
      </c>
      <c r="S535" s="10"/>
    </row>
    <row r="536" spans="1:19" s="8" customFormat="1" x14ac:dyDescent="0.2">
      <c r="A536" s="8">
        <f t="shared" si="153"/>
        <v>2004</v>
      </c>
      <c r="B536" s="8">
        <f t="shared" si="154"/>
        <v>9</v>
      </c>
      <c r="C536" s="9">
        <f t="shared" si="152"/>
        <v>38231</v>
      </c>
      <c r="D536" s="8">
        <f t="shared" si="155"/>
        <v>36</v>
      </c>
      <c r="E536" s="14">
        <f>IF(ISNA(VLOOKUP(E$1,'offpeak-new'!$A$3:$DQ$20,$D536,FALSE)),0,VLOOKUP(E$1,'offpeak-new'!$A$3:$DQ$20,$D536,FALSE))</f>
        <v>50307</v>
      </c>
      <c r="F536" s="14">
        <f>IF(ISNA(VLOOKUP(F$1,'offpeak-new'!$A$3:$DQ$20,$D536,FALSE)),0,VLOOKUP(F$1,'offpeak-new'!$A$3:$DQ$20,$D536,FALSE))</f>
        <v>0</v>
      </c>
      <c r="G536" s="14">
        <f>IF(ISNA(VLOOKUP(G$1,'offpeak-new'!$A$3:$DQ$20,$D536,FALSE)),0,VLOOKUP(G$1,'offpeak-new'!$A$3:$DQ$20,$D536,FALSE))</f>
        <v>0</v>
      </c>
      <c r="H536" s="14">
        <f>IF(ISNA(VLOOKUP(H$1,'offpeak-new'!$A$3:$DQ$20,$D536,FALSE)),0,VLOOKUP(H$1,'offpeak-new'!$A$3:$DQ$20,$D536,FALSE))</f>
        <v>0</v>
      </c>
      <c r="I536" s="14">
        <f>IF(ISNA(VLOOKUP(I$1,'offpeak-new'!$A$3:$DQ$20,$D536,FALSE)),0,VLOOKUP(I$1,'offpeak-new'!$A$3:$DQ$20,$D536,FALSE))</f>
        <v>0</v>
      </c>
      <c r="J536" s="14">
        <f>IF(ISNA(VLOOKUP(J$1,'offpeak-new'!$A$3:$DQ$20,$D536,FALSE)),0,VLOOKUP(J$1,'offpeak-new'!$A$3:$DQ$20,$D536,FALSE))</f>
        <v>0</v>
      </c>
      <c r="K536" s="14">
        <f>IF(ISNA(VLOOKUP(K$1,'offpeak-new'!$A$3:$DQ$20,$D536,FALSE)),0,VLOOKUP(K$1,'offpeak-new'!$A$3:$DQ$20,$D536,FALSE))</f>
        <v>0</v>
      </c>
      <c r="L536" s="14">
        <f>IF(ISNA(VLOOKUP(L$1,'offpeak-new'!$A$3:$DQ$20,$D536,FALSE)),0,VLOOKUP(L$1,'offpeak-new'!$A$3:$DQ$20,$D536,FALSE))</f>
        <v>0</v>
      </c>
      <c r="M536" s="14">
        <f>IF(ISNA(VLOOKUP(M$1,'offpeak-new'!$A$3:$DQ$20,$D536,FALSE)),0,VLOOKUP(M$1,'offpeak-new'!$A$3:$DQ$20,$D536,FALSE))</f>
        <v>0</v>
      </c>
      <c r="N536" s="14">
        <f>IF(ISNA(VLOOKUP(N$1,'offpeak-new'!$A$3:$DQ$20,$D536,FALSE)),0,VLOOKUP(N$1,'offpeak-new'!$A$3:$DQ$20,$D536,FALSE))</f>
        <v>0</v>
      </c>
      <c r="O536" s="14">
        <f>IF(ISNA(VLOOKUP(O$1,'offpeak-new'!$A$3:$DQ$20,$D536,FALSE)),0,VLOOKUP(O$1,'offpeak-new'!$A$3:$DQ$20,$D536,FALSE))</f>
        <v>0</v>
      </c>
      <c r="P536" s="14">
        <f>IF(ISNA(VLOOKUP(P$1,'offpeak-new'!$A$3:$DQ$20,$D536,FALSE)),0,VLOOKUP(P$1,'offpeak-new'!$A$3:$DQ$20,$D536,FALSE))</f>
        <v>0</v>
      </c>
      <c r="Q536" s="15">
        <f>IF(ISNA(VLOOKUP(Q$1,'offpeak-new'!$A$3:$DQ$20,$D536,FALSE)),0,VLOOKUP(Q$1,'offpeak-new'!$A$3:$DQ$20,$D536,FALSE))</f>
        <v>0</v>
      </c>
      <c r="R536" s="14">
        <f>IF(ISNA(VLOOKUP(R$1,'offpeak-new'!$A$3:$DQ$20,$D536,FALSE)),0,VLOOKUP(R$1,'offpeak-new'!$A$3:$DQ$20,$D536,FALSE))</f>
        <v>-40900</v>
      </c>
      <c r="S536" s="10"/>
    </row>
    <row r="537" spans="1:19" s="8" customFormat="1" x14ac:dyDescent="0.2">
      <c r="A537" s="8">
        <f t="shared" si="153"/>
        <v>2004</v>
      </c>
      <c r="B537" s="8">
        <f t="shared" si="154"/>
        <v>10</v>
      </c>
      <c r="C537" s="9">
        <f t="shared" si="152"/>
        <v>38261</v>
      </c>
      <c r="D537" s="8">
        <f t="shared" si="155"/>
        <v>37</v>
      </c>
      <c r="E537" s="14">
        <f>IF(ISNA(VLOOKUP(E$1,'offpeak-new'!$A$3:$DQ$20,$D537,FALSE)),0,VLOOKUP(E$1,'offpeak-new'!$A$3:$DQ$20,$D537,FALSE))</f>
        <v>47232</v>
      </c>
      <c r="F537" s="14">
        <f>IF(ISNA(VLOOKUP(F$1,'offpeak-new'!$A$3:$DQ$20,$D537,FALSE)),0,VLOOKUP(F$1,'offpeak-new'!$A$3:$DQ$20,$D537,FALSE))</f>
        <v>0</v>
      </c>
      <c r="G537" s="14">
        <f>IF(ISNA(VLOOKUP(G$1,'offpeak-new'!$A$3:$DQ$20,$D537,FALSE)),0,VLOOKUP(G$1,'offpeak-new'!$A$3:$DQ$20,$D537,FALSE))</f>
        <v>0</v>
      </c>
      <c r="H537" s="14">
        <f>IF(ISNA(VLOOKUP(H$1,'offpeak-new'!$A$3:$DQ$20,$D537,FALSE)),0,VLOOKUP(H$1,'offpeak-new'!$A$3:$DQ$20,$D537,FALSE))</f>
        <v>0</v>
      </c>
      <c r="I537" s="14">
        <f>IF(ISNA(VLOOKUP(I$1,'offpeak-new'!$A$3:$DQ$20,$D537,FALSE)),0,VLOOKUP(I$1,'offpeak-new'!$A$3:$DQ$20,$D537,FALSE))</f>
        <v>0</v>
      </c>
      <c r="J537" s="14">
        <f>IF(ISNA(VLOOKUP(J$1,'offpeak-new'!$A$3:$DQ$20,$D537,FALSE)),0,VLOOKUP(J$1,'offpeak-new'!$A$3:$DQ$20,$D537,FALSE))</f>
        <v>0</v>
      </c>
      <c r="K537" s="14">
        <f>IF(ISNA(VLOOKUP(K$1,'offpeak-new'!$A$3:$DQ$20,$D537,FALSE)),0,VLOOKUP(K$1,'offpeak-new'!$A$3:$DQ$20,$D537,FALSE))</f>
        <v>0</v>
      </c>
      <c r="L537" s="14">
        <f>IF(ISNA(VLOOKUP(L$1,'offpeak-new'!$A$3:$DQ$20,$D537,FALSE)),0,VLOOKUP(L$1,'offpeak-new'!$A$3:$DQ$20,$D537,FALSE))</f>
        <v>0</v>
      </c>
      <c r="M537" s="14">
        <f>IF(ISNA(VLOOKUP(M$1,'offpeak-new'!$A$3:$DQ$20,$D537,FALSE)),0,VLOOKUP(M$1,'offpeak-new'!$A$3:$DQ$20,$D537,FALSE))</f>
        <v>0</v>
      </c>
      <c r="N537" s="14">
        <f>IF(ISNA(VLOOKUP(N$1,'offpeak-new'!$A$3:$DQ$20,$D537,FALSE)),0,VLOOKUP(N$1,'offpeak-new'!$A$3:$DQ$20,$D537,FALSE))</f>
        <v>0</v>
      </c>
      <c r="O537" s="14">
        <f>IF(ISNA(VLOOKUP(O$1,'offpeak-new'!$A$3:$DQ$20,$D537,FALSE)),0,VLOOKUP(O$1,'offpeak-new'!$A$3:$DQ$20,$D537,FALSE))</f>
        <v>0</v>
      </c>
      <c r="P537" s="14">
        <f>IF(ISNA(VLOOKUP(P$1,'offpeak-new'!$A$3:$DQ$20,$D537,FALSE)),0,VLOOKUP(P$1,'offpeak-new'!$A$3:$DQ$20,$D537,FALSE))</f>
        <v>0</v>
      </c>
      <c r="Q537" s="15">
        <f>IF(ISNA(VLOOKUP(Q$1,'offpeak-new'!$A$3:$DQ$20,$D537,FALSE)),0,VLOOKUP(Q$1,'offpeak-new'!$A$3:$DQ$20,$D537,FALSE))</f>
        <v>0</v>
      </c>
      <c r="R537" s="14">
        <f>IF(ISNA(VLOOKUP(R$1,'offpeak-new'!$A$3:$DQ$20,$D537,FALSE)),0,VLOOKUP(R$1,'offpeak-new'!$A$3:$DQ$20,$D537,FALSE))</f>
        <v>-38400</v>
      </c>
      <c r="S537" s="10"/>
    </row>
    <row r="538" spans="1:19" s="8" customFormat="1" x14ac:dyDescent="0.2">
      <c r="A538" s="8">
        <f t="shared" si="153"/>
        <v>2004</v>
      </c>
      <c r="B538" s="8">
        <f t="shared" si="154"/>
        <v>11</v>
      </c>
      <c r="C538" s="9">
        <f t="shared" si="152"/>
        <v>38292</v>
      </c>
      <c r="D538" s="8">
        <f t="shared" si="155"/>
        <v>38</v>
      </c>
      <c r="E538" s="14">
        <f>IF(ISNA(VLOOKUP(E$1,'offpeak-new'!$A$3:$DQ$20,$D538,FALSE)),0,VLOOKUP(E$1,'offpeak-new'!$A$3:$DQ$20,$D538,FALSE))</f>
        <v>46248</v>
      </c>
      <c r="F538" s="14">
        <f>IF(ISNA(VLOOKUP(F$1,'offpeak-new'!$A$3:$DQ$20,$D538,FALSE)),0,VLOOKUP(F$1,'offpeak-new'!$A$3:$DQ$20,$D538,FALSE))</f>
        <v>0</v>
      </c>
      <c r="G538" s="14">
        <f>IF(ISNA(VLOOKUP(G$1,'offpeak-new'!$A$3:$DQ$20,$D538,FALSE)),0,VLOOKUP(G$1,'offpeak-new'!$A$3:$DQ$20,$D538,FALSE))</f>
        <v>0</v>
      </c>
      <c r="H538" s="14">
        <f>IF(ISNA(VLOOKUP(H$1,'offpeak-new'!$A$3:$DQ$20,$D538,FALSE)),0,VLOOKUP(H$1,'offpeak-new'!$A$3:$DQ$20,$D538,FALSE))</f>
        <v>0</v>
      </c>
      <c r="I538" s="14">
        <f>IF(ISNA(VLOOKUP(I$1,'offpeak-new'!$A$3:$DQ$20,$D538,FALSE)),0,VLOOKUP(I$1,'offpeak-new'!$A$3:$DQ$20,$D538,FALSE))</f>
        <v>0</v>
      </c>
      <c r="J538" s="14">
        <f>IF(ISNA(VLOOKUP(J$1,'offpeak-new'!$A$3:$DQ$20,$D538,FALSE)),0,VLOOKUP(J$1,'offpeak-new'!$A$3:$DQ$20,$D538,FALSE))</f>
        <v>0</v>
      </c>
      <c r="K538" s="14">
        <f>IF(ISNA(VLOOKUP(K$1,'offpeak-new'!$A$3:$DQ$20,$D538,FALSE)),0,VLOOKUP(K$1,'offpeak-new'!$A$3:$DQ$20,$D538,FALSE))</f>
        <v>0</v>
      </c>
      <c r="L538" s="14">
        <f>IF(ISNA(VLOOKUP(L$1,'offpeak-new'!$A$3:$DQ$20,$D538,FALSE)),0,VLOOKUP(L$1,'offpeak-new'!$A$3:$DQ$20,$D538,FALSE))</f>
        <v>0</v>
      </c>
      <c r="M538" s="14">
        <f>IF(ISNA(VLOOKUP(M$1,'offpeak-new'!$A$3:$DQ$20,$D538,FALSE)),0,VLOOKUP(M$1,'offpeak-new'!$A$3:$DQ$20,$D538,FALSE))</f>
        <v>0</v>
      </c>
      <c r="N538" s="14">
        <f>IF(ISNA(VLOOKUP(N$1,'offpeak-new'!$A$3:$DQ$20,$D538,FALSE)),0,VLOOKUP(N$1,'offpeak-new'!$A$3:$DQ$20,$D538,FALSE))</f>
        <v>0</v>
      </c>
      <c r="O538" s="14">
        <f>IF(ISNA(VLOOKUP(O$1,'offpeak-new'!$A$3:$DQ$20,$D538,FALSE)),0,VLOOKUP(O$1,'offpeak-new'!$A$3:$DQ$20,$D538,FALSE))</f>
        <v>0</v>
      </c>
      <c r="P538" s="14">
        <f>IF(ISNA(VLOOKUP(P$1,'offpeak-new'!$A$3:$DQ$20,$D538,FALSE)),0,VLOOKUP(P$1,'offpeak-new'!$A$3:$DQ$20,$D538,FALSE))</f>
        <v>0</v>
      </c>
      <c r="Q538" s="15">
        <f>IF(ISNA(VLOOKUP(Q$1,'offpeak-new'!$A$3:$DQ$20,$D538,FALSE)),0,VLOOKUP(Q$1,'offpeak-new'!$A$3:$DQ$20,$D538,FALSE))</f>
        <v>0</v>
      </c>
      <c r="R538" s="14">
        <f>IF(ISNA(VLOOKUP(R$1,'offpeak-new'!$A$3:$DQ$20,$D538,FALSE)),0,VLOOKUP(R$1,'offpeak-new'!$A$3:$DQ$20,$D538,FALSE))</f>
        <v>-37600</v>
      </c>
      <c r="S538" s="10"/>
    </row>
    <row r="539" spans="1:19" s="8" customFormat="1" x14ac:dyDescent="0.2">
      <c r="A539" s="8">
        <f t="shared" si="153"/>
        <v>2004</v>
      </c>
      <c r="B539" s="8">
        <f t="shared" si="154"/>
        <v>12</v>
      </c>
      <c r="C539" s="9">
        <f t="shared" si="152"/>
        <v>38322</v>
      </c>
      <c r="D539" s="8">
        <f t="shared" si="155"/>
        <v>39</v>
      </c>
      <c r="E539" s="14">
        <f>IF(ISNA(VLOOKUP(E$1,'offpeak-new'!$A$3:$DQ$20,$D539,FALSE)),0,VLOOKUP(E$1,'offpeak-new'!$A$3:$DQ$20,$D539,FALSE))</f>
        <v>70584</v>
      </c>
      <c r="F539" s="14">
        <f>IF(ISNA(VLOOKUP(F$1,'offpeak-new'!$A$3:$DQ$20,$D539,FALSE)),0,VLOOKUP(F$1,'offpeak-new'!$A$3:$DQ$20,$D539,FALSE))</f>
        <v>0</v>
      </c>
      <c r="G539" s="14">
        <f>IF(ISNA(VLOOKUP(G$1,'offpeak-new'!$A$3:$DQ$20,$D539,FALSE)),0,VLOOKUP(G$1,'offpeak-new'!$A$3:$DQ$20,$D539,FALSE))</f>
        <v>0</v>
      </c>
      <c r="H539" s="14">
        <f>IF(ISNA(VLOOKUP(H$1,'offpeak-new'!$A$3:$DQ$20,$D539,FALSE)),0,VLOOKUP(H$1,'offpeak-new'!$A$3:$DQ$20,$D539,FALSE))</f>
        <v>0</v>
      </c>
      <c r="I539" s="14">
        <f>IF(ISNA(VLOOKUP(I$1,'offpeak-new'!$A$3:$DQ$20,$D539,FALSE)),0,VLOOKUP(I$1,'offpeak-new'!$A$3:$DQ$20,$D539,FALSE))</f>
        <v>0</v>
      </c>
      <c r="J539" s="14">
        <f>IF(ISNA(VLOOKUP(J$1,'offpeak-new'!$A$3:$DQ$20,$D539,FALSE)),0,VLOOKUP(J$1,'offpeak-new'!$A$3:$DQ$20,$D539,FALSE))</f>
        <v>0</v>
      </c>
      <c r="K539" s="14">
        <f>IF(ISNA(VLOOKUP(K$1,'offpeak-new'!$A$3:$DQ$20,$D539,FALSE)),0,VLOOKUP(K$1,'offpeak-new'!$A$3:$DQ$20,$D539,FALSE))</f>
        <v>0</v>
      </c>
      <c r="L539" s="14">
        <f>IF(ISNA(VLOOKUP(L$1,'offpeak-new'!$A$3:$DQ$20,$D539,FALSE)),0,VLOOKUP(L$1,'offpeak-new'!$A$3:$DQ$20,$D539,FALSE))</f>
        <v>0</v>
      </c>
      <c r="M539" s="14">
        <f>IF(ISNA(VLOOKUP(M$1,'offpeak-new'!$A$3:$DQ$20,$D539,FALSE)),0,VLOOKUP(M$1,'offpeak-new'!$A$3:$DQ$20,$D539,FALSE))</f>
        <v>0</v>
      </c>
      <c r="N539" s="14">
        <f>IF(ISNA(VLOOKUP(N$1,'offpeak-new'!$A$3:$DQ$20,$D539,FALSE)),0,VLOOKUP(N$1,'offpeak-new'!$A$3:$DQ$20,$D539,FALSE))</f>
        <v>0</v>
      </c>
      <c r="O539" s="14">
        <f>IF(ISNA(VLOOKUP(O$1,'offpeak-new'!$A$3:$DQ$20,$D539,FALSE)),0,VLOOKUP(O$1,'offpeak-new'!$A$3:$DQ$20,$D539,FALSE))</f>
        <v>0</v>
      </c>
      <c r="P539" s="14">
        <f>IF(ISNA(VLOOKUP(P$1,'offpeak-new'!$A$3:$DQ$20,$D539,FALSE)),0,VLOOKUP(P$1,'offpeak-new'!$A$3:$DQ$20,$D539,FALSE))</f>
        <v>0</v>
      </c>
      <c r="Q539" s="15">
        <f>IF(ISNA(VLOOKUP(Q$1,'offpeak-new'!$A$3:$DQ$20,$D539,FALSE)),0,VLOOKUP(Q$1,'offpeak-new'!$A$3:$DQ$20,$D539,FALSE))</f>
        <v>0</v>
      </c>
      <c r="R539" s="14">
        <f>IF(ISNA(VLOOKUP(R$1,'offpeak-new'!$A$3:$DQ$20,$D539,FALSE)),0,VLOOKUP(R$1,'offpeak-new'!$A$3:$DQ$20,$D539,FALSE))</f>
        <v>0</v>
      </c>
      <c r="S539" s="10"/>
    </row>
    <row r="540" spans="1:19" s="8" customFormat="1" x14ac:dyDescent="0.2">
      <c r="A540" s="8">
        <f t="shared" si="153"/>
        <v>2005</v>
      </c>
      <c r="B540" s="8">
        <f t="shared" si="154"/>
        <v>1</v>
      </c>
      <c r="C540" s="9">
        <f t="shared" si="152"/>
        <v>38353</v>
      </c>
      <c r="D540" s="8">
        <f t="shared" si="155"/>
        <v>40</v>
      </c>
      <c r="E540" s="14">
        <f>IF(ISNA(VLOOKUP(E$1,'offpeak-new'!$A$3:$DQ$20,$D540,FALSE)),0,VLOOKUP(E$1,'offpeak-new'!$A$3:$DQ$20,$D540,FALSE))</f>
        <v>60896</v>
      </c>
      <c r="F540" s="14">
        <f>IF(ISNA(VLOOKUP(F$1,'offpeak-new'!$A$3:$DQ$20,$D540,FALSE)),0,VLOOKUP(F$1,'offpeak-new'!$A$3:$DQ$20,$D540,FALSE))</f>
        <v>0</v>
      </c>
      <c r="G540" s="14">
        <f>IF(ISNA(VLOOKUP(G$1,'offpeak-new'!$A$3:$DQ$20,$D540,FALSE)),0,VLOOKUP(G$1,'offpeak-new'!$A$3:$DQ$20,$D540,FALSE))</f>
        <v>0</v>
      </c>
      <c r="H540" s="14">
        <f>IF(ISNA(VLOOKUP(H$1,'offpeak-new'!$A$3:$DQ$20,$D540,FALSE)),0,VLOOKUP(H$1,'offpeak-new'!$A$3:$DQ$20,$D540,FALSE))</f>
        <v>0</v>
      </c>
      <c r="I540" s="14">
        <f>IF(ISNA(VLOOKUP(I$1,'offpeak-new'!$A$3:$DQ$20,$D540,FALSE)),0,VLOOKUP(I$1,'offpeak-new'!$A$3:$DQ$20,$D540,FALSE))</f>
        <v>0</v>
      </c>
      <c r="J540" s="14">
        <f>IF(ISNA(VLOOKUP(J$1,'offpeak-new'!$A$3:$DQ$20,$D540,FALSE)),0,VLOOKUP(J$1,'offpeak-new'!$A$3:$DQ$20,$D540,FALSE))</f>
        <v>0</v>
      </c>
      <c r="K540" s="14">
        <f>IF(ISNA(VLOOKUP(K$1,'offpeak-new'!$A$3:$DQ$20,$D540,FALSE)),0,VLOOKUP(K$1,'offpeak-new'!$A$3:$DQ$20,$D540,FALSE))</f>
        <v>0</v>
      </c>
      <c r="L540" s="14">
        <f>IF(ISNA(VLOOKUP(L$1,'offpeak-new'!$A$3:$DQ$20,$D540,FALSE)),0,VLOOKUP(L$1,'offpeak-new'!$A$3:$DQ$20,$D540,FALSE))</f>
        <v>0</v>
      </c>
      <c r="M540" s="14">
        <f>IF(ISNA(VLOOKUP(M$1,'offpeak-new'!$A$3:$DQ$20,$D540,FALSE)),0,VLOOKUP(M$1,'offpeak-new'!$A$3:$DQ$20,$D540,FALSE))</f>
        <v>0</v>
      </c>
      <c r="N540" s="14">
        <f>IF(ISNA(VLOOKUP(N$1,'offpeak-new'!$A$3:$DQ$20,$D540,FALSE)),0,VLOOKUP(N$1,'offpeak-new'!$A$3:$DQ$20,$D540,FALSE))</f>
        <v>0</v>
      </c>
      <c r="O540" s="14">
        <f>IF(ISNA(VLOOKUP(O$1,'offpeak-new'!$A$3:$DQ$20,$D540,FALSE)),0,VLOOKUP(O$1,'offpeak-new'!$A$3:$DQ$20,$D540,FALSE))</f>
        <v>0</v>
      </c>
      <c r="P540" s="14">
        <f>IF(ISNA(VLOOKUP(P$1,'offpeak-new'!$A$3:$DQ$20,$D540,FALSE)),0,VLOOKUP(P$1,'offpeak-new'!$A$3:$DQ$20,$D540,FALSE))</f>
        <v>0</v>
      </c>
      <c r="Q540" s="15">
        <f>IF(ISNA(VLOOKUP(Q$1,'offpeak-new'!$A$3:$DQ$20,$D540,FALSE)),0,VLOOKUP(Q$1,'offpeak-new'!$A$3:$DQ$20,$D540,FALSE))</f>
        <v>0</v>
      </c>
      <c r="R540" s="14">
        <f>IF(ISNA(VLOOKUP(R$1,'offpeak-new'!$A$3:$DQ$20,$D540,FALSE)),0,VLOOKUP(R$1,'offpeak-new'!$A$3:$DQ$20,$D540,FALSE))</f>
        <v>0</v>
      </c>
      <c r="S540" s="10"/>
    </row>
    <row r="541" spans="1:19" s="8" customFormat="1" x14ac:dyDescent="0.2">
      <c r="A541" s="8">
        <f t="shared" si="153"/>
        <v>2005</v>
      </c>
      <c r="B541" s="8">
        <f t="shared" si="154"/>
        <v>2</v>
      </c>
      <c r="C541" s="9">
        <f t="shared" si="152"/>
        <v>38384</v>
      </c>
      <c r="D541" s="8">
        <f t="shared" si="155"/>
        <v>41</v>
      </c>
      <c r="E541" s="14">
        <f>IF(ISNA(VLOOKUP(E$1,'offpeak-new'!$A$3:$DQ$20,$D541,FALSE)),0,VLOOKUP(E$1,'offpeak-new'!$A$3:$DQ$20,$D541,FALSE))</f>
        <v>65048</v>
      </c>
      <c r="F541" s="14">
        <f>IF(ISNA(VLOOKUP(F$1,'offpeak-new'!$A$3:$DQ$20,$D541,FALSE)),0,VLOOKUP(F$1,'offpeak-new'!$A$3:$DQ$20,$D541,FALSE))</f>
        <v>0</v>
      </c>
      <c r="G541" s="14">
        <f>IF(ISNA(VLOOKUP(G$1,'offpeak-new'!$A$3:$DQ$20,$D541,FALSE)),0,VLOOKUP(G$1,'offpeak-new'!$A$3:$DQ$20,$D541,FALSE))</f>
        <v>0</v>
      </c>
      <c r="H541" s="14">
        <f>IF(ISNA(VLOOKUP(H$1,'offpeak-new'!$A$3:$DQ$20,$D541,FALSE)),0,VLOOKUP(H$1,'offpeak-new'!$A$3:$DQ$20,$D541,FALSE))</f>
        <v>0</v>
      </c>
      <c r="I541" s="14">
        <f>IF(ISNA(VLOOKUP(I$1,'offpeak-new'!$A$3:$DQ$20,$D541,FALSE)),0,VLOOKUP(I$1,'offpeak-new'!$A$3:$DQ$20,$D541,FALSE))</f>
        <v>0</v>
      </c>
      <c r="J541" s="14">
        <f>IF(ISNA(VLOOKUP(J$1,'offpeak-new'!$A$3:$DQ$20,$D541,FALSE)),0,VLOOKUP(J$1,'offpeak-new'!$A$3:$DQ$20,$D541,FALSE))</f>
        <v>0</v>
      </c>
      <c r="K541" s="14">
        <f>IF(ISNA(VLOOKUP(K$1,'offpeak-new'!$A$3:$DQ$20,$D541,FALSE)),0,VLOOKUP(K$1,'offpeak-new'!$A$3:$DQ$20,$D541,FALSE))</f>
        <v>0</v>
      </c>
      <c r="L541" s="14">
        <f>IF(ISNA(VLOOKUP(L$1,'offpeak-new'!$A$3:$DQ$20,$D541,FALSE)),0,VLOOKUP(L$1,'offpeak-new'!$A$3:$DQ$20,$D541,FALSE))</f>
        <v>0</v>
      </c>
      <c r="M541" s="14">
        <f>IF(ISNA(VLOOKUP(M$1,'offpeak-new'!$A$3:$DQ$20,$D541,FALSE)),0,VLOOKUP(M$1,'offpeak-new'!$A$3:$DQ$20,$D541,FALSE))</f>
        <v>0</v>
      </c>
      <c r="N541" s="14">
        <f>IF(ISNA(VLOOKUP(N$1,'offpeak-new'!$A$3:$DQ$20,$D541,FALSE)),0,VLOOKUP(N$1,'offpeak-new'!$A$3:$DQ$20,$D541,FALSE))</f>
        <v>0</v>
      </c>
      <c r="O541" s="14">
        <f>IF(ISNA(VLOOKUP(O$1,'offpeak-new'!$A$3:$DQ$20,$D541,FALSE)),0,VLOOKUP(O$1,'offpeak-new'!$A$3:$DQ$20,$D541,FALSE))</f>
        <v>0</v>
      </c>
      <c r="P541" s="14">
        <f>IF(ISNA(VLOOKUP(P$1,'offpeak-new'!$A$3:$DQ$20,$D541,FALSE)),0,VLOOKUP(P$1,'offpeak-new'!$A$3:$DQ$20,$D541,FALSE))</f>
        <v>0</v>
      </c>
      <c r="Q541" s="15">
        <f>IF(ISNA(VLOOKUP(Q$1,'offpeak-new'!$A$3:$DQ$20,$D541,FALSE)),0,VLOOKUP(Q$1,'offpeak-new'!$A$3:$DQ$20,$D541,FALSE))</f>
        <v>0</v>
      </c>
      <c r="R541" s="14">
        <f>IF(ISNA(VLOOKUP(R$1,'offpeak-new'!$A$3:$DQ$20,$D541,FALSE)),0,VLOOKUP(R$1,'offpeak-new'!$A$3:$DQ$20,$D541,FALSE))</f>
        <v>0</v>
      </c>
      <c r="S541" s="10"/>
    </row>
    <row r="542" spans="1:19" s="8" customFormat="1" x14ac:dyDescent="0.2">
      <c r="A542" s="8">
        <f t="shared" si="153"/>
        <v>2005</v>
      </c>
      <c r="B542" s="8">
        <f t="shared" si="154"/>
        <v>3</v>
      </c>
      <c r="C542" s="9">
        <f t="shared" si="152"/>
        <v>38412</v>
      </c>
      <c r="D542" s="8">
        <f t="shared" si="155"/>
        <v>42</v>
      </c>
      <c r="E542" s="14">
        <f>IF(ISNA(VLOOKUP(E$1,'offpeak-new'!$A$3:$DQ$20,$D542,FALSE)),0,VLOOKUP(E$1,'offpeak-new'!$A$3:$DQ$20,$D542,FALSE))</f>
        <v>66259</v>
      </c>
      <c r="F542" s="14">
        <f>IF(ISNA(VLOOKUP(F$1,'offpeak-new'!$A$3:$DQ$20,$D542,FALSE)),0,VLOOKUP(F$1,'offpeak-new'!$A$3:$DQ$20,$D542,FALSE))</f>
        <v>0</v>
      </c>
      <c r="G542" s="14">
        <f>IF(ISNA(VLOOKUP(G$1,'offpeak-new'!$A$3:$DQ$20,$D542,FALSE)),0,VLOOKUP(G$1,'offpeak-new'!$A$3:$DQ$20,$D542,FALSE))</f>
        <v>0</v>
      </c>
      <c r="H542" s="14">
        <f>IF(ISNA(VLOOKUP(H$1,'offpeak-new'!$A$3:$DQ$20,$D542,FALSE)),0,VLOOKUP(H$1,'offpeak-new'!$A$3:$DQ$20,$D542,FALSE))</f>
        <v>0</v>
      </c>
      <c r="I542" s="14">
        <f>IF(ISNA(VLOOKUP(I$1,'offpeak-new'!$A$3:$DQ$20,$D542,FALSE)),0,VLOOKUP(I$1,'offpeak-new'!$A$3:$DQ$20,$D542,FALSE))</f>
        <v>0</v>
      </c>
      <c r="J542" s="14">
        <f>IF(ISNA(VLOOKUP(J$1,'offpeak-new'!$A$3:$DQ$20,$D542,FALSE)),0,VLOOKUP(J$1,'offpeak-new'!$A$3:$DQ$20,$D542,FALSE))</f>
        <v>0</v>
      </c>
      <c r="K542" s="14">
        <f>IF(ISNA(VLOOKUP(K$1,'offpeak-new'!$A$3:$DQ$20,$D542,FALSE)),0,VLOOKUP(K$1,'offpeak-new'!$A$3:$DQ$20,$D542,FALSE))</f>
        <v>0</v>
      </c>
      <c r="L542" s="14">
        <f>IF(ISNA(VLOOKUP(L$1,'offpeak-new'!$A$3:$DQ$20,$D542,FALSE)),0,VLOOKUP(L$1,'offpeak-new'!$A$3:$DQ$20,$D542,FALSE))</f>
        <v>0</v>
      </c>
      <c r="M542" s="14">
        <f>IF(ISNA(VLOOKUP(M$1,'offpeak-new'!$A$3:$DQ$20,$D542,FALSE)),0,VLOOKUP(M$1,'offpeak-new'!$A$3:$DQ$20,$D542,FALSE))</f>
        <v>0</v>
      </c>
      <c r="N542" s="14">
        <f>IF(ISNA(VLOOKUP(N$1,'offpeak-new'!$A$3:$DQ$20,$D542,FALSE)),0,VLOOKUP(N$1,'offpeak-new'!$A$3:$DQ$20,$D542,FALSE))</f>
        <v>0</v>
      </c>
      <c r="O542" s="14">
        <f>IF(ISNA(VLOOKUP(O$1,'offpeak-new'!$A$3:$DQ$20,$D542,FALSE)),0,VLOOKUP(O$1,'offpeak-new'!$A$3:$DQ$20,$D542,FALSE))</f>
        <v>0</v>
      </c>
      <c r="P542" s="14">
        <f>IF(ISNA(VLOOKUP(P$1,'offpeak-new'!$A$3:$DQ$20,$D542,FALSE)),0,VLOOKUP(P$1,'offpeak-new'!$A$3:$DQ$20,$D542,FALSE))</f>
        <v>0</v>
      </c>
      <c r="Q542" s="15">
        <f>IF(ISNA(VLOOKUP(Q$1,'offpeak-new'!$A$3:$DQ$20,$D542,FALSE)),0,VLOOKUP(Q$1,'offpeak-new'!$A$3:$DQ$20,$D542,FALSE))</f>
        <v>0</v>
      </c>
      <c r="R542" s="14">
        <f>IF(ISNA(VLOOKUP(R$1,'offpeak-new'!$A$3:$DQ$20,$D542,FALSE)),0,VLOOKUP(R$1,'offpeak-new'!$A$3:$DQ$20,$D542,FALSE))</f>
        <v>0</v>
      </c>
      <c r="S542" s="10"/>
    </row>
    <row r="543" spans="1:19" s="8" customFormat="1" x14ac:dyDescent="0.2">
      <c r="A543" s="8">
        <f t="shared" si="153"/>
        <v>2005</v>
      </c>
      <c r="B543" s="8">
        <f t="shared" si="154"/>
        <v>4</v>
      </c>
      <c r="C543" s="9">
        <f t="shared" si="152"/>
        <v>38443</v>
      </c>
      <c r="D543" s="8">
        <f t="shared" si="155"/>
        <v>43</v>
      </c>
      <c r="E543" s="14">
        <f>IF(ISNA(VLOOKUP(E$1,'offpeak-new'!$A$3:$DQ$20,$D543,FALSE)),0,VLOOKUP(E$1,'offpeak-new'!$A$3:$DQ$20,$D543,FALSE))</f>
        <v>70584</v>
      </c>
      <c r="F543" s="14">
        <f>IF(ISNA(VLOOKUP(F$1,'offpeak-new'!$A$3:$DQ$20,$D543,FALSE)),0,VLOOKUP(F$1,'offpeak-new'!$A$3:$DQ$20,$D543,FALSE))</f>
        <v>0</v>
      </c>
      <c r="G543" s="14">
        <f>IF(ISNA(VLOOKUP(G$1,'offpeak-new'!$A$3:$DQ$20,$D543,FALSE)),0,VLOOKUP(G$1,'offpeak-new'!$A$3:$DQ$20,$D543,FALSE))</f>
        <v>0</v>
      </c>
      <c r="H543" s="14">
        <f>IF(ISNA(VLOOKUP(H$1,'offpeak-new'!$A$3:$DQ$20,$D543,FALSE)),0,VLOOKUP(H$1,'offpeak-new'!$A$3:$DQ$20,$D543,FALSE))</f>
        <v>0</v>
      </c>
      <c r="I543" s="14">
        <f>IF(ISNA(VLOOKUP(I$1,'offpeak-new'!$A$3:$DQ$20,$D543,FALSE)),0,VLOOKUP(I$1,'offpeak-new'!$A$3:$DQ$20,$D543,FALSE))</f>
        <v>0</v>
      </c>
      <c r="J543" s="14">
        <f>IF(ISNA(VLOOKUP(J$1,'offpeak-new'!$A$3:$DQ$20,$D543,FALSE)),0,VLOOKUP(J$1,'offpeak-new'!$A$3:$DQ$20,$D543,FALSE))</f>
        <v>0</v>
      </c>
      <c r="K543" s="14">
        <f>IF(ISNA(VLOOKUP(K$1,'offpeak-new'!$A$3:$DQ$20,$D543,FALSE)),0,VLOOKUP(K$1,'offpeak-new'!$A$3:$DQ$20,$D543,FALSE))</f>
        <v>0</v>
      </c>
      <c r="L543" s="14">
        <f>IF(ISNA(VLOOKUP(L$1,'offpeak-new'!$A$3:$DQ$20,$D543,FALSE)),0,VLOOKUP(L$1,'offpeak-new'!$A$3:$DQ$20,$D543,FALSE))</f>
        <v>0</v>
      </c>
      <c r="M543" s="14">
        <f>IF(ISNA(VLOOKUP(M$1,'offpeak-new'!$A$3:$DQ$20,$D543,FALSE)),0,VLOOKUP(M$1,'offpeak-new'!$A$3:$DQ$20,$D543,FALSE))</f>
        <v>0</v>
      </c>
      <c r="N543" s="14">
        <f>IF(ISNA(VLOOKUP(N$1,'offpeak-new'!$A$3:$DQ$20,$D543,FALSE)),0,VLOOKUP(N$1,'offpeak-new'!$A$3:$DQ$20,$D543,FALSE))</f>
        <v>0</v>
      </c>
      <c r="O543" s="14">
        <f>IF(ISNA(VLOOKUP(O$1,'offpeak-new'!$A$3:$DQ$20,$D543,FALSE)),0,VLOOKUP(O$1,'offpeak-new'!$A$3:$DQ$20,$D543,FALSE))</f>
        <v>0</v>
      </c>
      <c r="P543" s="14">
        <f>IF(ISNA(VLOOKUP(P$1,'offpeak-new'!$A$3:$DQ$20,$D543,FALSE)),0,VLOOKUP(P$1,'offpeak-new'!$A$3:$DQ$20,$D543,FALSE))</f>
        <v>0</v>
      </c>
      <c r="Q543" s="15">
        <f>IF(ISNA(VLOOKUP(Q$1,'offpeak-new'!$A$3:$DQ$20,$D543,FALSE)),0,VLOOKUP(Q$1,'offpeak-new'!$A$3:$DQ$20,$D543,FALSE))</f>
        <v>0</v>
      </c>
      <c r="R543" s="14">
        <f>IF(ISNA(VLOOKUP(R$1,'offpeak-new'!$A$3:$DQ$20,$D543,FALSE)),0,VLOOKUP(R$1,'offpeak-new'!$A$3:$DQ$20,$D543,FALSE))</f>
        <v>0</v>
      </c>
      <c r="S543" s="10"/>
    </row>
    <row r="544" spans="1:19" s="8" customFormat="1" x14ac:dyDescent="0.2">
      <c r="A544" s="8">
        <f t="shared" si="153"/>
        <v>2005</v>
      </c>
      <c r="B544" s="8">
        <f t="shared" si="154"/>
        <v>5</v>
      </c>
      <c r="C544" s="9">
        <f t="shared" si="152"/>
        <v>38473</v>
      </c>
      <c r="D544" s="8">
        <f t="shared" si="155"/>
        <v>44</v>
      </c>
      <c r="E544" s="14">
        <f>IF(ISNA(VLOOKUP(E$1,'offpeak-new'!$A$3:$DQ$20,$D544,FALSE)),0,VLOOKUP(E$1,'offpeak-new'!$A$3:$DQ$20,$D544,FALSE))</f>
        <v>63664</v>
      </c>
      <c r="F544" s="14">
        <f>IF(ISNA(VLOOKUP(F$1,'offpeak-new'!$A$3:$DQ$20,$D544,FALSE)),0,VLOOKUP(F$1,'offpeak-new'!$A$3:$DQ$20,$D544,FALSE))</f>
        <v>0</v>
      </c>
      <c r="G544" s="14">
        <f>IF(ISNA(VLOOKUP(G$1,'offpeak-new'!$A$3:$DQ$20,$D544,FALSE)),0,VLOOKUP(G$1,'offpeak-new'!$A$3:$DQ$20,$D544,FALSE))</f>
        <v>0</v>
      </c>
      <c r="H544" s="14">
        <f>IF(ISNA(VLOOKUP(H$1,'offpeak-new'!$A$3:$DQ$20,$D544,FALSE)),0,VLOOKUP(H$1,'offpeak-new'!$A$3:$DQ$20,$D544,FALSE))</f>
        <v>0</v>
      </c>
      <c r="I544" s="14">
        <f>IF(ISNA(VLOOKUP(I$1,'offpeak-new'!$A$3:$DQ$20,$D544,FALSE)),0,VLOOKUP(I$1,'offpeak-new'!$A$3:$DQ$20,$D544,FALSE))</f>
        <v>0</v>
      </c>
      <c r="J544" s="14">
        <f>IF(ISNA(VLOOKUP(J$1,'offpeak-new'!$A$3:$DQ$20,$D544,FALSE)),0,VLOOKUP(J$1,'offpeak-new'!$A$3:$DQ$20,$D544,FALSE))</f>
        <v>0</v>
      </c>
      <c r="K544" s="14">
        <f>IF(ISNA(VLOOKUP(K$1,'offpeak-new'!$A$3:$DQ$20,$D544,FALSE)),0,VLOOKUP(K$1,'offpeak-new'!$A$3:$DQ$20,$D544,FALSE))</f>
        <v>0</v>
      </c>
      <c r="L544" s="14">
        <f>IF(ISNA(VLOOKUP(L$1,'offpeak-new'!$A$3:$DQ$20,$D544,FALSE)),0,VLOOKUP(L$1,'offpeak-new'!$A$3:$DQ$20,$D544,FALSE))</f>
        <v>0</v>
      </c>
      <c r="M544" s="14">
        <f>IF(ISNA(VLOOKUP(M$1,'offpeak-new'!$A$3:$DQ$20,$D544,FALSE)),0,VLOOKUP(M$1,'offpeak-new'!$A$3:$DQ$20,$D544,FALSE))</f>
        <v>0</v>
      </c>
      <c r="N544" s="14">
        <f>IF(ISNA(VLOOKUP(N$1,'offpeak-new'!$A$3:$DQ$20,$D544,FALSE)),0,VLOOKUP(N$1,'offpeak-new'!$A$3:$DQ$20,$D544,FALSE))</f>
        <v>0</v>
      </c>
      <c r="O544" s="14">
        <f>IF(ISNA(VLOOKUP(O$1,'offpeak-new'!$A$3:$DQ$20,$D544,FALSE)),0,VLOOKUP(O$1,'offpeak-new'!$A$3:$DQ$20,$D544,FALSE))</f>
        <v>0</v>
      </c>
      <c r="P544" s="14">
        <f>IF(ISNA(VLOOKUP(P$1,'offpeak-new'!$A$3:$DQ$20,$D544,FALSE)),0,VLOOKUP(P$1,'offpeak-new'!$A$3:$DQ$20,$D544,FALSE))</f>
        <v>0</v>
      </c>
      <c r="Q544" s="15">
        <f>IF(ISNA(VLOOKUP(Q$1,'offpeak-new'!$A$3:$DQ$20,$D544,FALSE)),0,VLOOKUP(Q$1,'offpeak-new'!$A$3:$DQ$20,$D544,FALSE))</f>
        <v>0</v>
      </c>
      <c r="R544" s="14">
        <f>IF(ISNA(VLOOKUP(R$1,'offpeak-new'!$A$3:$DQ$20,$D544,FALSE)),0,VLOOKUP(R$1,'offpeak-new'!$A$3:$DQ$20,$D544,FALSE))</f>
        <v>0</v>
      </c>
      <c r="S544" s="10"/>
    </row>
    <row r="545" spans="1:19" s="8" customFormat="1" x14ac:dyDescent="0.2">
      <c r="A545" s="8">
        <f t="shared" si="153"/>
        <v>2005</v>
      </c>
      <c r="B545" s="8">
        <f t="shared" si="154"/>
        <v>6</v>
      </c>
      <c r="C545" s="9">
        <f t="shared" si="152"/>
        <v>38504</v>
      </c>
      <c r="D545" s="8">
        <f t="shared" si="155"/>
        <v>45</v>
      </c>
      <c r="E545" s="14">
        <f>IF(ISNA(VLOOKUP(E$1,'offpeak-new'!$A$3:$DQ$20,$D545,FALSE)),0,VLOOKUP(E$1,'offpeak-new'!$A$3:$DQ$20,$D545,FALSE))</f>
        <v>73352</v>
      </c>
      <c r="F545" s="14">
        <f>IF(ISNA(VLOOKUP(F$1,'offpeak-new'!$A$3:$DQ$20,$D545,FALSE)),0,VLOOKUP(F$1,'offpeak-new'!$A$3:$DQ$20,$D545,FALSE))</f>
        <v>0</v>
      </c>
      <c r="G545" s="14">
        <f>IF(ISNA(VLOOKUP(G$1,'offpeak-new'!$A$3:$DQ$20,$D545,FALSE)),0,VLOOKUP(G$1,'offpeak-new'!$A$3:$DQ$20,$D545,FALSE))</f>
        <v>0</v>
      </c>
      <c r="H545" s="14">
        <f>IF(ISNA(VLOOKUP(H$1,'offpeak-new'!$A$3:$DQ$20,$D545,FALSE)),0,VLOOKUP(H$1,'offpeak-new'!$A$3:$DQ$20,$D545,FALSE))</f>
        <v>0</v>
      </c>
      <c r="I545" s="14">
        <f>IF(ISNA(VLOOKUP(I$1,'offpeak-new'!$A$3:$DQ$20,$D545,FALSE)),0,VLOOKUP(I$1,'offpeak-new'!$A$3:$DQ$20,$D545,FALSE))</f>
        <v>0</v>
      </c>
      <c r="J545" s="14">
        <f>IF(ISNA(VLOOKUP(J$1,'offpeak-new'!$A$3:$DQ$20,$D545,FALSE)),0,VLOOKUP(J$1,'offpeak-new'!$A$3:$DQ$20,$D545,FALSE))</f>
        <v>0</v>
      </c>
      <c r="K545" s="14">
        <f>IF(ISNA(VLOOKUP(K$1,'offpeak-new'!$A$3:$DQ$20,$D545,FALSE)),0,VLOOKUP(K$1,'offpeak-new'!$A$3:$DQ$20,$D545,FALSE))</f>
        <v>0</v>
      </c>
      <c r="L545" s="14">
        <f>IF(ISNA(VLOOKUP(L$1,'offpeak-new'!$A$3:$DQ$20,$D545,FALSE)),0,VLOOKUP(L$1,'offpeak-new'!$A$3:$DQ$20,$D545,FALSE))</f>
        <v>0</v>
      </c>
      <c r="M545" s="14">
        <f>IF(ISNA(VLOOKUP(M$1,'offpeak-new'!$A$3:$DQ$20,$D545,FALSE)),0,VLOOKUP(M$1,'offpeak-new'!$A$3:$DQ$20,$D545,FALSE))</f>
        <v>0</v>
      </c>
      <c r="N545" s="14">
        <f>IF(ISNA(VLOOKUP(N$1,'offpeak-new'!$A$3:$DQ$20,$D545,FALSE)),0,VLOOKUP(N$1,'offpeak-new'!$A$3:$DQ$20,$D545,FALSE))</f>
        <v>0</v>
      </c>
      <c r="O545" s="14">
        <f>IF(ISNA(VLOOKUP(O$1,'offpeak-new'!$A$3:$DQ$20,$D545,FALSE)),0,VLOOKUP(O$1,'offpeak-new'!$A$3:$DQ$20,$D545,FALSE))</f>
        <v>0</v>
      </c>
      <c r="P545" s="14">
        <f>IF(ISNA(VLOOKUP(P$1,'offpeak-new'!$A$3:$DQ$20,$D545,FALSE)),0,VLOOKUP(P$1,'offpeak-new'!$A$3:$DQ$20,$D545,FALSE))</f>
        <v>0</v>
      </c>
      <c r="Q545" s="15">
        <f>IF(ISNA(VLOOKUP(Q$1,'offpeak-new'!$A$3:$DQ$20,$D545,FALSE)),0,VLOOKUP(Q$1,'offpeak-new'!$A$3:$DQ$20,$D545,FALSE))</f>
        <v>0</v>
      </c>
      <c r="R545" s="14">
        <f>IF(ISNA(VLOOKUP(R$1,'offpeak-new'!$A$3:$DQ$20,$D545,FALSE)),0,VLOOKUP(R$1,'offpeak-new'!$A$3:$DQ$20,$D545,FALSE))</f>
        <v>0</v>
      </c>
      <c r="S545" s="10"/>
    </row>
    <row r="546" spans="1:19" s="8" customFormat="1" x14ac:dyDescent="0.2">
      <c r="A546" s="8">
        <f t="shared" si="153"/>
        <v>2005</v>
      </c>
      <c r="B546" s="8">
        <f t="shared" si="154"/>
        <v>7</v>
      </c>
      <c r="C546" s="9">
        <f t="shared" si="152"/>
        <v>38534</v>
      </c>
      <c r="D546" s="8">
        <f t="shared" si="155"/>
        <v>46</v>
      </c>
      <c r="E546" s="14">
        <f>IF(ISNA(VLOOKUP(E$1,'offpeak-new'!$A$3:$DQ$20,$D546,FALSE)),0,VLOOKUP(E$1,'offpeak-new'!$A$3:$DQ$20,$D546,FALSE))</f>
        <v>65048</v>
      </c>
      <c r="F546" s="14">
        <f>IF(ISNA(VLOOKUP(F$1,'offpeak-new'!$A$3:$DQ$20,$D546,FALSE)),0,VLOOKUP(F$1,'offpeak-new'!$A$3:$DQ$20,$D546,FALSE))</f>
        <v>0</v>
      </c>
      <c r="G546" s="14">
        <f>IF(ISNA(VLOOKUP(G$1,'offpeak-new'!$A$3:$DQ$20,$D546,FALSE)),0,VLOOKUP(G$1,'offpeak-new'!$A$3:$DQ$20,$D546,FALSE))</f>
        <v>0</v>
      </c>
      <c r="H546" s="14">
        <f>IF(ISNA(VLOOKUP(H$1,'offpeak-new'!$A$3:$DQ$20,$D546,FALSE)),0,VLOOKUP(H$1,'offpeak-new'!$A$3:$DQ$20,$D546,FALSE))</f>
        <v>0</v>
      </c>
      <c r="I546" s="14">
        <f>IF(ISNA(VLOOKUP(I$1,'offpeak-new'!$A$3:$DQ$20,$D546,FALSE)),0,VLOOKUP(I$1,'offpeak-new'!$A$3:$DQ$20,$D546,FALSE))</f>
        <v>0</v>
      </c>
      <c r="J546" s="14">
        <f>IF(ISNA(VLOOKUP(J$1,'offpeak-new'!$A$3:$DQ$20,$D546,FALSE)),0,VLOOKUP(J$1,'offpeak-new'!$A$3:$DQ$20,$D546,FALSE))</f>
        <v>0</v>
      </c>
      <c r="K546" s="14">
        <f>IF(ISNA(VLOOKUP(K$1,'offpeak-new'!$A$3:$DQ$20,$D546,FALSE)),0,VLOOKUP(K$1,'offpeak-new'!$A$3:$DQ$20,$D546,FALSE))</f>
        <v>0</v>
      </c>
      <c r="L546" s="14">
        <f>IF(ISNA(VLOOKUP(L$1,'offpeak-new'!$A$3:$DQ$20,$D546,FALSE)),0,VLOOKUP(L$1,'offpeak-new'!$A$3:$DQ$20,$D546,FALSE))</f>
        <v>0</v>
      </c>
      <c r="M546" s="14">
        <f>IF(ISNA(VLOOKUP(M$1,'offpeak-new'!$A$3:$DQ$20,$D546,FALSE)),0,VLOOKUP(M$1,'offpeak-new'!$A$3:$DQ$20,$D546,FALSE))</f>
        <v>0</v>
      </c>
      <c r="N546" s="14">
        <f>IF(ISNA(VLOOKUP(N$1,'offpeak-new'!$A$3:$DQ$20,$D546,FALSE)),0,VLOOKUP(N$1,'offpeak-new'!$A$3:$DQ$20,$D546,FALSE))</f>
        <v>0</v>
      </c>
      <c r="O546" s="14">
        <f>IF(ISNA(VLOOKUP(O$1,'offpeak-new'!$A$3:$DQ$20,$D546,FALSE)),0,VLOOKUP(O$1,'offpeak-new'!$A$3:$DQ$20,$D546,FALSE))</f>
        <v>0</v>
      </c>
      <c r="P546" s="14">
        <f>IF(ISNA(VLOOKUP(P$1,'offpeak-new'!$A$3:$DQ$20,$D546,FALSE)),0,VLOOKUP(P$1,'offpeak-new'!$A$3:$DQ$20,$D546,FALSE))</f>
        <v>0</v>
      </c>
      <c r="Q546" s="15">
        <f>IF(ISNA(VLOOKUP(Q$1,'offpeak-new'!$A$3:$DQ$20,$D546,FALSE)),0,VLOOKUP(Q$1,'offpeak-new'!$A$3:$DQ$20,$D546,FALSE))</f>
        <v>0</v>
      </c>
      <c r="R546" s="14">
        <f>IF(ISNA(VLOOKUP(R$1,'offpeak-new'!$A$3:$DQ$20,$D546,FALSE)),0,VLOOKUP(R$1,'offpeak-new'!$A$3:$DQ$20,$D546,FALSE))</f>
        <v>0</v>
      </c>
      <c r="S546" s="10"/>
    </row>
    <row r="547" spans="1:19" s="8" customFormat="1" x14ac:dyDescent="0.2">
      <c r="A547" s="8">
        <f t="shared" si="153"/>
        <v>2005</v>
      </c>
      <c r="B547" s="8">
        <f t="shared" si="154"/>
        <v>8</v>
      </c>
      <c r="C547" s="9">
        <f t="shared" si="152"/>
        <v>38565</v>
      </c>
      <c r="D547" s="8">
        <f t="shared" si="155"/>
        <v>47</v>
      </c>
      <c r="E547" s="14">
        <f>IF(ISNA(VLOOKUP(E$1,'offpeak-new'!$A$3:$DQ$20,$D547,FALSE)),0,VLOOKUP(E$1,'offpeak-new'!$A$3:$DQ$20,$D547,FALSE))</f>
        <v>66432</v>
      </c>
      <c r="F547" s="14">
        <f>IF(ISNA(VLOOKUP(F$1,'offpeak-new'!$A$3:$DQ$20,$D547,FALSE)),0,VLOOKUP(F$1,'offpeak-new'!$A$3:$DQ$20,$D547,FALSE))</f>
        <v>0</v>
      </c>
      <c r="G547" s="14">
        <f>IF(ISNA(VLOOKUP(G$1,'offpeak-new'!$A$3:$DQ$20,$D547,FALSE)),0,VLOOKUP(G$1,'offpeak-new'!$A$3:$DQ$20,$D547,FALSE))</f>
        <v>0</v>
      </c>
      <c r="H547" s="14">
        <f>IF(ISNA(VLOOKUP(H$1,'offpeak-new'!$A$3:$DQ$20,$D547,FALSE)),0,VLOOKUP(H$1,'offpeak-new'!$A$3:$DQ$20,$D547,FALSE))</f>
        <v>0</v>
      </c>
      <c r="I547" s="14">
        <f>IF(ISNA(VLOOKUP(I$1,'offpeak-new'!$A$3:$DQ$20,$D547,FALSE)),0,VLOOKUP(I$1,'offpeak-new'!$A$3:$DQ$20,$D547,FALSE))</f>
        <v>0</v>
      </c>
      <c r="J547" s="14">
        <f>IF(ISNA(VLOOKUP(J$1,'offpeak-new'!$A$3:$DQ$20,$D547,FALSE)),0,VLOOKUP(J$1,'offpeak-new'!$A$3:$DQ$20,$D547,FALSE))</f>
        <v>0</v>
      </c>
      <c r="K547" s="14">
        <f>IF(ISNA(VLOOKUP(K$1,'offpeak-new'!$A$3:$DQ$20,$D547,FALSE)),0,VLOOKUP(K$1,'offpeak-new'!$A$3:$DQ$20,$D547,FALSE))</f>
        <v>0</v>
      </c>
      <c r="L547" s="14">
        <f>IF(ISNA(VLOOKUP(L$1,'offpeak-new'!$A$3:$DQ$20,$D547,FALSE)),0,VLOOKUP(L$1,'offpeak-new'!$A$3:$DQ$20,$D547,FALSE))</f>
        <v>0</v>
      </c>
      <c r="M547" s="14">
        <f>IF(ISNA(VLOOKUP(M$1,'offpeak-new'!$A$3:$DQ$20,$D547,FALSE)),0,VLOOKUP(M$1,'offpeak-new'!$A$3:$DQ$20,$D547,FALSE))</f>
        <v>0</v>
      </c>
      <c r="N547" s="14">
        <f>IF(ISNA(VLOOKUP(N$1,'offpeak-new'!$A$3:$DQ$20,$D547,FALSE)),0,VLOOKUP(N$1,'offpeak-new'!$A$3:$DQ$20,$D547,FALSE))</f>
        <v>0</v>
      </c>
      <c r="O547" s="14">
        <f>IF(ISNA(VLOOKUP(O$1,'offpeak-new'!$A$3:$DQ$20,$D547,FALSE)),0,VLOOKUP(O$1,'offpeak-new'!$A$3:$DQ$20,$D547,FALSE))</f>
        <v>0</v>
      </c>
      <c r="P547" s="14">
        <f>IF(ISNA(VLOOKUP(P$1,'offpeak-new'!$A$3:$DQ$20,$D547,FALSE)),0,VLOOKUP(P$1,'offpeak-new'!$A$3:$DQ$20,$D547,FALSE))</f>
        <v>0</v>
      </c>
      <c r="Q547" s="15">
        <f>IF(ISNA(VLOOKUP(Q$1,'offpeak-new'!$A$3:$DQ$20,$D547,FALSE)),0,VLOOKUP(Q$1,'offpeak-new'!$A$3:$DQ$20,$D547,FALSE))</f>
        <v>0</v>
      </c>
      <c r="R547" s="14">
        <f>IF(ISNA(VLOOKUP(R$1,'offpeak-new'!$A$3:$DQ$20,$D547,FALSE)),0,VLOOKUP(R$1,'offpeak-new'!$A$3:$DQ$20,$D547,FALSE))</f>
        <v>0</v>
      </c>
      <c r="S547" s="10"/>
    </row>
    <row r="548" spans="1:19" s="8" customFormat="1" x14ac:dyDescent="0.2">
      <c r="A548" s="8">
        <f t="shared" si="153"/>
        <v>2005</v>
      </c>
      <c r="B548" s="8">
        <f t="shared" si="154"/>
        <v>9</v>
      </c>
      <c r="C548" s="9">
        <f t="shared" si="152"/>
        <v>38596</v>
      </c>
      <c r="D548" s="8">
        <f t="shared" si="155"/>
        <v>48</v>
      </c>
      <c r="E548" s="14">
        <f>IF(ISNA(VLOOKUP(E$1,'offpeak-new'!$A$3:$DQ$20,$D548,FALSE)),0,VLOOKUP(E$1,'offpeak-new'!$A$3:$DQ$20,$D548,FALSE))</f>
        <v>70757</v>
      </c>
      <c r="F548" s="14">
        <f>IF(ISNA(VLOOKUP(F$1,'offpeak-new'!$A$3:$DQ$20,$D548,FALSE)),0,VLOOKUP(F$1,'offpeak-new'!$A$3:$DQ$20,$D548,FALSE))</f>
        <v>0</v>
      </c>
      <c r="G548" s="14">
        <f>IF(ISNA(VLOOKUP(G$1,'offpeak-new'!$A$3:$DQ$20,$D548,FALSE)),0,VLOOKUP(G$1,'offpeak-new'!$A$3:$DQ$20,$D548,FALSE))</f>
        <v>0</v>
      </c>
      <c r="H548" s="14">
        <f>IF(ISNA(VLOOKUP(H$1,'offpeak-new'!$A$3:$DQ$20,$D548,FALSE)),0,VLOOKUP(H$1,'offpeak-new'!$A$3:$DQ$20,$D548,FALSE))</f>
        <v>0</v>
      </c>
      <c r="I548" s="14">
        <f>IF(ISNA(VLOOKUP(I$1,'offpeak-new'!$A$3:$DQ$20,$D548,FALSE)),0,VLOOKUP(I$1,'offpeak-new'!$A$3:$DQ$20,$D548,FALSE))</f>
        <v>0</v>
      </c>
      <c r="J548" s="14">
        <f>IF(ISNA(VLOOKUP(J$1,'offpeak-new'!$A$3:$DQ$20,$D548,FALSE)),0,VLOOKUP(J$1,'offpeak-new'!$A$3:$DQ$20,$D548,FALSE))</f>
        <v>0</v>
      </c>
      <c r="K548" s="14">
        <f>IF(ISNA(VLOOKUP(K$1,'offpeak-new'!$A$3:$DQ$20,$D548,FALSE)),0,VLOOKUP(K$1,'offpeak-new'!$A$3:$DQ$20,$D548,FALSE))</f>
        <v>0</v>
      </c>
      <c r="L548" s="14">
        <f>IF(ISNA(VLOOKUP(L$1,'offpeak-new'!$A$3:$DQ$20,$D548,FALSE)),0,VLOOKUP(L$1,'offpeak-new'!$A$3:$DQ$20,$D548,FALSE))</f>
        <v>0</v>
      </c>
      <c r="M548" s="14">
        <f>IF(ISNA(VLOOKUP(M$1,'offpeak-new'!$A$3:$DQ$20,$D548,FALSE)),0,VLOOKUP(M$1,'offpeak-new'!$A$3:$DQ$20,$D548,FALSE))</f>
        <v>0</v>
      </c>
      <c r="N548" s="14">
        <f>IF(ISNA(VLOOKUP(N$1,'offpeak-new'!$A$3:$DQ$20,$D548,FALSE)),0,VLOOKUP(N$1,'offpeak-new'!$A$3:$DQ$20,$D548,FALSE))</f>
        <v>0</v>
      </c>
      <c r="O548" s="14">
        <f>IF(ISNA(VLOOKUP(O$1,'offpeak-new'!$A$3:$DQ$20,$D548,FALSE)),0,VLOOKUP(O$1,'offpeak-new'!$A$3:$DQ$20,$D548,FALSE))</f>
        <v>0</v>
      </c>
      <c r="P548" s="14">
        <f>IF(ISNA(VLOOKUP(P$1,'offpeak-new'!$A$3:$DQ$20,$D548,FALSE)),0,VLOOKUP(P$1,'offpeak-new'!$A$3:$DQ$20,$D548,FALSE))</f>
        <v>0</v>
      </c>
      <c r="Q548" s="15">
        <f>IF(ISNA(VLOOKUP(Q$1,'offpeak-new'!$A$3:$DQ$20,$D548,FALSE)),0,VLOOKUP(Q$1,'offpeak-new'!$A$3:$DQ$20,$D548,FALSE))</f>
        <v>0</v>
      </c>
      <c r="R548" s="14">
        <f>IF(ISNA(VLOOKUP(R$1,'offpeak-new'!$A$3:$DQ$20,$D548,FALSE)),0,VLOOKUP(R$1,'offpeak-new'!$A$3:$DQ$20,$D548,FALSE))</f>
        <v>0</v>
      </c>
      <c r="S548" s="10"/>
    </row>
    <row r="549" spans="1:19" s="8" customFormat="1" x14ac:dyDescent="0.2">
      <c r="A549" s="8">
        <f t="shared" si="153"/>
        <v>2005</v>
      </c>
      <c r="B549" s="8">
        <f t="shared" si="154"/>
        <v>10</v>
      </c>
      <c r="C549" s="9">
        <f t="shared" si="152"/>
        <v>38626</v>
      </c>
      <c r="D549" s="8">
        <f t="shared" si="155"/>
        <v>49</v>
      </c>
      <c r="E549" s="14">
        <f>IF(ISNA(VLOOKUP(E$1,'offpeak-new'!$A$3:$DQ$20,$D549,FALSE)),0,VLOOKUP(E$1,'offpeak-new'!$A$3:$DQ$20,$D549,FALSE))</f>
        <v>66432</v>
      </c>
      <c r="F549" s="14">
        <f>IF(ISNA(VLOOKUP(F$1,'offpeak-new'!$A$3:$DQ$20,$D549,FALSE)),0,VLOOKUP(F$1,'offpeak-new'!$A$3:$DQ$20,$D549,FALSE))</f>
        <v>0</v>
      </c>
      <c r="G549" s="14">
        <f>IF(ISNA(VLOOKUP(G$1,'offpeak-new'!$A$3:$DQ$20,$D549,FALSE)),0,VLOOKUP(G$1,'offpeak-new'!$A$3:$DQ$20,$D549,FALSE))</f>
        <v>0</v>
      </c>
      <c r="H549" s="14">
        <f>IF(ISNA(VLOOKUP(H$1,'offpeak-new'!$A$3:$DQ$20,$D549,FALSE)),0,VLOOKUP(H$1,'offpeak-new'!$A$3:$DQ$20,$D549,FALSE))</f>
        <v>0</v>
      </c>
      <c r="I549" s="14">
        <f>IF(ISNA(VLOOKUP(I$1,'offpeak-new'!$A$3:$DQ$20,$D549,FALSE)),0,VLOOKUP(I$1,'offpeak-new'!$A$3:$DQ$20,$D549,FALSE))</f>
        <v>0</v>
      </c>
      <c r="J549" s="14">
        <f>IF(ISNA(VLOOKUP(J$1,'offpeak-new'!$A$3:$DQ$20,$D549,FALSE)),0,VLOOKUP(J$1,'offpeak-new'!$A$3:$DQ$20,$D549,FALSE))</f>
        <v>0</v>
      </c>
      <c r="K549" s="14">
        <f>IF(ISNA(VLOOKUP(K$1,'offpeak-new'!$A$3:$DQ$20,$D549,FALSE)),0,VLOOKUP(K$1,'offpeak-new'!$A$3:$DQ$20,$D549,FALSE))</f>
        <v>0</v>
      </c>
      <c r="L549" s="14">
        <f>IF(ISNA(VLOOKUP(L$1,'offpeak-new'!$A$3:$DQ$20,$D549,FALSE)),0,VLOOKUP(L$1,'offpeak-new'!$A$3:$DQ$20,$D549,FALSE))</f>
        <v>0</v>
      </c>
      <c r="M549" s="14">
        <f>IF(ISNA(VLOOKUP(M$1,'offpeak-new'!$A$3:$DQ$20,$D549,FALSE)),0,VLOOKUP(M$1,'offpeak-new'!$A$3:$DQ$20,$D549,FALSE))</f>
        <v>0</v>
      </c>
      <c r="N549" s="14">
        <f>IF(ISNA(VLOOKUP(N$1,'offpeak-new'!$A$3:$DQ$20,$D549,FALSE)),0,VLOOKUP(N$1,'offpeak-new'!$A$3:$DQ$20,$D549,FALSE))</f>
        <v>0</v>
      </c>
      <c r="O549" s="14">
        <f>IF(ISNA(VLOOKUP(O$1,'offpeak-new'!$A$3:$DQ$20,$D549,FALSE)),0,VLOOKUP(O$1,'offpeak-new'!$A$3:$DQ$20,$D549,FALSE))</f>
        <v>0</v>
      </c>
      <c r="P549" s="14">
        <f>IF(ISNA(VLOOKUP(P$1,'offpeak-new'!$A$3:$DQ$20,$D549,FALSE)),0,VLOOKUP(P$1,'offpeak-new'!$A$3:$DQ$20,$D549,FALSE))</f>
        <v>0</v>
      </c>
      <c r="Q549" s="15">
        <f>IF(ISNA(VLOOKUP(Q$1,'offpeak-new'!$A$3:$DQ$20,$D549,FALSE)),0,VLOOKUP(Q$1,'offpeak-new'!$A$3:$DQ$20,$D549,FALSE))</f>
        <v>0</v>
      </c>
      <c r="R549" s="14">
        <f>IF(ISNA(VLOOKUP(R$1,'offpeak-new'!$A$3:$DQ$20,$D549,FALSE)),0,VLOOKUP(R$1,'offpeak-new'!$A$3:$DQ$20,$D549,FALSE))</f>
        <v>0</v>
      </c>
      <c r="S549" s="10"/>
    </row>
    <row r="550" spans="1:19" s="8" customFormat="1" x14ac:dyDescent="0.2">
      <c r="A550" s="8">
        <f t="shared" si="153"/>
        <v>2005</v>
      </c>
      <c r="B550" s="8">
        <f t="shared" si="154"/>
        <v>11</v>
      </c>
      <c r="C550" s="9">
        <f t="shared" si="152"/>
        <v>38657</v>
      </c>
      <c r="D550" s="8">
        <f t="shared" si="155"/>
        <v>50</v>
      </c>
      <c r="E550" s="14">
        <f>IF(ISNA(VLOOKUP(E$1,'offpeak-new'!$A$3:$DQ$20,$D550,FALSE)),0,VLOOKUP(E$1,'offpeak-new'!$A$3:$DQ$20,$D550,FALSE))</f>
        <v>70584</v>
      </c>
      <c r="F550" s="14">
        <f>IF(ISNA(VLOOKUP(F$1,'offpeak-new'!$A$3:$DQ$20,$D550,FALSE)),0,VLOOKUP(F$1,'offpeak-new'!$A$3:$DQ$20,$D550,FALSE))</f>
        <v>0</v>
      </c>
      <c r="G550" s="14">
        <f>IF(ISNA(VLOOKUP(G$1,'offpeak-new'!$A$3:$DQ$20,$D550,FALSE)),0,VLOOKUP(G$1,'offpeak-new'!$A$3:$DQ$20,$D550,FALSE))</f>
        <v>0</v>
      </c>
      <c r="H550" s="14">
        <f>IF(ISNA(VLOOKUP(H$1,'offpeak-new'!$A$3:$DQ$20,$D550,FALSE)),0,VLOOKUP(H$1,'offpeak-new'!$A$3:$DQ$20,$D550,FALSE))</f>
        <v>0</v>
      </c>
      <c r="I550" s="14">
        <f>IF(ISNA(VLOOKUP(I$1,'offpeak-new'!$A$3:$DQ$20,$D550,FALSE)),0,VLOOKUP(I$1,'offpeak-new'!$A$3:$DQ$20,$D550,FALSE))</f>
        <v>0</v>
      </c>
      <c r="J550" s="14">
        <f>IF(ISNA(VLOOKUP(J$1,'offpeak-new'!$A$3:$DQ$20,$D550,FALSE)),0,VLOOKUP(J$1,'offpeak-new'!$A$3:$DQ$20,$D550,FALSE))</f>
        <v>0</v>
      </c>
      <c r="K550" s="14">
        <f>IF(ISNA(VLOOKUP(K$1,'offpeak-new'!$A$3:$DQ$20,$D550,FALSE)),0,VLOOKUP(K$1,'offpeak-new'!$A$3:$DQ$20,$D550,FALSE))</f>
        <v>0</v>
      </c>
      <c r="L550" s="14">
        <f>IF(ISNA(VLOOKUP(L$1,'offpeak-new'!$A$3:$DQ$20,$D550,FALSE)),0,VLOOKUP(L$1,'offpeak-new'!$A$3:$DQ$20,$D550,FALSE))</f>
        <v>0</v>
      </c>
      <c r="M550" s="14">
        <f>IF(ISNA(VLOOKUP(M$1,'offpeak-new'!$A$3:$DQ$20,$D550,FALSE)),0,VLOOKUP(M$1,'offpeak-new'!$A$3:$DQ$20,$D550,FALSE))</f>
        <v>0</v>
      </c>
      <c r="N550" s="14">
        <f>IF(ISNA(VLOOKUP(N$1,'offpeak-new'!$A$3:$DQ$20,$D550,FALSE)),0,VLOOKUP(N$1,'offpeak-new'!$A$3:$DQ$20,$D550,FALSE))</f>
        <v>0</v>
      </c>
      <c r="O550" s="14">
        <f>IF(ISNA(VLOOKUP(O$1,'offpeak-new'!$A$3:$DQ$20,$D550,FALSE)),0,VLOOKUP(O$1,'offpeak-new'!$A$3:$DQ$20,$D550,FALSE))</f>
        <v>0</v>
      </c>
      <c r="P550" s="14">
        <f>IF(ISNA(VLOOKUP(P$1,'offpeak-new'!$A$3:$DQ$20,$D550,FALSE)),0,VLOOKUP(P$1,'offpeak-new'!$A$3:$DQ$20,$D550,FALSE))</f>
        <v>0</v>
      </c>
      <c r="Q550" s="15">
        <f>IF(ISNA(VLOOKUP(Q$1,'offpeak-new'!$A$3:$DQ$20,$D550,FALSE)),0,VLOOKUP(Q$1,'offpeak-new'!$A$3:$DQ$20,$D550,FALSE))</f>
        <v>0</v>
      </c>
      <c r="R550" s="14">
        <f>IF(ISNA(VLOOKUP(R$1,'offpeak-new'!$A$3:$DQ$20,$D550,FALSE)),0,VLOOKUP(R$1,'offpeak-new'!$A$3:$DQ$20,$D550,FALSE))</f>
        <v>0</v>
      </c>
      <c r="S550" s="10"/>
    </row>
    <row r="551" spans="1:19" s="8" customFormat="1" x14ac:dyDescent="0.2">
      <c r="A551" s="8">
        <f t="shared" si="153"/>
        <v>2005</v>
      </c>
      <c r="B551" s="8">
        <f t="shared" si="154"/>
        <v>12</v>
      </c>
      <c r="C551" s="9">
        <f t="shared" si="152"/>
        <v>38687</v>
      </c>
      <c r="D551" s="8">
        <f t="shared" si="155"/>
        <v>51</v>
      </c>
      <c r="E551" s="14">
        <f>IF(ISNA(VLOOKUP(E$1,'offpeak-new'!$A$3:$DQ$20,$D551,FALSE)),0,VLOOKUP(E$1,'offpeak-new'!$A$3:$DQ$20,$D551,FALSE))</f>
        <v>29784</v>
      </c>
      <c r="F551" s="14">
        <f>IF(ISNA(VLOOKUP(F$1,'offpeak-new'!$A$3:$DQ$20,$D551,FALSE)),0,VLOOKUP(F$1,'offpeak-new'!$A$3:$DQ$20,$D551,FALSE))</f>
        <v>0</v>
      </c>
      <c r="G551" s="14">
        <f>IF(ISNA(VLOOKUP(G$1,'offpeak-new'!$A$3:$DQ$20,$D551,FALSE)),0,VLOOKUP(G$1,'offpeak-new'!$A$3:$DQ$20,$D551,FALSE))</f>
        <v>0</v>
      </c>
      <c r="H551" s="14">
        <f>IF(ISNA(VLOOKUP(H$1,'offpeak-new'!$A$3:$DQ$20,$D551,FALSE)),0,VLOOKUP(H$1,'offpeak-new'!$A$3:$DQ$20,$D551,FALSE))</f>
        <v>-30600</v>
      </c>
      <c r="I551" s="14">
        <f>IF(ISNA(VLOOKUP(I$1,'offpeak-new'!$A$3:$DQ$20,$D551,FALSE)),0,VLOOKUP(I$1,'offpeak-new'!$A$3:$DQ$20,$D551,FALSE))</f>
        <v>0</v>
      </c>
      <c r="J551" s="14">
        <f>IF(ISNA(VLOOKUP(J$1,'offpeak-new'!$A$3:$DQ$20,$D551,FALSE)),0,VLOOKUP(J$1,'offpeak-new'!$A$3:$DQ$20,$D551,FALSE))</f>
        <v>0</v>
      </c>
      <c r="K551" s="14">
        <f>IF(ISNA(VLOOKUP(K$1,'offpeak-new'!$A$3:$DQ$20,$D551,FALSE)),0,VLOOKUP(K$1,'offpeak-new'!$A$3:$DQ$20,$D551,FALSE))</f>
        <v>0</v>
      </c>
      <c r="L551" s="14">
        <f>IF(ISNA(VLOOKUP(L$1,'offpeak-new'!$A$3:$DQ$20,$D551,FALSE)),0,VLOOKUP(L$1,'offpeak-new'!$A$3:$DQ$20,$D551,FALSE))</f>
        <v>0</v>
      </c>
      <c r="M551" s="14">
        <f>IF(ISNA(VLOOKUP(M$1,'offpeak-new'!$A$3:$DQ$20,$D551,FALSE)),0,VLOOKUP(M$1,'offpeak-new'!$A$3:$DQ$20,$D551,FALSE))</f>
        <v>0</v>
      </c>
      <c r="N551" s="14">
        <f>IF(ISNA(VLOOKUP(N$1,'offpeak-new'!$A$3:$DQ$20,$D551,FALSE)),0,VLOOKUP(N$1,'offpeak-new'!$A$3:$DQ$20,$D551,FALSE))</f>
        <v>0</v>
      </c>
      <c r="O551" s="14">
        <f>IF(ISNA(VLOOKUP(O$1,'offpeak-new'!$A$3:$DQ$20,$D551,FALSE)),0,VLOOKUP(O$1,'offpeak-new'!$A$3:$DQ$20,$D551,FALSE))</f>
        <v>0</v>
      </c>
      <c r="P551" s="14">
        <f>IF(ISNA(VLOOKUP(P$1,'offpeak-new'!$A$3:$DQ$20,$D551,FALSE)),0,VLOOKUP(P$1,'offpeak-new'!$A$3:$DQ$20,$D551,FALSE))</f>
        <v>0</v>
      </c>
      <c r="Q551" s="15">
        <f>IF(ISNA(VLOOKUP(Q$1,'offpeak-new'!$A$3:$DQ$20,$D551,FALSE)),0,VLOOKUP(Q$1,'offpeak-new'!$A$3:$DQ$20,$D551,FALSE))</f>
        <v>0</v>
      </c>
      <c r="R551" s="14">
        <f>IF(ISNA(VLOOKUP(R$1,'offpeak-new'!$A$3:$DQ$20,$D551,FALSE)),0,VLOOKUP(R$1,'offpeak-new'!$A$3:$DQ$20,$D551,FALSE))</f>
        <v>0</v>
      </c>
      <c r="S551" s="10"/>
    </row>
    <row r="552" spans="1:19" s="8" customFormat="1" x14ac:dyDescent="0.2">
      <c r="A552" s="8">
        <f t="shared" si="153"/>
        <v>2006</v>
      </c>
      <c r="B552" s="8">
        <f t="shared" si="154"/>
        <v>1</v>
      </c>
      <c r="C552" s="9">
        <f t="shared" si="152"/>
        <v>38718</v>
      </c>
      <c r="D552" s="8">
        <f t="shared" si="155"/>
        <v>52</v>
      </c>
      <c r="E552" s="14">
        <f>IF(ISNA(VLOOKUP(E$1,'offpeak-new'!$A$3:$DQ$20,$D552,FALSE)),0,VLOOKUP(E$1,'offpeak-new'!$A$3:$DQ$20,$D552,FALSE))</f>
        <v>25696</v>
      </c>
      <c r="F552" s="14">
        <f>IF(ISNA(VLOOKUP(F$1,'offpeak-new'!$A$3:$DQ$20,$D552,FALSE)),0,VLOOKUP(F$1,'offpeak-new'!$A$3:$DQ$20,$D552,FALSE))</f>
        <v>0</v>
      </c>
      <c r="G552" s="14">
        <f>IF(ISNA(VLOOKUP(G$1,'offpeak-new'!$A$3:$DQ$20,$D552,FALSE)),0,VLOOKUP(G$1,'offpeak-new'!$A$3:$DQ$20,$D552,FALSE))</f>
        <v>0</v>
      </c>
      <c r="H552" s="14">
        <f>IF(ISNA(VLOOKUP(H$1,'offpeak-new'!$A$3:$DQ$20,$D552,FALSE)),0,VLOOKUP(H$1,'offpeak-new'!$A$3:$DQ$20,$D552,FALSE))</f>
        <v>-25696</v>
      </c>
      <c r="I552" s="14">
        <f>IF(ISNA(VLOOKUP(I$1,'offpeak-new'!$A$3:$DQ$20,$D552,FALSE)),0,VLOOKUP(I$1,'offpeak-new'!$A$3:$DQ$20,$D552,FALSE))</f>
        <v>0</v>
      </c>
      <c r="J552" s="14">
        <f>IF(ISNA(VLOOKUP(J$1,'offpeak-new'!$A$3:$DQ$20,$D552,FALSE)),0,VLOOKUP(J$1,'offpeak-new'!$A$3:$DQ$20,$D552,FALSE))</f>
        <v>0</v>
      </c>
      <c r="K552" s="14">
        <f>IF(ISNA(VLOOKUP(K$1,'offpeak-new'!$A$3:$DQ$20,$D552,FALSE)),0,VLOOKUP(K$1,'offpeak-new'!$A$3:$DQ$20,$D552,FALSE))</f>
        <v>0</v>
      </c>
      <c r="L552" s="14">
        <f>IF(ISNA(VLOOKUP(L$1,'offpeak-new'!$A$3:$DQ$20,$D552,FALSE)),0,VLOOKUP(L$1,'offpeak-new'!$A$3:$DQ$20,$D552,FALSE))</f>
        <v>0</v>
      </c>
      <c r="M552" s="14">
        <f>IF(ISNA(VLOOKUP(M$1,'offpeak-new'!$A$3:$DQ$20,$D552,FALSE)),0,VLOOKUP(M$1,'offpeak-new'!$A$3:$DQ$20,$D552,FALSE))</f>
        <v>0</v>
      </c>
      <c r="N552" s="14">
        <f>IF(ISNA(VLOOKUP(N$1,'offpeak-new'!$A$3:$DQ$20,$D552,FALSE)),0,VLOOKUP(N$1,'offpeak-new'!$A$3:$DQ$20,$D552,FALSE))</f>
        <v>0</v>
      </c>
      <c r="O552" s="14">
        <f>IF(ISNA(VLOOKUP(O$1,'offpeak-new'!$A$3:$DQ$20,$D552,FALSE)),0,VLOOKUP(O$1,'offpeak-new'!$A$3:$DQ$20,$D552,FALSE))</f>
        <v>0</v>
      </c>
      <c r="P552" s="14">
        <f>IF(ISNA(VLOOKUP(P$1,'offpeak-new'!$A$3:$DQ$20,$D552,FALSE)),0,VLOOKUP(P$1,'offpeak-new'!$A$3:$DQ$20,$D552,FALSE))</f>
        <v>0</v>
      </c>
      <c r="Q552" s="15">
        <f>IF(ISNA(VLOOKUP(Q$1,'offpeak-new'!$A$3:$DQ$20,$D552,FALSE)),0,VLOOKUP(Q$1,'offpeak-new'!$A$3:$DQ$20,$D552,FALSE))</f>
        <v>0</v>
      </c>
      <c r="R552" s="14">
        <f>IF(ISNA(VLOOKUP(R$1,'offpeak-new'!$A$3:$DQ$20,$D552,FALSE)),0,VLOOKUP(R$1,'offpeak-new'!$A$3:$DQ$20,$D552,FALSE))</f>
        <v>0</v>
      </c>
      <c r="S552" s="10"/>
    </row>
    <row r="553" spans="1:19" s="8" customFormat="1" x14ac:dyDescent="0.2">
      <c r="A553" s="8">
        <f t="shared" si="153"/>
        <v>2006</v>
      </c>
      <c r="B553" s="8">
        <f t="shared" si="154"/>
        <v>2</v>
      </c>
      <c r="C553" s="9">
        <f t="shared" si="152"/>
        <v>38749</v>
      </c>
      <c r="D553" s="8">
        <f t="shared" si="155"/>
        <v>53</v>
      </c>
      <c r="E553" s="14">
        <f>IF(ISNA(VLOOKUP(E$1,'offpeak-new'!$A$3:$DQ$20,$D553,FALSE)),0,VLOOKUP(E$1,'offpeak-new'!$A$3:$DQ$20,$D553,FALSE))</f>
        <v>27448</v>
      </c>
      <c r="F553" s="14">
        <f>IF(ISNA(VLOOKUP(F$1,'offpeak-new'!$A$3:$DQ$20,$D553,FALSE)),0,VLOOKUP(F$1,'offpeak-new'!$A$3:$DQ$20,$D553,FALSE))</f>
        <v>0</v>
      </c>
      <c r="G553" s="14">
        <f>IF(ISNA(VLOOKUP(G$1,'offpeak-new'!$A$3:$DQ$20,$D553,FALSE)),0,VLOOKUP(G$1,'offpeak-new'!$A$3:$DQ$20,$D553,FALSE))</f>
        <v>0</v>
      </c>
      <c r="H553" s="14">
        <f>IF(ISNA(VLOOKUP(H$1,'offpeak-new'!$A$3:$DQ$20,$D553,FALSE)),0,VLOOKUP(H$1,'offpeak-new'!$A$3:$DQ$20,$D553,FALSE))</f>
        <v>-28200</v>
      </c>
      <c r="I553" s="14">
        <f>IF(ISNA(VLOOKUP(I$1,'offpeak-new'!$A$3:$DQ$20,$D553,FALSE)),0,VLOOKUP(I$1,'offpeak-new'!$A$3:$DQ$20,$D553,FALSE))</f>
        <v>0</v>
      </c>
      <c r="J553" s="14">
        <f>IF(ISNA(VLOOKUP(J$1,'offpeak-new'!$A$3:$DQ$20,$D553,FALSE)),0,VLOOKUP(J$1,'offpeak-new'!$A$3:$DQ$20,$D553,FALSE))</f>
        <v>0</v>
      </c>
      <c r="K553" s="14">
        <f>IF(ISNA(VLOOKUP(K$1,'offpeak-new'!$A$3:$DQ$20,$D553,FALSE)),0,VLOOKUP(K$1,'offpeak-new'!$A$3:$DQ$20,$D553,FALSE))</f>
        <v>0</v>
      </c>
      <c r="L553" s="14">
        <f>IF(ISNA(VLOOKUP(L$1,'offpeak-new'!$A$3:$DQ$20,$D553,FALSE)),0,VLOOKUP(L$1,'offpeak-new'!$A$3:$DQ$20,$D553,FALSE))</f>
        <v>0</v>
      </c>
      <c r="M553" s="14">
        <f>IF(ISNA(VLOOKUP(M$1,'offpeak-new'!$A$3:$DQ$20,$D553,FALSE)),0,VLOOKUP(M$1,'offpeak-new'!$A$3:$DQ$20,$D553,FALSE))</f>
        <v>0</v>
      </c>
      <c r="N553" s="14">
        <f>IF(ISNA(VLOOKUP(N$1,'offpeak-new'!$A$3:$DQ$20,$D553,FALSE)),0,VLOOKUP(N$1,'offpeak-new'!$A$3:$DQ$20,$D553,FALSE))</f>
        <v>0</v>
      </c>
      <c r="O553" s="14">
        <f>IF(ISNA(VLOOKUP(O$1,'offpeak-new'!$A$3:$DQ$20,$D553,FALSE)),0,VLOOKUP(O$1,'offpeak-new'!$A$3:$DQ$20,$D553,FALSE))</f>
        <v>0</v>
      </c>
      <c r="P553" s="14">
        <f>IF(ISNA(VLOOKUP(P$1,'offpeak-new'!$A$3:$DQ$20,$D553,FALSE)),0,VLOOKUP(P$1,'offpeak-new'!$A$3:$DQ$20,$D553,FALSE))</f>
        <v>0</v>
      </c>
      <c r="Q553" s="15">
        <f>IF(ISNA(VLOOKUP(Q$1,'offpeak-new'!$A$3:$DQ$20,$D553,FALSE)),0,VLOOKUP(Q$1,'offpeak-new'!$A$3:$DQ$20,$D553,FALSE))</f>
        <v>0</v>
      </c>
      <c r="R553" s="14">
        <f>IF(ISNA(VLOOKUP(R$1,'offpeak-new'!$A$3:$DQ$20,$D553,FALSE)),0,VLOOKUP(R$1,'offpeak-new'!$A$3:$DQ$20,$D553,FALSE))</f>
        <v>0</v>
      </c>
      <c r="S553" s="10"/>
    </row>
    <row r="554" spans="1:19" s="8" customFormat="1" x14ac:dyDescent="0.2">
      <c r="A554" s="8">
        <f t="shared" si="153"/>
        <v>2006</v>
      </c>
      <c r="B554" s="8">
        <f t="shared" si="154"/>
        <v>3</v>
      </c>
      <c r="C554" s="9">
        <f t="shared" si="152"/>
        <v>38777</v>
      </c>
      <c r="D554" s="8">
        <f t="shared" si="155"/>
        <v>54</v>
      </c>
      <c r="E554" s="14">
        <f>IF(ISNA(VLOOKUP(E$1,'offpeak-new'!$A$3:$DQ$20,$D554,FALSE)),0,VLOOKUP(E$1,'offpeak-new'!$A$3:$DQ$20,$D554,FALSE))</f>
        <v>29127</v>
      </c>
      <c r="F554" s="14">
        <f>IF(ISNA(VLOOKUP(F$1,'offpeak-new'!$A$3:$DQ$20,$D554,FALSE)),0,VLOOKUP(F$1,'offpeak-new'!$A$3:$DQ$20,$D554,FALSE))</f>
        <v>0</v>
      </c>
      <c r="G554" s="14">
        <f>IF(ISNA(VLOOKUP(G$1,'offpeak-new'!$A$3:$DQ$20,$D554,FALSE)),0,VLOOKUP(G$1,'offpeak-new'!$A$3:$DQ$20,$D554,FALSE))</f>
        <v>0</v>
      </c>
      <c r="H554" s="14">
        <f>IF(ISNA(VLOOKUP(H$1,'offpeak-new'!$A$3:$DQ$20,$D554,FALSE)),0,VLOOKUP(H$1,'offpeak-new'!$A$3:$DQ$20,$D554,FALSE))</f>
        <v>-29550</v>
      </c>
      <c r="I554" s="14">
        <f>IF(ISNA(VLOOKUP(I$1,'offpeak-new'!$A$3:$DQ$20,$D554,FALSE)),0,VLOOKUP(I$1,'offpeak-new'!$A$3:$DQ$20,$D554,FALSE))</f>
        <v>0</v>
      </c>
      <c r="J554" s="14">
        <f>IF(ISNA(VLOOKUP(J$1,'offpeak-new'!$A$3:$DQ$20,$D554,FALSE)),0,VLOOKUP(J$1,'offpeak-new'!$A$3:$DQ$20,$D554,FALSE))</f>
        <v>0</v>
      </c>
      <c r="K554" s="14">
        <f>IF(ISNA(VLOOKUP(K$1,'offpeak-new'!$A$3:$DQ$20,$D554,FALSE)),0,VLOOKUP(K$1,'offpeak-new'!$A$3:$DQ$20,$D554,FALSE))</f>
        <v>0</v>
      </c>
      <c r="L554" s="14">
        <f>IF(ISNA(VLOOKUP(L$1,'offpeak-new'!$A$3:$DQ$20,$D554,FALSE)),0,VLOOKUP(L$1,'offpeak-new'!$A$3:$DQ$20,$D554,FALSE))</f>
        <v>0</v>
      </c>
      <c r="M554" s="14">
        <f>IF(ISNA(VLOOKUP(M$1,'offpeak-new'!$A$3:$DQ$20,$D554,FALSE)),0,VLOOKUP(M$1,'offpeak-new'!$A$3:$DQ$20,$D554,FALSE))</f>
        <v>0</v>
      </c>
      <c r="N554" s="14">
        <f>IF(ISNA(VLOOKUP(N$1,'offpeak-new'!$A$3:$DQ$20,$D554,FALSE)),0,VLOOKUP(N$1,'offpeak-new'!$A$3:$DQ$20,$D554,FALSE))</f>
        <v>0</v>
      </c>
      <c r="O554" s="14">
        <f>IF(ISNA(VLOOKUP(O$1,'offpeak-new'!$A$3:$DQ$20,$D554,FALSE)),0,VLOOKUP(O$1,'offpeak-new'!$A$3:$DQ$20,$D554,FALSE))</f>
        <v>0</v>
      </c>
      <c r="P554" s="14">
        <f>IF(ISNA(VLOOKUP(P$1,'offpeak-new'!$A$3:$DQ$20,$D554,FALSE)),0,VLOOKUP(P$1,'offpeak-new'!$A$3:$DQ$20,$D554,FALSE))</f>
        <v>0</v>
      </c>
      <c r="Q554" s="15">
        <f>IF(ISNA(VLOOKUP(Q$1,'offpeak-new'!$A$3:$DQ$20,$D554,FALSE)),0,VLOOKUP(Q$1,'offpeak-new'!$A$3:$DQ$20,$D554,FALSE))</f>
        <v>0</v>
      </c>
      <c r="R554" s="14">
        <f>IF(ISNA(VLOOKUP(R$1,'offpeak-new'!$A$3:$DQ$20,$D554,FALSE)),0,VLOOKUP(R$1,'offpeak-new'!$A$3:$DQ$20,$D554,FALSE))</f>
        <v>0</v>
      </c>
      <c r="S554" s="10"/>
    </row>
    <row r="555" spans="1:19" s="8" customFormat="1" x14ac:dyDescent="0.2">
      <c r="A555" s="8">
        <f t="shared" si="153"/>
        <v>2006</v>
      </c>
      <c r="B555" s="8">
        <f t="shared" si="154"/>
        <v>4</v>
      </c>
      <c r="C555" s="9">
        <f t="shared" si="152"/>
        <v>38808</v>
      </c>
      <c r="D555" s="8">
        <f t="shared" si="155"/>
        <v>55</v>
      </c>
      <c r="E555" s="14">
        <f>IF(ISNA(VLOOKUP(E$1,'offpeak-new'!$A$3:$DQ$20,$D555,FALSE)),0,VLOOKUP(E$1,'offpeak-new'!$A$3:$DQ$20,$D555,FALSE))</f>
        <v>28616</v>
      </c>
      <c r="F555" s="14">
        <f>IF(ISNA(VLOOKUP(F$1,'offpeak-new'!$A$3:$DQ$20,$D555,FALSE)),0,VLOOKUP(F$1,'offpeak-new'!$A$3:$DQ$20,$D555,FALSE))</f>
        <v>0</v>
      </c>
      <c r="G555" s="14">
        <f>IF(ISNA(VLOOKUP(G$1,'offpeak-new'!$A$3:$DQ$20,$D555,FALSE)),0,VLOOKUP(G$1,'offpeak-new'!$A$3:$DQ$20,$D555,FALSE))</f>
        <v>0</v>
      </c>
      <c r="H555" s="14">
        <f>IF(ISNA(VLOOKUP(H$1,'offpeak-new'!$A$3:$DQ$20,$D555,FALSE)),0,VLOOKUP(H$1,'offpeak-new'!$A$3:$DQ$20,$D555,FALSE))</f>
        <v>-25480</v>
      </c>
      <c r="I555" s="14">
        <f>IF(ISNA(VLOOKUP(I$1,'offpeak-new'!$A$3:$DQ$20,$D555,FALSE)),0,VLOOKUP(I$1,'offpeak-new'!$A$3:$DQ$20,$D555,FALSE))</f>
        <v>0</v>
      </c>
      <c r="J555" s="14">
        <f>IF(ISNA(VLOOKUP(J$1,'offpeak-new'!$A$3:$DQ$20,$D555,FALSE)),0,VLOOKUP(J$1,'offpeak-new'!$A$3:$DQ$20,$D555,FALSE))</f>
        <v>0</v>
      </c>
      <c r="K555" s="14">
        <f>IF(ISNA(VLOOKUP(K$1,'offpeak-new'!$A$3:$DQ$20,$D555,FALSE)),0,VLOOKUP(K$1,'offpeak-new'!$A$3:$DQ$20,$D555,FALSE))</f>
        <v>0</v>
      </c>
      <c r="L555" s="14">
        <f>IF(ISNA(VLOOKUP(L$1,'offpeak-new'!$A$3:$DQ$20,$D555,FALSE)),0,VLOOKUP(L$1,'offpeak-new'!$A$3:$DQ$20,$D555,FALSE))</f>
        <v>0</v>
      </c>
      <c r="M555" s="14">
        <f>IF(ISNA(VLOOKUP(M$1,'offpeak-new'!$A$3:$DQ$20,$D555,FALSE)),0,VLOOKUP(M$1,'offpeak-new'!$A$3:$DQ$20,$D555,FALSE))</f>
        <v>0</v>
      </c>
      <c r="N555" s="14">
        <f>IF(ISNA(VLOOKUP(N$1,'offpeak-new'!$A$3:$DQ$20,$D555,FALSE)),0,VLOOKUP(N$1,'offpeak-new'!$A$3:$DQ$20,$D555,FALSE))</f>
        <v>0</v>
      </c>
      <c r="O555" s="14">
        <f>IF(ISNA(VLOOKUP(O$1,'offpeak-new'!$A$3:$DQ$20,$D555,FALSE)),0,VLOOKUP(O$1,'offpeak-new'!$A$3:$DQ$20,$D555,FALSE))</f>
        <v>0</v>
      </c>
      <c r="P555" s="14">
        <f>IF(ISNA(VLOOKUP(P$1,'offpeak-new'!$A$3:$DQ$20,$D555,FALSE)),0,VLOOKUP(P$1,'offpeak-new'!$A$3:$DQ$20,$D555,FALSE))</f>
        <v>0</v>
      </c>
      <c r="Q555" s="15">
        <f>IF(ISNA(VLOOKUP(Q$1,'offpeak-new'!$A$3:$DQ$20,$D555,FALSE)),0,VLOOKUP(Q$1,'offpeak-new'!$A$3:$DQ$20,$D555,FALSE))</f>
        <v>0</v>
      </c>
      <c r="R555" s="14">
        <f>IF(ISNA(VLOOKUP(R$1,'offpeak-new'!$A$3:$DQ$20,$D555,FALSE)),0,VLOOKUP(R$1,'offpeak-new'!$A$3:$DQ$20,$D555,FALSE))</f>
        <v>0</v>
      </c>
      <c r="S555" s="10"/>
    </row>
    <row r="556" spans="1:19" s="8" customFormat="1" x14ac:dyDescent="0.2">
      <c r="A556" s="8">
        <f t="shared" si="153"/>
        <v>2006</v>
      </c>
      <c r="B556" s="8">
        <f t="shared" si="154"/>
        <v>5</v>
      </c>
      <c r="C556" s="9">
        <f t="shared" ref="C556:C587" si="156">DATE(A556,B556,1)</f>
        <v>38838</v>
      </c>
      <c r="D556" s="8">
        <f t="shared" si="155"/>
        <v>56</v>
      </c>
      <c r="E556" s="14">
        <f>IF(ISNA(VLOOKUP(E$1,'offpeak-new'!$A$3:$DQ$20,$D556,FALSE)),0,VLOOKUP(E$1,'offpeak-new'!$A$3:$DQ$20,$D556,FALSE))</f>
        <v>26864</v>
      </c>
      <c r="F556" s="14">
        <f>IF(ISNA(VLOOKUP(F$1,'offpeak-new'!$A$3:$DQ$20,$D556,FALSE)),0,VLOOKUP(F$1,'offpeak-new'!$A$3:$DQ$20,$D556,FALSE))</f>
        <v>0</v>
      </c>
      <c r="G556" s="14">
        <f>IF(ISNA(VLOOKUP(G$1,'offpeak-new'!$A$3:$DQ$20,$D556,FALSE)),0,VLOOKUP(G$1,'offpeak-new'!$A$3:$DQ$20,$D556,FALSE))</f>
        <v>0</v>
      </c>
      <c r="H556" s="14">
        <f>IF(ISNA(VLOOKUP(H$1,'offpeak-new'!$A$3:$DQ$20,$D556,FALSE)),0,VLOOKUP(H$1,'offpeak-new'!$A$3:$DQ$20,$D556,FALSE))</f>
        <v>-22816</v>
      </c>
      <c r="I556" s="14">
        <f>IF(ISNA(VLOOKUP(I$1,'offpeak-new'!$A$3:$DQ$20,$D556,FALSE)),0,VLOOKUP(I$1,'offpeak-new'!$A$3:$DQ$20,$D556,FALSE))</f>
        <v>0</v>
      </c>
      <c r="J556" s="14">
        <f>IF(ISNA(VLOOKUP(J$1,'offpeak-new'!$A$3:$DQ$20,$D556,FALSE)),0,VLOOKUP(J$1,'offpeak-new'!$A$3:$DQ$20,$D556,FALSE))</f>
        <v>0</v>
      </c>
      <c r="K556" s="14">
        <f>IF(ISNA(VLOOKUP(K$1,'offpeak-new'!$A$3:$DQ$20,$D556,FALSE)),0,VLOOKUP(K$1,'offpeak-new'!$A$3:$DQ$20,$D556,FALSE))</f>
        <v>0</v>
      </c>
      <c r="L556" s="14">
        <f>IF(ISNA(VLOOKUP(L$1,'offpeak-new'!$A$3:$DQ$20,$D556,FALSE)),0,VLOOKUP(L$1,'offpeak-new'!$A$3:$DQ$20,$D556,FALSE))</f>
        <v>0</v>
      </c>
      <c r="M556" s="14">
        <f>IF(ISNA(VLOOKUP(M$1,'offpeak-new'!$A$3:$DQ$20,$D556,FALSE)),0,VLOOKUP(M$1,'offpeak-new'!$A$3:$DQ$20,$D556,FALSE))</f>
        <v>0</v>
      </c>
      <c r="N556" s="14">
        <f>IF(ISNA(VLOOKUP(N$1,'offpeak-new'!$A$3:$DQ$20,$D556,FALSE)),0,VLOOKUP(N$1,'offpeak-new'!$A$3:$DQ$20,$D556,FALSE))</f>
        <v>0</v>
      </c>
      <c r="O556" s="14">
        <f>IF(ISNA(VLOOKUP(O$1,'offpeak-new'!$A$3:$DQ$20,$D556,FALSE)),0,VLOOKUP(O$1,'offpeak-new'!$A$3:$DQ$20,$D556,FALSE))</f>
        <v>0</v>
      </c>
      <c r="P556" s="14">
        <f>IF(ISNA(VLOOKUP(P$1,'offpeak-new'!$A$3:$DQ$20,$D556,FALSE)),0,VLOOKUP(P$1,'offpeak-new'!$A$3:$DQ$20,$D556,FALSE))</f>
        <v>0</v>
      </c>
      <c r="Q556" s="15">
        <f>IF(ISNA(VLOOKUP(Q$1,'offpeak-new'!$A$3:$DQ$20,$D556,FALSE)),0,VLOOKUP(Q$1,'offpeak-new'!$A$3:$DQ$20,$D556,FALSE))</f>
        <v>0</v>
      </c>
      <c r="R556" s="14">
        <f>IF(ISNA(VLOOKUP(R$1,'offpeak-new'!$A$3:$DQ$20,$D556,FALSE)),0,VLOOKUP(R$1,'offpeak-new'!$A$3:$DQ$20,$D556,FALSE))</f>
        <v>0</v>
      </c>
      <c r="S556" s="10"/>
    </row>
    <row r="557" spans="1:19" s="8" customFormat="1" x14ac:dyDescent="0.2">
      <c r="A557" s="8">
        <f t="shared" ref="A557:A588" si="157">IF(B556=12,A556+1,A556)</f>
        <v>2006</v>
      </c>
      <c r="B557" s="8">
        <f t="shared" ref="B557:B588" si="158">IF(B556=12,1,B556+1)</f>
        <v>6</v>
      </c>
      <c r="C557" s="9">
        <f t="shared" si="156"/>
        <v>38869</v>
      </c>
      <c r="D557" s="8">
        <f t="shared" si="155"/>
        <v>57</v>
      </c>
      <c r="E557" s="14">
        <f>IF(ISNA(VLOOKUP(E$1,'offpeak-new'!$A$3:$DQ$20,$D557,FALSE)),0,VLOOKUP(E$1,'offpeak-new'!$A$3:$DQ$20,$D557,FALSE))</f>
        <v>30952</v>
      </c>
      <c r="F557" s="14">
        <f>IF(ISNA(VLOOKUP(F$1,'offpeak-new'!$A$3:$DQ$20,$D557,FALSE)),0,VLOOKUP(F$1,'offpeak-new'!$A$3:$DQ$20,$D557,FALSE))</f>
        <v>0</v>
      </c>
      <c r="G557" s="14">
        <f>IF(ISNA(VLOOKUP(G$1,'offpeak-new'!$A$3:$DQ$20,$D557,FALSE)),0,VLOOKUP(G$1,'offpeak-new'!$A$3:$DQ$20,$D557,FALSE))</f>
        <v>0</v>
      </c>
      <c r="H557" s="14">
        <f>IF(ISNA(VLOOKUP(H$1,'offpeak-new'!$A$3:$DQ$20,$D557,FALSE)),0,VLOOKUP(H$1,'offpeak-new'!$A$3:$DQ$20,$D557,FALSE))</f>
        <v>-25016</v>
      </c>
      <c r="I557" s="14">
        <f>IF(ISNA(VLOOKUP(I$1,'offpeak-new'!$A$3:$DQ$20,$D557,FALSE)),0,VLOOKUP(I$1,'offpeak-new'!$A$3:$DQ$20,$D557,FALSE))</f>
        <v>0</v>
      </c>
      <c r="J557" s="14">
        <f>IF(ISNA(VLOOKUP(J$1,'offpeak-new'!$A$3:$DQ$20,$D557,FALSE)),0,VLOOKUP(J$1,'offpeak-new'!$A$3:$DQ$20,$D557,FALSE))</f>
        <v>0</v>
      </c>
      <c r="K557" s="14">
        <f>IF(ISNA(VLOOKUP(K$1,'offpeak-new'!$A$3:$DQ$20,$D557,FALSE)),0,VLOOKUP(K$1,'offpeak-new'!$A$3:$DQ$20,$D557,FALSE))</f>
        <v>0</v>
      </c>
      <c r="L557" s="14">
        <f>IF(ISNA(VLOOKUP(L$1,'offpeak-new'!$A$3:$DQ$20,$D557,FALSE)),0,VLOOKUP(L$1,'offpeak-new'!$A$3:$DQ$20,$D557,FALSE))</f>
        <v>0</v>
      </c>
      <c r="M557" s="14">
        <f>IF(ISNA(VLOOKUP(M$1,'offpeak-new'!$A$3:$DQ$20,$D557,FALSE)),0,VLOOKUP(M$1,'offpeak-new'!$A$3:$DQ$20,$D557,FALSE))</f>
        <v>0</v>
      </c>
      <c r="N557" s="14">
        <f>IF(ISNA(VLOOKUP(N$1,'offpeak-new'!$A$3:$DQ$20,$D557,FALSE)),0,VLOOKUP(N$1,'offpeak-new'!$A$3:$DQ$20,$D557,FALSE))</f>
        <v>0</v>
      </c>
      <c r="O557" s="14">
        <f>IF(ISNA(VLOOKUP(O$1,'offpeak-new'!$A$3:$DQ$20,$D557,FALSE)),0,VLOOKUP(O$1,'offpeak-new'!$A$3:$DQ$20,$D557,FALSE))</f>
        <v>0</v>
      </c>
      <c r="P557" s="14">
        <f>IF(ISNA(VLOOKUP(P$1,'offpeak-new'!$A$3:$DQ$20,$D557,FALSE)),0,VLOOKUP(P$1,'offpeak-new'!$A$3:$DQ$20,$D557,FALSE))</f>
        <v>0</v>
      </c>
      <c r="Q557" s="15">
        <f>IF(ISNA(VLOOKUP(Q$1,'offpeak-new'!$A$3:$DQ$20,$D557,FALSE)),0,VLOOKUP(Q$1,'offpeak-new'!$A$3:$DQ$20,$D557,FALSE))</f>
        <v>0</v>
      </c>
      <c r="R557" s="14">
        <f>IF(ISNA(VLOOKUP(R$1,'offpeak-new'!$A$3:$DQ$20,$D557,FALSE)),0,VLOOKUP(R$1,'offpeak-new'!$A$3:$DQ$20,$D557,FALSE))</f>
        <v>0</v>
      </c>
      <c r="S557" s="10"/>
    </row>
    <row r="558" spans="1:19" s="8" customFormat="1" x14ac:dyDescent="0.2">
      <c r="A558" s="8">
        <f t="shared" si="157"/>
        <v>2006</v>
      </c>
      <c r="B558" s="8">
        <f t="shared" si="158"/>
        <v>7</v>
      </c>
      <c r="C558" s="9">
        <f t="shared" si="156"/>
        <v>38899</v>
      </c>
      <c r="D558" s="8">
        <f t="shared" si="155"/>
        <v>58</v>
      </c>
      <c r="E558" s="14">
        <f>IF(ISNA(VLOOKUP(E$1,'offpeak-new'!$A$3:$DQ$20,$D558,FALSE)),0,VLOOKUP(E$1,'offpeak-new'!$A$3:$DQ$20,$D558,FALSE))</f>
        <v>27448</v>
      </c>
      <c r="F558" s="14">
        <f>IF(ISNA(VLOOKUP(F$1,'offpeak-new'!$A$3:$DQ$20,$D558,FALSE)),0,VLOOKUP(F$1,'offpeak-new'!$A$3:$DQ$20,$D558,FALSE))</f>
        <v>0</v>
      </c>
      <c r="G558" s="14">
        <f>IF(ISNA(VLOOKUP(G$1,'offpeak-new'!$A$3:$DQ$20,$D558,FALSE)),0,VLOOKUP(G$1,'offpeak-new'!$A$3:$DQ$20,$D558,FALSE))</f>
        <v>0</v>
      </c>
      <c r="H558" s="14">
        <f>IF(ISNA(VLOOKUP(H$1,'offpeak-new'!$A$3:$DQ$20,$D558,FALSE)),0,VLOOKUP(H$1,'offpeak-new'!$A$3:$DQ$20,$D558,FALSE))</f>
        <v>-22184</v>
      </c>
      <c r="I558" s="14">
        <f>IF(ISNA(VLOOKUP(I$1,'offpeak-new'!$A$3:$DQ$20,$D558,FALSE)),0,VLOOKUP(I$1,'offpeak-new'!$A$3:$DQ$20,$D558,FALSE))</f>
        <v>0</v>
      </c>
      <c r="J558" s="14">
        <f>IF(ISNA(VLOOKUP(J$1,'offpeak-new'!$A$3:$DQ$20,$D558,FALSE)),0,VLOOKUP(J$1,'offpeak-new'!$A$3:$DQ$20,$D558,FALSE))</f>
        <v>0</v>
      </c>
      <c r="K558" s="14">
        <f>IF(ISNA(VLOOKUP(K$1,'offpeak-new'!$A$3:$DQ$20,$D558,FALSE)),0,VLOOKUP(K$1,'offpeak-new'!$A$3:$DQ$20,$D558,FALSE))</f>
        <v>0</v>
      </c>
      <c r="L558" s="14">
        <f>IF(ISNA(VLOOKUP(L$1,'offpeak-new'!$A$3:$DQ$20,$D558,FALSE)),0,VLOOKUP(L$1,'offpeak-new'!$A$3:$DQ$20,$D558,FALSE))</f>
        <v>0</v>
      </c>
      <c r="M558" s="14">
        <f>IF(ISNA(VLOOKUP(M$1,'offpeak-new'!$A$3:$DQ$20,$D558,FALSE)),0,VLOOKUP(M$1,'offpeak-new'!$A$3:$DQ$20,$D558,FALSE))</f>
        <v>0</v>
      </c>
      <c r="N558" s="14">
        <f>IF(ISNA(VLOOKUP(N$1,'offpeak-new'!$A$3:$DQ$20,$D558,FALSE)),0,VLOOKUP(N$1,'offpeak-new'!$A$3:$DQ$20,$D558,FALSE))</f>
        <v>0</v>
      </c>
      <c r="O558" s="14">
        <f>IF(ISNA(VLOOKUP(O$1,'offpeak-new'!$A$3:$DQ$20,$D558,FALSE)),0,VLOOKUP(O$1,'offpeak-new'!$A$3:$DQ$20,$D558,FALSE))</f>
        <v>0</v>
      </c>
      <c r="P558" s="14">
        <f>IF(ISNA(VLOOKUP(P$1,'offpeak-new'!$A$3:$DQ$20,$D558,FALSE)),0,VLOOKUP(P$1,'offpeak-new'!$A$3:$DQ$20,$D558,FALSE))</f>
        <v>0</v>
      </c>
      <c r="Q558" s="15">
        <f>IF(ISNA(VLOOKUP(Q$1,'offpeak-new'!$A$3:$DQ$20,$D558,FALSE)),0,VLOOKUP(Q$1,'offpeak-new'!$A$3:$DQ$20,$D558,FALSE))</f>
        <v>0</v>
      </c>
      <c r="R558" s="14">
        <f>IF(ISNA(VLOOKUP(R$1,'offpeak-new'!$A$3:$DQ$20,$D558,FALSE)),0,VLOOKUP(R$1,'offpeak-new'!$A$3:$DQ$20,$D558,FALSE))</f>
        <v>0</v>
      </c>
      <c r="S558" s="10"/>
    </row>
    <row r="559" spans="1:19" s="8" customFormat="1" x14ac:dyDescent="0.2">
      <c r="A559" s="8">
        <f t="shared" si="157"/>
        <v>2006</v>
      </c>
      <c r="B559" s="8">
        <f t="shared" si="158"/>
        <v>8</v>
      </c>
      <c r="C559" s="9">
        <f t="shared" si="156"/>
        <v>38930</v>
      </c>
      <c r="D559" s="8">
        <f t="shared" si="155"/>
        <v>59</v>
      </c>
      <c r="E559" s="14">
        <f>IF(ISNA(VLOOKUP(E$1,'offpeak-new'!$A$3:$DQ$20,$D559,FALSE)),0,VLOOKUP(E$1,'offpeak-new'!$A$3:$DQ$20,$D559,FALSE))</f>
        <v>29200</v>
      </c>
      <c r="F559" s="14">
        <f>IF(ISNA(VLOOKUP(F$1,'offpeak-new'!$A$3:$DQ$20,$D559,FALSE)),0,VLOOKUP(F$1,'offpeak-new'!$A$3:$DQ$20,$D559,FALSE))</f>
        <v>0</v>
      </c>
      <c r="G559" s="14">
        <f>IF(ISNA(VLOOKUP(G$1,'offpeak-new'!$A$3:$DQ$20,$D559,FALSE)),0,VLOOKUP(G$1,'offpeak-new'!$A$3:$DQ$20,$D559,FALSE))</f>
        <v>0</v>
      </c>
      <c r="H559" s="14">
        <f>IF(ISNA(VLOOKUP(H$1,'offpeak-new'!$A$3:$DQ$20,$D559,FALSE)),0,VLOOKUP(H$1,'offpeak-new'!$A$3:$DQ$20,$D559,FALSE))</f>
        <v>-26000</v>
      </c>
      <c r="I559" s="14">
        <f>IF(ISNA(VLOOKUP(I$1,'offpeak-new'!$A$3:$DQ$20,$D559,FALSE)),0,VLOOKUP(I$1,'offpeak-new'!$A$3:$DQ$20,$D559,FALSE))</f>
        <v>0</v>
      </c>
      <c r="J559" s="14">
        <f>IF(ISNA(VLOOKUP(J$1,'offpeak-new'!$A$3:$DQ$20,$D559,FALSE)),0,VLOOKUP(J$1,'offpeak-new'!$A$3:$DQ$20,$D559,FALSE))</f>
        <v>0</v>
      </c>
      <c r="K559" s="14">
        <f>IF(ISNA(VLOOKUP(K$1,'offpeak-new'!$A$3:$DQ$20,$D559,FALSE)),0,VLOOKUP(K$1,'offpeak-new'!$A$3:$DQ$20,$D559,FALSE))</f>
        <v>0</v>
      </c>
      <c r="L559" s="14">
        <f>IF(ISNA(VLOOKUP(L$1,'offpeak-new'!$A$3:$DQ$20,$D559,FALSE)),0,VLOOKUP(L$1,'offpeak-new'!$A$3:$DQ$20,$D559,FALSE))</f>
        <v>0</v>
      </c>
      <c r="M559" s="14">
        <f>IF(ISNA(VLOOKUP(M$1,'offpeak-new'!$A$3:$DQ$20,$D559,FALSE)),0,VLOOKUP(M$1,'offpeak-new'!$A$3:$DQ$20,$D559,FALSE))</f>
        <v>0</v>
      </c>
      <c r="N559" s="14">
        <f>IF(ISNA(VLOOKUP(N$1,'offpeak-new'!$A$3:$DQ$20,$D559,FALSE)),0,VLOOKUP(N$1,'offpeak-new'!$A$3:$DQ$20,$D559,FALSE))</f>
        <v>0</v>
      </c>
      <c r="O559" s="14">
        <f>IF(ISNA(VLOOKUP(O$1,'offpeak-new'!$A$3:$DQ$20,$D559,FALSE)),0,VLOOKUP(O$1,'offpeak-new'!$A$3:$DQ$20,$D559,FALSE))</f>
        <v>0</v>
      </c>
      <c r="P559" s="14">
        <f>IF(ISNA(VLOOKUP(P$1,'offpeak-new'!$A$3:$DQ$20,$D559,FALSE)),0,VLOOKUP(P$1,'offpeak-new'!$A$3:$DQ$20,$D559,FALSE))</f>
        <v>0</v>
      </c>
      <c r="Q559" s="15">
        <f>IF(ISNA(VLOOKUP(Q$1,'offpeak-new'!$A$3:$DQ$20,$D559,FALSE)),0,VLOOKUP(Q$1,'offpeak-new'!$A$3:$DQ$20,$D559,FALSE))</f>
        <v>0</v>
      </c>
      <c r="R559" s="14">
        <f>IF(ISNA(VLOOKUP(R$1,'offpeak-new'!$A$3:$DQ$20,$D559,FALSE)),0,VLOOKUP(R$1,'offpeak-new'!$A$3:$DQ$20,$D559,FALSE))</f>
        <v>0</v>
      </c>
      <c r="S559" s="10"/>
    </row>
    <row r="560" spans="1:19" s="8" customFormat="1" x14ac:dyDescent="0.2">
      <c r="A560" s="8">
        <f t="shared" si="157"/>
        <v>2006</v>
      </c>
      <c r="B560" s="8">
        <f t="shared" si="158"/>
        <v>9</v>
      </c>
      <c r="C560" s="9">
        <f t="shared" si="156"/>
        <v>38961</v>
      </c>
      <c r="D560" s="8">
        <f t="shared" si="155"/>
        <v>60</v>
      </c>
      <c r="E560" s="14">
        <f>IF(ISNA(VLOOKUP(E$1,'offpeak-new'!$A$3:$DQ$20,$D560,FALSE)),0,VLOOKUP(E$1,'offpeak-new'!$A$3:$DQ$20,$D560,FALSE))</f>
        <v>28689</v>
      </c>
      <c r="F560" s="14">
        <f>IF(ISNA(VLOOKUP(F$1,'offpeak-new'!$A$3:$DQ$20,$D560,FALSE)),0,VLOOKUP(F$1,'offpeak-new'!$A$3:$DQ$20,$D560,FALSE))</f>
        <v>0</v>
      </c>
      <c r="G560" s="14">
        <f>IF(ISNA(VLOOKUP(G$1,'offpeak-new'!$A$3:$DQ$20,$D560,FALSE)),0,VLOOKUP(G$1,'offpeak-new'!$A$3:$DQ$20,$D560,FALSE))</f>
        <v>0</v>
      </c>
      <c r="H560" s="14">
        <f>IF(ISNA(VLOOKUP(H$1,'offpeak-new'!$A$3:$DQ$20,$D560,FALSE)),0,VLOOKUP(H$1,'offpeak-new'!$A$3:$DQ$20,$D560,FALSE))</f>
        <v>-25922</v>
      </c>
      <c r="I560" s="14">
        <f>IF(ISNA(VLOOKUP(I$1,'offpeak-new'!$A$3:$DQ$20,$D560,FALSE)),0,VLOOKUP(I$1,'offpeak-new'!$A$3:$DQ$20,$D560,FALSE))</f>
        <v>0</v>
      </c>
      <c r="J560" s="14">
        <f>IF(ISNA(VLOOKUP(J$1,'offpeak-new'!$A$3:$DQ$20,$D560,FALSE)),0,VLOOKUP(J$1,'offpeak-new'!$A$3:$DQ$20,$D560,FALSE))</f>
        <v>0</v>
      </c>
      <c r="K560" s="14">
        <f>IF(ISNA(VLOOKUP(K$1,'offpeak-new'!$A$3:$DQ$20,$D560,FALSE)),0,VLOOKUP(K$1,'offpeak-new'!$A$3:$DQ$20,$D560,FALSE))</f>
        <v>0</v>
      </c>
      <c r="L560" s="14">
        <f>IF(ISNA(VLOOKUP(L$1,'offpeak-new'!$A$3:$DQ$20,$D560,FALSE)),0,VLOOKUP(L$1,'offpeak-new'!$A$3:$DQ$20,$D560,FALSE))</f>
        <v>0</v>
      </c>
      <c r="M560" s="14">
        <f>IF(ISNA(VLOOKUP(M$1,'offpeak-new'!$A$3:$DQ$20,$D560,FALSE)),0,VLOOKUP(M$1,'offpeak-new'!$A$3:$DQ$20,$D560,FALSE))</f>
        <v>0</v>
      </c>
      <c r="N560" s="14">
        <f>IF(ISNA(VLOOKUP(N$1,'offpeak-new'!$A$3:$DQ$20,$D560,FALSE)),0,VLOOKUP(N$1,'offpeak-new'!$A$3:$DQ$20,$D560,FALSE))</f>
        <v>0</v>
      </c>
      <c r="O560" s="14">
        <f>IF(ISNA(VLOOKUP(O$1,'offpeak-new'!$A$3:$DQ$20,$D560,FALSE)),0,VLOOKUP(O$1,'offpeak-new'!$A$3:$DQ$20,$D560,FALSE))</f>
        <v>0</v>
      </c>
      <c r="P560" s="14">
        <f>IF(ISNA(VLOOKUP(P$1,'offpeak-new'!$A$3:$DQ$20,$D560,FALSE)),0,VLOOKUP(P$1,'offpeak-new'!$A$3:$DQ$20,$D560,FALSE))</f>
        <v>0</v>
      </c>
      <c r="Q560" s="15">
        <f>IF(ISNA(VLOOKUP(Q$1,'offpeak-new'!$A$3:$DQ$20,$D560,FALSE)),0,VLOOKUP(Q$1,'offpeak-new'!$A$3:$DQ$20,$D560,FALSE))</f>
        <v>0</v>
      </c>
      <c r="R560" s="14">
        <f>IF(ISNA(VLOOKUP(R$1,'offpeak-new'!$A$3:$DQ$20,$D560,FALSE)),0,VLOOKUP(R$1,'offpeak-new'!$A$3:$DQ$20,$D560,FALSE))</f>
        <v>0</v>
      </c>
      <c r="S560" s="10"/>
    </row>
    <row r="561" spans="1:19" s="8" customFormat="1" x14ac:dyDescent="0.2">
      <c r="A561" s="8">
        <f t="shared" si="157"/>
        <v>2006</v>
      </c>
      <c r="B561" s="8">
        <f t="shared" si="158"/>
        <v>10</v>
      </c>
      <c r="C561" s="9">
        <f t="shared" si="156"/>
        <v>38991</v>
      </c>
      <c r="D561" s="8">
        <f t="shared" ref="D561:D592" si="159">D560+1</f>
        <v>61</v>
      </c>
      <c r="E561" s="14">
        <f>IF(ISNA(VLOOKUP(E$1,'offpeak-new'!$A$3:$DQ$20,$D561,FALSE)),0,VLOOKUP(E$1,'offpeak-new'!$A$3:$DQ$20,$D561,FALSE))</f>
        <v>28032</v>
      </c>
      <c r="F561" s="14">
        <f>IF(ISNA(VLOOKUP(F$1,'offpeak-new'!$A$3:$DQ$20,$D561,FALSE)),0,VLOOKUP(F$1,'offpeak-new'!$A$3:$DQ$20,$D561,FALSE))</f>
        <v>0</v>
      </c>
      <c r="G561" s="14">
        <f>IF(ISNA(VLOOKUP(G$1,'offpeak-new'!$A$3:$DQ$20,$D561,FALSE)),0,VLOOKUP(G$1,'offpeak-new'!$A$3:$DQ$20,$D561,FALSE))</f>
        <v>0</v>
      </c>
      <c r="H561" s="14">
        <f>IF(ISNA(VLOOKUP(H$1,'offpeak-new'!$A$3:$DQ$20,$D561,FALSE)),0,VLOOKUP(H$1,'offpeak-new'!$A$3:$DQ$20,$D561,FALSE))</f>
        <v>-28416</v>
      </c>
      <c r="I561" s="14">
        <f>IF(ISNA(VLOOKUP(I$1,'offpeak-new'!$A$3:$DQ$20,$D561,FALSE)),0,VLOOKUP(I$1,'offpeak-new'!$A$3:$DQ$20,$D561,FALSE))</f>
        <v>0</v>
      </c>
      <c r="J561" s="14">
        <f>IF(ISNA(VLOOKUP(J$1,'offpeak-new'!$A$3:$DQ$20,$D561,FALSE)),0,VLOOKUP(J$1,'offpeak-new'!$A$3:$DQ$20,$D561,FALSE))</f>
        <v>0</v>
      </c>
      <c r="K561" s="14">
        <f>IF(ISNA(VLOOKUP(K$1,'offpeak-new'!$A$3:$DQ$20,$D561,FALSE)),0,VLOOKUP(K$1,'offpeak-new'!$A$3:$DQ$20,$D561,FALSE))</f>
        <v>0</v>
      </c>
      <c r="L561" s="14">
        <f>IF(ISNA(VLOOKUP(L$1,'offpeak-new'!$A$3:$DQ$20,$D561,FALSE)),0,VLOOKUP(L$1,'offpeak-new'!$A$3:$DQ$20,$D561,FALSE))</f>
        <v>0</v>
      </c>
      <c r="M561" s="14">
        <f>IF(ISNA(VLOOKUP(M$1,'offpeak-new'!$A$3:$DQ$20,$D561,FALSE)),0,VLOOKUP(M$1,'offpeak-new'!$A$3:$DQ$20,$D561,FALSE))</f>
        <v>0</v>
      </c>
      <c r="N561" s="14">
        <f>IF(ISNA(VLOOKUP(N$1,'offpeak-new'!$A$3:$DQ$20,$D561,FALSE)),0,VLOOKUP(N$1,'offpeak-new'!$A$3:$DQ$20,$D561,FALSE))</f>
        <v>0</v>
      </c>
      <c r="O561" s="14">
        <f>IF(ISNA(VLOOKUP(O$1,'offpeak-new'!$A$3:$DQ$20,$D561,FALSE)),0,VLOOKUP(O$1,'offpeak-new'!$A$3:$DQ$20,$D561,FALSE))</f>
        <v>0</v>
      </c>
      <c r="P561" s="14">
        <f>IF(ISNA(VLOOKUP(P$1,'offpeak-new'!$A$3:$DQ$20,$D561,FALSE)),0,VLOOKUP(P$1,'offpeak-new'!$A$3:$DQ$20,$D561,FALSE))</f>
        <v>0</v>
      </c>
      <c r="Q561" s="15">
        <f>IF(ISNA(VLOOKUP(Q$1,'offpeak-new'!$A$3:$DQ$20,$D561,FALSE)),0,VLOOKUP(Q$1,'offpeak-new'!$A$3:$DQ$20,$D561,FALSE))</f>
        <v>0</v>
      </c>
      <c r="R561" s="14">
        <f>IF(ISNA(VLOOKUP(R$1,'offpeak-new'!$A$3:$DQ$20,$D561,FALSE)),0,VLOOKUP(R$1,'offpeak-new'!$A$3:$DQ$20,$D561,FALSE))</f>
        <v>0</v>
      </c>
      <c r="S561" s="10"/>
    </row>
    <row r="562" spans="1:19" s="8" customFormat="1" x14ac:dyDescent="0.2">
      <c r="A562" s="8">
        <f t="shared" si="157"/>
        <v>2006</v>
      </c>
      <c r="B562" s="8">
        <f t="shared" si="158"/>
        <v>11</v>
      </c>
      <c r="C562" s="9">
        <f t="shared" si="156"/>
        <v>39022</v>
      </c>
      <c r="D562" s="8">
        <f t="shared" si="159"/>
        <v>62</v>
      </c>
      <c r="E562" s="14">
        <f>IF(ISNA(VLOOKUP(E$1,'offpeak-new'!$A$3:$DQ$20,$D562,FALSE)),0,VLOOKUP(E$1,'offpeak-new'!$A$3:$DQ$20,$D562,FALSE))</f>
        <v>30952</v>
      </c>
      <c r="F562" s="14">
        <f>IF(ISNA(VLOOKUP(F$1,'offpeak-new'!$A$3:$DQ$20,$D562,FALSE)),0,VLOOKUP(F$1,'offpeak-new'!$A$3:$DQ$20,$D562,FALSE))</f>
        <v>0</v>
      </c>
      <c r="G562" s="14">
        <f>IF(ISNA(VLOOKUP(G$1,'offpeak-new'!$A$3:$DQ$20,$D562,FALSE)),0,VLOOKUP(G$1,'offpeak-new'!$A$3:$DQ$20,$D562,FALSE))</f>
        <v>0</v>
      </c>
      <c r="H562" s="14">
        <f>IF(ISNA(VLOOKUP(H$1,'offpeak-new'!$A$3:$DQ$20,$D562,FALSE)),0,VLOOKUP(H$1,'offpeak-new'!$A$3:$DQ$20,$D562,FALSE))</f>
        <v>-30952</v>
      </c>
      <c r="I562" s="14">
        <f>IF(ISNA(VLOOKUP(I$1,'offpeak-new'!$A$3:$DQ$20,$D562,FALSE)),0,VLOOKUP(I$1,'offpeak-new'!$A$3:$DQ$20,$D562,FALSE))</f>
        <v>0</v>
      </c>
      <c r="J562" s="14">
        <f>IF(ISNA(VLOOKUP(J$1,'offpeak-new'!$A$3:$DQ$20,$D562,FALSE)),0,VLOOKUP(J$1,'offpeak-new'!$A$3:$DQ$20,$D562,FALSE))</f>
        <v>0</v>
      </c>
      <c r="K562" s="14">
        <f>IF(ISNA(VLOOKUP(K$1,'offpeak-new'!$A$3:$DQ$20,$D562,FALSE)),0,VLOOKUP(K$1,'offpeak-new'!$A$3:$DQ$20,$D562,FALSE))</f>
        <v>0</v>
      </c>
      <c r="L562" s="14">
        <f>IF(ISNA(VLOOKUP(L$1,'offpeak-new'!$A$3:$DQ$20,$D562,FALSE)),0,VLOOKUP(L$1,'offpeak-new'!$A$3:$DQ$20,$D562,FALSE))</f>
        <v>0</v>
      </c>
      <c r="M562" s="14">
        <f>IF(ISNA(VLOOKUP(M$1,'offpeak-new'!$A$3:$DQ$20,$D562,FALSE)),0,VLOOKUP(M$1,'offpeak-new'!$A$3:$DQ$20,$D562,FALSE))</f>
        <v>0</v>
      </c>
      <c r="N562" s="14">
        <f>IF(ISNA(VLOOKUP(N$1,'offpeak-new'!$A$3:$DQ$20,$D562,FALSE)),0,VLOOKUP(N$1,'offpeak-new'!$A$3:$DQ$20,$D562,FALSE))</f>
        <v>0</v>
      </c>
      <c r="O562" s="14">
        <f>IF(ISNA(VLOOKUP(O$1,'offpeak-new'!$A$3:$DQ$20,$D562,FALSE)),0,VLOOKUP(O$1,'offpeak-new'!$A$3:$DQ$20,$D562,FALSE))</f>
        <v>0</v>
      </c>
      <c r="P562" s="14">
        <f>IF(ISNA(VLOOKUP(P$1,'offpeak-new'!$A$3:$DQ$20,$D562,FALSE)),0,VLOOKUP(P$1,'offpeak-new'!$A$3:$DQ$20,$D562,FALSE))</f>
        <v>0</v>
      </c>
      <c r="Q562" s="15">
        <f>IF(ISNA(VLOOKUP(Q$1,'offpeak-new'!$A$3:$DQ$20,$D562,FALSE)),0,VLOOKUP(Q$1,'offpeak-new'!$A$3:$DQ$20,$D562,FALSE))</f>
        <v>0</v>
      </c>
      <c r="R562" s="14">
        <f>IF(ISNA(VLOOKUP(R$1,'offpeak-new'!$A$3:$DQ$20,$D562,FALSE)),0,VLOOKUP(R$1,'offpeak-new'!$A$3:$DQ$20,$D562,FALSE))</f>
        <v>0</v>
      </c>
      <c r="S562" s="10"/>
    </row>
    <row r="563" spans="1:19" s="8" customFormat="1" x14ac:dyDescent="0.2">
      <c r="A563" s="8">
        <f t="shared" si="157"/>
        <v>2006</v>
      </c>
      <c r="B563" s="8">
        <f t="shared" si="158"/>
        <v>12</v>
      </c>
      <c r="C563" s="9">
        <f t="shared" si="156"/>
        <v>39052</v>
      </c>
      <c r="D563" s="8">
        <f t="shared" si="159"/>
        <v>63</v>
      </c>
      <c r="E563" s="14">
        <f>IF(ISNA(VLOOKUP(E$1,'offpeak-new'!$A$3:$DQ$20,$D563,FALSE)),0,VLOOKUP(E$1,'offpeak-new'!$A$3:$DQ$20,$D563,FALSE))</f>
        <v>9016</v>
      </c>
      <c r="F563" s="14">
        <f>IF(ISNA(VLOOKUP(F$1,'offpeak-new'!$A$3:$DQ$20,$D563,FALSE)),0,VLOOKUP(F$1,'offpeak-new'!$A$3:$DQ$20,$D563,FALSE))</f>
        <v>0</v>
      </c>
      <c r="G563" s="14">
        <f>IF(ISNA(VLOOKUP(G$1,'offpeak-new'!$A$3:$DQ$20,$D563,FALSE)),0,VLOOKUP(G$1,'offpeak-new'!$A$3:$DQ$20,$D563,FALSE))</f>
        <v>0</v>
      </c>
      <c r="H563" s="14">
        <f>IF(ISNA(VLOOKUP(H$1,'offpeak-new'!$A$3:$DQ$20,$D563,FALSE)),0,VLOOKUP(H$1,'offpeak-new'!$A$3:$DQ$20,$D563,FALSE))</f>
        <v>-29400</v>
      </c>
      <c r="I563" s="14">
        <f>IF(ISNA(VLOOKUP(I$1,'offpeak-new'!$A$3:$DQ$20,$D563,FALSE)),0,VLOOKUP(I$1,'offpeak-new'!$A$3:$DQ$20,$D563,FALSE))</f>
        <v>0</v>
      </c>
      <c r="J563" s="14">
        <f>IF(ISNA(VLOOKUP(J$1,'offpeak-new'!$A$3:$DQ$20,$D563,FALSE)),0,VLOOKUP(J$1,'offpeak-new'!$A$3:$DQ$20,$D563,FALSE))</f>
        <v>0</v>
      </c>
      <c r="K563" s="14">
        <f>IF(ISNA(VLOOKUP(K$1,'offpeak-new'!$A$3:$DQ$20,$D563,FALSE)),0,VLOOKUP(K$1,'offpeak-new'!$A$3:$DQ$20,$D563,FALSE))</f>
        <v>0</v>
      </c>
      <c r="L563" s="14">
        <f>IF(ISNA(VLOOKUP(L$1,'offpeak-new'!$A$3:$DQ$20,$D563,FALSE)),0,VLOOKUP(L$1,'offpeak-new'!$A$3:$DQ$20,$D563,FALSE))</f>
        <v>0</v>
      </c>
      <c r="M563" s="14">
        <f>IF(ISNA(VLOOKUP(M$1,'offpeak-new'!$A$3:$DQ$20,$D563,FALSE)),0,VLOOKUP(M$1,'offpeak-new'!$A$3:$DQ$20,$D563,FALSE))</f>
        <v>0</v>
      </c>
      <c r="N563" s="14">
        <f>IF(ISNA(VLOOKUP(N$1,'offpeak-new'!$A$3:$DQ$20,$D563,FALSE)),0,VLOOKUP(N$1,'offpeak-new'!$A$3:$DQ$20,$D563,FALSE))</f>
        <v>0</v>
      </c>
      <c r="O563" s="14">
        <f>IF(ISNA(VLOOKUP(O$1,'offpeak-new'!$A$3:$DQ$20,$D563,FALSE)),0,VLOOKUP(O$1,'offpeak-new'!$A$3:$DQ$20,$D563,FALSE))</f>
        <v>0</v>
      </c>
      <c r="P563" s="14">
        <f>IF(ISNA(VLOOKUP(P$1,'offpeak-new'!$A$3:$DQ$20,$D563,FALSE)),0,VLOOKUP(P$1,'offpeak-new'!$A$3:$DQ$20,$D563,FALSE))</f>
        <v>0</v>
      </c>
      <c r="Q563" s="15">
        <f>IF(ISNA(VLOOKUP(Q$1,'offpeak-new'!$A$3:$DQ$20,$D563,FALSE)),0,VLOOKUP(Q$1,'offpeak-new'!$A$3:$DQ$20,$D563,FALSE))</f>
        <v>0</v>
      </c>
      <c r="R563" s="14">
        <f>IF(ISNA(VLOOKUP(R$1,'offpeak-new'!$A$3:$DQ$20,$D563,FALSE)),0,VLOOKUP(R$1,'offpeak-new'!$A$3:$DQ$20,$D563,FALSE))</f>
        <v>0</v>
      </c>
      <c r="S563" s="10"/>
    </row>
    <row r="564" spans="1:19" s="8" customFormat="1" x14ac:dyDescent="0.2">
      <c r="A564" s="8">
        <f t="shared" si="157"/>
        <v>2007</v>
      </c>
      <c r="B564" s="8">
        <f t="shared" si="158"/>
        <v>1</v>
      </c>
      <c r="C564" s="9">
        <f t="shared" si="156"/>
        <v>39083</v>
      </c>
      <c r="D564" s="8">
        <f t="shared" si="159"/>
        <v>64</v>
      </c>
      <c r="E564" s="14">
        <f>IF(ISNA(VLOOKUP(E$1,'offpeak-new'!$A$3:$DQ$20,$D564,FALSE)),0,VLOOKUP(E$1,'offpeak-new'!$A$3:$DQ$20,$D564,FALSE))</f>
        <v>8096</v>
      </c>
      <c r="F564" s="14">
        <f>IF(ISNA(VLOOKUP(F$1,'offpeak-new'!$A$3:$DQ$20,$D564,FALSE)),0,VLOOKUP(F$1,'offpeak-new'!$A$3:$DQ$20,$D564,FALSE))</f>
        <v>0</v>
      </c>
      <c r="G564" s="14">
        <f>IF(ISNA(VLOOKUP(G$1,'offpeak-new'!$A$3:$DQ$20,$D564,FALSE)),0,VLOOKUP(G$1,'offpeak-new'!$A$3:$DQ$20,$D564,FALSE))</f>
        <v>0</v>
      </c>
      <c r="H564" s="14">
        <f>IF(ISNA(VLOOKUP(H$1,'offpeak-new'!$A$3:$DQ$20,$D564,FALSE)),0,VLOOKUP(H$1,'offpeak-new'!$A$3:$DQ$20,$D564,FALSE))</f>
        <v>-25696</v>
      </c>
      <c r="I564" s="14">
        <f>IF(ISNA(VLOOKUP(I$1,'offpeak-new'!$A$3:$DQ$20,$D564,FALSE)),0,VLOOKUP(I$1,'offpeak-new'!$A$3:$DQ$20,$D564,FALSE))</f>
        <v>0</v>
      </c>
      <c r="J564" s="14">
        <f>IF(ISNA(VLOOKUP(J$1,'offpeak-new'!$A$3:$DQ$20,$D564,FALSE)),0,VLOOKUP(J$1,'offpeak-new'!$A$3:$DQ$20,$D564,FALSE))</f>
        <v>0</v>
      </c>
      <c r="K564" s="14">
        <f>IF(ISNA(VLOOKUP(K$1,'offpeak-new'!$A$3:$DQ$20,$D564,FALSE)),0,VLOOKUP(K$1,'offpeak-new'!$A$3:$DQ$20,$D564,FALSE))</f>
        <v>0</v>
      </c>
      <c r="L564" s="14">
        <f>IF(ISNA(VLOOKUP(L$1,'offpeak-new'!$A$3:$DQ$20,$D564,FALSE)),0,VLOOKUP(L$1,'offpeak-new'!$A$3:$DQ$20,$D564,FALSE))</f>
        <v>0</v>
      </c>
      <c r="M564" s="14">
        <f>IF(ISNA(VLOOKUP(M$1,'offpeak-new'!$A$3:$DQ$20,$D564,FALSE)),0,VLOOKUP(M$1,'offpeak-new'!$A$3:$DQ$20,$D564,FALSE))</f>
        <v>0</v>
      </c>
      <c r="N564" s="14">
        <f>IF(ISNA(VLOOKUP(N$1,'offpeak-new'!$A$3:$DQ$20,$D564,FALSE)),0,VLOOKUP(N$1,'offpeak-new'!$A$3:$DQ$20,$D564,FALSE))</f>
        <v>0</v>
      </c>
      <c r="O564" s="14">
        <f>IF(ISNA(VLOOKUP(O$1,'offpeak-new'!$A$3:$DQ$20,$D564,FALSE)),0,VLOOKUP(O$1,'offpeak-new'!$A$3:$DQ$20,$D564,FALSE))</f>
        <v>0</v>
      </c>
      <c r="P564" s="14">
        <f>IF(ISNA(VLOOKUP(P$1,'offpeak-new'!$A$3:$DQ$20,$D564,FALSE)),0,VLOOKUP(P$1,'offpeak-new'!$A$3:$DQ$20,$D564,FALSE))</f>
        <v>0</v>
      </c>
      <c r="Q564" s="15">
        <f>IF(ISNA(VLOOKUP(Q$1,'offpeak-new'!$A$3:$DQ$20,$D564,FALSE)),0,VLOOKUP(Q$1,'offpeak-new'!$A$3:$DQ$20,$D564,FALSE))</f>
        <v>0</v>
      </c>
      <c r="R564" s="14">
        <f>IF(ISNA(VLOOKUP(R$1,'offpeak-new'!$A$3:$DQ$20,$D564,FALSE)),0,VLOOKUP(R$1,'offpeak-new'!$A$3:$DQ$20,$D564,FALSE))</f>
        <v>0</v>
      </c>
      <c r="S564" s="10"/>
    </row>
    <row r="565" spans="1:19" s="8" customFormat="1" x14ac:dyDescent="0.2">
      <c r="A565" s="8">
        <f t="shared" si="157"/>
        <v>2007</v>
      </c>
      <c r="B565" s="8">
        <f t="shared" si="158"/>
        <v>2</v>
      </c>
      <c r="C565" s="9">
        <f t="shared" si="156"/>
        <v>39114</v>
      </c>
      <c r="D565" s="8">
        <f t="shared" si="159"/>
        <v>65</v>
      </c>
      <c r="E565" s="14">
        <f>IF(ISNA(VLOOKUP(E$1,'offpeak-new'!$A$3:$DQ$20,$D565,FALSE)),0,VLOOKUP(E$1,'offpeak-new'!$A$3:$DQ$20,$D565,FALSE))</f>
        <v>9016</v>
      </c>
      <c r="F565" s="14">
        <f>IF(ISNA(VLOOKUP(F$1,'offpeak-new'!$A$3:$DQ$20,$D565,FALSE)),0,VLOOKUP(F$1,'offpeak-new'!$A$3:$DQ$20,$D565,FALSE))</f>
        <v>0</v>
      </c>
      <c r="G565" s="14">
        <f>IF(ISNA(VLOOKUP(G$1,'offpeak-new'!$A$3:$DQ$20,$D565,FALSE)),0,VLOOKUP(G$1,'offpeak-new'!$A$3:$DQ$20,$D565,FALSE))</f>
        <v>0</v>
      </c>
      <c r="H565" s="14">
        <f>IF(ISNA(VLOOKUP(H$1,'offpeak-new'!$A$3:$DQ$20,$D565,FALSE)),0,VLOOKUP(H$1,'offpeak-new'!$A$3:$DQ$20,$D565,FALSE))</f>
        <v>-29400</v>
      </c>
      <c r="I565" s="14">
        <f>IF(ISNA(VLOOKUP(I$1,'offpeak-new'!$A$3:$DQ$20,$D565,FALSE)),0,VLOOKUP(I$1,'offpeak-new'!$A$3:$DQ$20,$D565,FALSE))</f>
        <v>0</v>
      </c>
      <c r="J565" s="14">
        <f>IF(ISNA(VLOOKUP(J$1,'offpeak-new'!$A$3:$DQ$20,$D565,FALSE)),0,VLOOKUP(J$1,'offpeak-new'!$A$3:$DQ$20,$D565,FALSE))</f>
        <v>0</v>
      </c>
      <c r="K565" s="14">
        <f>IF(ISNA(VLOOKUP(K$1,'offpeak-new'!$A$3:$DQ$20,$D565,FALSE)),0,VLOOKUP(K$1,'offpeak-new'!$A$3:$DQ$20,$D565,FALSE))</f>
        <v>0</v>
      </c>
      <c r="L565" s="14">
        <f>IF(ISNA(VLOOKUP(L$1,'offpeak-new'!$A$3:$DQ$20,$D565,FALSE)),0,VLOOKUP(L$1,'offpeak-new'!$A$3:$DQ$20,$D565,FALSE))</f>
        <v>0</v>
      </c>
      <c r="M565" s="14">
        <f>IF(ISNA(VLOOKUP(M$1,'offpeak-new'!$A$3:$DQ$20,$D565,FALSE)),0,VLOOKUP(M$1,'offpeak-new'!$A$3:$DQ$20,$D565,FALSE))</f>
        <v>0</v>
      </c>
      <c r="N565" s="14">
        <f>IF(ISNA(VLOOKUP(N$1,'offpeak-new'!$A$3:$DQ$20,$D565,FALSE)),0,VLOOKUP(N$1,'offpeak-new'!$A$3:$DQ$20,$D565,FALSE))</f>
        <v>0</v>
      </c>
      <c r="O565" s="14">
        <f>IF(ISNA(VLOOKUP(O$1,'offpeak-new'!$A$3:$DQ$20,$D565,FALSE)),0,VLOOKUP(O$1,'offpeak-new'!$A$3:$DQ$20,$D565,FALSE))</f>
        <v>0</v>
      </c>
      <c r="P565" s="14">
        <f>IF(ISNA(VLOOKUP(P$1,'offpeak-new'!$A$3:$DQ$20,$D565,FALSE)),0,VLOOKUP(P$1,'offpeak-new'!$A$3:$DQ$20,$D565,FALSE))</f>
        <v>0</v>
      </c>
      <c r="Q565" s="15">
        <f>IF(ISNA(VLOOKUP(Q$1,'offpeak-new'!$A$3:$DQ$20,$D565,FALSE)),0,VLOOKUP(Q$1,'offpeak-new'!$A$3:$DQ$20,$D565,FALSE))</f>
        <v>0</v>
      </c>
      <c r="R565" s="14">
        <f>IF(ISNA(VLOOKUP(R$1,'offpeak-new'!$A$3:$DQ$20,$D565,FALSE)),0,VLOOKUP(R$1,'offpeak-new'!$A$3:$DQ$20,$D565,FALSE))</f>
        <v>0</v>
      </c>
      <c r="S565" s="10"/>
    </row>
    <row r="566" spans="1:19" s="8" customFormat="1" x14ac:dyDescent="0.2">
      <c r="A566" s="8">
        <f t="shared" si="157"/>
        <v>2007</v>
      </c>
      <c r="B566" s="8">
        <f t="shared" si="158"/>
        <v>3</v>
      </c>
      <c r="C566" s="9">
        <f t="shared" si="156"/>
        <v>39142</v>
      </c>
      <c r="D566" s="8">
        <f t="shared" si="159"/>
        <v>66</v>
      </c>
      <c r="E566" s="14">
        <f>IF(ISNA(VLOOKUP(E$1,'offpeak-new'!$A$3:$DQ$20,$D566,FALSE)),0,VLOOKUP(E$1,'offpeak-new'!$A$3:$DQ$20,$D566,FALSE))</f>
        <v>8809</v>
      </c>
      <c r="F566" s="14">
        <f>IF(ISNA(VLOOKUP(F$1,'offpeak-new'!$A$3:$DQ$20,$D566,FALSE)),0,VLOOKUP(F$1,'offpeak-new'!$A$3:$DQ$20,$D566,FALSE))</f>
        <v>0</v>
      </c>
      <c r="G566" s="14">
        <f>IF(ISNA(VLOOKUP(G$1,'offpeak-new'!$A$3:$DQ$20,$D566,FALSE)),0,VLOOKUP(G$1,'offpeak-new'!$A$3:$DQ$20,$D566,FALSE))</f>
        <v>0</v>
      </c>
      <c r="H566" s="14">
        <f>IF(ISNA(VLOOKUP(H$1,'offpeak-new'!$A$3:$DQ$20,$D566,FALSE)),0,VLOOKUP(H$1,'offpeak-new'!$A$3:$DQ$20,$D566,FALSE))</f>
        <v>-28366</v>
      </c>
      <c r="I566" s="14">
        <f>IF(ISNA(VLOOKUP(I$1,'offpeak-new'!$A$3:$DQ$20,$D566,FALSE)),0,VLOOKUP(I$1,'offpeak-new'!$A$3:$DQ$20,$D566,FALSE))</f>
        <v>0</v>
      </c>
      <c r="J566" s="14">
        <f>IF(ISNA(VLOOKUP(J$1,'offpeak-new'!$A$3:$DQ$20,$D566,FALSE)),0,VLOOKUP(J$1,'offpeak-new'!$A$3:$DQ$20,$D566,FALSE))</f>
        <v>0</v>
      </c>
      <c r="K566" s="14">
        <f>IF(ISNA(VLOOKUP(K$1,'offpeak-new'!$A$3:$DQ$20,$D566,FALSE)),0,VLOOKUP(K$1,'offpeak-new'!$A$3:$DQ$20,$D566,FALSE))</f>
        <v>0</v>
      </c>
      <c r="L566" s="14">
        <f>IF(ISNA(VLOOKUP(L$1,'offpeak-new'!$A$3:$DQ$20,$D566,FALSE)),0,VLOOKUP(L$1,'offpeak-new'!$A$3:$DQ$20,$D566,FALSE))</f>
        <v>0</v>
      </c>
      <c r="M566" s="14">
        <f>IF(ISNA(VLOOKUP(M$1,'offpeak-new'!$A$3:$DQ$20,$D566,FALSE)),0,VLOOKUP(M$1,'offpeak-new'!$A$3:$DQ$20,$D566,FALSE))</f>
        <v>0</v>
      </c>
      <c r="N566" s="14">
        <f>IF(ISNA(VLOOKUP(N$1,'offpeak-new'!$A$3:$DQ$20,$D566,FALSE)),0,VLOOKUP(N$1,'offpeak-new'!$A$3:$DQ$20,$D566,FALSE))</f>
        <v>0</v>
      </c>
      <c r="O566" s="14">
        <f>IF(ISNA(VLOOKUP(O$1,'offpeak-new'!$A$3:$DQ$20,$D566,FALSE)),0,VLOOKUP(O$1,'offpeak-new'!$A$3:$DQ$20,$D566,FALSE))</f>
        <v>0</v>
      </c>
      <c r="P566" s="14">
        <f>IF(ISNA(VLOOKUP(P$1,'offpeak-new'!$A$3:$DQ$20,$D566,FALSE)),0,VLOOKUP(P$1,'offpeak-new'!$A$3:$DQ$20,$D566,FALSE))</f>
        <v>0</v>
      </c>
      <c r="Q566" s="15">
        <f>IF(ISNA(VLOOKUP(Q$1,'offpeak-new'!$A$3:$DQ$20,$D566,FALSE)),0,VLOOKUP(Q$1,'offpeak-new'!$A$3:$DQ$20,$D566,FALSE))</f>
        <v>0</v>
      </c>
      <c r="R566" s="14">
        <f>IF(ISNA(VLOOKUP(R$1,'offpeak-new'!$A$3:$DQ$20,$D566,FALSE)),0,VLOOKUP(R$1,'offpeak-new'!$A$3:$DQ$20,$D566,FALSE))</f>
        <v>0</v>
      </c>
      <c r="S566" s="10"/>
    </row>
    <row r="567" spans="1:19" s="8" customFormat="1" x14ac:dyDescent="0.2">
      <c r="A567" s="8">
        <f t="shared" si="157"/>
        <v>2007</v>
      </c>
      <c r="B567" s="8">
        <f t="shared" si="158"/>
        <v>4</v>
      </c>
      <c r="C567" s="9">
        <f t="shared" si="156"/>
        <v>39173</v>
      </c>
      <c r="D567" s="8">
        <f t="shared" si="159"/>
        <v>67</v>
      </c>
      <c r="E567" s="14">
        <f>IF(ISNA(VLOOKUP(E$1,'offpeak-new'!$A$3:$DQ$20,$D567,FALSE)),0,VLOOKUP(E$1,'offpeak-new'!$A$3:$DQ$20,$D567,FALSE))</f>
        <v>9016</v>
      </c>
      <c r="F567" s="14">
        <f>IF(ISNA(VLOOKUP(F$1,'offpeak-new'!$A$3:$DQ$20,$D567,FALSE)),0,VLOOKUP(F$1,'offpeak-new'!$A$3:$DQ$20,$D567,FALSE))</f>
        <v>0</v>
      </c>
      <c r="G567" s="14">
        <f>IF(ISNA(VLOOKUP(G$1,'offpeak-new'!$A$3:$DQ$20,$D567,FALSE)),0,VLOOKUP(G$1,'offpeak-new'!$A$3:$DQ$20,$D567,FALSE))</f>
        <v>0</v>
      </c>
      <c r="H567" s="14">
        <f>IF(ISNA(VLOOKUP(H$1,'offpeak-new'!$A$3:$DQ$20,$D567,FALSE)),0,VLOOKUP(H$1,'offpeak-new'!$A$3:$DQ$20,$D567,FALSE))</f>
        <v>-25480</v>
      </c>
      <c r="I567" s="14">
        <f>IF(ISNA(VLOOKUP(I$1,'offpeak-new'!$A$3:$DQ$20,$D567,FALSE)),0,VLOOKUP(I$1,'offpeak-new'!$A$3:$DQ$20,$D567,FALSE))</f>
        <v>0</v>
      </c>
      <c r="J567" s="14">
        <f>IF(ISNA(VLOOKUP(J$1,'offpeak-new'!$A$3:$DQ$20,$D567,FALSE)),0,VLOOKUP(J$1,'offpeak-new'!$A$3:$DQ$20,$D567,FALSE))</f>
        <v>0</v>
      </c>
      <c r="K567" s="14">
        <f>IF(ISNA(VLOOKUP(K$1,'offpeak-new'!$A$3:$DQ$20,$D567,FALSE)),0,VLOOKUP(K$1,'offpeak-new'!$A$3:$DQ$20,$D567,FALSE))</f>
        <v>0</v>
      </c>
      <c r="L567" s="14">
        <f>IF(ISNA(VLOOKUP(L$1,'offpeak-new'!$A$3:$DQ$20,$D567,FALSE)),0,VLOOKUP(L$1,'offpeak-new'!$A$3:$DQ$20,$D567,FALSE))</f>
        <v>0</v>
      </c>
      <c r="M567" s="14">
        <f>IF(ISNA(VLOOKUP(M$1,'offpeak-new'!$A$3:$DQ$20,$D567,FALSE)),0,VLOOKUP(M$1,'offpeak-new'!$A$3:$DQ$20,$D567,FALSE))</f>
        <v>0</v>
      </c>
      <c r="N567" s="14">
        <f>IF(ISNA(VLOOKUP(N$1,'offpeak-new'!$A$3:$DQ$20,$D567,FALSE)),0,VLOOKUP(N$1,'offpeak-new'!$A$3:$DQ$20,$D567,FALSE))</f>
        <v>0</v>
      </c>
      <c r="O567" s="14">
        <f>IF(ISNA(VLOOKUP(O$1,'offpeak-new'!$A$3:$DQ$20,$D567,FALSE)),0,VLOOKUP(O$1,'offpeak-new'!$A$3:$DQ$20,$D567,FALSE))</f>
        <v>0</v>
      </c>
      <c r="P567" s="14">
        <f>IF(ISNA(VLOOKUP(P$1,'offpeak-new'!$A$3:$DQ$20,$D567,FALSE)),0,VLOOKUP(P$1,'offpeak-new'!$A$3:$DQ$20,$D567,FALSE))</f>
        <v>0</v>
      </c>
      <c r="Q567" s="15">
        <f>IF(ISNA(VLOOKUP(Q$1,'offpeak-new'!$A$3:$DQ$20,$D567,FALSE)),0,VLOOKUP(Q$1,'offpeak-new'!$A$3:$DQ$20,$D567,FALSE))</f>
        <v>0</v>
      </c>
      <c r="R567" s="14">
        <f>IF(ISNA(VLOOKUP(R$1,'offpeak-new'!$A$3:$DQ$20,$D567,FALSE)),0,VLOOKUP(R$1,'offpeak-new'!$A$3:$DQ$20,$D567,FALSE))</f>
        <v>0</v>
      </c>
      <c r="S567" s="10"/>
    </row>
    <row r="568" spans="1:19" s="8" customFormat="1" x14ac:dyDescent="0.2">
      <c r="A568" s="8">
        <f t="shared" si="157"/>
        <v>2007</v>
      </c>
      <c r="B568" s="8">
        <f t="shared" si="158"/>
        <v>5</v>
      </c>
      <c r="C568" s="9">
        <f t="shared" si="156"/>
        <v>39203</v>
      </c>
      <c r="D568" s="8">
        <f t="shared" si="159"/>
        <v>68</v>
      </c>
      <c r="E568" s="14">
        <f>IF(ISNA(VLOOKUP(E$1,'offpeak-new'!$A$3:$DQ$20,$D568,FALSE)),0,VLOOKUP(E$1,'offpeak-new'!$A$3:$DQ$20,$D568,FALSE))</f>
        <v>8832</v>
      </c>
      <c r="F568" s="14">
        <f>IF(ISNA(VLOOKUP(F$1,'offpeak-new'!$A$3:$DQ$20,$D568,FALSE)),0,VLOOKUP(F$1,'offpeak-new'!$A$3:$DQ$20,$D568,FALSE))</f>
        <v>0</v>
      </c>
      <c r="G568" s="14">
        <f>IF(ISNA(VLOOKUP(G$1,'offpeak-new'!$A$3:$DQ$20,$D568,FALSE)),0,VLOOKUP(G$1,'offpeak-new'!$A$3:$DQ$20,$D568,FALSE))</f>
        <v>0</v>
      </c>
      <c r="H568" s="14">
        <f>IF(ISNA(VLOOKUP(H$1,'offpeak-new'!$A$3:$DQ$20,$D568,FALSE)),0,VLOOKUP(H$1,'offpeak-new'!$A$3:$DQ$20,$D568,FALSE))</f>
        <v>-23808</v>
      </c>
      <c r="I568" s="14">
        <f>IF(ISNA(VLOOKUP(I$1,'offpeak-new'!$A$3:$DQ$20,$D568,FALSE)),0,VLOOKUP(I$1,'offpeak-new'!$A$3:$DQ$20,$D568,FALSE))</f>
        <v>0</v>
      </c>
      <c r="J568" s="14">
        <f>IF(ISNA(VLOOKUP(J$1,'offpeak-new'!$A$3:$DQ$20,$D568,FALSE)),0,VLOOKUP(J$1,'offpeak-new'!$A$3:$DQ$20,$D568,FALSE))</f>
        <v>0</v>
      </c>
      <c r="K568" s="14">
        <f>IF(ISNA(VLOOKUP(K$1,'offpeak-new'!$A$3:$DQ$20,$D568,FALSE)),0,VLOOKUP(K$1,'offpeak-new'!$A$3:$DQ$20,$D568,FALSE))</f>
        <v>0</v>
      </c>
      <c r="L568" s="14">
        <f>IF(ISNA(VLOOKUP(L$1,'offpeak-new'!$A$3:$DQ$20,$D568,FALSE)),0,VLOOKUP(L$1,'offpeak-new'!$A$3:$DQ$20,$D568,FALSE))</f>
        <v>0</v>
      </c>
      <c r="M568" s="14">
        <f>IF(ISNA(VLOOKUP(M$1,'offpeak-new'!$A$3:$DQ$20,$D568,FALSE)),0,VLOOKUP(M$1,'offpeak-new'!$A$3:$DQ$20,$D568,FALSE))</f>
        <v>0</v>
      </c>
      <c r="N568" s="14">
        <f>IF(ISNA(VLOOKUP(N$1,'offpeak-new'!$A$3:$DQ$20,$D568,FALSE)),0,VLOOKUP(N$1,'offpeak-new'!$A$3:$DQ$20,$D568,FALSE))</f>
        <v>0</v>
      </c>
      <c r="O568" s="14">
        <f>IF(ISNA(VLOOKUP(O$1,'offpeak-new'!$A$3:$DQ$20,$D568,FALSE)),0,VLOOKUP(O$1,'offpeak-new'!$A$3:$DQ$20,$D568,FALSE))</f>
        <v>0</v>
      </c>
      <c r="P568" s="14">
        <f>IF(ISNA(VLOOKUP(P$1,'offpeak-new'!$A$3:$DQ$20,$D568,FALSE)),0,VLOOKUP(P$1,'offpeak-new'!$A$3:$DQ$20,$D568,FALSE))</f>
        <v>0</v>
      </c>
      <c r="Q568" s="15">
        <f>IF(ISNA(VLOOKUP(Q$1,'offpeak-new'!$A$3:$DQ$20,$D568,FALSE)),0,VLOOKUP(Q$1,'offpeak-new'!$A$3:$DQ$20,$D568,FALSE))</f>
        <v>0</v>
      </c>
      <c r="R568" s="14">
        <f>IF(ISNA(VLOOKUP(R$1,'offpeak-new'!$A$3:$DQ$20,$D568,FALSE)),0,VLOOKUP(R$1,'offpeak-new'!$A$3:$DQ$20,$D568,FALSE))</f>
        <v>0</v>
      </c>
      <c r="S568" s="10"/>
    </row>
    <row r="569" spans="1:19" s="8" customFormat="1" x14ac:dyDescent="0.2">
      <c r="A569" s="8">
        <f t="shared" si="157"/>
        <v>2007</v>
      </c>
      <c r="B569" s="8">
        <f t="shared" si="158"/>
        <v>6</v>
      </c>
      <c r="C569" s="9">
        <f t="shared" si="156"/>
        <v>39234</v>
      </c>
      <c r="D569" s="8">
        <f t="shared" si="159"/>
        <v>69</v>
      </c>
      <c r="E569" s="14">
        <f>IF(ISNA(VLOOKUP(E$1,'offpeak-new'!$A$3:$DQ$20,$D569,FALSE)),0,VLOOKUP(E$1,'offpeak-new'!$A$3:$DQ$20,$D569,FALSE))</f>
        <v>9384</v>
      </c>
      <c r="F569" s="14">
        <f>IF(ISNA(VLOOKUP(F$1,'offpeak-new'!$A$3:$DQ$20,$D569,FALSE)),0,VLOOKUP(F$1,'offpeak-new'!$A$3:$DQ$20,$D569,FALSE))</f>
        <v>0</v>
      </c>
      <c r="G569" s="14">
        <f>IF(ISNA(VLOOKUP(G$1,'offpeak-new'!$A$3:$DQ$20,$D569,FALSE)),0,VLOOKUP(G$1,'offpeak-new'!$A$3:$DQ$20,$D569,FALSE))</f>
        <v>0</v>
      </c>
      <c r="H569" s="14">
        <f>IF(ISNA(VLOOKUP(H$1,'offpeak-new'!$A$3:$DQ$20,$D569,FALSE)),0,VLOOKUP(H$1,'offpeak-new'!$A$3:$DQ$20,$D569,FALSE))</f>
        <v>-24072</v>
      </c>
      <c r="I569" s="14">
        <f>IF(ISNA(VLOOKUP(I$1,'offpeak-new'!$A$3:$DQ$20,$D569,FALSE)),0,VLOOKUP(I$1,'offpeak-new'!$A$3:$DQ$20,$D569,FALSE))</f>
        <v>0</v>
      </c>
      <c r="J569" s="14">
        <f>IF(ISNA(VLOOKUP(J$1,'offpeak-new'!$A$3:$DQ$20,$D569,FALSE)),0,VLOOKUP(J$1,'offpeak-new'!$A$3:$DQ$20,$D569,FALSE))</f>
        <v>0</v>
      </c>
      <c r="K569" s="14">
        <f>IF(ISNA(VLOOKUP(K$1,'offpeak-new'!$A$3:$DQ$20,$D569,FALSE)),0,VLOOKUP(K$1,'offpeak-new'!$A$3:$DQ$20,$D569,FALSE))</f>
        <v>0</v>
      </c>
      <c r="L569" s="14">
        <f>IF(ISNA(VLOOKUP(L$1,'offpeak-new'!$A$3:$DQ$20,$D569,FALSE)),0,VLOOKUP(L$1,'offpeak-new'!$A$3:$DQ$20,$D569,FALSE))</f>
        <v>0</v>
      </c>
      <c r="M569" s="14">
        <f>IF(ISNA(VLOOKUP(M$1,'offpeak-new'!$A$3:$DQ$20,$D569,FALSE)),0,VLOOKUP(M$1,'offpeak-new'!$A$3:$DQ$20,$D569,FALSE))</f>
        <v>0</v>
      </c>
      <c r="N569" s="14">
        <f>IF(ISNA(VLOOKUP(N$1,'offpeak-new'!$A$3:$DQ$20,$D569,FALSE)),0,VLOOKUP(N$1,'offpeak-new'!$A$3:$DQ$20,$D569,FALSE))</f>
        <v>0</v>
      </c>
      <c r="O569" s="14">
        <f>IF(ISNA(VLOOKUP(O$1,'offpeak-new'!$A$3:$DQ$20,$D569,FALSE)),0,VLOOKUP(O$1,'offpeak-new'!$A$3:$DQ$20,$D569,FALSE))</f>
        <v>0</v>
      </c>
      <c r="P569" s="14">
        <f>IF(ISNA(VLOOKUP(P$1,'offpeak-new'!$A$3:$DQ$20,$D569,FALSE)),0,VLOOKUP(P$1,'offpeak-new'!$A$3:$DQ$20,$D569,FALSE))</f>
        <v>0</v>
      </c>
      <c r="Q569" s="15">
        <f>IF(ISNA(VLOOKUP(Q$1,'offpeak-new'!$A$3:$DQ$20,$D569,FALSE)),0,VLOOKUP(Q$1,'offpeak-new'!$A$3:$DQ$20,$D569,FALSE))</f>
        <v>0</v>
      </c>
      <c r="R569" s="14">
        <f>IF(ISNA(VLOOKUP(R$1,'offpeak-new'!$A$3:$DQ$20,$D569,FALSE)),0,VLOOKUP(R$1,'offpeak-new'!$A$3:$DQ$20,$D569,FALSE))</f>
        <v>0</v>
      </c>
      <c r="S569" s="10"/>
    </row>
    <row r="570" spans="1:19" s="8" customFormat="1" x14ac:dyDescent="0.2">
      <c r="A570" s="8">
        <f t="shared" si="157"/>
        <v>2007</v>
      </c>
      <c r="B570" s="8">
        <f t="shared" si="158"/>
        <v>7</v>
      </c>
      <c r="C570" s="9">
        <f t="shared" si="156"/>
        <v>39264</v>
      </c>
      <c r="D570" s="8">
        <f t="shared" si="159"/>
        <v>70</v>
      </c>
      <c r="E570" s="14">
        <f>IF(ISNA(VLOOKUP(E$1,'offpeak-new'!$A$3:$DQ$20,$D570,FALSE)),0,VLOOKUP(E$1,'offpeak-new'!$A$3:$DQ$20,$D570,FALSE))</f>
        <v>8648</v>
      </c>
      <c r="F570" s="14">
        <f>IF(ISNA(VLOOKUP(F$1,'offpeak-new'!$A$3:$DQ$20,$D570,FALSE)),0,VLOOKUP(F$1,'offpeak-new'!$A$3:$DQ$20,$D570,FALSE))</f>
        <v>0</v>
      </c>
      <c r="G570" s="14">
        <f>IF(ISNA(VLOOKUP(G$1,'offpeak-new'!$A$3:$DQ$20,$D570,FALSE)),0,VLOOKUP(G$1,'offpeak-new'!$A$3:$DQ$20,$D570,FALSE))</f>
        <v>0</v>
      </c>
      <c r="H570" s="14">
        <f>IF(ISNA(VLOOKUP(H$1,'offpeak-new'!$A$3:$DQ$20,$D570,FALSE)),0,VLOOKUP(H$1,'offpeak-new'!$A$3:$DQ$20,$D570,FALSE))</f>
        <v>-22184</v>
      </c>
      <c r="I570" s="14">
        <f>IF(ISNA(VLOOKUP(I$1,'offpeak-new'!$A$3:$DQ$20,$D570,FALSE)),0,VLOOKUP(I$1,'offpeak-new'!$A$3:$DQ$20,$D570,FALSE))</f>
        <v>0</v>
      </c>
      <c r="J570" s="14">
        <f>IF(ISNA(VLOOKUP(J$1,'offpeak-new'!$A$3:$DQ$20,$D570,FALSE)),0,VLOOKUP(J$1,'offpeak-new'!$A$3:$DQ$20,$D570,FALSE))</f>
        <v>0</v>
      </c>
      <c r="K570" s="14">
        <f>IF(ISNA(VLOOKUP(K$1,'offpeak-new'!$A$3:$DQ$20,$D570,FALSE)),0,VLOOKUP(K$1,'offpeak-new'!$A$3:$DQ$20,$D570,FALSE))</f>
        <v>0</v>
      </c>
      <c r="L570" s="14">
        <f>IF(ISNA(VLOOKUP(L$1,'offpeak-new'!$A$3:$DQ$20,$D570,FALSE)),0,VLOOKUP(L$1,'offpeak-new'!$A$3:$DQ$20,$D570,FALSE))</f>
        <v>0</v>
      </c>
      <c r="M570" s="14">
        <f>IF(ISNA(VLOOKUP(M$1,'offpeak-new'!$A$3:$DQ$20,$D570,FALSE)),0,VLOOKUP(M$1,'offpeak-new'!$A$3:$DQ$20,$D570,FALSE))</f>
        <v>0</v>
      </c>
      <c r="N570" s="14">
        <f>IF(ISNA(VLOOKUP(N$1,'offpeak-new'!$A$3:$DQ$20,$D570,FALSE)),0,VLOOKUP(N$1,'offpeak-new'!$A$3:$DQ$20,$D570,FALSE))</f>
        <v>0</v>
      </c>
      <c r="O570" s="14">
        <f>IF(ISNA(VLOOKUP(O$1,'offpeak-new'!$A$3:$DQ$20,$D570,FALSE)),0,VLOOKUP(O$1,'offpeak-new'!$A$3:$DQ$20,$D570,FALSE))</f>
        <v>0</v>
      </c>
      <c r="P570" s="14">
        <f>IF(ISNA(VLOOKUP(P$1,'offpeak-new'!$A$3:$DQ$20,$D570,FALSE)),0,VLOOKUP(P$1,'offpeak-new'!$A$3:$DQ$20,$D570,FALSE))</f>
        <v>0</v>
      </c>
      <c r="Q570" s="15">
        <f>IF(ISNA(VLOOKUP(Q$1,'offpeak-new'!$A$3:$DQ$20,$D570,FALSE)),0,VLOOKUP(Q$1,'offpeak-new'!$A$3:$DQ$20,$D570,FALSE))</f>
        <v>0</v>
      </c>
      <c r="R570" s="14">
        <f>IF(ISNA(VLOOKUP(R$1,'offpeak-new'!$A$3:$DQ$20,$D570,FALSE)),0,VLOOKUP(R$1,'offpeak-new'!$A$3:$DQ$20,$D570,FALSE))</f>
        <v>0</v>
      </c>
      <c r="S570" s="10"/>
    </row>
    <row r="571" spans="1:19" s="8" customFormat="1" x14ac:dyDescent="0.2">
      <c r="A571" s="8">
        <f t="shared" si="157"/>
        <v>2007</v>
      </c>
      <c r="B571" s="8">
        <f t="shared" si="158"/>
        <v>8</v>
      </c>
      <c r="C571" s="9">
        <f t="shared" si="156"/>
        <v>39295</v>
      </c>
      <c r="D571" s="8">
        <f t="shared" si="159"/>
        <v>71</v>
      </c>
      <c r="E571" s="14">
        <f>IF(ISNA(VLOOKUP(E$1,'offpeak-new'!$A$3:$DQ$20,$D571,FALSE)),0,VLOOKUP(E$1,'offpeak-new'!$A$3:$DQ$20,$D571,FALSE))</f>
        <v>9568</v>
      </c>
      <c r="F571" s="14">
        <f>IF(ISNA(VLOOKUP(F$1,'offpeak-new'!$A$3:$DQ$20,$D571,FALSE)),0,VLOOKUP(F$1,'offpeak-new'!$A$3:$DQ$20,$D571,FALSE))</f>
        <v>0</v>
      </c>
      <c r="G571" s="14">
        <f>IF(ISNA(VLOOKUP(G$1,'offpeak-new'!$A$3:$DQ$20,$D571,FALSE)),0,VLOOKUP(G$1,'offpeak-new'!$A$3:$DQ$20,$D571,FALSE))</f>
        <v>0</v>
      </c>
      <c r="H571" s="14">
        <f>IF(ISNA(VLOOKUP(H$1,'offpeak-new'!$A$3:$DQ$20,$D571,FALSE)),0,VLOOKUP(H$1,'offpeak-new'!$A$3:$DQ$20,$D571,FALSE))</f>
        <v>-27040</v>
      </c>
      <c r="I571" s="14">
        <f>IF(ISNA(VLOOKUP(I$1,'offpeak-new'!$A$3:$DQ$20,$D571,FALSE)),0,VLOOKUP(I$1,'offpeak-new'!$A$3:$DQ$20,$D571,FALSE))</f>
        <v>0</v>
      </c>
      <c r="J571" s="14">
        <f>IF(ISNA(VLOOKUP(J$1,'offpeak-new'!$A$3:$DQ$20,$D571,FALSE)),0,VLOOKUP(J$1,'offpeak-new'!$A$3:$DQ$20,$D571,FALSE))</f>
        <v>0</v>
      </c>
      <c r="K571" s="14">
        <f>IF(ISNA(VLOOKUP(K$1,'offpeak-new'!$A$3:$DQ$20,$D571,FALSE)),0,VLOOKUP(K$1,'offpeak-new'!$A$3:$DQ$20,$D571,FALSE))</f>
        <v>0</v>
      </c>
      <c r="L571" s="14">
        <f>IF(ISNA(VLOOKUP(L$1,'offpeak-new'!$A$3:$DQ$20,$D571,FALSE)),0,VLOOKUP(L$1,'offpeak-new'!$A$3:$DQ$20,$D571,FALSE))</f>
        <v>0</v>
      </c>
      <c r="M571" s="14">
        <f>IF(ISNA(VLOOKUP(M$1,'offpeak-new'!$A$3:$DQ$20,$D571,FALSE)),0,VLOOKUP(M$1,'offpeak-new'!$A$3:$DQ$20,$D571,FALSE))</f>
        <v>0</v>
      </c>
      <c r="N571" s="14">
        <f>IF(ISNA(VLOOKUP(N$1,'offpeak-new'!$A$3:$DQ$20,$D571,FALSE)),0,VLOOKUP(N$1,'offpeak-new'!$A$3:$DQ$20,$D571,FALSE))</f>
        <v>0</v>
      </c>
      <c r="O571" s="14">
        <f>IF(ISNA(VLOOKUP(O$1,'offpeak-new'!$A$3:$DQ$20,$D571,FALSE)),0,VLOOKUP(O$1,'offpeak-new'!$A$3:$DQ$20,$D571,FALSE))</f>
        <v>0</v>
      </c>
      <c r="P571" s="14">
        <f>IF(ISNA(VLOOKUP(P$1,'offpeak-new'!$A$3:$DQ$20,$D571,FALSE)),0,VLOOKUP(P$1,'offpeak-new'!$A$3:$DQ$20,$D571,FALSE))</f>
        <v>0</v>
      </c>
      <c r="Q571" s="15">
        <f>IF(ISNA(VLOOKUP(Q$1,'offpeak-new'!$A$3:$DQ$20,$D571,FALSE)),0,VLOOKUP(Q$1,'offpeak-new'!$A$3:$DQ$20,$D571,FALSE))</f>
        <v>0</v>
      </c>
      <c r="R571" s="14">
        <f>IF(ISNA(VLOOKUP(R$1,'offpeak-new'!$A$3:$DQ$20,$D571,FALSE)),0,VLOOKUP(R$1,'offpeak-new'!$A$3:$DQ$20,$D571,FALSE))</f>
        <v>0</v>
      </c>
      <c r="S571" s="10"/>
    </row>
    <row r="572" spans="1:19" s="8" customFormat="1" x14ac:dyDescent="0.2">
      <c r="A572" s="8">
        <f t="shared" si="157"/>
        <v>2007</v>
      </c>
      <c r="B572" s="8">
        <f t="shared" si="158"/>
        <v>9</v>
      </c>
      <c r="C572" s="9">
        <f t="shared" si="156"/>
        <v>39326</v>
      </c>
      <c r="D572" s="8">
        <f t="shared" si="159"/>
        <v>72</v>
      </c>
      <c r="E572" s="14">
        <f>IF(ISNA(VLOOKUP(E$1,'offpeak-new'!$A$3:$DQ$20,$D572,FALSE)),0,VLOOKUP(E$1,'offpeak-new'!$A$3:$DQ$20,$D572,FALSE))</f>
        <v>8671</v>
      </c>
      <c r="F572" s="14">
        <f>IF(ISNA(VLOOKUP(F$1,'offpeak-new'!$A$3:$DQ$20,$D572,FALSE)),0,VLOOKUP(F$1,'offpeak-new'!$A$3:$DQ$20,$D572,FALSE))</f>
        <v>0</v>
      </c>
      <c r="G572" s="14">
        <f>IF(ISNA(VLOOKUP(G$1,'offpeak-new'!$A$3:$DQ$20,$D572,FALSE)),0,VLOOKUP(G$1,'offpeak-new'!$A$3:$DQ$20,$D572,FALSE))</f>
        <v>0</v>
      </c>
      <c r="H572" s="14">
        <f>IF(ISNA(VLOOKUP(H$1,'offpeak-new'!$A$3:$DQ$20,$D572,FALSE)),0,VLOOKUP(H$1,'offpeak-new'!$A$3:$DQ$20,$D572,FALSE))</f>
        <v>-24866</v>
      </c>
      <c r="I572" s="14">
        <f>IF(ISNA(VLOOKUP(I$1,'offpeak-new'!$A$3:$DQ$20,$D572,FALSE)),0,VLOOKUP(I$1,'offpeak-new'!$A$3:$DQ$20,$D572,FALSE))</f>
        <v>0</v>
      </c>
      <c r="J572" s="14">
        <f>IF(ISNA(VLOOKUP(J$1,'offpeak-new'!$A$3:$DQ$20,$D572,FALSE)),0,VLOOKUP(J$1,'offpeak-new'!$A$3:$DQ$20,$D572,FALSE))</f>
        <v>0</v>
      </c>
      <c r="K572" s="14">
        <f>IF(ISNA(VLOOKUP(K$1,'offpeak-new'!$A$3:$DQ$20,$D572,FALSE)),0,VLOOKUP(K$1,'offpeak-new'!$A$3:$DQ$20,$D572,FALSE))</f>
        <v>0</v>
      </c>
      <c r="L572" s="14">
        <f>IF(ISNA(VLOOKUP(L$1,'offpeak-new'!$A$3:$DQ$20,$D572,FALSE)),0,VLOOKUP(L$1,'offpeak-new'!$A$3:$DQ$20,$D572,FALSE))</f>
        <v>0</v>
      </c>
      <c r="M572" s="14">
        <f>IF(ISNA(VLOOKUP(M$1,'offpeak-new'!$A$3:$DQ$20,$D572,FALSE)),0,VLOOKUP(M$1,'offpeak-new'!$A$3:$DQ$20,$D572,FALSE))</f>
        <v>0</v>
      </c>
      <c r="N572" s="14">
        <f>IF(ISNA(VLOOKUP(N$1,'offpeak-new'!$A$3:$DQ$20,$D572,FALSE)),0,VLOOKUP(N$1,'offpeak-new'!$A$3:$DQ$20,$D572,FALSE))</f>
        <v>0</v>
      </c>
      <c r="O572" s="14">
        <f>IF(ISNA(VLOOKUP(O$1,'offpeak-new'!$A$3:$DQ$20,$D572,FALSE)),0,VLOOKUP(O$1,'offpeak-new'!$A$3:$DQ$20,$D572,FALSE))</f>
        <v>0</v>
      </c>
      <c r="P572" s="14">
        <f>IF(ISNA(VLOOKUP(P$1,'offpeak-new'!$A$3:$DQ$20,$D572,FALSE)),0,VLOOKUP(P$1,'offpeak-new'!$A$3:$DQ$20,$D572,FALSE))</f>
        <v>0</v>
      </c>
      <c r="Q572" s="15">
        <f>IF(ISNA(VLOOKUP(Q$1,'offpeak-new'!$A$3:$DQ$20,$D572,FALSE)),0,VLOOKUP(Q$1,'offpeak-new'!$A$3:$DQ$20,$D572,FALSE))</f>
        <v>0</v>
      </c>
      <c r="R572" s="14">
        <f>IF(ISNA(VLOOKUP(R$1,'offpeak-new'!$A$3:$DQ$20,$D572,FALSE)),0,VLOOKUP(R$1,'offpeak-new'!$A$3:$DQ$20,$D572,FALSE))</f>
        <v>0</v>
      </c>
      <c r="S572" s="10"/>
    </row>
    <row r="573" spans="1:19" s="8" customFormat="1" x14ac:dyDescent="0.2">
      <c r="A573" s="8">
        <f t="shared" si="157"/>
        <v>2007</v>
      </c>
      <c r="B573" s="8">
        <f t="shared" si="158"/>
        <v>10</v>
      </c>
      <c r="C573" s="9">
        <f t="shared" si="156"/>
        <v>39356</v>
      </c>
      <c r="D573" s="8">
        <f t="shared" si="159"/>
        <v>73</v>
      </c>
      <c r="E573" s="14">
        <f>IF(ISNA(VLOOKUP(E$1,'offpeak-new'!$A$3:$DQ$20,$D573,FALSE)),0,VLOOKUP(E$1,'offpeak-new'!$A$3:$DQ$20,$D573,FALSE))</f>
        <v>8832</v>
      </c>
      <c r="F573" s="14">
        <f>IF(ISNA(VLOOKUP(F$1,'offpeak-new'!$A$3:$DQ$20,$D573,FALSE)),0,VLOOKUP(F$1,'offpeak-new'!$A$3:$DQ$20,$D573,FALSE))</f>
        <v>0</v>
      </c>
      <c r="G573" s="14">
        <f>IF(ISNA(VLOOKUP(G$1,'offpeak-new'!$A$3:$DQ$20,$D573,FALSE)),0,VLOOKUP(G$1,'offpeak-new'!$A$3:$DQ$20,$D573,FALSE))</f>
        <v>0</v>
      </c>
      <c r="H573" s="14">
        <f>IF(ISNA(VLOOKUP(H$1,'offpeak-new'!$A$3:$DQ$20,$D573,FALSE)),0,VLOOKUP(H$1,'offpeak-new'!$A$3:$DQ$20,$D573,FALSE))</f>
        <v>-28416</v>
      </c>
      <c r="I573" s="14">
        <f>IF(ISNA(VLOOKUP(I$1,'offpeak-new'!$A$3:$DQ$20,$D573,FALSE)),0,VLOOKUP(I$1,'offpeak-new'!$A$3:$DQ$20,$D573,FALSE))</f>
        <v>0</v>
      </c>
      <c r="J573" s="14">
        <f>IF(ISNA(VLOOKUP(J$1,'offpeak-new'!$A$3:$DQ$20,$D573,FALSE)),0,VLOOKUP(J$1,'offpeak-new'!$A$3:$DQ$20,$D573,FALSE))</f>
        <v>0</v>
      </c>
      <c r="K573" s="14">
        <f>IF(ISNA(VLOOKUP(K$1,'offpeak-new'!$A$3:$DQ$20,$D573,FALSE)),0,VLOOKUP(K$1,'offpeak-new'!$A$3:$DQ$20,$D573,FALSE))</f>
        <v>0</v>
      </c>
      <c r="L573" s="14">
        <f>IF(ISNA(VLOOKUP(L$1,'offpeak-new'!$A$3:$DQ$20,$D573,FALSE)),0,VLOOKUP(L$1,'offpeak-new'!$A$3:$DQ$20,$D573,FALSE))</f>
        <v>0</v>
      </c>
      <c r="M573" s="14">
        <f>IF(ISNA(VLOOKUP(M$1,'offpeak-new'!$A$3:$DQ$20,$D573,FALSE)),0,VLOOKUP(M$1,'offpeak-new'!$A$3:$DQ$20,$D573,FALSE))</f>
        <v>0</v>
      </c>
      <c r="N573" s="14">
        <f>IF(ISNA(VLOOKUP(N$1,'offpeak-new'!$A$3:$DQ$20,$D573,FALSE)),0,VLOOKUP(N$1,'offpeak-new'!$A$3:$DQ$20,$D573,FALSE))</f>
        <v>0</v>
      </c>
      <c r="O573" s="14">
        <f>IF(ISNA(VLOOKUP(O$1,'offpeak-new'!$A$3:$DQ$20,$D573,FALSE)),0,VLOOKUP(O$1,'offpeak-new'!$A$3:$DQ$20,$D573,FALSE))</f>
        <v>0</v>
      </c>
      <c r="P573" s="14">
        <f>IF(ISNA(VLOOKUP(P$1,'offpeak-new'!$A$3:$DQ$20,$D573,FALSE)),0,VLOOKUP(P$1,'offpeak-new'!$A$3:$DQ$20,$D573,FALSE))</f>
        <v>0</v>
      </c>
      <c r="Q573" s="15">
        <f>IF(ISNA(VLOOKUP(Q$1,'offpeak-new'!$A$3:$DQ$20,$D573,FALSE)),0,VLOOKUP(Q$1,'offpeak-new'!$A$3:$DQ$20,$D573,FALSE))</f>
        <v>0</v>
      </c>
      <c r="R573" s="14">
        <f>IF(ISNA(VLOOKUP(R$1,'offpeak-new'!$A$3:$DQ$20,$D573,FALSE)),0,VLOOKUP(R$1,'offpeak-new'!$A$3:$DQ$20,$D573,FALSE))</f>
        <v>0</v>
      </c>
      <c r="S573" s="10"/>
    </row>
    <row r="574" spans="1:19" s="8" customFormat="1" x14ac:dyDescent="0.2">
      <c r="A574" s="8">
        <f t="shared" si="157"/>
        <v>2007</v>
      </c>
      <c r="B574" s="8">
        <f t="shared" si="158"/>
        <v>11</v>
      </c>
      <c r="C574" s="9">
        <f t="shared" si="156"/>
        <v>39387</v>
      </c>
      <c r="D574" s="8">
        <f t="shared" si="159"/>
        <v>74</v>
      </c>
      <c r="E574" s="14">
        <f>IF(ISNA(VLOOKUP(E$1,'offpeak-new'!$A$3:$DQ$20,$D574,FALSE)),0,VLOOKUP(E$1,'offpeak-new'!$A$3:$DQ$20,$D574,FALSE))</f>
        <v>9752</v>
      </c>
      <c r="F574" s="14">
        <f>IF(ISNA(VLOOKUP(F$1,'offpeak-new'!$A$3:$DQ$20,$D574,FALSE)),0,VLOOKUP(F$1,'offpeak-new'!$A$3:$DQ$20,$D574,FALSE))</f>
        <v>0</v>
      </c>
      <c r="G574" s="14">
        <f>IF(ISNA(VLOOKUP(G$1,'offpeak-new'!$A$3:$DQ$20,$D574,FALSE)),0,VLOOKUP(G$1,'offpeak-new'!$A$3:$DQ$20,$D574,FALSE))</f>
        <v>0</v>
      </c>
      <c r="H574" s="14">
        <f>IF(ISNA(VLOOKUP(H$1,'offpeak-new'!$A$3:$DQ$20,$D574,FALSE)),0,VLOOKUP(H$1,'offpeak-new'!$A$3:$DQ$20,$D574,FALSE))</f>
        <v>-30952</v>
      </c>
      <c r="I574" s="14">
        <f>IF(ISNA(VLOOKUP(I$1,'offpeak-new'!$A$3:$DQ$20,$D574,FALSE)),0,VLOOKUP(I$1,'offpeak-new'!$A$3:$DQ$20,$D574,FALSE))</f>
        <v>0</v>
      </c>
      <c r="J574" s="14">
        <f>IF(ISNA(VLOOKUP(J$1,'offpeak-new'!$A$3:$DQ$20,$D574,FALSE)),0,VLOOKUP(J$1,'offpeak-new'!$A$3:$DQ$20,$D574,FALSE))</f>
        <v>0</v>
      </c>
      <c r="K574" s="14">
        <f>IF(ISNA(VLOOKUP(K$1,'offpeak-new'!$A$3:$DQ$20,$D574,FALSE)),0,VLOOKUP(K$1,'offpeak-new'!$A$3:$DQ$20,$D574,FALSE))</f>
        <v>0</v>
      </c>
      <c r="L574" s="14">
        <f>IF(ISNA(VLOOKUP(L$1,'offpeak-new'!$A$3:$DQ$20,$D574,FALSE)),0,VLOOKUP(L$1,'offpeak-new'!$A$3:$DQ$20,$D574,FALSE))</f>
        <v>0</v>
      </c>
      <c r="M574" s="14">
        <f>IF(ISNA(VLOOKUP(M$1,'offpeak-new'!$A$3:$DQ$20,$D574,FALSE)),0,VLOOKUP(M$1,'offpeak-new'!$A$3:$DQ$20,$D574,FALSE))</f>
        <v>0</v>
      </c>
      <c r="N574" s="14">
        <f>IF(ISNA(VLOOKUP(N$1,'offpeak-new'!$A$3:$DQ$20,$D574,FALSE)),0,VLOOKUP(N$1,'offpeak-new'!$A$3:$DQ$20,$D574,FALSE))</f>
        <v>0</v>
      </c>
      <c r="O574" s="14">
        <f>IF(ISNA(VLOOKUP(O$1,'offpeak-new'!$A$3:$DQ$20,$D574,FALSE)),0,VLOOKUP(O$1,'offpeak-new'!$A$3:$DQ$20,$D574,FALSE))</f>
        <v>0</v>
      </c>
      <c r="P574" s="14">
        <f>IF(ISNA(VLOOKUP(P$1,'offpeak-new'!$A$3:$DQ$20,$D574,FALSE)),0,VLOOKUP(P$1,'offpeak-new'!$A$3:$DQ$20,$D574,FALSE))</f>
        <v>0</v>
      </c>
      <c r="Q574" s="15">
        <f>IF(ISNA(VLOOKUP(Q$1,'offpeak-new'!$A$3:$DQ$20,$D574,FALSE)),0,VLOOKUP(Q$1,'offpeak-new'!$A$3:$DQ$20,$D574,FALSE))</f>
        <v>0</v>
      </c>
      <c r="R574" s="14">
        <f>IF(ISNA(VLOOKUP(R$1,'offpeak-new'!$A$3:$DQ$20,$D574,FALSE)),0,VLOOKUP(R$1,'offpeak-new'!$A$3:$DQ$20,$D574,FALSE))</f>
        <v>0</v>
      </c>
      <c r="S574" s="10"/>
    </row>
    <row r="575" spans="1:19" s="8" customFormat="1" x14ac:dyDescent="0.2">
      <c r="A575" s="8">
        <f t="shared" si="157"/>
        <v>2007</v>
      </c>
      <c r="B575" s="8">
        <f t="shared" si="158"/>
        <v>12</v>
      </c>
      <c r="C575" s="9">
        <f t="shared" si="156"/>
        <v>39417</v>
      </c>
      <c r="D575" s="8">
        <f t="shared" si="159"/>
        <v>75</v>
      </c>
      <c r="E575" s="14">
        <f>IF(ISNA(VLOOKUP(E$1,'offpeak-new'!$A$3:$DQ$20,$D575,FALSE)),0,VLOOKUP(E$1,'offpeak-new'!$A$3:$DQ$20,$D575,FALSE))</f>
        <v>-10584</v>
      </c>
      <c r="F575" s="14">
        <f>IF(ISNA(VLOOKUP(F$1,'offpeak-new'!$A$3:$DQ$20,$D575,FALSE)),0,VLOOKUP(F$1,'offpeak-new'!$A$3:$DQ$20,$D575,FALSE))</f>
        <v>0</v>
      </c>
      <c r="G575" s="14">
        <f>IF(ISNA(VLOOKUP(G$1,'offpeak-new'!$A$3:$DQ$20,$D575,FALSE)),0,VLOOKUP(G$1,'offpeak-new'!$A$3:$DQ$20,$D575,FALSE))</f>
        <v>0</v>
      </c>
      <c r="H575" s="14">
        <f>IF(ISNA(VLOOKUP(H$1,'offpeak-new'!$A$3:$DQ$20,$D575,FALSE)),0,VLOOKUP(H$1,'offpeak-new'!$A$3:$DQ$20,$D575,FALSE))</f>
        <v>-29400</v>
      </c>
      <c r="I575" s="14">
        <f>IF(ISNA(VLOOKUP(I$1,'offpeak-new'!$A$3:$DQ$20,$D575,FALSE)),0,VLOOKUP(I$1,'offpeak-new'!$A$3:$DQ$20,$D575,FALSE))</f>
        <v>-19600</v>
      </c>
      <c r="J575" s="14">
        <f>IF(ISNA(VLOOKUP(J$1,'offpeak-new'!$A$3:$DQ$20,$D575,FALSE)),0,VLOOKUP(J$1,'offpeak-new'!$A$3:$DQ$20,$D575,FALSE))</f>
        <v>0</v>
      </c>
      <c r="K575" s="14">
        <f>IF(ISNA(VLOOKUP(K$1,'offpeak-new'!$A$3:$DQ$20,$D575,FALSE)),0,VLOOKUP(K$1,'offpeak-new'!$A$3:$DQ$20,$D575,FALSE))</f>
        <v>0</v>
      </c>
      <c r="L575" s="14">
        <f>IF(ISNA(VLOOKUP(L$1,'offpeak-new'!$A$3:$DQ$20,$D575,FALSE)),0,VLOOKUP(L$1,'offpeak-new'!$A$3:$DQ$20,$D575,FALSE))</f>
        <v>0</v>
      </c>
      <c r="M575" s="14">
        <f>IF(ISNA(VLOOKUP(M$1,'offpeak-new'!$A$3:$DQ$20,$D575,FALSE)),0,VLOOKUP(M$1,'offpeak-new'!$A$3:$DQ$20,$D575,FALSE))</f>
        <v>0</v>
      </c>
      <c r="N575" s="14">
        <f>IF(ISNA(VLOOKUP(N$1,'offpeak-new'!$A$3:$DQ$20,$D575,FALSE)),0,VLOOKUP(N$1,'offpeak-new'!$A$3:$DQ$20,$D575,FALSE))</f>
        <v>0</v>
      </c>
      <c r="O575" s="14">
        <f>IF(ISNA(VLOOKUP(O$1,'offpeak-new'!$A$3:$DQ$20,$D575,FALSE)),0,VLOOKUP(O$1,'offpeak-new'!$A$3:$DQ$20,$D575,FALSE))</f>
        <v>0</v>
      </c>
      <c r="P575" s="14">
        <f>IF(ISNA(VLOOKUP(P$1,'offpeak-new'!$A$3:$DQ$20,$D575,FALSE)),0,VLOOKUP(P$1,'offpeak-new'!$A$3:$DQ$20,$D575,FALSE))</f>
        <v>0</v>
      </c>
      <c r="Q575" s="15">
        <f>IF(ISNA(VLOOKUP(Q$1,'offpeak-new'!$A$3:$DQ$20,$D575,FALSE)),0,VLOOKUP(Q$1,'offpeak-new'!$A$3:$DQ$20,$D575,FALSE))</f>
        <v>0</v>
      </c>
      <c r="R575" s="14">
        <f>IF(ISNA(VLOOKUP(R$1,'offpeak-new'!$A$3:$DQ$20,$D575,FALSE)),0,VLOOKUP(R$1,'offpeak-new'!$A$3:$DQ$20,$D575,FALSE))</f>
        <v>0</v>
      </c>
      <c r="S575" s="10"/>
    </row>
    <row r="576" spans="1:19" s="8" customFormat="1" x14ac:dyDescent="0.2">
      <c r="A576" s="8">
        <f t="shared" si="157"/>
        <v>2008</v>
      </c>
      <c r="B576" s="8">
        <f t="shared" si="158"/>
        <v>1</v>
      </c>
      <c r="C576" s="9">
        <f t="shared" si="156"/>
        <v>39448</v>
      </c>
      <c r="D576" s="8">
        <f t="shared" si="159"/>
        <v>76</v>
      </c>
      <c r="E576" s="14">
        <f>IF(ISNA(VLOOKUP(E$1,'offpeak-new'!$A$3:$DQ$20,$D576,FALSE)),0,VLOOKUP(E$1,'offpeak-new'!$A$3:$DQ$20,$D576,FALSE))</f>
        <v>-9720</v>
      </c>
      <c r="F576" s="14">
        <f>IF(ISNA(VLOOKUP(F$1,'offpeak-new'!$A$3:$DQ$20,$D576,FALSE)),0,VLOOKUP(F$1,'offpeak-new'!$A$3:$DQ$20,$D576,FALSE))</f>
        <v>0</v>
      </c>
      <c r="G576" s="14">
        <f>IF(ISNA(VLOOKUP(G$1,'offpeak-new'!$A$3:$DQ$20,$D576,FALSE)),0,VLOOKUP(G$1,'offpeak-new'!$A$3:$DQ$20,$D576,FALSE))</f>
        <v>0</v>
      </c>
      <c r="H576" s="14">
        <f>IF(ISNA(VLOOKUP(H$1,'offpeak-new'!$A$3:$DQ$20,$D576,FALSE)),0,VLOOKUP(H$1,'offpeak-new'!$A$3:$DQ$20,$D576,FALSE))</f>
        <v>-26280</v>
      </c>
      <c r="I576" s="14">
        <f>IF(ISNA(VLOOKUP(I$1,'offpeak-new'!$A$3:$DQ$20,$D576,FALSE)),0,VLOOKUP(I$1,'offpeak-new'!$A$3:$DQ$20,$D576,FALSE))</f>
        <v>-18000</v>
      </c>
      <c r="J576" s="14">
        <f>IF(ISNA(VLOOKUP(J$1,'offpeak-new'!$A$3:$DQ$20,$D576,FALSE)),0,VLOOKUP(J$1,'offpeak-new'!$A$3:$DQ$20,$D576,FALSE))</f>
        <v>0</v>
      </c>
      <c r="K576" s="14">
        <f>IF(ISNA(VLOOKUP(K$1,'offpeak-new'!$A$3:$DQ$20,$D576,FALSE)),0,VLOOKUP(K$1,'offpeak-new'!$A$3:$DQ$20,$D576,FALSE))</f>
        <v>0</v>
      </c>
      <c r="L576" s="14">
        <f>IF(ISNA(VLOOKUP(L$1,'offpeak-new'!$A$3:$DQ$20,$D576,FALSE)),0,VLOOKUP(L$1,'offpeak-new'!$A$3:$DQ$20,$D576,FALSE))</f>
        <v>0</v>
      </c>
      <c r="M576" s="14">
        <f>IF(ISNA(VLOOKUP(M$1,'offpeak-new'!$A$3:$DQ$20,$D576,FALSE)),0,VLOOKUP(M$1,'offpeak-new'!$A$3:$DQ$20,$D576,FALSE))</f>
        <v>0</v>
      </c>
      <c r="N576" s="14">
        <f>IF(ISNA(VLOOKUP(N$1,'offpeak-new'!$A$3:$DQ$20,$D576,FALSE)),0,VLOOKUP(N$1,'offpeak-new'!$A$3:$DQ$20,$D576,FALSE))</f>
        <v>0</v>
      </c>
      <c r="O576" s="14">
        <f>IF(ISNA(VLOOKUP(O$1,'offpeak-new'!$A$3:$DQ$20,$D576,FALSE)),0,VLOOKUP(O$1,'offpeak-new'!$A$3:$DQ$20,$D576,FALSE))</f>
        <v>0</v>
      </c>
      <c r="P576" s="14">
        <f>IF(ISNA(VLOOKUP(P$1,'offpeak-new'!$A$3:$DQ$20,$D576,FALSE)),0,VLOOKUP(P$1,'offpeak-new'!$A$3:$DQ$20,$D576,FALSE))</f>
        <v>0</v>
      </c>
      <c r="Q576" s="15">
        <f>IF(ISNA(VLOOKUP(Q$1,'offpeak-new'!$A$3:$DQ$20,$D576,FALSE)),0,VLOOKUP(Q$1,'offpeak-new'!$A$3:$DQ$20,$D576,FALSE))</f>
        <v>0</v>
      </c>
      <c r="R576" s="14">
        <f>IF(ISNA(VLOOKUP(R$1,'offpeak-new'!$A$3:$DQ$20,$D576,FALSE)),0,VLOOKUP(R$1,'offpeak-new'!$A$3:$DQ$20,$D576,FALSE))</f>
        <v>0</v>
      </c>
      <c r="S576" s="10"/>
    </row>
    <row r="577" spans="1:19" s="8" customFormat="1" x14ac:dyDescent="0.2">
      <c r="A577" s="8">
        <f t="shared" si="157"/>
        <v>2008</v>
      </c>
      <c r="B577" s="8">
        <f t="shared" si="158"/>
        <v>2</v>
      </c>
      <c r="C577" s="9">
        <f t="shared" si="156"/>
        <v>39479</v>
      </c>
      <c r="D577" s="8">
        <f t="shared" si="159"/>
        <v>77</v>
      </c>
      <c r="E577" s="14">
        <f>IF(ISNA(VLOOKUP(E$1,'offpeak-new'!$A$3:$DQ$20,$D577,FALSE)),0,VLOOKUP(E$1,'offpeak-new'!$A$3:$DQ$20,$D577,FALSE))</f>
        <v>-11016</v>
      </c>
      <c r="F577" s="14">
        <f>IF(ISNA(VLOOKUP(F$1,'offpeak-new'!$A$3:$DQ$20,$D577,FALSE)),0,VLOOKUP(F$1,'offpeak-new'!$A$3:$DQ$20,$D577,FALSE))</f>
        <v>0</v>
      </c>
      <c r="G577" s="14">
        <f>IF(ISNA(VLOOKUP(G$1,'offpeak-new'!$A$3:$DQ$20,$D577,FALSE)),0,VLOOKUP(G$1,'offpeak-new'!$A$3:$DQ$20,$D577,FALSE))</f>
        <v>0</v>
      </c>
      <c r="H577" s="14">
        <f>IF(ISNA(VLOOKUP(H$1,'offpeak-new'!$A$3:$DQ$20,$D577,FALSE)),0,VLOOKUP(H$1,'offpeak-new'!$A$3:$DQ$20,$D577,FALSE))</f>
        <v>-30600</v>
      </c>
      <c r="I577" s="14">
        <f>IF(ISNA(VLOOKUP(I$1,'offpeak-new'!$A$3:$DQ$20,$D577,FALSE)),0,VLOOKUP(I$1,'offpeak-new'!$A$3:$DQ$20,$D577,FALSE))</f>
        <v>-20400</v>
      </c>
      <c r="J577" s="14">
        <f>IF(ISNA(VLOOKUP(J$1,'offpeak-new'!$A$3:$DQ$20,$D577,FALSE)),0,VLOOKUP(J$1,'offpeak-new'!$A$3:$DQ$20,$D577,FALSE))</f>
        <v>0</v>
      </c>
      <c r="K577" s="14">
        <f>IF(ISNA(VLOOKUP(K$1,'offpeak-new'!$A$3:$DQ$20,$D577,FALSE)),0,VLOOKUP(K$1,'offpeak-new'!$A$3:$DQ$20,$D577,FALSE))</f>
        <v>0</v>
      </c>
      <c r="L577" s="14">
        <f>IF(ISNA(VLOOKUP(L$1,'offpeak-new'!$A$3:$DQ$20,$D577,FALSE)),0,VLOOKUP(L$1,'offpeak-new'!$A$3:$DQ$20,$D577,FALSE))</f>
        <v>0</v>
      </c>
      <c r="M577" s="14">
        <f>IF(ISNA(VLOOKUP(M$1,'offpeak-new'!$A$3:$DQ$20,$D577,FALSE)),0,VLOOKUP(M$1,'offpeak-new'!$A$3:$DQ$20,$D577,FALSE))</f>
        <v>0</v>
      </c>
      <c r="N577" s="14">
        <f>IF(ISNA(VLOOKUP(N$1,'offpeak-new'!$A$3:$DQ$20,$D577,FALSE)),0,VLOOKUP(N$1,'offpeak-new'!$A$3:$DQ$20,$D577,FALSE))</f>
        <v>0</v>
      </c>
      <c r="O577" s="14">
        <f>IF(ISNA(VLOOKUP(O$1,'offpeak-new'!$A$3:$DQ$20,$D577,FALSE)),0,VLOOKUP(O$1,'offpeak-new'!$A$3:$DQ$20,$D577,FALSE))</f>
        <v>0</v>
      </c>
      <c r="P577" s="14">
        <f>IF(ISNA(VLOOKUP(P$1,'offpeak-new'!$A$3:$DQ$20,$D577,FALSE)),0,VLOOKUP(P$1,'offpeak-new'!$A$3:$DQ$20,$D577,FALSE))</f>
        <v>0</v>
      </c>
      <c r="Q577" s="15">
        <f>IF(ISNA(VLOOKUP(Q$1,'offpeak-new'!$A$3:$DQ$20,$D577,FALSE)),0,VLOOKUP(Q$1,'offpeak-new'!$A$3:$DQ$20,$D577,FALSE))</f>
        <v>0</v>
      </c>
      <c r="R577" s="14">
        <f>IF(ISNA(VLOOKUP(R$1,'offpeak-new'!$A$3:$DQ$20,$D577,FALSE)),0,VLOOKUP(R$1,'offpeak-new'!$A$3:$DQ$20,$D577,FALSE))</f>
        <v>0</v>
      </c>
      <c r="S577" s="10"/>
    </row>
    <row r="578" spans="1:19" s="8" customFormat="1" x14ac:dyDescent="0.2">
      <c r="A578" s="8">
        <f t="shared" si="157"/>
        <v>2008</v>
      </c>
      <c r="B578" s="8">
        <f t="shared" si="158"/>
        <v>3</v>
      </c>
      <c r="C578" s="9">
        <f t="shared" si="156"/>
        <v>39508</v>
      </c>
      <c r="D578" s="8">
        <f t="shared" si="159"/>
        <v>78</v>
      </c>
      <c r="E578" s="14">
        <f>IF(ISNA(VLOOKUP(E$1,'offpeak-new'!$A$3:$DQ$20,$D578,FALSE)),0,VLOOKUP(E$1,'offpeak-new'!$A$3:$DQ$20,$D578,FALSE))</f>
        <v>-9909</v>
      </c>
      <c r="F578" s="14">
        <f>IF(ISNA(VLOOKUP(F$1,'offpeak-new'!$A$3:$DQ$20,$D578,FALSE)),0,VLOOKUP(F$1,'offpeak-new'!$A$3:$DQ$20,$D578,FALSE))</f>
        <v>0</v>
      </c>
      <c r="G578" s="14">
        <f>IF(ISNA(VLOOKUP(G$1,'offpeak-new'!$A$3:$DQ$20,$D578,FALSE)),0,VLOOKUP(G$1,'offpeak-new'!$A$3:$DQ$20,$D578,FALSE))</f>
        <v>0</v>
      </c>
      <c r="H578" s="14">
        <f>IF(ISNA(VLOOKUP(H$1,'offpeak-new'!$A$3:$DQ$20,$D578,FALSE)),0,VLOOKUP(H$1,'offpeak-new'!$A$3:$DQ$20,$D578,FALSE))</f>
        <v>-27182</v>
      </c>
      <c r="I578" s="14">
        <f>IF(ISNA(VLOOKUP(I$1,'offpeak-new'!$A$3:$DQ$20,$D578,FALSE)),0,VLOOKUP(I$1,'offpeak-new'!$A$3:$DQ$20,$D578,FALSE))</f>
        <v>-18350</v>
      </c>
      <c r="J578" s="14">
        <f>IF(ISNA(VLOOKUP(J$1,'offpeak-new'!$A$3:$DQ$20,$D578,FALSE)),0,VLOOKUP(J$1,'offpeak-new'!$A$3:$DQ$20,$D578,FALSE))</f>
        <v>0</v>
      </c>
      <c r="K578" s="14">
        <f>IF(ISNA(VLOOKUP(K$1,'offpeak-new'!$A$3:$DQ$20,$D578,FALSE)),0,VLOOKUP(K$1,'offpeak-new'!$A$3:$DQ$20,$D578,FALSE))</f>
        <v>0</v>
      </c>
      <c r="L578" s="14">
        <f>IF(ISNA(VLOOKUP(L$1,'offpeak-new'!$A$3:$DQ$20,$D578,FALSE)),0,VLOOKUP(L$1,'offpeak-new'!$A$3:$DQ$20,$D578,FALSE))</f>
        <v>0</v>
      </c>
      <c r="M578" s="14">
        <f>IF(ISNA(VLOOKUP(M$1,'offpeak-new'!$A$3:$DQ$20,$D578,FALSE)),0,VLOOKUP(M$1,'offpeak-new'!$A$3:$DQ$20,$D578,FALSE))</f>
        <v>0</v>
      </c>
      <c r="N578" s="14">
        <f>IF(ISNA(VLOOKUP(N$1,'offpeak-new'!$A$3:$DQ$20,$D578,FALSE)),0,VLOOKUP(N$1,'offpeak-new'!$A$3:$DQ$20,$D578,FALSE))</f>
        <v>0</v>
      </c>
      <c r="O578" s="14">
        <f>IF(ISNA(VLOOKUP(O$1,'offpeak-new'!$A$3:$DQ$20,$D578,FALSE)),0,VLOOKUP(O$1,'offpeak-new'!$A$3:$DQ$20,$D578,FALSE))</f>
        <v>0</v>
      </c>
      <c r="P578" s="14">
        <f>IF(ISNA(VLOOKUP(P$1,'offpeak-new'!$A$3:$DQ$20,$D578,FALSE)),0,VLOOKUP(P$1,'offpeak-new'!$A$3:$DQ$20,$D578,FALSE))</f>
        <v>0</v>
      </c>
      <c r="Q578" s="15">
        <f>IF(ISNA(VLOOKUP(Q$1,'offpeak-new'!$A$3:$DQ$20,$D578,FALSE)),0,VLOOKUP(Q$1,'offpeak-new'!$A$3:$DQ$20,$D578,FALSE))</f>
        <v>0</v>
      </c>
      <c r="R578" s="14">
        <f>IF(ISNA(VLOOKUP(R$1,'offpeak-new'!$A$3:$DQ$20,$D578,FALSE)),0,VLOOKUP(R$1,'offpeak-new'!$A$3:$DQ$20,$D578,FALSE))</f>
        <v>0</v>
      </c>
      <c r="S578" s="10"/>
    </row>
    <row r="579" spans="1:19" s="8" customFormat="1" x14ac:dyDescent="0.2">
      <c r="A579" s="8">
        <f t="shared" si="157"/>
        <v>2008</v>
      </c>
      <c r="B579" s="8">
        <f t="shared" si="158"/>
        <v>4</v>
      </c>
      <c r="C579" s="9">
        <f t="shared" si="156"/>
        <v>39539</v>
      </c>
      <c r="D579" s="8">
        <f t="shared" si="159"/>
        <v>79</v>
      </c>
      <c r="E579" s="14">
        <f>IF(ISNA(VLOOKUP(E$1,'offpeak-new'!$A$3:$DQ$20,$D579,FALSE)),0,VLOOKUP(E$1,'offpeak-new'!$A$3:$DQ$20,$D579,FALSE))</f>
        <v>-11016</v>
      </c>
      <c r="F579" s="14">
        <f>IF(ISNA(VLOOKUP(F$1,'offpeak-new'!$A$3:$DQ$20,$D579,FALSE)),0,VLOOKUP(F$1,'offpeak-new'!$A$3:$DQ$20,$D579,FALSE))</f>
        <v>0</v>
      </c>
      <c r="G579" s="14">
        <f>IF(ISNA(VLOOKUP(G$1,'offpeak-new'!$A$3:$DQ$20,$D579,FALSE)),0,VLOOKUP(G$1,'offpeak-new'!$A$3:$DQ$20,$D579,FALSE))</f>
        <v>0</v>
      </c>
      <c r="H579" s="14">
        <f>IF(ISNA(VLOOKUP(H$1,'offpeak-new'!$A$3:$DQ$20,$D579,FALSE)),0,VLOOKUP(H$1,'offpeak-new'!$A$3:$DQ$20,$D579,FALSE))</f>
        <v>-26520</v>
      </c>
      <c r="I579" s="14">
        <f>IF(ISNA(VLOOKUP(I$1,'offpeak-new'!$A$3:$DQ$20,$D579,FALSE)),0,VLOOKUP(I$1,'offpeak-new'!$A$3:$DQ$20,$D579,FALSE))</f>
        <v>-20400</v>
      </c>
      <c r="J579" s="14">
        <f>IF(ISNA(VLOOKUP(J$1,'offpeak-new'!$A$3:$DQ$20,$D579,FALSE)),0,VLOOKUP(J$1,'offpeak-new'!$A$3:$DQ$20,$D579,FALSE))</f>
        <v>0</v>
      </c>
      <c r="K579" s="14">
        <f>IF(ISNA(VLOOKUP(K$1,'offpeak-new'!$A$3:$DQ$20,$D579,FALSE)),0,VLOOKUP(K$1,'offpeak-new'!$A$3:$DQ$20,$D579,FALSE))</f>
        <v>0</v>
      </c>
      <c r="L579" s="14">
        <f>IF(ISNA(VLOOKUP(L$1,'offpeak-new'!$A$3:$DQ$20,$D579,FALSE)),0,VLOOKUP(L$1,'offpeak-new'!$A$3:$DQ$20,$D579,FALSE))</f>
        <v>0</v>
      </c>
      <c r="M579" s="14">
        <f>IF(ISNA(VLOOKUP(M$1,'offpeak-new'!$A$3:$DQ$20,$D579,FALSE)),0,VLOOKUP(M$1,'offpeak-new'!$A$3:$DQ$20,$D579,FALSE))</f>
        <v>0</v>
      </c>
      <c r="N579" s="14">
        <f>IF(ISNA(VLOOKUP(N$1,'offpeak-new'!$A$3:$DQ$20,$D579,FALSE)),0,VLOOKUP(N$1,'offpeak-new'!$A$3:$DQ$20,$D579,FALSE))</f>
        <v>0</v>
      </c>
      <c r="O579" s="14">
        <f>IF(ISNA(VLOOKUP(O$1,'offpeak-new'!$A$3:$DQ$20,$D579,FALSE)),0,VLOOKUP(O$1,'offpeak-new'!$A$3:$DQ$20,$D579,FALSE))</f>
        <v>0</v>
      </c>
      <c r="P579" s="14">
        <f>IF(ISNA(VLOOKUP(P$1,'offpeak-new'!$A$3:$DQ$20,$D579,FALSE)),0,VLOOKUP(P$1,'offpeak-new'!$A$3:$DQ$20,$D579,FALSE))</f>
        <v>0</v>
      </c>
      <c r="Q579" s="15">
        <f>IF(ISNA(VLOOKUP(Q$1,'offpeak-new'!$A$3:$DQ$20,$D579,FALSE)),0,VLOOKUP(Q$1,'offpeak-new'!$A$3:$DQ$20,$D579,FALSE))</f>
        <v>0</v>
      </c>
      <c r="R579" s="14">
        <f>IF(ISNA(VLOOKUP(R$1,'offpeak-new'!$A$3:$DQ$20,$D579,FALSE)),0,VLOOKUP(R$1,'offpeak-new'!$A$3:$DQ$20,$D579,FALSE))</f>
        <v>0</v>
      </c>
      <c r="S579" s="10"/>
    </row>
    <row r="580" spans="1:19" s="8" customFormat="1" x14ac:dyDescent="0.2">
      <c r="A580" s="8">
        <f t="shared" si="157"/>
        <v>2008</v>
      </c>
      <c r="B580" s="8">
        <f t="shared" si="158"/>
        <v>5</v>
      </c>
      <c r="C580" s="9">
        <f t="shared" si="156"/>
        <v>39569</v>
      </c>
      <c r="D580" s="8">
        <f t="shared" si="159"/>
        <v>80</v>
      </c>
      <c r="E580" s="14">
        <f>IF(ISNA(VLOOKUP(E$1,'offpeak-new'!$A$3:$DQ$20,$D580,FALSE)),0,VLOOKUP(E$1,'offpeak-new'!$A$3:$DQ$20,$D580,FALSE))</f>
        <v>-10368</v>
      </c>
      <c r="F580" s="14">
        <f>IF(ISNA(VLOOKUP(F$1,'offpeak-new'!$A$3:$DQ$20,$D580,FALSE)),0,VLOOKUP(F$1,'offpeak-new'!$A$3:$DQ$20,$D580,FALSE))</f>
        <v>0</v>
      </c>
      <c r="G580" s="14">
        <f>IF(ISNA(VLOOKUP(G$1,'offpeak-new'!$A$3:$DQ$20,$D580,FALSE)),0,VLOOKUP(G$1,'offpeak-new'!$A$3:$DQ$20,$D580,FALSE))</f>
        <v>0</v>
      </c>
      <c r="H580" s="14">
        <f>IF(ISNA(VLOOKUP(H$1,'offpeak-new'!$A$3:$DQ$20,$D580,FALSE)),0,VLOOKUP(H$1,'offpeak-new'!$A$3:$DQ$20,$D580,FALSE))</f>
        <v>-23808</v>
      </c>
      <c r="I580" s="14">
        <f>IF(ISNA(VLOOKUP(I$1,'offpeak-new'!$A$3:$DQ$20,$D580,FALSE)),0,VLOOKUP(I$1,'offpeak-new'!$A$3:$DQ$20,$D580,FALSE))</f>
        <v>-19200</v>
      </c>
      <c r="J580" s="14">
        <f>IF(ISNA(VLOOKUP(J$1,'offpeak-new'!$A$3:$DQ$20,$D580,FALSE)),0,VLOOKUP(J$1,'offpeak-new'!$A$3:$DQ$20,$D580,FALSE))</f>
        <v>0</v>
      </c>
      <c r="K580" s="14">
        <f>IF(ISNA(VLOOKUP(K$1,'offpeak-new'!$A$3:$DQ$20,$D580,FALSE)),0,VLOOKUP(K$1,'offpeak-new'!$A$3:$DQ$20,$D580,FALSE))</f>
        <v>0</v>
      </c>
      <c r="L580" s="14">
        <f>IF(ISNA(VLOOKUP(L$1,'offpeak-new'!$A$3:$DQ$20,$D580,FALSE)),0,VLOOKUP(L$1,'offpeak-new'!$A$3:$DQ$20,$D580,FALSE))</f>
        <v>0</v>
      </c>
      <c r="M580" s="14">
        <f>IF(ISNA(VLOOKUP(M$1,'offpeak-new'!$A$3:$DQ$20,$D580,FALSE)),0,VLOOKUP(M$1,'offpeak-new'!$A$3:$DQ$20,$D580,FALSE))</f>
        <v>0</v>
      </c>
      <c r="N580" s="14">
        <f>IF(ISNA(VLOOKUP(N$1,'offpeak-new'!$A$3:$DQ$20,$D580,FALSE)),0,VLOOKUP(N$1,'offpeak-new'!$A$3:$DQ$20,$D580,FALSE))</f>
        <v>0</v>
      </c>
      <c r="O580" s="14">
        <f>IF(ISNA(VLOOKUP(O$1,'offpeak-new'!$A$3:$DQ$20,$D580,FALSE)),0,VLOOKUP(O$1,'offpeak-new'!$A$3:$DQ$20,$D580,FALSE))</f>
        <v>0</v>
      </c>
      <c r="P580" s="14">
        <f>IF(ISNA(VLOOKUP(P$1,'offpeak-new'!$A$3:$DQ$20,$D580,FALSE)),0,VLOOKUP(P$1,'offpeak-new'!$A$3:$DQ$20,$D580,FALSE))</f>
        <v>0</v>
      </c>
      <c r="Q580" s="15">
        <f>IF(ISNA(VLOOKUP(Q$1,'offpeak-new'!$A$3:$DQ$20,$D580,FALSE)),0,VLOOKUP(Q$1,'offpeak-new'!$A$3:$DQ$20,$D580,FALSE))</f>
        <v>0</v>
      </c>
      <c r="R580" s="14">
        <f>IF(ISNA(VLOOKUP(R$1,'offpeak-new'!$A$3:$DQ$20,$D580,FALSE)),0,VLOOKUP(R$1,'offpeak-new'!$A$3:$DQ$20,$D580,FALSE))</f>
        <v>0</v>
      </c>
      <c r="S580" s="10"/>
    </row>
    <row r="581" spans="1:19" s="8" customFormat="1" x14ac:dyDescent="0.2">
      <c r="A581" s="8">
        <f t="shared" si="157"/>
        <v>2008</v>
      </c>
      <c r="B581" s="8">
        <f t="shared" si="158"/>
        <v>6</v>
      </c>
      <c r="C581" s="9">
        <f t="shared" si="156"/>
        <v>39600</v>
      </c>
      <c r="D581" s="8">
        <f t="shared" si="159"/>
        <v>81</v>
      </c>
      <c r="E581" s="14">
        <f>IF(ISNA(VLOOKUP(E$1,'offpeak-new'!$A$3:$DQ$20,$D581,FALSE)),0,VLOOKUP(E$1,'offpeak-new'!$A$3:$DQ$20,$D581,FALSE))</f>
        <v>-10584</v>
      </c>
      <c r="F581" s="14">
        <f>IF(ISNA(VLOOKUP(F$1,'offpeak-new'!$A$3:$DQ$20,$D581,FALSE)),0,VLOOKUP(F$1,'offpeak-new'!$A$3:$DQ$20,$D581,FALSE))</f>
        <v>0</v>
      </c>
      <c r="G581" s="14">
        <f>IF(ISNA(VLOOKUP(G$1,'offpeak-new'!$A$3:$DQ$20,$D581,FALSE)),0,VLOOKUP(G$1,'offpeak-new'!$A$3:$DQ$20,$D581,FALSE))</f>
        <v>0</v>
      </c>
      <c r="H581" s="14">
        <f>IF(ISNA(VLOOKUP(H$1,'offpeak-new'!$A$3:$DQ$20,$D581,FALSE)),0,VLOOKUP(H$1,'offpeak-new'!$A$3:$DQ$20,$D581,FALSE))</f>
        <v>-23128</v>
      </c>
      <c r="I581" s="14">
        <f>IF(ISNA(VLOOKUP(I$1,'offpeak-new'!$A$3:$DQ$20,$D581,FALSE)),0,VLOOKUP(I$1,'offpeak-new'!$A$3:$DQ$20,$D581,FALSE))</f>
        <v>-19600</v>
      </c>
      <c r="J581" s="14">
        <f>IF(ISNA(VLOOKUP(J$1,'offpeak-new'!$A$3:$DQ$20,$D581,FALSE)),0,VLOOKUP(J$1,'offpeak-new'!$A$3:$DQ$20,$D581,FALSE))</f>
        <v>0</v>
      </c>
      <c r="K581" s="14">
        <f>IF(ISNA(VLOOKUP(K$1,'offpeak-new'!$A$3:$DQ$20,$D581,FALSE)),0,VLOOKUP(K$1,'offpeak-new'!$A$3:$DQ$20,$D581,FALSE))</f>
        <v>0</v>
      </c>
      <c r="L581" s="14">
        <f>IF(ISNA(VLOOKUP(L$1,'offpeak-new'!$A$3:$DQ$20,$D581,FALSE)),0,VLOOKUP(L$1,'offpeak-new'!$A$3:$DQ$20,$D581,FALSE))</f>
        <v>0</v>
      </c>
      <c r="M581" s="14">
        <f>IF(ISNA(VLOOKUP(M$1,'offpeak-new'!$A$3:$DQ$20,$D581,FALSE)),0,VLOOKUP(M$1,'offpeak-new'!$A$3:$DQ$20,$D581,FALSE))</f>
        <v>0</v>
      </c>
      <c r="N581" s="14">
        <f>IF(ISNA(VLOOKUP(N$1,'offpeak-new'!$A$3:$DQ$20,$D581,FALSE)),0,VLOOKUP(N$1,'offpeak-new'!$A$3:$DQ$20,$D581,FALSE))</f>
        <v>0</v>
      </c>
      <c r="O581" s="14">
        <f>IF(ISNA(VLOOKUP(O$1,'offpeak-new'!$A$3:$DQ$20,$D581,FALSE)),0,VLOOKUP(O$1,'offpeak-new'!$A$3:$DQ$20,$D581,FALSE))</f>
        <v>0</v>
      </c>
      <c r="P581" s="14">
        <f>IF(ISNA(VLOOKUP(P$1,'offpeak-new'!$A$3:$DQ$20,$D581,FALSE)),0,VLOOKUP(P$1,'offpeak-new'!$A$3:$DQ$20,$D581,FALSE))</f>
        <v>0</v>
      </c>
      <c r="Q581" s="15">
        <f>IF(ISNA(VLOOKUP(Q$1,'offpeak-new'!$A$3:$DQ$20,$D581,FALSE)),0,VLOOKUP(Q$1,'offpeak-new'!$A$3:$DQ$20,$D581,FALSE))</f>
        <v>0</v>
      </c>
      <c r="R581" s="14">
        <f>IF(ISNA(VLOOKUP(R$1,'offpeak-new'!$A$3:$DQ$20,$D581,FALSE)),0,VLOOKUP(R$1,'offpeak-new'!$A$3:$DQ$20,$D581,FALSE))</f>
        <v>0</v>
      </c>
      <c r="S581" s="10"/>
    </row>
    <row r="582" spans="1:19" s="8" customFormat="1" x14ac:dyDescent="0.2">
      <c r="A582" s="8">
        <f t="shared" si="157"/>
        <v>2008</v>
      </c>
      <c r="B582" s="8">
        <f t="shared" si="158"/>
        <v>7</v>
      </c>
      <c r="C582" s="9">
        <f t="shared" si="156"/>
        <v>39630</v>
      </c>
      <c r="D582" s="8">
        <f t="shared" si="159"/>
        <v>82</v>
      </c>
      <c r="E582" s="14">
        <f>IF(ISNA(VLOOKUP(E$1,'offpeak-new'!$A$3:$DQ$20,$D582,FALSE)),0,VLOOKUP(E$1,'offpeak-new'!$A$3:$DQ$20,$D582,FALSE))</f>
        <v>-11016</v>
      </c>
      <c r="F582" s="14">
        <f>IF(ISNA(VLOOKUP(F$1,'offpeak-new'!$A$3:$DQ$20,$D582,FALSE)),0,VLOOKUP(F$1,'offpeak-new'!$A$3:$DQ$20,$D582,FALSE))</f>
        <v>0</v>
      </c>
      <c r="G582" s="14">
        <f>IF(ISNA(VLOOKUP(G$1,'offpeak-new'!$A$3:$DQ$20,$D582,FALSE)),0,VLOOKUP(G$1,'offpeak-new'!$A$3:$DQ$20,$D582,FALSE))</f>
        <v>0</v>
      </c>
      <c r="H582" s="14">
        <f>IF(ISNA(VLOOKUP(H$1,'offpeak-new'!$A$3:$DQ$20,$D582,FALSE)),0,VLOOKUP(H$1,'offpeak-new'!$A$3:$DQ$20,$D582,FALSE))</f>
        <v>-24072</v>
      </c>
      <c r="I582" s="14">
        <f>IF(ISNA(VLOOKUP(I$1,'offpeak-new'!$A$3:$DQ$20,$D582,FALSE)),0,VLOOKUP(I$1,'offpeak-new'!$A$3:$DQ$20,$D582,FALSE))</f>
        <v>-20400</v>
      </c>
      <c r="J582" s="14">
        <f>IF(ISNA(VLOOKUP(J$1,'offpeak-new'!$A$3:$DQ$20,$D582,FALSE)),0,VLOOKUP(J$1,'offpeak-new'!$A$3:$DQ$20,$D582,FALSE))</f>
        <v>0</v>
      </c>
      <c r="K582" s="14">
        <f>IF(ISNA(VLOOKUP(K$1,'offpeak-new'!$A$3:$DQ$20,$D582,FALSE)),0,VLOOKUP(K$1,'offpeak-new'!$A$3:$DQ$20,$D582,FALSE))</f>
        <v>0</v>
      </c>
      <c r="L582" s="14">
        <f>IF(ISNA(VLOOKUP(L$1,'offpeak-new'!$A$3:$DQ$20,$D582,FALSE)),0,VLOOKUP(L$1,'offpeak-new'!$A$3:$DQ$20,$D582,FALSE))</f>
        <v>0</v>
      </c>
      <c r="M582" s="14">
        <f>IF(ISNA(VLOOKUP(M$1,'offpeak-new'!$A$3:$DQ$20,$D582,FALSE)),0,VLOOKUP(M$1,'offpeak-new'!$A$3:$DQ$20,$D582,FALSE))</f>
        <v>0</v>
      </c>
      <c r="N582" s="14">
        <f>IF(ISNA(VLOOKUP(N$1,'offpeak-new'!$A$3:$DQ$20,$D582,FALSE)),0,VLOOKUP(N$1,'offpeak-new'!$A$3:$DQ$20,$D582,FALSE))</f>
        <v>0</v>
      </c>
      <c r="O582" s="14">
        <f>IF(ISNA(VLOOKUP(O$1,'offpeak-new'!$A$3:$DQ$20,$D582,FALSE)),0,VLOOKUP(O$1,'offpeak-new'!$A$3:$DQ$20,$D582,FALSE))</f>
        <v>0</v>
      </c>
      <c r="P582" s="14">
        <f>IF(ISNA(VLOOKUP(P$1,'offpeak-new'!$A$3:$DQ$20,$D582,FALSE)),0,VLOOKUP(P$1,'offpeak-new'!$A$3:$DQ$20,$D582,FALSE))</f>
        <v>0</v>
      </c>
      <c r="Q582" s="15">
        <f>IF(ISNA(VLOOKUP(Q$1,'offpeak-new'!$A$3:$DQ$20,$D582,FALSE)),0,VLOOKUP(Q$1,'offpeak-new'!$A$3:$DQ$20,$D582,FALSE))</f>
        <v>0</v>
      </c>
      <c r="R582" s="14">
        <f>IF(ISNA(VLOOKUP(R$1,'offpeak-new'!$A$3:$DQ$20,$D582,FALSE)),0,VLOOKUP(R$1,'offpeak-new'!$A$3:$DQ$20,$D582,FALSE))</f>
        <v>0</v>
      </c>
      <c r="S582" s="10"/>
    </row>
    <row r="583" spans="1:19" s="8" customFormat="1" x14ac:dyDescent="0.2">
      <c r="A583" s="8">
        <f t="shared" si="157"/>
        <v>2008</v>
      </c>
      <c r="B583" s="8">
        <f t="shared" si="158"/>
        <v>8</v>
      </c>
      <c r="C583" s="9">
        <f t="shared" si="156"/>
        <v>39661</v>
      </c>
      <c r="D583" s="8">
        <f t="shared" si="159"/>
        <v>83</v>
      </c>
      <c r="E583" s="14">
        <f>IF(ISNA(VLOOKUP(E$1,'offpeak-new'!$A$3:$DQ$20,$D583,FALSE)),0,VLOOKUP(E$1,'offpeak-new'!$A$3:$DQ$20,$D583,FALSE))</f>
        <v>-10368</v>
      </c>
      <c r="F583" s="14">
        <f>IF(ISNA(VLOOKUP(F$1,'offpeak-new'!$A$3:$DQ$20,$D583,FALSE)),0,VLOOKUP(F$1,'offpeak-new'!$A$3:$DQ$20,$D583,FALSE))</f>
        <v>0</v>
      </c>
      <c r="G583" s="14">
        <f>IF(ISNA(VLOOKUP(G$1,'offpeak-new'!$A$3:$DQ$20,$D583,FALSE)),0,VLOOKUP(G$1,'offpeak-new'!$A$3:$DQ$20,$D583,FALSE))</f>
        <v>0</v>
      </c>
      <c r="H583" s="14">
        <f>IF(ISNA(VLOOKUP(H$1,'offpeak-new'!$A$3:$DQ$20,$D583,FALSE)),0,VLOOKUP(H$1,'offpeak-new'!$A$3:$DQ$20,$D583,FALSE))</f>
        <v>-19200</v>
      </c>
      <c r="I583" s="14">
        <f>IF(ISNA(VLOOKUP(I$1,'offpeak-new'!$A$3:$DQ$20,$D583,FALSE)),0,VLOOKUP(I$1,'offpeak-new'!$A$3:$DQ$20,$D583,FALSE))</f>
        <v>-19200</v>
      </c>
      <c r="J583" s="14">
        <f>IF(ISNA(VLOOKUP(J$1,'offpeak-new'!$A$3:$DQ$20,$D583,FALSE)),0,VLOOKUP(J$1,'offpeak-new'!$A$3:$DQ$20,$D583,FALSE))</f>
        <v>0</v>
      </c>
      <c r="K583" s="14">
        <f>IF(ISNA(VLOOKUP(K$1,'offpeak-new'!$A$3:$DQ$20,$D583,FALSE)),0,VLOOKUP(K$1,'offpeak-new'!$A$3:$DQ$20,$D583,FALSE))</f>
        <v>0</v>
      </c>
      <c r="L583" s="14">
        <f>IF(ISNA(VLOOKUP(L$1,'offpeak-new'!$A$3:$DQ$20,$D583,FALSE)),0,VLOOKUP(L$1,'offpeak-new'!$A$3:$DQ$20,$D583,FALSE))</f>
        <v>0</v>
      </c>
      <c r="M583" s="14">
        <f>IF(ISNA(VLOOKUP(M$1,'offpeak-new'!$A$3:$DQ$20,$D583,FALSE)),0,VLOOKUP(M$1,'offpeak-new'!$A$3:$DQ$20,$D583,FALSE))</f>
        <v>0</v>
      </c>
      <c r="N583" s="14">
        <f>IF(ISNA(VLOOKUP(N$1,'offpeak-new'!$A$3:$DQ$20,$D583,FALSE)),0,VLOOKUP(N$1,'offpeak-new'!$A$3:$DQ$20,$D583,FALSE))</f>
        <v>0</v>
      </c>
      <c r="O583" s="14">
        <f>IF(ISNA(VLOOKUP(O$1,'offpeak-new'!$A$3:$DQ$20,$D583,FALSE)),0,VLOOKUP(O$1,'offpeak-new'!$A$3:$DQ$20,$D583,FALSE))</f>
        <v>0</v>
      </c>
      <c r="P583" s="14">
        <f>IF(ISNA(VLOOKUP(P$1,'offpeak-new'!$A$3:$DQ$20,$D583,FALSE)),0,VLOOKUP(P$1,'offpeak-new'!$A$3:$DQ$20,$D583,FALSE))</f>
        <v>0</v>
      </c>
      <c r="Q583" s="15">
        <f>IF(ISNA(VLOOKUP(Q$1,'offpeak-new'!$A$3:$DQ$20,$D583,FALSE)),0,VLOOKUP(Q$1,'offpeak-new'!$A$3:$DQ$20,$D583,FALSE))</f>
        <v>0</v>
      </c>
      <c r="R583" s="14">
        <f>IF(ISNA(VLOOKUP(R$1,'offpeak-new'!$A$3:$DQ$20,$D583,FALSE)),0,VLOOKUP(R$1,'offpeak-new'!$A$3:$DQ$20,$D583,FALSE))</f>
        <v>0</v>
      </c>
      <c r="S583" s="10"/>
    </row>
    <row r="584" spans="1:19" s="8" customFormat="1" x14ac:dyDescent="0.2">
      <c r="A584" s="8">
        <f t="shared" si="157"/>
        <v>2008</v>
      </c>
      <c r="B584" s="8">
        <f t="shared" si="158"/>
        <v>9</v>
      </c>
      <c r="C584" s="9">
        <f t="shared" si="156"/>
        <v>39692</v>
      </c>
      <c r="D584" s="8">
        <f t="shared" si="159"/>
        <v>84</v>
      </c>
      <c r="E584" s="14">
        <f>IF(ISNA(VLOOKUP(E$1,'offpeak-new'!$A$3:$DQ$20,$D584,FALSE)),0,VLOOKUP(E$1,'offpeak-new'!$A$3:$DQ$20,$D584,FALSE))</f>
        <v>-10179</v>
      </c>
      <c r="F584" s="14">
        <f>IF(ISNA(VLOOKUP(F$1,'offpeak-new'!$A$3:$DQ$20,$D584,FALSE)),0,VLOOKUP(F$1,'offpeak-new'!$A$3:$DQ$20,$D584,FALSE))</f>
        <v>0</v>
      </c>
      <c r="G584" s="14">
        <f>IF(ISNA(VLOOKUP(G$1,'offpeak-new'!$A$3:$DQ$20,$D584,FALSE)),0,VLOOKUP(G$1,'offpeak-new'!$A$3:$DQ$20,$D584,FALSE))</f>
        <v>0</v>
      </c>
      <c r="H584" s="14">
        <f>IF(ISNA(VLOOKUP(H$1,'offpeak-new'!$A$3:$DQ$20,$D584,FALSE)),0,VLOOKUP(H$1,'offpeak-new'!$A$3:$DQ$20,$D584,FALSE))</f>
        <v>-18850</v>
      </c>
      <c r="I584" s="14">
        <f>IF(ISNA(VLOOKUP(I$1,'offpeak-new'!$A$3:$DQ$20,$D584,FALSE)),0,VLOOKUP(I$1,'offpeak-new'!$A$3:$DQ$20,$D584,FALSE))</f>
        <v>-18850</v>
      </c>
      <c r="J584" s="14">
        <f>IF(ISNA(VLOOKUP(J$1,'offpeak-new'!$A$3:$DQ$20,$D584,FALSE)),0,VLOOKUP(J$1,'offpeak-new'!$A$3:$DQ$20,$D584,FALSE))</f>
        <v>0</v>
      </c>
      <c r="K584" s="14">
        <f>IF(ISNA(VLOOKUP(K$1,'offpeak-new'!$A$3:$DQ$20,$D584,FALSE)),0,VLOOKUP(K$1,'offpeak-new'!$A$3:$DQ$20,$D584,FALSE))</f>
        <v>0</v>
      </c>
      <c r="L584" s="14">
        <f>IF(ISNA(VLOOKUP(L$1,'offpeak-new'!$A$3:$DQ$20,$D584,FALSE)),0,VLOOKUP(L$1,'offpeak-new'!$A$3:$DQ$20,$D584,FALSE))</f>
        <v>0</v>
      </c>
      <c r="M584" s="14">
        <f>IF(ISNA(VLOOKUP(M$1,'offpeak-new'!$A$3:$DQ$20,$D584,FALSE)),0,VLOOKUP(M$1,'offpeak-new'!$A$3:$DQ$20,$D584,FALSE))</f>
        <v>0</v>
      </c>
      <c r="N584" s="14">
        <f>IF(ISNA(VLOOKUP(N$1,'offpeak-new'!$A$3:$DQ$20,$D584,FALSE)),0,VLOOKUP(N$1,'offpeak-new'!$A$3:$DQ$20,$D584,FALSE))</f>
        <v>0</v>
      </c>
      <c r="O584" s="14">
        <f>IF(ISNA(VLOOKUP(O$1,'offpeak-new'!$A$3:$DQ$20,$D584,FALSE)),0,VLOOKUP(O$1,'offpeak-new'!$A$3:$DQ$20,$D584,FALSE))</f>
        <v>0</v>
      </c>
      <c r="P584" s="14">
        <f>IF(ISNA(VLOOKUP(P$1,'offpeak-new'!$A$3:$DQ$20,$D584,FALSE)),0,VLOOKUP(P$1,'offpeak-new'!$A$3:$DQ$20,$D584,FALSE))</f>
        <v>0</v>
      </c>
      <c r="Q584" s="15">
        <f>IF(ISNA(VLOOKUP(Q$1,'offpeak-new'!$A$3:$DQ$20,$D584,FALSE)),0,VLOOKUP(Q$1,'offpeak-new'!$A$3:$DQ$20,$D584,FALSE))</f>
        <v>0</v>
      </c>
      <c r="R584" s="14">
        <f>IF(ISNA(VLOOKUP(R$1,'offpeak-new'!$A$3:$DQ$20,$D584,FALSE)),0,VLOOKUP(R$1,'offpeak-new'!$A$3:$DQ$20,$D584,FALSE))</f>
        <v>0</v>
      </c>
      <c r="S584" s="10"/>
    </row>
    <row r="585" spans="1:19" s="8" customFormat="1" x14ac:dyDescent="0.2">
      <c r="A585" s="8">
        <f t="shared" si="157"/>
        <v>2008</v>
      </c>
      <c r="B585" s="8">
        <f t="shared" si="158"/>
        <v>10</v>
      </c>
      <c r="C585" s="9">
        <f t="shared" si="156"/>
        <v>39722</v>
      </c>
      <c r="D585" s="8">
        <f t="shared" si="159"/>
        <v>85</v>
      </c>
      <c r="E585" s="14">
        <f>IF(ISNA(VLOOKUP(E$1,'offpeak-new'!$A$3:$DQ$20,$D585,FALSE)),0,VLOOKUP(E$1,'offpeak-new'!$A$3:$DQ$20,$D585,FALSE))</f>
        <v>-11232</v>
      </c>
      <c r="F585" s="14">
        <f>IF(ISNA(VLOOKUP(F$1,'offpeak-new'!$A$3:$DQ$20,$D585,FALSE)),0,VLOOKUP(F$1,'offpeak-new'!$A$3:$DQ$20,$D585,FALSE))</f>
        <v>0</v>
      </c>
      <c r="G585" s="14">
        <f>IF(ISNA(VLOOKUP(G$1,'offpeak-new'!$A$3:$DQ$20,$D585,FALSE)),0,VLOOKUP(G$1,'offpeak-new'!$A$3:$DQ$20,$D585,FALSE))</f>
        <v>0</v>
      </c>
      <c r="H585" s="14">
        <f>IF(ISNA(VLOOKUP(H$1,'offpeak-new'!$A$3:$DQ$20,$D585,FALSE)),0,VLOOKUP(H$1,'offpeak-new'!$A$3:$DQ$20,$D585,FALSE))</f>
        <v>-20800</v>
      </c>
      <c r="I585" s="14">
        <f>IF(ISNA(VLOOKUP(I$1,'offpeak-new'!$A$3:$DQ$20,$D585,FALSE)),0,VLOOKUP(I$1,'offpeak-new'!$A$3:$DQ$20,$D585,FALSE))</f>
        <v>-20800</v>
      </c>
      <c r="J585" s="14">
        <f>IF(ISNA(VLOOKUP(J$1,'offpeak-new'!$A$3:$DQ$20,$D585,FALSE)),0,VLOOKUP(J$1,'offpeak-new'!$A$3:$DQ$20,$D585,FALSE))</f>
        <v>0</v>
      </c>
      <c r="K585" s="14">
        <f>IF(ISNA(VLOOKUP(K$1,'offpeak-new'!$A$3:$DQ$20,$D585,FALSE)),0,VLOOKUP(K$1,'offpeak-new'!$A$3:$DQ$20,$D585,FALSE))</f>
        <v>0</v>
      </c>
      <c r="L585" s="14">
        <f>IF(ISNA(VLOOKUP(L$1,'offpeak-new'!$A$3:$DQ$20,$D585,FALSE)),0,VLOOKUP(L$1,'offpeak-new'!$A$3:$DQ$20,$D585,FALSE))</f>
        <v>0</v>
      </c>
      <c r="M585" s="14">
        <f>IF(ISNA(VLOOKUP(M$1,'offpeak-new'!$A$3:$DQ$20,$D585,FALSE)),0,VLOOKUP(M$1,'offpeak-new'!$A$3:$DQ$20,$D585,FALSE))</f>
        <v>0</v>
      </c>
      <c r="N585" s="14">
        <f>IF(ISNA(VLOOKUP(N$1,'offpeak-new'!$A$3:$DQ$20,$D585,FALSE)),0,VLOOKUP(N$1,'offpeak-new'!$A$3:$DQ$20,$D585,FALSE))</f>
        <v>0</v>
      </c>
      <c r="O585" s="14">
        <f>IF(ISNA(VLOOKUP(O$1,'offpeak-new'!$A$3:$DQ$20,$D585,FALSE)),0,VLOOKUP(O$1,'offpeak-new'!$A$3:$DQ$20,$D585,FALSE))</f>
        <v>0</v>
      </c>
      <c r="P585" s="14">
        <f>IF(ISNA(VLOOKUP(P$1,'offpeak-new'!$A$3:$DQ$20,$D585,FALSE)),0,VLOOKUP(P$1,'offpeak-new'!$A$3:$DQ$20,$D585,FALSE))</f>
        <v>0</v>
      </c>
      <c r="Q585" s="15">
        <f>IF(ISNA(VLOOKUP(Q$1,'offpeak-new'!$A$3:$DQ$20,$D585,FALSE)),0,VLOOKUP(Q$1,'offpeak-new'!$A$3:$DQ$20,$D585,FALSE))</f>
        <v>0</v>
      </c>
      <c r="R585" s="14">
        <f>IF(ISNA(VLOOKUP(R$1,'offpeak-new'!$A$3:$DQ$20,$D585,FALSE)),0,VLOOKUP(R$1,'offpeak-new'!$A$3:$DQ$20,$D585,FALSE))</f>
        <v>0</v>
      </c>
      <c r="S585" s="10"/>
    </row>
    <row r="586" spans="1:19" s="8" customFormat="1" x14ac:dyDescent="0.2">
      <c r="A586" s="8">
        <f t="shared" si="157"/>
        <v>2008</v>
      </c>
      <c r="B586" s="8">
        <f t="shared" si="158"/>
        <v>11</v>
      </c>
      <c r="C586" s="9">
        <f t="shared" si="156"/>
        <v>39753</v>
      </c>
      <c r="D586" s="8">
        <f t="shared" si="159"/>
        <v>86</v>
      </c>
      <c r="E586" s="14">
        <f>IF(ISNA(VLOOKUP(E$1,'offpeak-new'!$A$3:$DQ$20,$D586,FALSE)),0,VLOOKUP(E$1,'offpeak-new'!$A$3:$DQ$20,$D586,FALSE))</f>
        <v>-10584</v>
      </c>
      <c r="F586" s="14">
        <f>IF(ISNA(VLOOKUP(F$1,'offpeak-new'!$A$3:$DQ$20,$D586,FALSE)),0,VLOOKUP(F$1,'offpeak-new'!$A$3:$DQ$20,$D586,FALSE))</f>
        <v>0</v>
      </c>
      <c r="G586" s="14">
        <f>IF(ISNA(VLOOKUP(G$1,'offpeak-new'!$A$3:$DQ$20,$D586,FALSE)),0,VLOOKUP(G$1,'offpeak-new'!$A$3:$DQ$20,$D586,FALSE))</f>
        <v>0</v>
      </c>
      <c r="H586" s="14">
        <f>IF(ISNA(VLOOKUP(H$1,'offpeak-new'!$A$3:$DQ$20,$D586,FALSE)),0,VLOOKUP(H$1,'offpeak-new'!$A$3:$DQ$20,$D586,FALSE))</f>
        <v>-19600</v>
      </c>
      <c r="I586" s="14">
        <f>IF(ISNA(VLOOKUP(I$1,'offpeak-new'!$A$3:$DQ$20,$D586,FALSE)),0,VLOOKUP(I$1,'offpeak-new'!$A$3:$DQ$20,$D586,FALSE))</f>
        <v>-19600</v>
      </c>
      <c r="J586" s="14">
        <f>IF(ISNA(VLOOKUP(J$1,'offpeak-new'!$A$3:$DQ$20,$D586,FALSE)),0,VLOOKUP(J$1,'offpeak-new'!$A$3:$DQ$20,$D586,FALSE))</f>
        <v>0</v>
      </c>
      <c r="K586" s="14">
        <f>IF(ISNA(VLOOKUP(K$1,'offpeak-new'!$A$3:$DQ$20,$D586,FALSE)),0,VLOOKUP(K$1,'offpeak-new'!$A$3:$DQ$20,$D586,FALSE))</f>
        <v>0</v>
      </c>
      <c r="L586" s="14">
        <f>IF(ISNA(VLOOKUP(L$1,'offpeak-new'!$A$3:$DQ$20,$D586,FALSE)),0,VLOOKUP(L$1,'offpeak-new'!$A$3:$DQ$20,$D586,FALSE))</f>
        <v>0</v>
      </c>
      <c r="M586" s="14">
        <f>IF(ISNA(VLOOKUP(M$1,'offpeak-new'!$A$3:$DQ$20,$D586,FALSE)),0,VLOOKUP(M$1,'offpeak-new'!$A$3:$DQ$20,$D586,FALSE))</f>
        <v>0</v>
      </c>
      <c r="N586" s="14">
        <f>IF(ISNA(VLOOKUP(N$1,'offpeak-new'!$A$3:$DQ$20,$D586,FALSE)),0,VLOOKUP(N$1,'offpeak-new'!$A$3:$DQ$20,$D586,FALSE))</f>
        <v>0</v>
      </c>
      <c r="O586" s="14">
        <f>IF(ISNA(VLOOKUP(O$1,'offpeak-new'!$A$3:$DQ$20,$D586,FALSE)),0,VLOOKUP(O$1,'offpeak-new'!$A$3:$DQ$20,$D586,FALSE))</f>
        <v>0</v>
      </c>
      <c r="P586" s="14">
        <f>IF(ISNA(VLOOKUP(P$1,'offpeak-new'!$A$3:$DQ$20,$D586,FALSE)),0,VLOOKUP(P$1,'offpeak-new'!$A$3:$DQ$20,$D586,FALSE))</f>
        <v>0</v>
      </c>
      <c r="Q586" s="15">
        <f>IF(ISNA(VLOOKUP(Q$1,'offpeak-new'!$A$3:$DQ$20,$D586,FALSE)),0,VLOOKUP(Q$1,'offpeak-new'!$A$3:$DQ$20,$D586,FALSE))</f>
        <v>0</v>
      </c>
      <c r="R586" s="14">
        <f>IF(ISNA(VLOOKUP(R$1,'offpeak-new'!$A$3:$DQ$20,$D586,FALSE)),0,VLOOKUP(R$1,'offpeak-new'!$A$3:$DQ$20,$D586,FALSE))</f>
        <v>0</v>
      </c>
      <c r="S586" s="10"/>
    </row>
    <row r="587" spans="1:19" s="8" customFormat="1" x14ac:dyDescent="0.2">
      <c r="A587" s="8">
        <f t="shared" si="157"/>
        <v>2008</v>
      </c>
      <c r="B587" s="8">
        <f t="shared" si="158"/>
        <v>12</v>
      </c>
      <c r="C587" s="9">
        <f t="shared" si="156"/>
        <v>39783</v>
      </c>
      <c r="D587" s="8">
        <f t="shared" si="159"/>
        <v>87</v>
      </c>
      <c r="E587" s="14">
        <f>IF(ISNA(VLOOKUP(E$1,'offpeak-new'!$A$3:$DQ$20,$D587,FALSE)),0,VLOOKUP(E$1,'offpeak-new'!$A$3:$DQ$20,$D587,FALSE))</f>
        <v>0</v>
      </c>
      <c r="F587" s="14">
        <f>IF(ISNA(VLOOKUP(F$1,'offpeak-new'!$A$3:$DQ$20,$D587,FALSE)),0,VLOOKUP(F$1,'offpeak-new'!$A$3:$DQ$20,$D587,FALSE))</f>
        <v>0</v>
      </c>
      <c r="G587" s="14">
        <f>IF(ISNA(VLOOKUP(G$1,'offpeak-new'!$A$3:$DQ$20,$D587,FALSE)),0,VLOOKUP(G$1,'offpeak-new'!$A$3:$DQ$20,$D587,FALSE))</f>
        <v>0</v>
      </c>
      <c r="H587" s="14">
        <f>IF(ISNA(VLOOKUP(H$1,'offpeak-new'!$A$3:$DQ$20,$D587,FALSE)),0,VLOOKUP(H$1,'offpeak-new'!$A$3:$DQ$20,$D587,FALSE))</f>
        <v>-20400</v>
      </c>
      <c r="I587" s="14">
        <f>IF(ISNA(VLOOKUP(I$1,'offpeak-new'!$A$3:$DQ$20,$D587,FALSE)),0,VLOOKUP(I$1,'offpeak-new'!$A$3:$DQ$20,$D587,FALSE))</f>
        <v>0</v>
      </c>
      <c r="J587" s="14">
        <f>IF(ISNA(VLOOKUP(J$1,'offpeak-new'!$A$3:$DQ$20,$D587,FALSE)),0,VLOOKUP(J$1,'offpeak-new'!$A$3:$DQ$20,$D587,FALSE))</f>
        <v>0</v>
      </c>
      <c r="K587" s="14">
        <f>IF(ISNA(VLOOKUP(K$1,'offpeak-new'!$A$3:$DQ$20,$D587,FALSE)),0,VLOOKUP(K$1,'offpeak-new'!$A$3:$DQ$20,$D587,FALSE))</f>
        <v>0</v>
      </c>
      <c r="L587" s="14">
        <f>IF(ISNA(VLOOKUP(L$1,'offpeak-new'!$A$3:$DQ$20,$D587,FALSE)),0,VLOOKUP(L$1,'offpeak-new'!$A$3:$DQ$20,$D587,FALSE))</f>
        <v>0</v>
      </c>
      <c r="M587" s="14">
        <f>IF(ISNA(VLOOKUP(M$1,'offpeak-new'!$A$3:$DQ$20,$D587,FALSE)),0,VLOOKUP(M$1,'offpeak-new'!$A$3:$DQ$20,$D587,FALSE))</f>
        <v>0</v>
      </c>
      <c r="N587" s="14">
        <f>IF(ISNA(VLOOKUP(N$1,'offpeak-new'!$A$3:$DQ$20,$D587,FALSE)),0,VLOOKUP(N$1,'offpeak-new'!$A$3:$DQ$20,$D587,FALSE))</f>
        <v>0</v>
      </c>
      <c r="O587" s="14">
        <f>IF(ISNA(VLOOKUP(O$1,'offpeak-new'!$A$3:$DQ$20,$D587,FALSE)),0,VLOOKUP(O$1,'offpeak-new'!$A$3:$DQ$20,$D587,FALSE))</f>
        <v>0</v>
      </c>
      <c r="P587" s="14">
        <f>IF(ISNA(VLOOKUP(P$1,'offpeak-new'!$A$3:$DQ$20,$D587,FALSE)),0,VLOOKUP(P$1,'offpeak-new'!$A$3:$DQ$20,$D587,FALSE))</f>
        <v>0</v>
      </c>
      <c r="Q587" s="15">
        <f>IF(ISNA(VLOOKUP(Q$1,'offpeak-new'!$A$3:$DQ$20,$D587,FALSE)),0,VLOOKUP(Q$1,'offpeak-new'!$A$3:$DQ$20,$D587,FALSE))</f>
        <v>0</v>
      </c>
      <c r="R587" s="14">
        <f>IF(ISNA(VLOOKUP(R$1,'offpeak-new'!$A$3:$DQ$20,$D587,FALSE)),0,VLOOKUP(R$1,'offpeak-new'!$A$3:$DQ$20,$D587,FALSE))</f>
        <v>0</v>
      </c>
      <c r="S587" s="10"/>
    </row>
    <row r="588" spans="1:19" s="8" customFormat="1" x14ac:dyDescent="0.2">
      <c r="A588" s="8">
        <f t="shared" si="157"/>
        <v>2009</v>
      </c>
      <c r="B588" s="8">
        <f t="shared" si="158"/>
        <v>1</v>
      </c>
      <c r="C588" s="9">
        <f t="shared" ref="C588:C611" si="160">DATE(A588,B588,1)</f>
        <v>39814</v>
      </c>
      <c r="D588" s="8">
        <f t="shared" si="159"/>
        <v>88</v>
      </c>
      <c r="E588" s="14">
        <f>IF(ISNA(VLOOKUP(E$1,'offpeak-new'!$A$3:$DQ$20,$D588,FALSE)),0,VLOOKUP(E$1,'offpeak-new'!$A$3:$DQ$20,$D588,FALSE))</f>
        <v>0</v>
      </c>
      <c r="F588" s="14">
        <f>IF(ISNA(VLOOKUP(F$1,'offpeak-new'!$A$3:$DQ$20,$D588,FALSE)),0,VLOOKUP(F$1,'offpeak-new'!$A$3:$DQ$20,$D588,FALSE))</f>
        <v>0</v>
      </c>
      <c r="G588" s="14">
        <f>IF(ISNA(VLOOKUP(G$1,'offpeak-new'!$A$3:$DQ$20,$D588,FALSE)),0,VLOOKUP(G$1,'offpeak-new'!$A$3:$DQ$20,$D588,FALSE))</f>
        <v>0</v>
      </c>
      <c r="H588" s="14">
        <f>IF(ISNA(VLOOKUP(H$1,'offpeak-new'!$A$3:$DQ$20,$D588,FALSE)),0,VLOOKUP(H$1,'offpeak-new'!$A$3:$DQ$20,$D588,FALSE))</f>
        <v>-17600</v>
      </c>
      <c r="I588" s="14">
        <f>IF(ISNA(VLOOKUP(I$1,'offpeak-new'!$A$3:$DQ$20,$D588,FALSE)),0,VLOOKUP(I$1,'offpeak-new'!$A$3:$DQ$20,$D588,FALSE))</f>
        <v>0</v>
      </c>
      <c r="J588" s="14">
        <f>IF(ISNA(VLOOKUP(J$1,'offpeak-new'!$A$3:$DQ$20,$D588,FALSE)),0,VLOOKUP(J$1,'offpeak-new'!$A$3:$DQ$20,$D588,FALSE))</f>
        <v>0</v>
      </c>
      <c r="K588" s="14">
        <f>IF(ISNA(VLOOKUP(K$1,'offpeak-new'!$A$3:$DQ$20,$D588,FALSE)),0,VLOOKUP(K$1,'offpeak-new'!$A$3:$DQ$20,$D588,FALSE))</f>
        <v>0</v>
      </c>
      <c r="L588" s="14">
        <f>IF(ISNA(VLOOKUP(L$1,'offpeak-new'!$A$3:$DQ$20,$D588,FALSE)),0,VLOOKUP(L$1,'offpeak-new'!$A$3:$DQ$20,$D588,FALSE))</f>
        <v>0</v>
      </c>
      <c r="M588" s="14">
        <f>IF(ISNA(VLOOKUP(M$1,'offpeak-new'!$A$3:$DQ$20,$D588,FALSE)),0,VLOOKUP(M$1,'offpeak-new'!$A$3:$DQ$20,$D588,FALSE))</f>
        <v>0</v>
      </c>
      <c r="N588" s="14">
        <f>IF(ISNA(VLOOKUP(N$1,'offpeak-new'!$A$3:$DQ$20,$D588,FALSE)),0,VLOOKUP(N$1,'offpeak-new'!$A$3:$DQ$20,$D588,FALSE))</f>
        <v>0</v>
      </c>
      <c r="O588" s="14">
        <f>IF(ISNA(VLOOKUP(O$1,'offpeak-new'!$A$3:$DQ$20,$D588,FALSE)),0,VLOOKUP(O$1,'offpeak-new'!$A$3:$DQ$20,$D588,FALSE))</f>
        <v>0</v>
      </c>
      <c r="P588" s="14">
        <f>IF(ISNA(VLOOKUP(P$1,'offpeak-new'!$A$3:$DQ$20,$D588,FALSE)),0,VLOOKUP(P$1,'offpeak-new'!$A$3:$DQ$20,$D588,FALSE))</f>
        <v>0</v>
      </c>
      <c r="Q588" s="15">
        <f>IF(ISNA(VLOOKUP(Q$1,'offpeak-new'!$A$3:$DQ$20,$D588,FALSE)),0,VLOOKUP(Q$1,'offpeak-new'!$A$3:$DQ$20,$D588,FALSE))</f>
        <v>0</v>
      </c>
      <c r="R588" s="14">
        <f>IF(ISNA(VLOOKUP(R$1,'offpeak-new'!$A$3:$DQ$20,$D588,FALSE)),0,VLOOKUP(R$1,'offpeak-new'!$A$3:$DQ$20,$D588,FALSE))</f>
        <v>0</v>
      </c>
      <c r="S588" s="10"/>
    </row>
    <row r="589" spans="1:19" s="8" customFormat="1" x14ac:dyDescent="0.2">
      <c r="A589" s="8">
        <f t="shared" ref="A589:A611" si="161">IF(B588=12,A588+1,A588)</f>
        <v>2009</v>
      </c>
      <c r="B589" s="8">
        <f t="shared" ref="B589:B611" si="162">IF(B588=12,1,B588+1)</f>
        <v>2</v>
      </c>
      <c r="C589" s="9">
        <f t="shared" si="160"/>
        <v>39845</v>
      </c>
      <c r="D589" s="8">
        <f t="shared" si="159"/>
        <v>89</v>
      </c>
      <c r="E589" s="14">
        <f>IF(ISNA(VLOOKUP(E$1,'offpeak-new'!$A$3:$DQ$20,$D589,FALSE)),0,VLOOKUP(E$1,'offpeak-new'!$A$3:$DQ$20,$D589,FALSE))</f>
        <v>0</v>
      </c>
      <c r="F589" s="14">
        <f>IF(ISNA(VLOOKUP(F$1,'offpeak-new'!$A$3:$DQ$20,$D589,FALSE)),0,VLOOKUP(F$1,'offpeak-new'!$A$3:$DQ$20,$D589,FALSE))</f>
        <v>0</v>
      </c>
      <c r="G589" s="14">
        <f>IF(ISNA(VLOOKUP(G$1,'offpeak-new'!$A$3:$DQ$20,$D589,FALSE)),0,VLOOKUP(G$1,'offpeak-new'!$A$3:$DQ$20,$D589,FALSE))</f>
        <v>0</v>
      </c>
      <c r="H589" s="14">
        <f>IF(ISNA(VLOOKUP(H$1,'offpeak-new'!$A$3:$DQ$20,$D589,FALSE)),0,VLOOKUP(H$1,'offpeak-new'!$A$3:$DQ$20,$D589,FALSE))</f>
        <v>-19600</v>
      </c>
      <c r="I589" s="14">
        <f>IF(ISNA(VLOOKUP(I$1,'offpeak-new'!$A$3:$DQ$20,$D589,FALSE)),0,VLOOKUP(I$1,'offpeak-new'!$A$3:$DQ$20,$D589,FALSE))</f>
        <v>0</v>
      </c>
      <c r="J589" s="14">
        <f>IF(ISNA(VLOOKUP(J$1,'offpeak-new'!$A$3:$DQ$20,$D589,FALSE)),0,VLOOKUP(J$1,'offpeak-new'!$A$3:$DQ$20,$D589,FALSE))</f>
        <v>0</v>
      </c>
      <c r="K589" s="14">
        <f>IF(ISNA(VLOOKUP(K$1,'offpeak-new'!$A$3:$DQ$20,$D589,FALSE)),0,VLOOKUP(K$1,'offpeak-new'!$A$3:$DQ$20,$D589,FALSE))</f>
        <v>0</v>
      </c>
      <c r="L589" s="14">
        <f>IF(ISNA(VLOOKUP(L$1,'offpeak-new'!$A$3:$DQ$20,$D589,FALSE)),0,VLOOKUP(L$1,'offpeak-new'!$A$3:$DQ$20,$D589,FALSE))</f>
        <v>0</v>
      </c>
      <c r="M589" s="14">
        <f>IF(ISNA(VLOOKUP(M$1,'offpeak-new'!$A$3:$DQ$20,$D589,FALSE)),0,VLOOKUP(M$1,'offpeak-new'!$A$3:$DQ$20,$D589,FALSE))</f>
        <v>0</v>
      </c>
      <c r="N589" s="14">
        <f>IF(ISNA(VLOOKUP(N$1,'offpeak-new'!$A$3:$DQ$20,$D589,FALSE)),0,VLOOKUP(N$1,'offpeak-new'!$A$3:$DQ$20,$D589,FALSE))</f>
        <v>0</v>
      </c>
      <c r="O589" s="14">
        <f>IF(ISNA(VLOOKUP(O$1,'offpeak-new'!$A$3:$DQ$20,$D589,FALSE)),0,VLOOKUP(O$1,'offpeak-new'!$A$3:$DQ$20,$D589,FALSE))</f>
        <v>0</v>
      </c>
      <c r="P589" s="14">
        <f>IF(ISNA(VLOOKUP(P$1,'offpeak-new'!$A$3:$DQ$20,$D589,FALSE)),0,VLOOKUP(P$1,'offpeak-new'!$A$3:$DQ$20,$D589,FALSE))</f>
        <v>0</v>
      </c>
      <c r="Q589" s="15">
        <f>IF(ISNA(VLOOKUP(Q$1,'offpeak-new'!$A$3:$DQ$20,$D589,FALSE)),0,VLOOKUP(Q$1,'offpeak-new'!$A$3:$DQ$20,$D589,FALSE))</f>
        <v>0</v>
      </c>
      <c r="R589" s="14">
        <f>IF(ISNA(VLOOKUP(R$1,'offpeak-new'!$A$3:$DQ$20,$D589,FALSE)),0,VLOOKUP(R$1,'offpeak-new'!$A$3:$DQ$20,$D589,FALSE))</f>
        <v>0</v>
      </c>
      <c r="S589" s="10"/>
    </row>
    <row r="590" spans="1:19" s="8" customFormat="1" x14ac:dyDescent="0.2">
      <c r="A590" s="8">
        <f t="shared" si="161"/>
        <v>2009</v>
      </c>
      <c r="B590" s="8">
        <f t="shared" si="162"/>
        <v>3</v>
      </c>
      <c r="C590" s="9">
        <f t="shared" si="160"/>
        <v>39873</v>
      </c>
      <c r="D590" s="8">
        <f t="shared" si="159"/>
        <v>90</v>
      </c>
      <c r="E590" s="14">
        <f>IF(ISNA(VLOOKUP(E$1,'offpeak-new'!$A$3:$DQ$20,$D590,FALSE)),0,VLOOKUP(E$1,'offpeak-new'!$A$3:$DQ$20,$D590,FALSE))</f>
        <v>0</v>
      </c>
      <c r="F590" s="14">
        <f>IF(ISNA(VLOOKUP(F$1,'offpeak-new'!$A$3:$DQ$20,$D590,FALSE)),0,VLOOKUP(F$1,'offpeak-new'!$A$3:$DQ$20,$D590,FALSE))</f>
        <v>0</v>
      </c>
      <c r="G590" s="14">
        <f>IF(ISNA(VLOOKUP(G$1,'offpeak-new'!$A$3:$DQ$20,$D590,FALSE)),0,VLOOKUP(G$1,'offpeak-new'!$A$3:$DQ$20,$D590,FALSE))</f>
        <v>0</v>
      </c>
      <c r="H590" s="14">
        <f>IF(ISNA(VLOOKUP(H$1,'offpeak-new'!$A$3:$DQ$20,$D590,FALSE)),0,VLOOKUP(H$1,'offpeak-new'!$A$3:$DQ$20,$D590,FALSE))</f>
        <v>-18350</v>
      </c>
      <c r="I590" s="14">
        <f>IF(ISNA(VLOOKUP(I$1,'offpeak-new'!$A$3:$DQ$20,$D590,FALSE)),0,VLOOKUP(I$1,'offpeak-new'!$A$3:$DQ$20,$D590,FALSE))</f>
        <v>0</v>
      </c>
      <c r="J590" s="14">
        <f>IF(ISNA(VLOOKUP(J$1,'offpeak-new'!$A$3:$DQ$20,$D590,FALSE)),0,VLOOKUP(J$1,'offpeak-new'!$A$3:$DQ$20,$D590,FALSE))</f>
        <v>0</v>
      </c>
      <c r="K590" s="14">
        <f>IF(ISNA(VLOOKUP(K$1,'offpeak-new'!$A$3:$DQ$20,$D590,FALSE)),0,VLOOKUP(K$1,'offpeak-new'!$A$3:$DQ$20,$D590,FALSE))</f>
        <v>0</v>
      </c>
      <c r="L590" s="14">
        <f>IF(ISNA(VLOOKUP(L$1,'offpeak-new'!$A$3:$DQ$20,$D590,FALSE)),0,VLOOKUP(L$1,'offpeak-new'!$A$3:$DQ$20,$D590,FALSE))</f>
        <v>0</v>
      </c>
      <c r="M590" s="14">
        <f>IF(ISNA(VLOOKUP(M$1,'offpeak-new'!$A$3:$DQ$20,$D590,FALSE)),0,VLOOKUP(M$1,'offpeak-new'!$A$3:$DQ$20,$D590,FALSE))</f>
        <v>0</v>
      </c>
      <c r="N590" s="14">
        <f>IF(ISNA(VLOOKUP(N$1,'offpeak-new'!$A$3:$DQ$20,$D590,FALSE)),0,VLOOKUP(N$1,'offpeak-new'!$A$3:$DQ$20,$D590,FALSE))</f>
        <v>0</v>
      </c>
      <c r="O590" s="14">
        <f>IF(ISNA(VLOOKUP(O$1,'offpeak-new'!$A$3:$DQ$20,$D590,FALSE)),0,VLOOKUP(O$1,'offpeak-new'!$A$3:$DQ$20,$D590,FALSE))</f>
        <v>0</v>
      </c>
      <c r="P590" s="14">
        <f>IF(ISNA(VLOOKUP(P$1,'offpeak-new'!$A$3:$DQ$20,$D590,FALSE)),0,VLOOKUP(P$1,'offpeak-new'!$A$3:$DQ$20,$D590,FALSE))</f>
        <v>0</v>
      </c>
      <c r="Q590" s="15">
        <f>IF(ISNA(VLOOKUP(Q$1,'offpeak-new'!$A$3:$DQ$20,$D590,FALSE)),0,VLOOKUP(Q$1,'offpeak-new'!$A$3:$DQ$20,$D590,FALSE))</f>
        <v>0</v>
      </c>
      <c r="R590" s="14">
        <f>IF(ISNA(VLOOKUP(R$1,'offpeak-new'!$A$3:$DQ$20,$D590,FALSE)),0,VLOOKUP(R$1,'offpeak-new'!$A$3:$DQ$20,$D590,FALSE))</f>
        <v>0</v>
      </c>
      <c r="S590" s="10"/>
    </row>
    <row r="591" spans="1:19" s="8" customFormat="1" x14ac:dyDescent="0.2">
      <c r="A591" s="8">
        <f t="shared" si="161"/>
        <v>2009</v>
      </c>
      <c r="B591" s="8">
        <f t="shared" si="162"/>
        <v>4</v>
      </c>
      <c r="C591" s="9">
        <f t="shared" si="160"/>
        <v>39904</v>
      </c>
      <c r="D591" s="8">
        <f t="shared" si="159"/>
        <v>91</v>
      </c>
      <c r="E591" s="14">
        <f>IF(ISNA(VLOOKUP(E$1,'offpeak-new'!$A$3:$DQ$20,$D591,FALSE)),0,VLOOKUP(E$1,'offpeak-new'!$A$3:$DQ$20,$D591,FALSE))</f>
        <v>0</v>
      </c>
      <c r="F591" s="14">
        <f>IF(ISNA(VLOOKUP(F$1,'offpeak-new'!$A$3:$DQ$20,$D591,FALSE)),0,VLOOKUP(F$1,'offpeak-new'!$A$3:$DQ$20,$D591,FALSE))</f>
        <v>0</v>
      </c>
      <c r="G591" s="14">
        <f>IF(ISNA(VLOOKUP(G$1,'offpeak-new'!$A$3:$DQ$20,$D591,FALSE)),0,VLOOKUP(G$1,'offpeak-new'!$A$3:$DQ$20,$D591,FALSE))</f>
        <v>0</v>
      </c>
      <c r="H591" s="14">
        <f>IF(ISNA(VLOOKUP(H$1,'offpeak-new'!$A$3:$DQ$20,$D591,FALSE)),0,VLOOKUP(H$1,'offpeak-new'!$A$3:$DQ$20,$D591,FALSE))</f>
        <v>-21200</v>
      </c>
      <c r="I591" s="14">
        <f>IF(ISNA(VLOOKUP(I$1,'offpeak-new'!$A$3:$DQ$20,$D591,FALSE)),0,VLOOKUP(I$1,'offpeak-new'!$A$3:$DQ$20,$D591,FALSE))</f>
        <v>0</v>
      </c>
      <c r="J591" s="14">
        <f>IF(ISNA(VLOOKUP(J$1,'offpeak-new'!$A$3:$DQ$20,$D591,FALSE)),0,VLOOKUP(J$1,'offpeak-new'!$A$3:$DQ$20,$D591,FALSE))</f>
        <v>0</v>
      </c>
      <c r="K591" s="14">
        <f>IF(ISNA(VLOOKUP(K$1,'offpeak-new'!$A$3:$DQ$20,$D591,FALSE)),0,VLOOKUP(K$1,'offpeak-new'!$A$3:$DQ$20,$D591,FALSE))</f>
        <v>0</v>
      </c>
      <c r="L591" s="14">
        <f>IF(ISNA(VLOOKUP(L$1,'offpeak-new'!$A$3:$DQ$20,$D591,FALSE)),0,VLOOKUP(L$1,'offpeak-new'!$A$3:$DQ$20,$D591,FALSE))</f>
        <v>0</v>
      </c>
      <c r="M591" s="14">
        <f>IF(ISNA(VLOOKUP(M$1,'offpeak-new'!$A$3:$DQ$20,$D591,FALSE)),0,VLOOKUP(M$1,'offpeak-new'!$A$3:$DQ$20,$D591,FALSE))</f>
        <v>0</v>
      </c>
      <c r="N591" s="14">
        <f>IF(ISNA(VLOOKUP(N$1,'offpeak-new'!$A$3:$DQ$20,$D591,FALSE)),0,VLOOKUP(N$1,'offpeak-new'!$A$3:$DQ$20,$D591,FALSE))</f>
        <v>0</v>
      </c>
      <c r="O591" s="14">
        <f>IF(ISNA(VLOOKUP(O$1,'offpeak-new'!$A$3:$DQ$20,$D591,FALSE)),0,VLOOKUP(O$1,'offpeak-new'!$A$3:$DQ$20,$D591,FALSE))</f>
        <v>0</v>
      </c>
      <c r="P591" s="14">
        <f>IF(ISNA(VLOOKUP(P$1,'offpeak-new'!$A$3:$DQ$20,$D591,FALSE)),0,VLOOKUP(P$1,'offpeak-new'!$A$3:$DQ$20,$D591,FALSE))</f>
        <v>0</v>
      </c>
      <c r="Q591" s="15">
        <f>IF(ISNA(VLOOKUP(Q$1,'offpeak-new'!$A$3:$DQ$20,$D591,FALSE)),0,VLOOKUP(Q$1,'offpeak-new'!$A$3:$DQ$20,$D591,FALSE))</f>
        <v>0</v>
      </c>
      <c r="R591" s="14">
        <f>IF(ISNA(VLOOKUP(R$1,'offpeak-new'!$A$3:$DQ$20,$D591,FALSE)),0,VLOOKUP(R$1,'offpeak-new'!$A$3:$DQ$20,$D591,FALSE))</f>
        <v>0</v>
      </c>
      <c r="S591" s="10"/>
    </row>
    <row r="592" spans="1:19" s="8" customFormat="1" x14ac:dyDescent="0.2">
      <c r="A592" s="8">
        <f t="shared" si="161"/>
        <v>2009</v>
      </c>
      <c r="B592" s="8">
        <f t="shared" si="162"/>
        <v>5</v>
      </c>
      <c r="C592" s="9">
        <f t="shared" si="160"/>
        <v>39934</v>
      </c>
      <c r="D592" s="8">
        <f t="shared" si="159"/>
        <v>92</v>
      </c>
      <c r="E592" s="14">
        <f>IF(ISNA(VLOOKUP(E$1,'offpeak-new'!$A$3:$DQ$20,$D592,FALSE)),0,VLOOKUP(E$1,'offpeak-new'!$A$3:$DQ$20,$D592,FALSE))</f>
        <v>0</v>
      </c>
      <c r="F592" s="14">
        <f>IF(ISNA(VLOOKUP(F$1,'offpeak-new'!$A$3:$DQ$20,$D592,FALSE)),0,VLOOKUP(F$1,'offpeak-new'!$A$3:$DQ$20,$D592,FALSE))</f>
        <v>0</v>
      </c>
      <c r="G592" s="14">
        <f>IF(ISNA(VLOOKUP(G$1,'offpeak-new'!$A$3:$DQ$20,$D592,FALSE)),0,VLOOKUP(G$1,'offpeak-new'!$A$3:$DQ$20,$D592,FALSE))</f>
        <v>0</v>
      </c>
      <c r="H592" s="14">
        <f>IF(ISNA(VLOOKUP(H$1,'offpeak-new'!$A$3:$DQ$20,$D592,FALSE)),0,VLOOKUP(H$1,'offpeak-new'!$A$3:$DQ$20,$D592,FALSE))</f>
        <v>-18400</v>
      </c>
      <c r="I592" s="14">
        <f>IF(ISNA(VLOOKUP(I$1,'offpeak-new'!$A$3:$DQ$20,$D592,FALSE)),0,VLOOKUP(I$1,'offpeak-new'!$A$3:$DQ$20,$D592,FALSE))</f>
        <v>0</v>
      </c>
      <c r="J592" s="14">
        <f>IF(ISNA(VLOOKUP(J$1,'offpeak-new'!$A$3:$DQ$20,$D592,FALSE)),0,VLOOKUP(J$1,'offpeak-new'!$A$3:$DQ$20,$D592,FALSE))</f>
        <v>0</v>
      </c>
      <c r="K592" s="14">
        <f>IF(ISNA(VLOOKUP(K$1,'offpeak-new'!$A$3:$DQ$20,$D592,FALSE)),0,VLOOKUP(K$1,'offpeak-new'!$A$3:$DQ$20,$D592,FALSE))</f>
        <v>0</v>
      </c>
      <c r="L592" s="14">
        <f>IF(ISNA(VLOOKUP(L$1,'offpeak-new'!$A$3:$DQ$20,$D592,FALSE)),0,VLOOKUP(L$1,'offpeak-new'!$A$3:$DQ$20,$D592,FALSE))</f>
        <v>0</v>
      </c>
      <c r="M592" s="14">
        <f>IF(ISNA(VLOOKUP(M$1,'offpeak-new'!$A$3:$DQ$20,$D592,FALSE)),0,VLOOKUP(M$1,'offpeak-new'!$A$3:$DQ$20,$D592,FALSE))</f>
        <v>0</v>
      </c>
      <c r="N592" s="14">
        <f>IF(ISNA(VLOOKUP(N$1,'offpeak-new'!$A$3:$DQ$20,$D592,FALSE)),0,VLOOKUP(N$1,'offpeak-new'!$A$3:$DQ$20,$D592,FALSE))</f>
        <v>0</v>
      </c>
      <c r="O592" s="14">
        <f>IF(ISNA(VLOOKUP(O$1,'offpeak-new'!$A$3:$DQ$20,$D592,FALSE)),0,VLOOKUP(O$1,'offpeak-new'!$A$3:$DQ$20,$D592,FALSE))</f>
        <v>0</v>
      </c>
      <c r="P592" s="14">
        <f>IF(ISNA(VLOOKUP(P$1,'offpeak-new'!$A$3:$DQ$20,$D592,FALSE)),0,VLOOKUP(P$1,'offpeak-new'!$A$3:$DQ$20,$D592,FALSE))</f>
        <v>0</v>
      </c>
      <c r="Q592" s="15">
        <f>IF(ISNA(VLOOKUP(Q$1,'offpeak-new'!$A$3:$DQ$20,$D592,FALSE)),0,VLOOKUP(Q$1,'offpeak-new'!$A$3:$DQ$20,$D592,FALSE))</f>
        <v>0</v>
      </c>
      <c r="R592" s="14">
        <f>IF(ISNA(VLOOKUP(R$1,'offpeak-new'!$A$3:$DQ$20,$D592,FALSE)),0,VLOOKUP(R$1,'offpeak-new'!$A$3:$DQ$20,$D592,FALSE))</f>
        <v>0</v>
      </c>
      <c r="S592" s="10"/>
    </row>
    <row r="593" spans="1:19" s="8" customFormat="1" x14ac:dyDescent="0.2">
      <c r="A593" s="8">
        <f t="shared" si="161"/>
        <v>2009</v>
      </c>
      <c r="B593" s="8">
        <f t="shared" si="162"/>
        <v>6</v>
      </c>
      <c r="C593" s="9">
        <f t="shared" si="160"/>
        <v>39965</v>
      </c>
      <c r="D593" s="8">
        <f t="shared" ref="D593:D611" si="163">D592+1</f>
        <v>93</v>
      </c>
      <c r="E593" s="14">
        <f>IF(ISNA(VLOOKUP(E$1,'offpeak-new'!$A$3:$DQ$20,$D593,FALSE)),0,VLOOKUP(E$1,'offpeak-new'!$A$3:$DQ$20,$D593,FALSE))</f>
        <v>0</v>
      </c>
      <c r="F593" s="14">
        <f>IF(ISNA(VLOOKUP(F$1,'offpeak-new'!$A$3:$DQ$20,$D593,FALSE)),0,VLOOKUP(F$1,'offpeak-new'!$A$3:$DQ$20,$D593,FALSE))</f>
        <v>0</v>
      </c>
      <c r="G593" s="14">
        <f>IF(ISNA(VLOOKUP(G$1,'offpeak-new'!$A$3:$DQ$20,$D593,FALSE)),0,VLOOKUP(G$1,'offpeak-new'!$A$3:$DQ$20,$D593,FALSE))</f>
        <v>0</v>
      </c>
      <c r="H593" s="14">
        <f>IF(ISNA(VLOOKUP(H$1,'offpeak-new'!$A$3:$DQ$20,$D593,FALSE)),0,VLOOKUP(H$1,'offpeak-new'!$A$3:$DQ$20,$D593,FALSE))</f>
        <v>-18800</v>
      </c>
      <c r="I593" s="14">
        <f>IF(ISNA(VLOOKUP(I$1,'offpeak-new'!$A$3:$DQ$20,$D593,FALSE)),0,VLOOKUP(I$1,'offpeak-new'!$A$3:$DQ$20,$D593,FALSE))</f>
        <v>0</v>
      </c>
      <c r="J593" s="14">
        <f>IF(ISNA(VLOOKUP(J$1,'offpeak-new'!$A$3:$DQ$20,$D593,FALSE)),0,VLOOKUP(J$1,'offpeak-new'!$A$3:$DQ$20,$D593,FALSE))</f>
        <v>0</v>
      </c>
      <c r="K593" s="14">
        <f>IF(ISNA(VLOOKUP(K$1,'offpeak-new'!$A$3:$DQ$20,$D593,FALSE)),0,VLOOKUP(K$1,'offpeak-new'!$A$3:$DQ$20,$D593,FALSE))</f>
        <v>0</v>
      </c>
      <c r="L593" s="14">
        <f>IF(ISNA(VLOOKUP(L$1,'offpeak-new'!$A$3:$DQ$20,$D593,FALSE)),0,VLOOKUP(L$1,'offpeak-new'!$A$3:$DQ$20,$D593,FALSE))</f>
        <v>0</v>
      </c>
      <c r="M593" s="14">
        <f>IF(ISNA(VLOOKUP(M$1,'offpeak-new'!$A$3:$DQ$20,$D593,FALSE)),0,VLOOKUP(M$1,'offpeak-new'!$A$3:$DQ$20,$D593,FALSE))</f>
        <v>0</v>
      </c>
      <c r="N593" s="14">
        <f>IF(ISNA(VLOOKUP(N$1,'offpeak-new'!$A$3:$DQ$20,$D593,FALSE)),0,VLOOKUP(N$1,'offpeak-new'!$A$3:$DQ$20,$D593,FALSE))</f>
        <v>0</v>
      </c>
      <c r="O593" s="14">
        <f>IF(ISNA(VLOOKUP(O$1,'offpeak-new'!$A$3:$DQ$20,$D593,FALSE)),0,VLOOKUP(O$1,'offpeak-new'!$A$3:$DQ$20,$D593,FALSE))</f>
        <v>0</v>
      </c>
      <c r="P593" s="14">
        <f>IF(ISNA(VLOOKUP(P$1,'offpeak-new'!$A$3:$DQ$20,$D593,FALSE)),0,VLOOKUP(P$1,'offpeak-new'!$A$3:$DQ$20,$D593,FALSE))</f>
        <v>0</v>
      </c>
      <c r="Q593" s="15">
        <f>IF(ISNA(VLOOKUP(Q$1,'offpeak-new'!$A$3:$DQ$20,$D593,FALSE)),0,VLOOKUP(Q$1,'offpeak-new'!$A$3:$DQ$20,$D593,FALSE))</f>
        <v>0</v>
      </c>
      <c r="R593" s="14">
        <f>IF(ISNA(VLOOKUP(R$1,'offpeak-new'!$A$3:$DQ$20,$D593,FALSE)),0,VLOOKUP(R$1,'offpeak-new'!$A$3:$DQ$20,$D593,FALSE))</f>
        <v>0</v>
      </c>
      <c r="S593" s="10"/>
    </row>
    <row r="594" spans="1:19" s="8" customFormat="1" x14ac:dyDescent="0.2">
      <c r="A594" s="8">
        <f t="shared" si="161"/>
        <v>2009</v>
      </c>
      <c r="B594" s="8">
        <f t="shared" si="162"/>
        <v>7</v>
      </c>
      <c r="C594" s="9">
        <f t="shared" si="160"/>
        <v>39995</v>
      </c>
      <c r="D594" s="8">
        <f t="shared" si="163"/>
        <v>94</v>
      </c>
      <c r="E594" s="14">
        <f>IF(ISNA(VLOOKUP(E$1,'offpeak-new'!$A$3:$DQ$20,$D594,FALSE)),0,VLOOKUP(E$1,'offpeak-new'!$A$3:$DQ$20,$D594,FALSE))</f>
        <v>0</v>
      </c>
      <c r="F594" s="14">
        <f>IF(ISNA(VLOOKUP(F$1,'offpeak-new'!$A$3:$DQ$20,$D594,FALSE)),0,VLOOKUP(F$1,'offpeak-new'!$A$3:$DQ$20,$D594,FALSE))</f>
        <v>0</v>
      </c>
      <c r="G594" s="14">
        <f>IF(ISNA(VLOOKUP(G$1,'offpeak-new'!$A$3:$DQ$20,$D594,FALSE)),0,VLOOKUP(G$1,'offpeak-new'!$A$3:$DQ$20,$D594,FALSE))</f>
        <v>0</v>
      </c>
      <c r="H594" s="14">
        <f>IF(ISNA(VLOOKUP(H$1,'offpeak-new'!$A$3:$DQ$20,$D594,FALSE)),0,VLOOKUP(H$1,'offpeak-new'!$A$3:$DQ$20,$D594,FALSE))</f>
        <v>-20400</v>
      </c>
      <c r="I594" s="14">
        <f>IF(ISNA(VLOOKUP(I$1,'offpeak-new'!$A$3:$DQ$20,$D594,FALSE)),0,VLOOKUP(I$1,'offpeak-new'!$A$3:$DQ$20,$D594,FALSE))</f>
        <v>0</v>
      </c>
      <c r="J594" s="14">
        <f>IF(ISNA(VLOOKUP(J$1,'offpeak-new'!$A$3:$DQ$20,$D594,FALSE)),0,VLOOKUP(J$1,'offpeak-new'!$A$3:$DQ$20,$D594,FALSE))</f>
        <v>0</v>
      </c>
      <c r="K594" s="14">
        <f>IF(ISNA(VLOOKUP(K$1,'offpeak-new'!$A$3:$DQ$20,$D594,FALSE)),0,VLOOKUP(K$1,'offpeak-new'!$A$3:$DQ$20,$D594,FALSE))</f>
        <v>0</v>
      </c>
      <c r="L594" s="14">
        <f>IF(ISNA(VLOOKUP(L$1,'offpeak-new'!$A$3:$DQ$20,$D594,FALSE)),0,VLOOKUP(L$1,'offpeak-new'!$A$3:$DQ$20,$D594,FALSE))</f>
        <v>0</v>
      </c>
      <c r="M594" s="14">
        <f>IF(ISNA(VLOOKUP(M$1,'offpeak-new'!$A$3:$DQ$20,$D594,FALSE)),0,VLOOKUP(M$1,'offpeak-new'!$A$3:$DQ$20,$D594,FALSE))</f>
        <v>0</v>
      </c>
      <c r="N594" s="14">
        <f>IF(ISNA(VLOOKUP(N$1,'offpeak-new'!$A$3:$DQ$20,$D594,FALSE)),0,VLOOKUP(N$1,'offpeak-new'!$A$3:$DQ$20,$D594,FALSE))</f>
        <v>0</v>
      </c>
      <c r="O594" s="14">
        <f>IF(ISNA(VLOOKUP(O$1,'offpeak-new'!$A$3:$DQ$20,$D594,FALSE)),0,VLOOKUP(O$1,'offpeak-new'!$A$3:$DQ$20,$D594,FALSE))</f>
        <v>0</v>
      </c>
      <c r="P594" s="14">
        <f>IF(ISNA(VLOOKUP(P$1,'offpeak-new'!$A$3:$DQ$20,$D594,FALSE)),0,VLOOKUP(P$1,'offpeak-new'!$A$3:$DQ$20,$D594,FALSE))</f>
        <v>0</v>
      </c>
      <c r="Q594" s="15">
        <f>IF(ISNA(VLOOKUP(Q$1,'offpeak-new'!$A$3:$DQ$20,$D594,FALSE)),0,VLOOKUP(Q$1,'offpeak-new'!$A$3:$DQ$20,$D594,FALSE))</f>
        <v>0</v>
      </c>
      <c r="R594" s="14">
        <f>IF(ISNA(VLOOKUP(R$1,'offpeak-new'!$A$3:$DQ$20,$D594,FALSE)),0,VLOOKUP(R$1,'offpeak-new'!$A$3:$DQ$20,$D594,FALSE))</f>
        <v>0</v>
      </c>
      <c r="S594" s="10"/>
    </row>
    <row r="595" spans="1:19" s="8" customFormat="1" x14ac:dyDescent="0.2">
      <c r="A595" s="8">
        <f t="shared" si="161"/>
        <v>2009</v>
      </c>
      <c r="B595" s="8">
        <f t="shared" si="162"/>
        <v>8</v>
      </c>
      <c r="C595" s="9">
        <f t="shared" si="160"/>
        <v>40026</v>
      </c>
      <c r="D595" s="8">
        <f t="shared" si="163"/>
        <v>95</v>
      </c>
      <c r="E595" s="14">
        <f>IF(ISNA(VLOOKUP(E$1,'offpeak-new'!$A$3:$DQ$20,$D595,FALSE)),0,VLOOKUP(E$1,'offpeak-new'!$A$3:$DQ$20,$D595,FALSE))</f>
        <v>0</v>
      </c>
      <c r="F595" s="14">
        <f>IF(ISNA(VLOOKUP(F$1,'offpeak-new'!$A$3:$DQ$20,$D595,FALSE)),0,VLOOKUP(F$1,'offpeak-new'!$A$3:$DQ$20,$D595,FALSE))</f>
        <v>0</v>
      </c>
      <c r="G595" s="14">
        <f>IF(ISNA(VLOOKUP(G$1,'offpeak-new'!$A$3:$DQ$20,$D595,FALSE)),0,VLOOKUP(G$1,'offpeak-new'!$A$3:$DQ$20,$D595,FALSE))</f>
        <v>0</v>
      </c>
      <c r="H595" s="14">
        <f>IF(ISNA(VLOOKUP(H$1,'offpeak-new'!$A$3:$DQ$20,$D595,FALSE)),0,VLOOKUP(H$1,'offpeak-new'!$A$3:$DQ$20,$D595,FALSE))</f>
        <v>-19200</v>
      </c>
      <c r="I595" s="14">
        <f>IF(ISNA(VLOOKUP(I$1,'offpeak-new'!$A$3:$DQ$20,$D595,FALSE)),0,VLOOKUP(I$1,'offpeak-new'!$A$3:$DQ$20,$D595,FALSE))</f>
        <v>0</v>
      </c>
      <c r="J595" s="14">
        <f>IF(ISNA(VLOOKUP(J$1,'offpeak-new'!$A$3:$DQ$20,$D595,FALSE)),0,VLOOKUP(J$1,'offpeak-new'!$A$3:$DQ$20,$D595,FALSE))</f>
        <v>0</v>
      </c>
      <c r="K595" s="14">
        <f>IF(ISNA(VLOOKUP(K$1,'offpeak-new'!$A$3:$DQ$20,$D595,FALSE)),0,VLOOKUP(K$1,'offpeak-new'!$A$3:$DQ$20,$D595,FALSE))</f>
        <v>0</v>
      </c>
      <c r="L595" s="14">
        <f>IF(ISNA(VLOOKUP(L$1,'offpeak-new'!$A$3:$DQ$20,$D595,FALSE)),0,VLOOKUP(L$1,'offpeak-new'!$A$3:$DQ$20,$D595,FALSE))</f>
        <v>0</v>
      </c>
      <c r="M595" s="14">
        <f>IF(ISNA(VLOOKUP(M$1,'offpeak-new'!$A$3:$DQ$20,$D595,FALSE)),0,VLOOKUP(M$1,'offpeak-new'!$A$3:$DQ$20,$D595,FALSE))</f>
        <v>0</v>
      </c>
      <c r="N595" s="14">
        <f>IF(ISNA(VLOOKUP(N$1,'offpeak-new'!$A$3:$DQ$20,$D595,FALSE)),0,VLOOKUP(N$1,'offpeak-new'!$A$3:$DQ$20,$D595,FALSE))</f>
        <v>0</v>
      </c>
      <c r="O595" s="14">
        <f>IF(ISNA(VLOOKUP(O$1,'offpeak-new'!$A$3:$DQ$20,$D595,FALSE)),0,VLOOKUP(O$1,'offpeak-new'!$A$3:$DQ$20,$D595,FALSE))</f>
        <v>0</v>
      </c>
      <c r="P595" s="14">
        <f>IF(ISNA(VLOOKUP(P$1,'offpeak-new'!$A$3:$DQ$20,$D595,FALSE)),0,VLOOKUP(P$1,'offpeak-new'!$A$3:$DQ$20,$D595,FALSE))</f>
        <v>0</v>
      </c>
      <c r="Q595" s="15">
        <f>IF(ISNA(VLOOKUP(Q$1,'offpeak-new'!$A$3:$DQ$20,$D595,FALSE)),0,VLOOKUP(Q$1,'offpeak-new'!$A$3:$DQ$20,$D595,FALSE))</f>
        <v>0</v>
      </c>
      <c r="R595" s="14">
        <f>IF(ISNA(VLOOKUP(R$1,'offpeak-new'!$A$3:$DQ$20,$D595,FALSE)),0,VLOOKUP(R$1,'offpeak-new'!$A$3:$DQ$20,$D595,FALSE))</f>
        <v>0</v>
      </c>
      <c r="S595" s="10"/>
    </row>
    <row r="596" spans="1:19" s="8" customFormat="1" x14ac:dyDescent="0.2">
      <c r="A596" s="8">
        <f t="shared" si="161"/>
        <v>2009</v>
      </c>
      <c r="B596" s="8">
        <f t="shared" si="162"/>
        <v>9</v>
      </c>
      <c r="C596" s="9">
        <f t="shared" si="160"/>
        <v>40057</v>
      </c>
      <c r="D596" s="8">
        <f t="shared" si="163"/>
        <v>96</v>
      </c>
      <c r="E596" s="14">
        <f>IF(ISNA(VLOOKUP(E$1,'offpeak-new'!$A$3:$DQ$20,$D596,FALSE)),0,VLOOKUP(E$1,'offpeak-new'!$A$3:$DQ$20,$D596,FALSE))</f>
        <v>0</v>
      </c>
      <c r="F596" s="14">
        <f>IF(ISNA(VLOOKUP(F$1,'offpeak-new'!$A$3:$DQ$20,$D596,FALSE)),0,VLOOKUP(F$1,'offpeak-new'!$A$3:$DQ$20,$D596,FALSE))</f>
        <v>0</v>
      </c>
      <c r="G596" s="14">
        <f>IF(ISNA(VLOOKUP(G$1,'offpeak-new'!$A$3:$DQ$20,$D596,FALSE)),0,VLOOKUP(G$1,'offpeak-new'!$A$3:$DQ$20,$D596,FALSE))</f>
        <v>0</v>
      </c>
      <c r="H596" s="14">
        <f>IF(ISNA(VLOOKUP(H$1,'offpeak-new'!$A$3:$DQ$20,$D596,FALSE)),0,VLOOKUP(H$1,'offpeak-new'!$A$3:$DQ$20,$D596,FALSE))</f>
        <v>-19650</v>
      </c>
      <c r="I596" s="14">
        <f>IF(ISNA(VLOOKUP(I$1,'offpeak-new'!$A$3:$DQ$20,$D596,FALSE)),0,VLOOKUP(I$1,'offpeak-new'!$A$3:$DQ$20,$D596,FALSE))</f>
        <v>0</v>
      </c>
      <c r="J596" s="14">
        <f>IF(ISNA(VLOOKUP(J$1,'offpeak-new'!$A$3:$DQ$20,$D596,FALSE)),0,VLOOKUP(J$1,'offpeak-new'!$A$3:$DQ$20,$D596,FALSE))</f>
        <v>0</v>
      </c>
      <c r="K596" s="14">
        <f>IF(ISNA(VLOOKUP(K$1,'offpeak-new'!$A$3:$DQ$20,$D596,FALSE)),0,VLOOKUP(K$1,'offpeak-new'!$A$3:$DQ$20,$D596,FALSE))</f>
        <v>0</v>
      </c>
      <c r="L596" s="14">
        <f>IF(ISNA(VLOOKUP(L$1,'offpeak-new'!$A$3:$DQ$20,$D596,FALSE)),0,VLOOKUP(L$1,'offpeak-new'!$A$3:$DQ$20,$D596,FALSE))</f>
        <v>0</v>
      </c>
      <c r="M596" s="14">
        <f>IF(ISNA(VLOOKUP(M$1,'offpeak-new'!$A$3:$DQ$20,$D596,FALSE)),0,VLOOKUP(M$1,'offpeak-new'!$A$3:$DQ$20,$D596,FALSE))</f>
        <v>0</v>
      </c>
      <c r="N596" s="14">
        <f>IF(ISNA(VLOOKUP(N$1,'offpeak-new'!$A$3:$DQ$20,$D596,FALSE)),0,VLOOKUP(N$1,'offpeak-new'!$A$3:$DQ$20,$D596,FALSE))</f>
        <v>0</v>
      </c>
      <c r="O596" s="14">
        <f>IF(ISNA(VLOOKUP(O$1,'offpeak-new'!$A$3:$DQ$20,$D596,FALSE)),0,VLOOKUP(O$1,'offpeak-new'!$A$3:$DQ$20,$D596,FALSE))</f>
        <v>0</v>
      </c>
      <c r="P596" s="14">
        <f>IF(ISNA(VLOOKUP(P$1,'offpeak-new'!$A$3:$DQ$20,$D596,FALSE)),0,VLOOKUP(P$1,'offpeak-new'!$A$3:$DQ$20,$D596,FALSE))</f>
        <v>0</v>
      </c>
      <c r="Q596" s="15">
        <f>IF(ISNA(VLOOKUP(Q$1,'offpeak-new'!$A$3:$DQ$20,$D596,FALSE)),0,VLOOKUP(Q$1,'offpeak-new'!$A$3:$DQ$20,$D596,FALSE))</f>
        <v>0</v>
      </c>
      <c r="R596" s="14">
        <f>IF(ISNA(VLOOKUP(R$1,'offpeak-new'!$A$3:$DQ$20,$D596,FALSE)),0,VLOOKUP(R$1,'offpeak-new'!$A$3:$DQ$20,$D596,FALSE))</f>
        <v>0</v>
      </c>
      <c r="S596" s="10"/>
    </row>
    <row r="597" spans="1:19" s="8" customFormat="1" x14ac:dyDescent="0.2">
      <c r="A597" s="8">
        <f t="shared" si="161"/>
        <v>2009</v>
      </c>
      <c r="B597" s="8">
        <f t="shared" si="162"/>
        <v>10</v>
      </c>
      <c r="C597" s="9">
        <f t="shared" si="160"/>
        <v>40087</v>
      </c>
      <c r="D597" s="8">
        <f t="shared" si="163"/>
        <v>97</v>
      </c>
      <c r="E597" s="14">
        <f>IF(ISNA(VLOOKUP(E$1,'offpeak-new'!$A$3:$DQ$20,$D597,FALSE)),0,VLOOKUP(E$1,'offpeak-new'!$A$3:$DQ$20,$D597,FALSE))</f>
        <v>0</v>
      </c>
      <c r="F597" s="14">
        <f>IF(ISNA(VLOOKUP(F$1,'offpeak-new'!$A$3:$DQ$20,$D597,FALSE)),0,VLOOKUP(F$1,'offpeak-new'!$A$3:$DQ$20,$D597,FALSE))</f>
        <v>0</v>
      </c>
      <c r="G597" s="14">
        <f>IF(ISNA(VLOOKUP(G$1,'offpeak-new'!$A$3:$DQ$20,$D597,FALSE)),0,VLOOKUP(G$1,'offpeak-new'!$A$3:$DQ$20,$D597,FALSE))</f>
        <v>0</v>
      </c>
      <c r="H597" s="14">
        <f>IF(ISNA(VLOOKUP(H$1,'offpeak-new'!$A$3:$DQ$20,$D597,FALSE)),0,VLOOKUP(H$1,'offpeak-new'!$A$3:$DQ$20,$D597,FALSE))</f>
        <v>-20000</v>
      </c>
      <c r="I597" s="14">
        <f>IF(ISNA(VLOOKUP(I$1,'offpeak-new'!$A$3:$DQ$20,$D597,FALSE)),0,VLOOKUP(I$1,'offpeak-new'!$A$3:$DQ$20,$D597,FALSE))</f>
        <v>0</v>
      </c>
      <c r="J597" s="14">
        <f>IF(ISNA(VLOOKUP(J$1,'offpeak-new'!$A$3:$DQ$20,$D597,FALSE)),0,VLOOKUP(J$1,'offpeak-new'!$A$3:$DQ$20,$D597,FALSE))</f>
        <v>0</v>
      </c>
      <c r="K597" s="14">
        <f>IF(ISNA(VLOOKUP(K$1,'offpeak-new'!$A$3:$DQ$20,$D597,FALSE)),0,VLOOKUP(K$1,'offpeak-new'!$A$3:$DQ$20,$D597,FALSE))</f>
        <v>0</v>
      </c>
      <c r="L597" s="14">
        <f>IF(ISNA(VLOOKUP(L$1,'offpeak-new'!$A$3:$DQ$20,$D597,FALSE)),0,VLOOKUP(L$1,'offpeak-new'!$A$3:$DQ$20,$D597,FALSE))</f>
        <v>0</v>
      </c>
      <c r="M597" s="14">
        <f>IF(ISNA(VLOOKUP(M$1,'offpeak-new'!$A$3:$DQ$20,$D597,FALSE)),0,VLOOKUP(M$1,'offpeak-new'!$A$3:$DQ$20,$D597,FALSE))</f>
        <v>0</v>
      </c>
      <c r="N597" s="14">
        <f>IF(ISNA(VLOOKUP(N$1,'offpeak-new'!$A$3:$DQ$20,$D597,FALSE)),0,VLOOKUP(N$1,'offpeak-new'!$A$3:$DQ$20,$D597,FALSE))</f>
        <v>0</v>
      </c>
      <c r="O597" s="14">
        <f>IF(ISNA(VLOOKUP(O$1,'offpeak-new'!$A$3:$DQ$20,$D597,FALSE)),0,VLOOKUP(O$1,'offpeak-new'!$A$3:$DQ$20,$D597,FALSE))</f>
        <v>0</v>
      </c>
      <c r="P597" s="14">
        <f>IF(ISNA(VLOOKUP(P$1,'offpeak-new'!$A$3:$DQ$20,$D597,FALSE)),0,VLOOKUP(P$1,'offpeak-new'!$A$3:$DQ$20,$D597,FALSE))</f>
        <v>0</v>
      </c>
      <c r="Q597" s="15">
        <f>IF(ISNA(VLOOKUP(Q$1,'offpeak-new'!$A$3:$DQ$20,$D597,FALSE)),0,VLOOKUP(Q$1,'offpeak-new'!$A$3:$DQ$20,$D597,FALSE))</f>
        <v>0</v>
      </c>
      <c r="R597" s="14">
        <f>IF(ISNA(VLOOKUP(R$1,'offpeak-new'!$A$3:$DQ$20,$D597,FALSE)),0,VLOOKUP(R$1,'offpeak-new'!$A$3:$DQ$20,$D597,FALSE))</f>
        <v>0</v>
      </c>
      <c r="S597" s="10"/>
    </row>
    <row r="598" spans="1:19" s="8" customFormat="1" x14ac:dyDescent="0.2">
      <c r="A598" s="8">
        <f t="shared" si="161"/>
        <v>2009</v>
      </c>
      <c r="B598" s="8">
        <f t="shared" si="162"/>
        <v>11</v>
      </c>
      <c r="C598" s="9">
        <f t="shared" si="160"/>
        <v>40118</v>
      </c>
      <c r="D598" s="8">
        <f t="shared" si="163"/>
        <v>98</v>
      </c>
      <c r="E598" s="14">
        <f>IF(ISNA(VLOOKUP(E$1,'offpeak-new'!$A$3:$DQ$20,$D598,FALSE)),0,VLOOKUP(E$1,'offpeak-new'!$A$3:$DQ$20,$D598,FALSE))</f>
        <v>0</v>
      </c>
      <c r="F598" s="14">
        <f>IF(ISNA(VLOOKUP(F$1,'offpeak-new'!$A$3:$DQ$20,$D598,FALSE)),0,VLOOKUP(F$1,'offpeak-new'!$A$3:$DQ$20,$D598,FALSE))</f>
        <v>0</v>
      </c>
      <c r="G598" s="14">
        <f>IF(ISNA(VLOOKUP(G$1,'offpeak-new'!$A$3:$DQ$20,$D598,FALSE)),0,VLOOKUP(G$1,'offpeak-new'!$A$3:$DQ$20,$D598,FALSE))</f>
        <v>0</v>
      </c>
      <c r="H598" s="14">
        <f>IF(ISNA(VLOOKUP(H$1,'offpeak-new'!$A$3:$DQ$20,$D598,FALSE)),0,VLOOKUP(H$1,'offpeak-new'!$A$3:$DQ$20,$D598,FALSE))</f>
        <v>-19600</v>
      </c>
      <c r="I598" s="14">
        <f>IF(ISNA(VLOOKUP(I$1,'offpeak-new'!$A$3:$DQ$20,$D598,FALSE)),0,VLOOKUP(I$1,'offpeak-new'!$A$3:$DQ$20,$D598,FALSE))</f>
        <v>0</v>
      </c>
      <c r="J598" s="14">
        <f>IF(ISNA(VLOOKUP(J$1,'offpeak-new'!$A$3:$DQ$20,$D598,FALSE)),0,VLOOKUP(J$1,'offpeak-new'!$A$3:$DQ$20,$D598,FALSE))</f>
        <v>0</v>
      </c>
      <c r="K598" s="14">
        <f>IF(ISNA(VLOOKUP(K$1,'offpeak-new'!$A$3:$DQ$20,$D598,FALSE)),0,VLOOKUP(K$1,'offpeak-new'!$A$3:$DQ$20,$D598,FALSE))</f>
        <v>0</v>
      </c>
      <c r="L598" s="14">
        <f>IF(ISNA(VLOOKUP(L$1,'offpeak-new'!$A$3:$DQ$20,$D598,FALSE)),0,VLOOKUP(L$1,'offpeak-new'!$A$3:$DQ$20,$D598,FALSE))</f>
        <v>0</v>
      </c>
      <c r="M598" s="14">
        <f>IF(ISNA(VLOOKUP(M$1,'offpeak-new'!$A$3:$DQ$20,$D598,FALSE)),0,VLOOKUP(M$1,'offpeak-new'!$A$3:$DQ$20,$D598,FALSE))</f>
        <v>0</v>
      </c>
      <c r="N598" s="14">
        <f>IF(ISNA(VLOOKUP(N$1,'offpeak-new'!$A$3:$DQ$20,$D598,FALSE)),0,VLOOKUP(N$1,'offpeak-new'!$A$3:$DQ$20,$D598,FALSE))</f>
        <v>0</v>
      </c>
      <c r="O598" s="14">
        <f>IF(ISNA(VLOOKUP(O$1,'offpeak-new'!$A$3:$DQ$20,$D598,FALSE)),0,VLOOKUP(O$1,'offpeak-new'!$A$3:$DQ$20,$D598,FALSE))</f>
        <v>0</v>
      </c>
      <c r="P598" s="14">
        <f>IF(ISNA(VLOOKUP(P$1,'offpeak-new'!$A$3:$DQ$20,$D598,FALSE)),0,VLOOKUP(P$1,'offpeak-new'!$A$3:$DQ$20,$D598,FALSE))</f>
        <v>0</v>
      </c>
      <c r="Q598" s="15">
        <f>IF(ISNA(VLOOKUP(Q$1,'offpeak-new'!$A$3:$DQ$20,$D598,FALSE)),0,VLOOKUP(Q$1,'offpeak-new'!$A$3:$DQ$20,$D598,FALSE))</f>
        <v>0</v>
      </c>
      <c r="R598" s="14">
        <f>IF(ISNA(VLOOKUP(R$1,'offpeak-new'!$A$3:$DQ$20,$D598,FALSE)),0,VLOOKUP(R$1,'offpeak-new'!$A$3:$DQ$20,$D598,FALSE))</f>
        <v>0</v>
      </c>
      <c r="S598" s="10"/>
    </row>
    <row r="599" spans="1:19" s="8" customFormat="1" x14ac:dyDescent="0.2">
      <c r="A599" s="8">
        <f t="shared" si="161"/>
        <v>2009</v>
      </c>
      <c r="B599" s="8">
        <f t="shared" si="162"/>
        <v>12</v>
      </c>
      <c r="C599" s="9">
        <f t="shared" si="160"/>
        <v>40148</v>
      </c>
      <c r="D599" s="8">
        <f t="shared" si="163"/>
        <v>99</v>
      </c>
      <c r="E599" s="14">
        <f>IF(ISNA(VLOOKUP(E$1,'offpeak-new'!$A$3:$DQ$20,$D599,FALSE)),0,VLOOKUP(E$1,'offpeak-new'!$A$3:$DQ$20,$D599,FALSE))</f>
        <v>0</v>
      </c>
      <c r="F599" s="14">
        <f>IF(ISNA(VLOOKUP(F$1,'offpeak-new'!$A$3:$DQ$20,$D599,FALSE)),0,VLOOKUP(F$1,'offpeak-new'!$A$3:$DQ$20,$D599,FALSE))</f>
        <v>0</v>
      </c>
      <c r="G599" s="14">
        <f>IF(ISNA(VLOOKUP(G$1,'offpeak-new'!$A$3:$DQ$20,$D599,FALSE)),0,VLOOKUP(G$1,'offpeak-new'!$A$3:$DQ$20,$D599,FALSE))</f>
        <v>0</v>
      </c>
      <c r="H599" s="14">
        <f>IF(ISNA(VLOOKUP(H$1,'offpeak-new'!$A$3:$DQ$20,$D599,FALSE)),0,VLOOKUP(H$1,'offpeak-new'!$A$3:$DQ$20,$D599,FALSE))</f>
        <v>-21200</v>
      </c>
      <c r="I599" s="14">
        <f>IF(ISNA(VLOOKUP(I$1,'offpeak-new'!$A$3:$DQ$20,$D599,FALSE)),0,VLOOKUP(I$1,'offpeak-new'!$A$3:$DQ$20,$D599,FALSE))</f>
        <v>0</v>
      </c>
      <c r="J599" s="14">
        <f>IF(ISNA(VLOOKUP(J$1,'offpeak-new'!$A$3:$DQ$20,$D599,FALSE)),0,VLOOKUP(J$1,'offpeak-new'!$A$3:$DQ$20,$D599,FALSE))</f>
        <v>0</v>
      </c>
      <c r="K599" s="14">
        <f>IF(ISNA(VLOOKUP(K$1,'offpeak-new'!$A$3:$DQ$20,$D599,FALSE)),0,VLOOKUP(K$1,'offpeak-new'!$A$3:$DQ$20,$D599,FALSE))</f>
        <v>0</v>
      </c>
      <c r="L599" s="14">
        <f>IF(ISNA(VLOOKUP(L$1,'offpeak-new'!$A$3:$DQ$20,$D599,FALSE)),0,VLOOKUP(L$1,'offpeak-new'!$A$3:$DQ$20,$D599,FALSE))</f>
        <v>0</v>
      </c>
      <c r="M599" s="14">
        <f>IF(ISNA(VLOOKUP(M$1,'offpeak-new'!$A$3:$DQ$20,$D599,FALSE)),0,VLOOKUP(M$1,'offpeak-new'!$A$3:$DQ$20,$D599,FALSE))</f>
        <v>0</v>
      </c>
      <c r="N599" s="14">
        <f>IF(ISNA(VLOOKUP(N$1,'offpeak-new'!$A$3:$DQ$20,$D599,FALSE)),0,VLOOKUP(N$1,'offpeak-new'!$A$3:$DQ$20,$D599,FALSE))</f>
        <v>0</v>
      </c>
      <c r="O599" s="14">
        <f>IF(ISNA(VLOOKUP(O$1,'offpeak-new'!$A$3:$DQ$20,$D599,FALSE)),0,VLOOKUP(O$1,'offpeak-new'!$A$3:$DQ$20,$D599,FALSE))</f>
        <v>0</v>
      </c>
      <c r="P599" s="14">
        <f>IF(ISNA(VLOOKUP(P$1,'offpeak-new'!$A$3:$DQ$20,$D599,FALSE)),0,VLOOKUP(P$1,'offpeak-new'!$A$3:$DQ$20,$D599,FALSE))</f>
        <v>0</v>
      </c>
      <c r="Q599" s="15">
        <f>IF(ISNA(VLOOKUP(Q$1,'offpeak-new'!$A$3:$DQ$20,$D599,FALSE)),0,VLOOKUP(Q$1,'offpeak-new'!$A$3:$DQ$20,$D599,FALSE))</f>
        <v>0</v>
      </c>
      <c r="R599" s="14">
        <f>IF(ISNA(VLOOKUP(R$1,'offpeak-new'!$A$3:$DQ$20,$D599,FALSE)),0,VLOOKUP(R$1,'offpeak-new'!$A$3:$DQ$20,$D599,FALSE))</f>
        <v>0</v>
      </c>
      <c r="S599" s="10"/>
    </row>
    <row r="600" spans="1:19" s="8" customFormat="1" x14ac:dyDescent="0.2">
      <c r="A600" s="8">
        <f t="shared" si="161"/>
        <v>2010</v>
      </c>
      <c r="B600" s="8">
        <f t="shared" si="162"/>
        <v>1</v>
      </c>
      <c r="C600" s="9">
        <f t="shared" si="160"/>
        <v>40179</v>
      </c>
      <c r="D600" s="8">
        <f t="shared" si="163"/>
        <v>100</v>
      </c>
      <c r="E600" s="14">
        <f>IF(ISNA(VLOOKUP(E$1,'offpeak-new'!$A$3:$DQ$20,$D600,FALSE)),0,VLOOKUP(E$1,'offpeak-new'!$A$3:$DQ$20,$D600,FALSE))</f>
        <v>0</v>
      </c>
      <c r="F600" s="14">
        <f>IF(ISNA(VLOOKUP(F$1,'offpeak-new'!$A$3:$DQ$20,$D600,FALSE)),0,VLOOKUP(F$1,'offpeak-new'!$A$3:$DQ$20,$D600,FALSE))</f>
        <v>0</v>
      </c>
      <c r="G600" s="14">
        <f>IF(ISNA(VLOOKUP(G$1,'offpeak-new'!$A$3:$DQ$20,$D600,FALSE)),0,VLOOKUP(G$1,'offpeak-new'!$A$3:$DQ$20,$D600,FALSE))</f>
        <v>0</v>
      </c>
      <c r="H600" s="14">
        <f>IF(ISNA(VLOOKUP(H$1,'offpeak-new'!$A$3:$DQ$20,$D600,FALSE)),0,VLOOKUP(H$1,'offpeak-new'!$A$3:$DQ$20,$D600,FALSE))</f>
        <v>-17600</v>
      </c>
      <c r="I600" s="14">
        <f>IF(ISNA(VLOOKUP(I$1,'offpeak-new'!$A$3:$DQ$20,$D600,FALSE)),0,VLOOKUP(I$1,'offpeak-new'!$A$3:$DQ$20,$D600,FALSE))</f>
        <v>0</v>
      </c>
      <c r="J600" s="14">
        <f>IF(ISNA(VLOOKUP(J$1,'offpeak-new'!$A$3:$DQ$20,$D600,FALSE)),0,VLOOKUP(J$1,'offpeak-new'!$A$3:$DQ$20,$D600,FALSE))</f>
        <v>0</v>
      </c>
      <c r="K600" s="14">
        <f>IF(ISNA(VLOOKUP(K$1,'offpeak-new'!$A$3:$DQ$20,$D600,FALSE)),0,VLOOKUP(K$1,'offpeak-new'!$A$3:$DQ$20,$D600,FALSE))</f>
        <v>0</v>
      </c>
      <c r="L600" s="14">
        <f>IF(ISNA(VLOOKUP(L$1,'offpeak-new'!$A$3:$DQ$20,$D600,FALSE)),0,VLOOKUP(L$1,'offpeak-new'!$A$3:$DQ$20,$D600,FALSE))</f>
        <v>0</v>
      </c>
      <c r="M600" s="14">
        <f>IF(ISNA(VLOOKUP(M$1,'offpeak-new'!$A$3:$DQ$20,$D600,FALSE)),0,VLOOKUP(M$1,'offpeak-new'!$A$3:$DQ$20,$D600,FALSE))</f>
        <v>0</v>
      </c>
      <c r="N600" s="14">
        <f>IF(ISNA(VLOOKUP(N$1,'offpeak-new'!$A$3:$DQ$20,$D600,FALSE)),0,VLOOKUP(N$1,'offpeak-new'!$A$3:$DQ$20,$D600,FALSE))</f>
        <v>0</v>
      </c>
      <c r="O600" s="14">
        <f>IF(ISNA(VLOOKUP(O$1,'offpeak-new'!$A$3:$DQ$20,$D600,FALSE)),0,VLOOKUP(O$1,'offpeak-new'!$A$3:$DQ$20,$D600,FALSE))</f>
        <v>0</v>
      </c>
      <c r="P600" s="14">
        <f>IF(ISNA(VLOOKUP(P$1,'offpeak-new'!$A$3:$DQ$20,$D600,FALSE)),0,VLOOKUP(P$1,'offpeak-new'!$A$3:$DQ$20,$D600,FALSE))</f>
        <v>0</v>
      </c>
      <c r="Q600" s="15">
        <f>IF(ISNA(VLOOKUP(Q$1,'offpeak-new'!$A$3:$DQ$20,$D600,FALSE)),0,VLOOKUP(Q$1,'offpeak-new'!$A$3:$DQ$20,$D600,FALSE))</f>
        <v>0</v>
      </c>
      <c r="R600" s="14">
        <f>IF(ISNA(VLOOKUP(R$1,'offpeak-new'!$A$3:$DQ$20,$D600,FALSE)),0,VLOOKUP(R$1,'offpeak-new'!$A$3:$DQ$20,$D600,FALSE))</f>
        <v>0</v>
      </c>
      <c r="S600" s="10"/>
    </row>
    <row r="601" spans="1:19" s="8" customFormat="1" x14ac:dyDescent="0.2">
      <c r="A601" s="8">
        <f t="shared" si="161"/>
        <v>2010</v>
      </c>
      <c r="B601" s="8">
        <f t="shared" si="162"/>
        <v>2</v>
      </c>
      <c r="C601" s="9">
        <f t="shared" si="160"/>
        <v>40210</v>
      </c>
      <c r="D601" s="8">
        <f t="shared" si="163"/>
        <v>101</v>
      </c>
      <c r="E601" s="14">
        <f>IF(ISNA(VLOOKUP(E$1,'offpeak-new'!$A$3:$DQ$20,$D601,FALSE)),0,VLOOKUP(E$1,'offpeak-new'!$A$3:$DQ$20,$D601,FALSE))</f>
        <v>0</v>
      </c>
      <c r="F601" s="14">
        <f>IF(ISNA(VLOOKUP(F$1,'offpeak-new'!$A$3:$DQ$20,$D601,FALSE)),0,VLOOKUP(F$1,'offpeak-new'!$A$3:$DQ$20,$D601,FALSE))</f>
        <v>0</v>
      </c>
      <c r="G601" s="14">
        <f>IF(ISNA(VLOOKUP(G$1,'offpeak-new'!$A$3:$DQ$20,$D601,FALSE)),0,VLOOKUP(G$1,'offpeak-new'!$A$3:$DQ$20,$D601,FALSE))</f>
        <v>0</v>
      </c>
      <c r="H601" s="14">
        <f>IF(ISNA(VLOOKUP(H$1,'offpeak-new'!$A$3:$DQ$20,$D601,FALSE)),0,VLOOKUP(H$1,'offpeak-new'!$A$3:$DQ$20,$D601,FALSE))</f>
        <v>-18800</v>
      </c>
      <c r="I601" s="14">
        <f>IF(ISNA(VLOOKUP(I$1,'offpeak-new'!$A$3:$DQ$20,$D601,FALSE)),0,VLOOKUP(I$1,'offpeak-new'!$A$3:$DQ$20,$D601,FALSE))</f>
        <v>0</v>
      </c>
      <c r="J601" s="14">
        <f>IF(ISNA(VLOOKUP(J$1,'offpeak-new'!$A$3:$DQ$20,$D601,FALSE)),0,VLOOKUP(J$1,'offpeak-new'!$A$3:$DQ$20,$D601,FALSE))</f>
        <v>0</v>
      </c>
      <c r="K601" s="14">
        <f>IF(ISNA(VLOOKUP(K$1,'offpeak-new'!$A$3:$DQ$20,$D601,FALSE)),0,VLOOKUP(K$1,'offpeak-new'!$A$3:$DQ$20,$D601,FALSE))</f>
        <v>0</v>
      </c>
      <c r="L601" s="14">
        <f>IF(ISNA(VLOOKUP(L$1,'offpeak-new'!$A$3:$DQ$20,$D601,FALSE)),0,VLOOKUP(L$1,'offpeak-new'!$A$3:$DQ$20,$D601,FALSE))</f>
        <v>0</v>
      </c>
      <c r="M601" s="14">
        <f>IF(ISNA(VLOOKUP(M$1,'offpeak-new'!$A$3:$DQ$20,$D601,FALSE)),0,VLOOKUP(M$1,'offpeak-new'!$A$3:$DQ$20,$D601,FALSE))</f>
        <v>0</v>
      </c>
      <c r="N601" s="14">
        <f>IF(ISNA(VLOOKUP(N$1,'offpeak-new'!$A$3:$DQ$20,$D601,FALSE)),0,VLOOKUP(N$1,'offpeak-new'!$A$3:$DQ$20,$D601,FALSE))</f>
        <v>0</v>
      </c>
      <c r="O601" s="14">
        <f>IF(ISNA(VLOOKUP(O$1,'offpeak-new'!$A$3:$DQ$20,$D601,FALSE)),0,VLOOKUP(O$1,'offpeak-new'!$A$3:$DQ$20,$D601,FALSE))</f>
        <v>0</v>
      </c>
      <c r="P601" s="14">
        <f>IF(ISNA(VLOOKUP(P$1,'offpeak-new'!$A$3:$DQ$20,$D601,FALSE)),0,VLOOKUP(P$1,'offpeak-new'!$A$3:$DQ$20,$D601,FALSE))</f>
        <v>0</v>
      </c>
      <c r="Q601" s="15">
        <f>IF(ISNA(VLOOKUP(Q$1,'offpeak-new'!$A$3:$DQ$20,$D601,FALSE)),0,VLOOKUP(Q$1,'offpeak-new'!$A$3:$DQ$20,$D601,FALSE))</f>
        <v>0</v>
      </c>
      <c r="R601" s="14">
        <f>IF(ISNA(VLOOKUP(R$1,'offpeak-new'!$A$3:$DQ$20,$D601,FALSE)),0,VLOOKUP(R$1,'offpeak-new'!$A$3:$DQ$20,$D601,FALSE))</f>
        <v>0</v>
      </c>
      <c r="S601" s="10"/>
    </row>
    <row r="602" spans="1:19" s="8" customFormat="1" x14ac:dyDescent="0.2">
      <c r="A602" s="8">
        <f t="shared" si="161"/>
        <v>2010</v>
      </c>
      <c r="B602" s="8">
        <f t="shared" si="162"/>
        <v>3</v>
      </c>
      <c r="C602" s="9">
        <f t="shared" si="160"/>
        <v>40238</v>
      </c>
      <c r="D602" s="8">
        <f t="shared" si="163"/>
        <v>102</v>
      </c>
      <c r="E602" s="14">
        <f>IF(ISNA(VLOOKUP(E$1,'offpeak-new'!$A$3:$DQ$20,$D602,FALSE)),0,VLOOKUP(E$1,'offpeak-new'!$A$3:$DQ$20,$D602,FALSE))</f>
        <v>0</v>
      </c>
      <c r="F602" s="14">
        <f>IF(ISNA(VLOOKUP(F$1,'offpeak-new'!$A$3:$DQ$20,$D602,FALSE)),0,VLOOKUP(F$1,'offpeak-new'!$A$3:$DQ$20,$D602,FALSE))</f>
        <v>0</v>
      </c>
      <c r="G602" s="14">
        <f>IF(ISNA(VLOOKUP(G$1,'offpeak-new'!$A$3:$DQ$20,$D602,FALSE)),0,VLOOKUP(G$1,'offpeak-new'!$A$3:$DQ$20,$D602,FALSE))</f>
        <v>0</v>
      </c>
      <c r="H602" s="14">
        <f>IF(ISNA(VLOOKUP(H$1,'offpeak-new'!$A$3:$DQ$20,$D602,FALSE)),0,VLOOKUP(H$1,'offpeak-new'!$A$3:$DQ$20,$D602,FALSE))</f>
        <v>-18350</v>
      </c>
      <c r="I602" s="14">
        <f>IF(ISNA(VLOOKUP(I$1,'offpeak-new'!$A$3:$DQ$20,$D602,FALSE)),0,VLOOKUP(I$1,'offpeak-new'!$A$3:$DQ$20,$D602,FALSE))</f>
        <v>0</v>
      </c>
      <c r="J602" s="14">
        <f>IF(ISNA(VLOOKUP(J$1,'offpeak-new'!$A$3:$DQ$20,$D602,FALSE)),0,VLOOKUP(J$1,'offpeak-new'!$A$3:$DQ$20,$D602,FALSE))</f>
        <v>0</v>
      </c>
      <c r="K602" s="14">
        <f>IF(ISNA(VLOOKUP(K$1,'offpeak-new'!$A$3:$DQ$20,$D602,FALSE)),0,VLOOKUP(K$1,'offpeak-new'!$A$3:$DQ$20,$D602,FALSE))</f>
        <v>0</v>
      </c>
      <c r="L602" s="14">
        <f>IF(ISNA(VLOOKUP(L$1,'offpeak-new'!$A$3:$DQ$20,$D602,FALSE)),0,VLOOKUP(L$1,'offpeak-new'!$A$3:$DQ$20,$D602,FALSE))</f>
        <v>0</v>
      </c>
      <c r="M602" s="14">
        <f>IF(ISNA(VLOOKUP(M$1,'offpeak-new'!$A$3:$DQ$20,$D602,FALSE)),0,VLOOKUP(M$1,'offpeak-new'!$A$3:$DQ$20,$D602,FALSE))</f>
        <v>0</v>
      </c>
      <c r="N602" s="14">
        <f>IF(ISNA(VLOOKUP(N$1,'offpeak-new'!$A$3:$DQ$20,$D602,FALSE)),0,VLOOKUP(N$1,'offpeak-new'!$A$3:$DQ$20,$D602,FALSE))</f>
        <v>0</v>
      </c>
      <c r="O602" s="14">
        <f>IF(ISNA(VLOOKUP(O$1,'offpeak-new'!$A$3:$DQ$20,$D602,FALSE)),0,VLOOKUP(O$1,'offpeak-new'!$A$3:$DQ$20,$D602,FALSE))</f>
        <v>0</v>
      </c>
      <c r="P602" s="14">
        <f>IF(ISNA(VLOOKUP(P$1,'offpeak-new'!$A$3:$DQ$20,$D602,FALSE)),0,VLOOKUP(P$1,'offpeak-new'!$A$3:$DQ$20,$D602,FALSE))</f>
        <v>0</v>
      </c>
      <c r="Q602" s="15">
        <f>IF(ISNA(VLOOKUP(Q$1,'offpeak-new'!$A$3:$DQ$20,$D602,FALSE)),0,VLOOKUP(Q$1,'offpeak-new'!$A$3:$DQ$20,$D602,FALSE))</f>
        <v>0</v>
      </c>
      <c r="R602" s="14">
        <f>IF(ISNA(VLOOKUP(R$1,'offpeak-new'!$A$3:$DQ$20,$D602,FALSE)),0,VLOOKUP(R$1,'offpeak-new'!$A$3:$DQ$20,$D602,FALSE))</f>
        <v>0</v>
      </c>
      <c r="S602" s="10"/>
    </row>
    <row r="603" spans="1:19" s="8" customFormat="1" x14ac:dyDescent="0.2">
      <c r="A603" s="8">
        <f t="shared" si="161"/>
        <v>2010</v>
      </c>
      <c r="B603" s="8">
        <f t="shared" si="162"/>
        <v>4</v>
      </c>
      <c r="C603" s="9">
        <f t="shared" si="160"/>
        <v>40269</v>
      </c>
      <c r="D603" s="8">
        <f t="shared" si="163"/>
        <v>103</v>
      </c>
      <c r="E603" s="14">
        <f>IF(ISNA(VLOOKUP(E$1,'offpeak-new'!$A$3:$DQ$20,$D603,FALSE)),0,VLOOKUP(E$1,'offpeak-new'!$A$3:$DQ$20,$D603,FALSE))</f>
        <v>0</v>
      </c>
      <c r="F603" s="14">
        <f>IF(ISNA(VLOOKUP(F$1,'offpeak-new'!$A$3:$DQ$20,$D603,FALSE)),0,VLOOKUP(F$1,'offpeak-new'!$A$3:$DQ$20,$D603,FALSE))</f>
        <v>0</v>
      </c>
      <c r="G603" s="14">
        <f>IF(ISNA(VLOOKUP(G$1,'offpeak-new'!$A$3:$DQ$20,$D603,FALSE)),0,VLOOKUP(G$1,'offpeak-new'!$A$3:$DQ$20,$D603,FALSE))</f>
        <v>0</v>
      </c>
      <c r="H603" s="14">
        <f>IF(ISNA(VLOOKUP(H$1,'offpeak-new'!$A$3:$DQ$20,$D603,FALSE)),0,VLOOKUP(H$1,'offpeak-new'!$A$3:$DQ$20,$D603,FALSE))</f>
        <v>-21200</v>
      </c>
      <c r="I603" s="14">
        <f>IF(ISNA(VLOOKUP(I$1,'offpeak-new'!$A$3:$DQ$20,$D603,FALSE)),0,VLOOKUP(I$1,'offpeak-new'!$A$3:$DQ$20,$D603,FALSE))</f>
        <v>0</v>
      </c>
      <c r="J603" s="14">
        <f>IF(ISNA(VLOOKUP(J$1,'offpeak-new'!$A$3:$DQ$20,$D603,FALSE)),0,VLOOKUP(J$1,'offpeak-new'!$A$3:$DQ$20,$D603,FALSE))</f>
        <v>0</v>
      </c>
      <c r="K603" s="14">
        <f>IF(ISNA(VLOOKUP(K$1,'offpeak-new'!$A$3:$DQ$20,$D603,FALSE)),0,VLOOKUP(K$1,'offpeak-new'!$A$3:$DQ$20,$D603,FALSE))</f>
        <v>0</v>
      </c>
      <c r="L603" s="14">
        <f>IF(ISNA(VLOOKUP(L$1,'offpeak-new'!$A$3:$DQ$20,$D603,FALSE)),0,VLOOKUP(L$1,'offpeak-new'!$A$3:$DQ$20,$D603,FALSE))</f>
        <v>0</v>
      </c>
      <c r="M603" s="14">
        <f>IF(ISNA(VLOOKUP(M$1,'offpeak-new'!$A$3:$DQ$20,$D603,FALSE)),0,VLOOKUP(M$1,'offpeak-new'!$A$3:$DQ$20,$D603,FALSE))</f>
        <v>0</v>
      </c>
      <c r="N603" s="14">
        <f>IF(ISNA(VLOOKUP(N$1,'offpeak-new'!$A$3:$DQ$20,$D603,FALSE)),0,VLOOKUP(N$1,'offpeak-new'!$A$3:$DQ$20,$D603,FALSE))</f>
        <v>0</v>
      </c>
      <c r="O603" s="14">
        <f>IF(ISNA(VLOOKUP(O$1,'offpeak-new'!$A$3:$DQ$20,$D603,FALSE)),0,VLOOKUP(O$1,'offpeak-new'!$A$3:$DQ$20,$D603,FALSE))</f>
        <v>0</v>
      </c>
      <c r="P603" s="14">
        <f>IF(ISNA(VLOOKUP(P$1,'offpeak-new'!$A$3:$DQ$20,$D603,FALSE)),0,VLOOKUP(P$1,'offpeak-new'!$A$3:$DQ$20,$D603,FALSE))</f>
        <v>0</v>
      </c>
      <c r="Q603" s="15">
        <f>IF(ISNA(VLOOKUP(Q$1,'offpeak-new'!$A$3:$DQ$20,$D603,FALSE)),0,VLOOKUP(Q$1,'offpeak-new'!$A$3:$DQ$20,$D603,FALSE))</f>
        <v>0</v>
      </c>
      <c r="R603" s="14">
        <f>IF(ISNA(VLOOKUP(R$1,'offpeak-new'!$A$3:$DQ$20,$D603,FALSE)),0,VLOOKUP(R$1,'offpeak-new'!$A$3:$DQ$20,$D603,FALSE))</f>
        <v>0</v>
      </c>
      <c r="S603" s="10"/>
    </row>
    <row r="604" spans="1:19" s="8" customFormat="1" x14ac:dyDescent="0.2">
      <c r="A604" s="8">
        <f t="shared" si="161"/>
        <v>2010</v>
      </c>
      <c r="B604" s="8">
        <f t="shared" si="162"/>
        <v>5</v>
      </c>
      <c r="C604" s="9">
        <f t="shared" si="160"/>
        <v>40299</v>
      </c>
      <c r="D604" s="8">
        <f t="shared" si="163"/>
        <v>104</v>
      </c>
      <c r="E604" s="14">
        <f>IF(ISNA(VLOOKUP(E$1,'offpeak-new'!$A$3:$DQ$20,$D604,FALSE)),0,VLOOKUP(E$1,'offpeak-new'!$A$3:$DQ$20,$D604,FALSE))</f>
        <v>0</v>
      </c>
      <c r="F604" s="14">
        <f>IF(ISNA(VLOOKUP(F$1,'offpeak-new'!$A$3:$DQ$20,$D604,FALSE)),0,VLOOKUP(F$1,'offpeak-new'!$A$3:$DQ$20,$D604,FALSE))</f>
        <v>0</v>
      </c>
      <c r="G604" s="14">
        <f>IF(ISNA(VLOOKUP(G$1,'offpeak-new'!$A$3:$DQ$20,$D604,FALSE)),0,VLOOKUP(G$1,'offpeak-new'!$A$3:$DQ$20,$D604,FALSE))</f>
        <v>0</v>
      </c>
      <c r="H604" s="14">
        <f>IF(ISNA(VLOOKUP(H$1,'offpeak-new'!$A$3:$DQ$20,$D604,FALSE)),0,VLOOKUP(H$1,'offpeak-new'!$A$3:$DQ$20,$D604,FALSE))</f>
        <v>-18400</v>
      </c>
      <c r="I604" s="14">
        <f>IF(ISNA(VLOOKUP(I$1,'offpeak-new'!$A$3:$DQ$20,$D604,FALSE)),0,VLOOKUP(I$1,'offpeak-new'!$A$3:$DQ$20,$D604,FALSE))</f>
        <v>0</v>
      </c>
      <c r="J604" s="14">
        <f>IF(ISNA(VLOOKUP(J$1,'offpeak-new'!$A$3:$DQ$20,$D604,FALSE)),0,VLOOKUP(J$1,'offpeak-new'!$A$3:$DQ$20,$D604,FALSE))</f>
        <v>0</v>
      </c>
      <c r="K604" s="14">
        <f>IF(ISNA(VLOOKUP(K$1,'offpeak-new'!$A$3:$DQ$20,$D604,FALSE)),0,VLOOKUP(K$1,'offpeak-new'!$A$3:$DQ$20,$D604,FALSE))</f>
        <v>0</v>
      </c>
      <c r="L604" s="14">
        <f>IF(ISNA(VLOOKUP(L$1,'offpeak-new'!$A$3:$DQ$20,$D604,FALSE)),0,VLOOKUP(L$1,'offpeak-new'!$A$3:$DQ$20,$D604,FALSE))</f>
        <v>0</v>
      </c>
      <c r="M604" s="14">
        <f>IF(ISNA(VLOOKUP(M$1,'offpeak-new'!$A$3:$DQ$20,$D604,FALSE)),0,VLOOKUP(M$1,'offpeak-new'!$A$3:$DQ$20,$D604,FALSE))</f>
        <v>0</v>
      </c>
      <c r="N604" s="14">
        <f>IF(ISNA(VLOOKUP(N$1,'offpeak-new'!$A$3:$DQ$20,$D604,FALSE)),0,VLOOKUP(N$1,'offpeak-new'!$A$3:$DQ$20,$D604,FALSE))</f>
        <v>0</v>
      </c>
      <c r="O604" s="14">
        <f>IF(ISNA(VLOOKUP(O$1,'offpeak-new'!$A$3:$DQ$20,$D604,FALSE)),0,VLOOKUP(O$1,'offpeak-new'!$A$3:$DQ$20,$D604,FALSE))</f>
        <v>0</v>
      </c>
      <c r="P604" s="14">
        <f>IF(ISNA(VLOOKUP(P$1,'offpeak-new'!$A$3:$DQ$20,$D604,FALSE)),0,VLOOKUP(P$1,'offpeak-new'!$A$3:$DQ$20,$D604,FALSE))</f>
        <v>0</v>
      </c>
      <c r="Q604" s="15">
        <f>IF(ISNA(VLOOKUP(Q$1,'offpeak-new'!$A$3:$DQ$20,$D604,FALSE)),0,VLOOKUP(Q$1,'offpeak-new'!$A$3:$DQ$20,$D604,FALSE))</f>
        <v>0</v>
      </c>
      <c r="R604" s="14">
        <f>IF(ISNA(VLOOKUP(R$1,'offpeak-new'!$A$3:$DQ$20,$D604,FALSE)),0,VLOOKUP(R$1,'offpeak-new'!$A$3:$DQ$20,$D604,FALSE))</f>
        <v>0</v>
      </c>
      <c r="S604" s="10"/>
    </row>
    <row r="605" spans="1:19" s="8" customFormat="1" x14ac:dyDescent="0.2">
      <c r="A605" s="8">
        <f t="shared" si="161"/>
        <v>2010</v>
      </c>
      <c r="B605" s="8">
        <f t="shared" si="162"/>
        <v>6</v>
      </c>
      <c r="C605" s="9">
        <f t="shared" si="160"/>
        <v>40330</v>
      </c>
      <c r="D605" s="8">
        <f t="shared" si="163"/>
        <v>105</v>
      </c>
      <c r="E605" s="14">
        <f>IF(ISNA(VLOOKUP(E$1,'offpeak-new'!$A$3:$DQ$20,$D605,FALSE)),0,VLOOKUP(E$1,'offpeak-new'!$A$3:$DQ$20,$D605,FALSE))</f>
        <v>0</v>
      </c>
      <c r="F605" s="14">
        <f>IF(ISNA(VLOOKUP(F$1,'offpeak-new'!$A$3:$DQ$20,$D605,FALSE)),0,VLOOKUP(F$1,'offpeak-new'!$A$3:$DQ$20,$D605,FALSE))</f>
        <v>0</v>
      </c>
      <c r="G605" s="14">
        <f>IF(ISNA(VLOOKUP(G$1,'offpeak-new'!$A$3:$DQ$20,$D605,FALSE)),0,VLOOKUP(G$1,'offpeak-new'!$A$3:$DQ$20,$D605,FALSE))</f>
        <v>0</v>
      </c>
      <c r="H605" s="14">
        <f>IF(ISNA(VLOOKUP(H$1,'offpeak-new'!$A$3:$DQ$20,$D605,FALSE)),0,VLOOKUP(H$1,'offpeak-new'!$A$3:$DQ$20,$D605,FALSE))</f>
        <v>-20400</v>
      </c>
      <c r="I605" s="14">
        <f>IF(ISNA(VLOOKUP(I$1,'offpeak-new'!$A$3:$DQ$20,$D605,FALSE)),0,VLOOKUP(I$1,'offpeak-new'!$A$3:$DQ$20,$D605,FALSE))</f>
        <v>0</v>
      </c>
      <c r="J605" s="14">
        <f>IF(ISNA(VLOOKUP(J$1,'offpeak-new'!$A$3:$DQ$20,$D605,FALSE)),0,VLOOKUP(J$1,'offpeak-new'!$A$3:$DQ$20,$D605,FALSE))</f>
        <v>0</v>
      </c>
      <c r="K605" s="14">
        <f>IF(ISNA(VLOOKUP(K$1,'offpeak-new'!$A$3:$DQ$20,$D605,FALSE)),0,VLOOKUP(K$1,'offpeak-new'!$A$3:$DQ$20,$D605,FALSE))</f>
        <v>0</v>
      </c>
      <c r="L605" s="14">
        <f>IF(ISNA(VLOOKUP(L$1,'offpeak-new'!$A$3:$DQ$20,$D605,FALSE)),0,VLOOKUP(L$1,'offpeak-new'!$A$3:$DQ$20,$D605,FALSE))</f>
        <v>0</v>
      </c>
      <c r="M605" s="14">
        <f>IF(ISNA(VLOOKUP(M$1,'offpeak-new'!$A$3:$DQ$20,$D605,FALSE)),0,VLOOKUP(M$1,'offpeak-new'!$A$3:$DQ$20,$D605,FALSE))</f>
        <v>0</v>
      </c>
      <c r="N605" s="14">
        <f>IF(ISNA(VLOOKUP(N$1,'offpeak-new'!$A$3:$DQ$20,$D605,FALSE)),0,VLOOKUP(N$1,'offpeak-new'!$A$3:$DQ$20,$D605,FALSE))</f>
        <v>0</v>
      </c>
      <c r="O605" s="14">
        <f>IF(ISNA(VLOOKUP(O$1,'offpeak-new'!$A$3:$DQ$20,$D605,FALSE)),0,VLOOKUP(O$1,'offpeak-new'!$A$3:$DQ$20,$D605,FALSE))</f>
        <v>0</v>
      </c>
      <c r="P605" s="14">
        <f>IF(ISNA(VLOOKUP(P$1,'offpeak-new'!$A$3:$DQ$20,$D605,FALSE)),0,VLOOKUP(P$1,'offpeak-new'!$A$3:$DQ$20,$D605,FALSE))</f>
        <v>0</v>
      </c>
      <c r="Q605" s="15">
        <f>IF(ISNA(VLOOKUP(Q$1,'offpeak-new'!$A$3:$DQ$20,$D605,FALSE)),0,VLOOKUP(Q$1,'offpeak-new'!$A$3:$DQ$20,$D605,FALSE))</f>
        <v>0</v>
      </c>
      <c r="R605" s="14">
        <f>IF(ISNA(VLOOKUP(R$1,'offpeak-new'!$A$3:$DQ$20,$D605,FALSE)),0,VLOOKUP(R$1,'offpeak-new'!$A$3:$DQ$20,$D605,FALSE))</f>
        <v>0</v>
      </c>
      <c r="S605" s="10"/>
    </row>
    <row r="606" spans="1:19" s="8" customFormat="1" x14ac:dyDescent="0.2">
      <c r="A606" s="8">
        <f t="shared" si="161"/>
        <v>2010</v>
      </c>
      <c r="B606" s="8">
        <f t="shared" si="162"/>
        <v>7</v>
      </c>
      <c r="C606" s="9">
        <f t="shared" si="160"/>
        <v>40360</v>
      </c>
      <c r="D606" s="8">
        <f t="shared" si="163"/>
        <v>106</v>
      </c>
      <c r="E606" s="14">
        <f>IF(ISNA(VLOOKUP(E$1,'offpeak-new'!$A$3:$DQ$20,$D606,FALSE)),0,VLOOKUP(E$1,'offpeak-new'!$A$3:$DQ$20,$D606,FALSE))</f>
        <v>0</v>
      </c>
      <c r="F606" s="14">
        <f>IF(ISNA(VLOOKUP(F$1,'offpeak-new'!$A$3:$DQ$20,$D606,FALSE)),0,VLOOKUP(F$1,'offpeak-new'!$A$3:$DQ$20,$D606,FALSE))</f>
        <v>0</v>
      </c>
      <c r="G606" s="14">
        <f>IF(ISNA(VLOOKUP(G$1,'offpeak-new'!$A$3:$DQ$20,$D606,FALSE)),0,VLOOKUP(G$1,'offpeak-new'!$A$3:$DQ$20,$D606,FALSE))</f>
        <v>0</v>
      </c>
      <c r="H606" s="14">
        <f>IF(ISNA(VLOOKUP(H$1,'offpeak-new'!$A$3:$DQ$20,$D606,FALSE)),0,VLOOKUP(H$1,'offpeak-new'!$A$3:$DQ$20,$D606,FALSE))</f>
        <v>-19600</v>
      </c>
      <c r="I606" s="14">
        <f>IF(ISNA(VLOOKUP(I$1,'offpeak-new'!$A$3:$DQ$20,$D606,FALSE)),0,VLOOKUP(I$1,'offpeak-new'!$A$3:$DQ$20,$D606,FALSE))</f>
        <v>0</v>
      </c>
      <c r="J606" s="14">
        <f>IF(ISNA(VLOOKUP(J$1,'offpeak-new'!$A$3:$DQ$20,$D606,FALSE)),0,VLOOKUP(J$1,'offpeak-new'!$A$3:$DQ$20,$D606,FALSE))</f>
        <v>0</v>
      </c>
      <c r="K606" s="14">
        <f>IF(ISNA(VLOOKUP(K$1,'offpeak-new'!$A$3:$DQ$20,$D606,FALSE)),0,VLOOKUP(K$1,'offpeak-new'!$A$3:$DQ$20,$D606,FALSE))</f>
        <v>0</v>
      </c>
      <c r="L606" s="14">
        <f>IF(ISNA(VLOOKUP(L$1,'offpeak-new'!$A$3:$DQ$20,$D606,FALSE)),0,VLOOKUP(L$1,'offpeak-new'!$A$3:$DQ$20,$D606,FALSE))</f>
        <v>0</v>
      </c>
      <c r="M606" s="14">
        <f>IF(ISNA(VLOOKUP(M$1,'offpeak-new'!$A$3:$DQ$20,$D606,FALSE)),0,VLOOKUP(M$1,'offpeak-new'!$A$3:$DQ$20,$D606,FALSE))</f>
        <v>0</v>
      </c>
      <c r="N606" s="14">
        <f>IF(ISNA(VLOOKUP(N$1,'offpeak-new'!$A$3:$DQ$20,$D606,FALSE)),0,VLOOKUP(N$1,'offpeak-new'!$A$3:$DQ$20,$D606,FALSE))</f>
        <v>0</v>
      </c>
      <c r="O606" s="14">
        <f>IF(ISNA(VLOOKUP(O$1,'offpeak-new'!$A$3:$DQ$20,$D606,FALSE)),0,VLOOKUP(O$1,'offpeak-new'!$A$3:$DQ$20,$D606,FALSE))</f>
        <v>0</v>
      </c>
      <c r="P606" s="14">
        <f>IF(ISNA(VLOOKUP(P$1,'offpeak-new'!$A$3:$DQ$20,$D606,FALSE)),0,VLOOKUP(P$1,'offpeak-new'!$A$3:$DQ$20,$D606,FALSE))</f>
        <v>0</v>
      </c>
      <c r="Q606" s="15">
        <f>IF(ISNA(VLOOKUP(Q$1,'offpeak-new'!$A$3:$DQ$20,$D606,FALSE)),0,VLOOKUP(Q$1,'offpeak-new'!$A$3:$DQ$20,$D606,FALSE))</f>
        <v>0</v>
      </c>
      <c r="R606" s="14">
        <f>IF(ISNA(VLOOKUP(R$1,'offpeak-new'!$A$3:$DQ$20,$D606,FALSE)),0,VLOOKUP(R$1,'offpeak-new'!$A$3:$DQ$20,$D606,FALSE))</f>
        <v>0</v>
      </c>
      <c r="S606" s="10"/>
    </row>
    <row r="607" spans="1:19" s="8" customFormat="1" x14ac:dyDescent="0.2">
      <c r="A607" s="8">
        <f t="shared" si="161"/>
        <v>2010</v>
      </c>
      <c r="B607" s="8">
        <f t="shared" si="162"/>
        <v>8</v>
      </c>
      <c r="C607" s="9">
        <f t="shared" si="160"/>
        <v>40391</v>
      </c>
      <c r="D607" s="8">
        <f t="shared" si="163"/>
        <v>107</v>
      </c>
      <c r="E607" s="14">
        <f>IF(ISNA(VLOOKUP(E$1,'offpeak-new'!$A$3:$DQ$20,$D607,FALSE)),0,VLOOKUP(E$1,'offpeak-new'!$A$3:$DQ$20,$D607,FALSE))</f>
        <v>0</v>
      </c>
      <c r="F607" s="14">
        <f>IF(ISNA(VLOOKUP(F$1,'offpeak-new'!$A$3:$DQ$20,$D607,FALSE)),0,VLOOKUP(F$1,'offpeak-new'!$A$3:$DQ$20,$D607,FALSE))</f>
        <v>0</v>
      </c>
      <c r="G607" s="14">
        <f>IF(ISNA(VLOOKUP(G$1,'offpeak-new'!$A$3:$DQ$20,$D607,FALSE)),0,VLOOKUP(G$1,'offpeak-new'!$A$3:$DQ$20,$D607,FALSE))</f>
        <v>0</v>
      </c>
      <c r="H607" s="14">
        <f>IF(ISNA(VLOOKUP(H$1,'offpeak-new'!$A$3:$DQ$20,$D607,FALSE)),0,VLOOKUP(H$1,'offpeak-new'!$A$3:$DQ$20,$D607,FALSE))</f>
        <v>-19200</v>
      </c>
      <c r="I607" s="14">
        <f>IF(ISNA(VLOOKUP(I$1,'offpeak-new'!$A$3:$DQ$20,$D607,FALSE)),0,VLOOKUP(I$1,'offpeak-new'!$A$3:$DQ$20,$D607,FALSE))</f>
        <v>0</v>
      </c>
      <c r="J607" s="14">
        <f>IF(ISNA(VLOOKUP(J$1,'offpeak-new'!$A$3:$DQ$20,$D607,FALSE)),0,VLOOKUP(J$1,'offpeak-new'!$A$3:$DQ$20,$D607,FALSE))</f>
        <v>0</v>
      </c>
      <c r="K607" s="14">
        <f>IF(ISNA(VLOOKUP(K$1,'offpeak-new'!$A$3:$DQ$20,$D607,FALSE)),0,VLOOKUP(K$1,'offpeak-new'!$A$3:$DQ$20,$D607,FALSE))</f>
        <v>0</v>
      </c>
      <c r="L607" s="14">
        <f>IF(ISNA(VLOOKUP(L$1,'offpeak-new'!$A$3:$DQ$20,$D607,FALSE)),0,VLOOKUP(L$1,'offpeak-new'!$A$3:$DQ$20,$D607,FALSE))</f>
        <v>0</v>
      </c>
      <c r="M607" s="14">
        <f>IF(ISNA(VLOOKUP(M$1,'offpeak-new'!$A$3:$DQ$20,$D607,FALSE)),0,VLOOKUP(M$1,'offpeak-new'!$A$3:$DQ$20,$D607,FALSE))</f>
        <v>0</v>
      </c>
      <c r="N607" s="14">
        <f>IF(ISNA(VLOOKUP(N$1,'offpeak-new'!$A$3:$DQ$20,$D607,FALSE)),0,VLOOKUP(N$1,'offpeak-new'!$A$3:$DQ$20,$D607,FALSE))</f>
        <v>0</v>
      </c>
      <c r="O607" s="14">
        <f>IF(ISNA(VLOOKUP(O$1,'offpeak-new'!$A$3:$DQ$20,$D607,FALSE)),0,VLOOKUP(O$1,'offpeak-new'!$A$3:$DQ$20,$D607,FALSE))</f>
        <v>0</v>
      </c>
      <c r="P607" s="14">
        <f>IF(ISNA(VLOOKUP(P$1,'offpeak-new'!$A$3:$DQ$20,$D607,FALSE)),0,VLOOKUP(P$1,'offpeak-new'!$A$3:$DQ$20,$D607,FALSE))</f>
        <v>0</v>
      </c>
      <c r="Q607" s="15">
        <f>IF(ISNA(VLOOKUP(Q$1,'offpeak-new'!$A$3:$DQ$20,$D607,FALSE)),0,VLOOKUP(Q$1,'offpeak-new'!$A$3:$DQ$20,$D607,FALSE))</f>
        <v>0</v>
      </c>
      <c r="R607" s="14">
        <f>IF(ISNA(VLOOKUP(R$1,'offpeak-new'!$A$3:$DQ$20,$D607,FALSE)),0,VLOOKUP(R$1,'offpeak-new'!$A$3:$DQ$20,$D607,FALSE))</f>
        <v>0</v>
      </c>
      <c r="S607" s="10"/>
    </row>
    <row r="608" spans="1:19" s="8" customFormat="1" x14ac:dyDescent="0.2">
      <c r="A608" s="8">
        <f t="shared" si="161"/>
        <v>2010</v>
      </c>
      <c r="B608" s="8">
        <f t="shared" si="162"/>
        <v>9</v>
      </c>
      <c r="C608" s="9">
        <f t="shared" si="160"/>
        <v>40422</v>
      </c>
      <c r="D608" s="8">
        <f t="shared" si="163"/>
        <v>108</v>
      </c>
      <c r="E608" s="14">
        <f>IF(ISNA(VLOOKUP(E$1,'offpeak-new'!$A$3:$DQ$20,$D608,FALSE)),0,VLOOKUP(E$1,'offpeak-new'!$A$3:$DQ$20,$D608,FALSE))</f>
        <v>0</v>
      </c>
      <c r="F608" s="14">
        <f>IF(ISNA(VLOOKUP(F$1,'offpeak-new'!$A$3:$DQ$20,$D608,FALSE)),0,VLOOKUP(F$1,'offpeak-new'!$A$3:$DQ$20,$D608,FALSE))</f>
        <v>0</v>
      </c>
      <c r="G608" s="14">
        <f>IF(ISNA(VLOOKUP(G$1,'offpeak-new'!$A$3:$DQ$20,$D608,FALSE)),0,VLOOKUP(G$1,'offpeak-new'!$A$3:$DQ$20,$D608,FALSE))</f>
        <v>0</v>
      </c>
      <c r="H608" s="14">
        <f>IF(ISNA(VLOOKUP(H$1,'offpeak-new'!$A$3:$DQ$20,$D608,FALSE)),0,VLOOKUP(H$1,'offpeak-new'!$A$3:$DQ$20,$D608,FALSE))</f>
        <v>-20450</v>
      </c>
      <c r="I608" s="14">
        <f>IF(ISNA(VLOOKUP(I$1,'offpeak-new'!$A$3:$DQ$20,$D608,FALSE)),0,VLOOKUP(I$1,'offpeak-new'!$A$3:$DQ$20,$D608,FALSE))</f>
        <v>0</v>
      </c>
      <c r="J608" s="14">
        <f>IF(ISNA(VLOOKUP(J$1,'offpeak-new'!$A$3:$DQ$20,$D608,FALSE)),0,VLOOKUP(J$1,'offpeak-new'!$A$3:$DQ$20,$D608,FALSE))</f>
        <v>0</v>
      </c>
      <c r="K608" s="14">
        <f>IF(ISNA(VLOOKUP(K$1,'offpeak-new'!$A$3:$DQ$20,$D608,FALSE)),0,VLOOKUP(K$1,'offpeak-new'!$A$3:$DQ$20,$D608,FALSE))</f>
        <v>0</v>
      </c>
      <c r="L608" s="14">
        <f>IF(ISNA(VLOOKUP(L$1,'offpeak-new'!$A$3:$DQ$20,$D608,FALSE)),0,VLOOKUP(L$1,'offpeak-new'!$A$3:$DQ$20,$D608,FALSE))</f>
        <v>0</v>
      </c>
      <c r="M608" s="14">
        <f>IF(ISNA(VLOOKUP(M$1,'offpeak-new'!$A$3:$DQ$20,$D608,FALSE)),0,VLOOKUP(M$1,'offpeak-new'!$A$3:$DQ$20,$D608,FALSE))</f>
        <v>0</v>
      </c>
      <c r="N608" s="14">
        <f>IF(ISNA(VLOOKUP(N$1,'offpeak-new'!$A$3:$DQ$20,$D608,FALSE)),0,VLOOKUP(N$1,'offpeak-new'!$A$3:$DQ$20,$D608,FALSE))</f>
        <v>0</v>
      </c>
      <c r="O608" s="14">
        <f>IF(ISNA(VLOOKUP(O$1,'offpeak-new'!$A$3:$DQ$20,$D608,FALSE)),0,VLOOKUP(O$1,'offpeak-new'!$A$3:$DQ$20,$D608,FALSE))</f>
        <v>0</v>
      </c>
      <c r="P608" s="14">
        <f>IF(ISNA(VLOOKUP(P$1,'offpeak-new'!$A$3:$DQ$20,$D608,FALSE)),0,VLOOKUP(P$1,'offpeak-new'!$A$3:$DQ$20,$D608,FALSE))</f>
        <v>0</v>
      </c>
      <c r="Q608" s="15">
        <f>IF(ISNA(VLOOKUP(Q$1,'offpeak-new'!$A$3:$DQ$20,$D608,FALSE)),0,VLOOKUP(Q$1,'offpeak-new'!$A$3:$DQ$20,$D608,FALSE))</f>
        <v>0</v>
      </c>
      <c r="R608" s="14">
        <f>IF(ISNA(VLOOKUP(R$1,'offpeak-new'!$A$3:$DQ$20,$D608,FALSE)),0,VLOOKUP(R$1,'offpeak-new'!$A$3:$DQ$20,$D608,FALSE))</f>
        <v>0</v>
      </c>
      <c r="S608" s="10"/>
    </row>
    <row r="609" spans="1:19" s="8" customFormat="1" x14ac:dyDescent="0.2">
      <c r="A609" s="8">
        <f t="shared" si="161"/>
        <v>2010</v>
      </c>
      <c r="B609" s="8">
        <f t="shared" si="162"/>
        <v>10</v>
      </c>
      <c r="C609" s="9">
        <f t="shared" si="160"/>
        <v>40452</v>
      </c>
      <c r="D609" s="8">
        <f t="shared" si="163"/>
        <v>109</v>
      </c>
      <c r="E609" s="14">
        <f>IF(ISNA(VLOOKUP(E$1,'offpeak-new'!$A$3:$DQ$20,$D609,FALSE)),0,VLOOKUP(E$1,'offpeak-new'!$A$3:$DQ$20,$D609,FALSE))</f>
        <v>0</v>
      </c>
      <c r="F609" s="14">
        <f>IF(ISNA(VLOOKUP(F$1,'offpeak-new'!$A$3:$DQ$20,$D609,FALSE)),0,VLOOKUP(F$1,'offpeak-new'!$A$3:$DQ$20,$D609,FALSE))</f>
        <v>0</v>
      </c>
      <c r="G609" s="14">
        <f>IF(ISNA(VLOOKUP(G$1,'offpeak-new'!$A$3:$DQ$20,$D609,FALSE)),0,VLOOKUP(G$1,'offpeak-new'!$A$3:$DQ$20,$D609,FALSE))</f>
        <v>0</v>
      </c>
      <c r="H609" s="14">
        <f>IF(ISNA(VLOOKUP(H$1,'offpeak-new'!$A$3:$DQ$20,$D609,FALSE)),0,VLOOKUP(H$1,'offpeak-new'!$A$3:$DQ$20,$D609,FALSE))</f>
        <v>-19200</v>
      </c>
      <c r="I609" s="14">
        <f>IF(ISNA(VLOOKUP(I$1,'offpeak-new'!$A$3:$DQ$20,$D609,FALSE)),0,VLOOKUP(I$1,'offpeak-new'!$A$3:$DQ$20,$D609,FALSE))</f>
        <v>0</v>
      </c>
      <c r="J609" s="14">
        <f>IF(ISNA(VLOOKUP(J$1,'offpeak-new'!$A$3:$DQ$20,$D609,FALSE)),0,VLOOKUP(J$1,'offpeak-new'!$A$3:$DQ$20,$D609,FALSE))</f>
        <v>0</v>
      </c>
      <c r="K609" s="14">
        <f>IF(ISNA(VLOOKUP(K$1,'offpeak-new'!$A$3:$DQ$20,$D609,FALSE)),0,VLOOKUP(K$1,'offpeak-new'!$A$3:$DQ$20,$D609,FALSE))</f>
        <v>0</v>
      </c>
      <c r="L609" s="14">
        <f>IF(ISNA(VLOOKUP(L$1,'offpeak-new'!$A$3:$DQ$20,$D609,FALSE)),0,VLOOKUP(L$1,'offpeak-new'!$A$3:$DQ$20,$D609,FALSE))</f>
        <v>0</v>
      </c>
      <c r="M609" s="14">
        <f>IF(ISNA(VLOOKUP(M$1,'offpeak-new'!$A$3:$DQ$20,$D609,FALSE)),0,VLOOKUP(M$1,'offpeak-new'!$A$3:$DQ$20,$D609,FALSE))</f>
        <v>0</v>
      </c>
      <c r="N609" s="14">
        <f>IF(ISNA(VLOOKUP(N$1,'offpeak-new'!$A$3:$DQ$20,$D609,FALSE)),0,VLOOKUP(N$1,'offpeak-new'!$A$3:$DQ$20,$D609,FALSE))</f>
        <v>0</v>
      </c>
      <c r="O609" s="14">
        <f>IF(ISNA(VLOOKUP(O$1,'offpeak-new'!$A$3:$DQ$20,$D609,FALSE)),0,VLOOKUP(O$1,'offpeak-new'!$A$3:$DQ$20,$D609,FALSE))</f>
        <v>0</v>
      </c>
      <c r="P609" s="14">
        <f>IF(ISNA(VLOOKUP(P$1,'offpeak-new'!$A$3:$DQ$20,$D609,FALSE)),0,VLOOKUP(P$1,'offpeak-new'!$A$3:$DQ$20,$D609,FALSE))</f>
        <v>0</v>
      </c>
      <c r="Q609" s="15">
        <f>IF(ISNA(VLOOKUP(Q$1,'offpeak-new'!$A$3:$DQ$20,$D609,FALSE)),0,VLOOKUP(Q$1,'offpeak-new'!$A$3:$DQ$20,$D609,FALSE))</f>
        <v>0</v>
      </c>
      <c r="R609" s="14">
        <f>IF(ISNA(VLOOKUP(R$1,'offpeak-new'!$A$3:$DQ$20,$D609,FALSE)),0,VLOOKUP(R$1,'offpeak-new'!$A$3:$DQ$20,$D609,FALSE))</f>
        <v>0</v>
      </c>
      <c r="S609" s="10"/>
    </row>
    <row r="610" spans="1:19" s="8" customFormat="1" x14ac:dyDescent="0.2">
      <c r="A610" s="8">
        <f t="shared" si="161"/>
        <v>2010</v>
      </c>
      <c r="B610" s="8">
        <f t="shared" si="162"/>
        <v>11</v>
      </c>
      <c r="C610" s="9">
        <f t="shared" si="160"/>
        <v>40483</v>
      </c>
      <c r="D610" s="8">
        <f t="shared" si="163"/>
        <v>110</v>
      </c>
      <c r="E610" s="14">
        <f>IF(ISNA(VLOOKUP(E$1,'offpeak-new'!$A$3:$DQ$20,$D610,FALSE)),0,VLOOKUP(E$1,'offpeak-new'!$A$3:$DQ$20,$D610,FALSE))</f>
        <v>0</v>
      </c>
      <c r="F610" s="14">
        <f>IF(ISNA(VLOOKUP(F$1,'offpeak-new'!$A$3:$DQ$20,$D610,FALSE)),0,VLOOKUP(F$1,'offpeak-new'!$A$3:$DQ$20,$D610,FALSE))</f>
        <v>0</v>
      </c>
      <c r="G610" s="14">
        <f>IF(ISNA(VLOOKUP(G$1,'offpeak-new'!$A$3:$DQ$20,$D610,FALSE)),0,VLOOKUP(G$1,'offpeak-new'!$A$3:$DQ$20,$D610,FALSE))</f>
        <v>0</v>
      </c>
      <c r="H610" s="14">
        <f>IF(ISNA(VLOOKUP(H$1,'offpeak-new'!$A$3:$DQ$20,$D610,FALSE)),0,VLOOKUP(H$1,'offpeak-new'!$A$3:$DQ$20,$D610,FALSE))</f>
        <v>-18800</v>
      </c>
      <c r="I610" s="14">
        <f>IF(ISNA(VLOOKUP(I$1,'offpeak-new'!$A$3:$DQ$20,$D610,FALSE)),0,VLOOKUP(I$1,'offpeak-new'!$A$3:$DQ$20,$D610,FALSE))</f>
        <v>0</v>
      </c>
      <c r="J610" s="14">
        <f>IF(ISNA(VLOOKUP(J$1,'offpeak-new'!$A$3:$DQ$20,$D610,FALSE)),0,VLOOKUP(J$1,'offpeak-new'!$A$3:$DQ$20,$D610,FALSE))</f>
        <v>0</v>
      </c>
      <c r="K610" s="14">
        <f>IF(ISNA(VLOOKUP(K$1,'offpeak-new'!$A$3:$DQ$20,$D610,FALSE)),0,VLOOKUP(K$1,'offpeak-new'!$A$3:$DQ$20,$D610,FALSE))</f>
        <v>0</v>
      </c>
      <c r="L610" s="14">
        <f>IF(ISNA(VLOOKUP(L$1,'offpeak-new'!$A$3:$DQ$20,$D610,FALSE)),0,VLOOKUP(L$1,'offpeak-new'!$A$3:$DQ$20,$D610,FALSE))</f>
        <v>0</v>
      </c>
      <c r="M610" s="14">
        <f>IF(ISNA(VLOOKUP(M$1,'offpeak-new'!$A$3:$DQ$20,$D610,FALSE)),0,VLOOKUP(M$1,'offpeak-new'!$A$3:$DQ$20,$D610,FALSE))</f>
        <v>0</v>
      </c>
      <c r="N610" s="14">
        <f>IF(ISNA(VLOOKUP(N$1,'offpeak-new'!$A$3:$DQ$20,$D610,FALSE)),0,VLOOKUP(N$1,'offpeak-new'!$A$3:$DQ$20,$D610,FALSE))</f>
        <v>0</v>
      </c>
      <c r="O610" s="14">
        <f>IF(ISNA(VLOOKUP(O$1,'offpeak-new'!$A$3:$DQ$20,$D610,FALSE)),0,VLOOKUP(O$1,'offpeak-new'!$A$3:$DQ$20,$D610,FALSE))</f>
        <v>0</v>
      </c>
      <c r="P610" s="14">
        <f>IF(ISNA(VLOOKUP(P$1,'offpeak-new'!$A$3:$DQ$20,$D610,FALSE)),0,VLOOKUP(P$1,'offpeak-new'!$A$3:$DQ$20,$D610,FALSE))</f>
        <v>0</v>
      </c>
      <c r="Q610" s="15">
        <f>IF(ISNA(VLOOKUP(Q$1,'offpeak-new'!$A$3:$DQ$20,$D610,FALSE)),0,VLOOKUP(Q$1,'offpeak-new'!$A$3:$DQ$20,$D610,FALSE))</f>
        <v>0</v>
      </c>
      <c r="R610" s="14">
        <f>IF(ISNA(VLOOKUP(R$1,'offpeak-new'!$A$3:$DQ$20,$D610,FALSE)),0,VLOOKUP(R$1,'offpeak-new'!$A$3:$DQ$20,$D610,FALSE))</f>
        <v>0</v>
      </c>
      <c r="S610" s="10"/>
    </row>
    <row r="611" spans="1:19" s="8" customFormat="1" x14ac:dyDescent="0.2">
      <c r="A611" s="8">
        <f t="shared" si="161"/>
        <v>2010</v>
      </c>
      <c r="B611" s="8">
        <f t="shared" si="162"/>
        <v>12</v>
      </c>
      <c r="C611" s="9">
        <f t="shared" si="160"/>
        <v>40513</v>
      </c>
      <c r="D611" s="8">
        <f t="shared" si="163"/>
        <v>111</v>
      </c>
      <c r="E611" s="14">
        <f>IF(ISNA(VLOOKUP(E$1,'offpeak-new'!$A$3:$DQ$20,$D611,FALSE)),0,VLOOKUP(E$1,'offpeak-new'!$A$3:$DQ$20,$D611,FALSE))</f>
        <v>-125902</v>
      </c>
      <c r="F611" s="14">
        <f>IF(ISNA(VLOOKUP(F$1,'offpeak-new'!$A$3:$DQ$20,$D611,FALSE)),0,VLOOKUP(F$1,'offpeak-new'!$A$3:$DQ$20,$D611,FALSE))</f>
        <v>0</v>
      </c>
      <c r="G611" s="14">
        <f>IF(ISNA(VLOOKUP(G$1,'offpeak-new'!$A$3:$DQ$20,$D611,FALSE)),0,VLOOKUP(G$1,'offpeak-new'!$A$3:$DQ$20,$D611,FALSE))</f>
        <v>0</v>
      </c>
      <c r="H611" s="14">
        <f>IF(ISNA(VLOOKUP(H$1,'offpeak-new'!$A$3:$DQ$20,$D611,FALSE)),0,VLOOKUP(H$1,'offpeak-new'!$A$3:$DQ$20,$D611,FALSE))</f>
        <v>-1963952</v>
      </c>
      <c r="I611" s="14">
        <f>IF(ISNA(VLOOKUP(I$1,'offpeak-new'!$A$3:$DQ$20,$D611,FALSE)),0,VLOOKUP(I$1,'offpeak-new'!$A$3:$DQ$20,$D611,FALSE))</f>
        <v>-468400</v>
      </c>
      <c r="J611" s="14">
        <f>IF(ISNA(VLOOKUP(J$1,'offpeak-new'!$A$3:$DQ$20,$D611,FALSE)),0,VLOOKUP(J$1,'offpeak-new'!$A$3:$DQ$20,$D611,FALSE))</f>
        <v>0</v>
      </c>
      <c r="K611" s="14">
        <f>IF(ISNA(VLOOKUP(K$1,'offpeak-new'!$A$3:$DQ$20,$D611,FALSE)),0,VLOOKUP(K$1,'offpeak-new'!$A$3:$DQ$20,$D611,FALSE))</f>
        <v>-468000</v>
      </c>
      <c r="L611" s="14">
        <f>IF(ISNA(VLOOKUP(L$1,'offpeak-new'!$A$3:$DQ$20,$D611,FALSE)),0,VLOOKUP(L$1,'offpeak-new'!$A$3:$DQ$20,$D611,FALSE))</f>
        <v>252720</v>
      </c>
      <c r="M611" s="14">
        <f>IF(ISNA(VLOOKUP(M$1,'offpeak-new'!$A$3:$DQ$20,$D611,FALSE)),0,VLOOKUP(M$1,'offpeak-new'!$A$3:$DQ$20,$D611,FALSE))</f>
        <v>0</v>
      </c>
      <c r="N611" s="14">
        <f>IF(ISNA(VLOOKUP(N$1,'offpeak-new'!$A$3:$DQ$20,$D611,FALSE)),0,VLOOKUP(N$1,'offpeak-new'!$A$3:$DQ$20,$D611,FALSE))</f>
        <v>0</v>
      </c>
      <c r="O611" s="14">
        <f>IF(ISNA(VLOOKUP(O$1,'offpeak-new'!$A$3:$DQ$20,$D611,FALSE)),0,VLOOKUP(O$1,'offpeak-new'!$A$3:$DQ$20,$D611,FALSE))</f>
        <v>0</v>
      </c>
      <c r="P611" s="14">
        <f>IF(ISNA(VLOOKUP(P$1,'offpeak-new'!$A$3:$DQ$20,$D611,FALSE)),0,VLOOKUP(P$1,'offpeak-new'!$A$3:$DQ$20,$D611,FALSE))</f>
        <v>0</v>
      </c>
      <c r="Q611" s="15">
        <f>IF(ISNA(VLOOKUP(Q$1,'offpeak-new'!$A$3:$DQ$20,$D611,FALSE)),0,VLOOKUP(Q$1,'offpeak-new'!$A$3:$DQ$20,$D611,FALSE))</f>
        <v>-99000</v>
      </c>
      <c r="R611" s="14">
        <f>IF(ISNA(VLOOKUP(R$1,'offpeak-new'!$A$3:$DQ$20,$D611,FALSE)),0,VLOOKUP(R$1,'offpeak-new'!$A$3:$DQ$20,$D611,FALSE))</f>
        <v>-329150</v>
      </c>
      <c r="S611" s="10"/>
    </row>
    <row r="612" spans="1:19" s="8" customFormat="1" x14ac:dyDescent="0.2">
      <c r="C612" s="9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5"/>
      <c r="R612" s="14"/>
      <c r="S612" s="10"/>
    </row>
    <row r="613" spans="1:19" s="5" customFormat="1" ht="15.75" x14ac:dyDescent="0.25">
      <c r="A613" s="268" t="s">
        <v>45</v>
      </c>
      <c r="B613" s="268"/>
      <c r="C613" s="268"/>
      <c r="E613" s="280" t="str">
        <f t="shared" ref="E613:R613" si="164">E$1</f>
        <v>CINERGY</v>
      </c>
      <c r="F613" s="13" t="str">
        <f t="shared" si="164"/>
        <v>AMEREN</v>
      </c>
      <c r="G613" s="13" t="str">
        <f t="shared" si="164"/>
        <v>ERCOT</v>
      </c>
      <c r="H613" s="280" t="str">
        <f t="shared" si="164"/>
        <v>INTO COMED</v>
      </c>
      <c r="I613" s="280" t="str">
        <f t="shared" si="164"/>
        <v>INTO TVA</v>
      </c>
      <c r="J613" s="13" t="str">
        <f t="shared" si="164"/>
        <v>MAPP</v>
      </c>
      <c r="K613" s="13" t="str">
        <f t="shared" si="164"/>
        <v>NEPOOL</v>
      </c>
      <c r="L613" s="280" t="str">
        <f t="shared" si="164"/>
        <v>INTO AEP</v>
      </c>
      <c r="M613" s="13" t="str">
        <f t="shared" si="164"/>
        <v>NY Zone A</v>
      </c>
      <c r="N613" s="13" t="s">
        <v>124</v>
      </c>
      <c r="O613" s="13" t="str">
        <f t="shared" si="164"/>
        <v>SOCO</v>
      </c>
      <c r="P613" s="13" t="str">
        <f t="shared" si="164"/>
        <v>NSP</v>
      </c>
      <c r="Q613" s="280" t="str">
        <f t="shared" si="164"/>
        <v>ENTERGY</v>
      </c>
      <c r="R613" s="280" t="str">
        <f t="shared" si="164"/>
        <v>WESTERN HUB</v>
      </c>
    </row>
    <row r="614" spans="1:19" s="8" customFormat="1" x14ac:dyDescent="0.2">
      <c r="C614" s="9">
        <f t="shared" ref="C614:C645" si="165">C492</f>
        <v>36892</v>
      </c>
      <c r="E614" s="281"/>
      <c r="F614" s="14"/>
      <c r="G614" s="14"/>
      <c r="H614" s="282"/>
      <c r="I614" s="282"/>
      <c r="J614" s="14"/>
      <c r="K614" s="14"/>
      <c r="L614" s="282"/>
      <c r="M614" s="14"/>
      <c r="N614" s="14"/>
      <c r="O614" s="14"/>
      <c r="P614" s="14"/>
      <c r="Q614" s="282"/>
      <c r="R614" s="282"/>
    </row>
    <row r="615" spans="1:19" s="8" customFormat="1" x14ac:dyDescent="0.2">
      <c r="C615" s="9">
        <f t="shared" si="165"/>
        <v>36923</v>
      </c>
      <c r="E615" s="282"/>
      <c r="F615" s="14"/>
      <c r="G615" s="14"/>
      <c r="H615" s="282"/>
      <c r="I615" s="282"/>
      <c r="J615" s="14"/>
      <c r="K615" s="14"/>
      <c r="L615" s="282"/>
      <c r="M615" s="14"/>
      <c r="N615" s="14"/>
      <c r="O615" s="14"/>
      <c r="P615" s="14"/>
      <c r="Q615" s="282"/>
      <c r="R615" s="282"/>
    </row>
    <row r="616" spans="1:19" s="8" customFormat="1" x14ac:dyDescent="0.2">
      <c r="C616" s="9">
        <f t="shared" si="165"/>
        <v>36951</v>
      </c>
      <c r="E616" s="282"/>
      <c r="F616" s="14"/>
      <c r="G616" s="14"/>
      <c r="H616" s="282"/>
      <c r="I616" s="282"/>
      <c r="J616" s="14"/>
      <c r="K616" s="14"/>
      <c r="L616" s="282"/>
      <c r="M616" s="14"/>
      <c r="N616" s="14"/>
      <c r="O616" s="14"/>
      <c r="P616" s="14"/>
      <c r="Q616" s="282"/>
      <c r="R616" s="282"/>
    </row>
    <row r="617" spans="1:19" s="8" customFormat="1" x14ac:dyDescent="0.2">
      <c r="C617" s="9">
        <f t="shared" si="165"/>
        <v>36982</v>
      </c>
      <c r="E617" s="282"/>
      <c r="F617" s="14"/>
      <c r="G617" s="14"/>
      <c r="H617" s="282"/>
      <c r="I617" s="282"/>
      <c r="J617" s="14"/>
      <c r="K617" s="14"/>
      <c r="L617" s="282"/>
      <c r="M617" s="14"/>
      <c r="N617" s="14"/>
      <c r="O617" s="14"/>
      <c r="P617" s="14"/>
      <c r="Q617" s="282"/>
      <c r="R617" s="282"/>
    </row>
    <row r="618" spans="1:19" s="8" customFormat="1" x14ac:dyDescent="0.2">
      <c r="C618" s="9">
        <f t="shared" si="165"/>
        <v>37012</v>
      </c>
      <c r="E618" s="282"/>
      <c r="F618" s="14"/>
      <c r="G618" s="14"/>
      <c r="H618" s="282"/>
      <c r="I618" s="282"/>
      <c r="J618" s="14"/>
      <c r="K618" s="14"/>
      <c r="L618" s="282"/>
      <c r="M618" s="14"/>
      <c r="N618" s="14"/>
      <c r="O618" s="14"/>
      <c r="P618" s="14"/>
      <c r="Q618" s="282"/>
      <c r="R618" s="282"/>
    </row>
    <row r="619" spans="1:19" s="8" customFormat="1" x14ac:dyDescent="0.2">
      <c r="C619" s="9">
        <f t="shared" si="165"/>
        <v>37043</v>
      </c>
      <c r="E619" s="282"/>
      <c r="F619" s="14"/>
      <c r="G619" s="14"/>
      <c r="H619" s="282"/>
      <c r="I619" s="282"/>
      <c r="J619" s="14"/>
      <c r="K619" s="14"/>
      <c r="L619" s="282"/>
      <c r="M619" s="14"/>
      <c r="N619" s="14"/>
      <c r="O619" s="14"/>
      <c r="P619" s="14"/>
      <c r="Q619" s="282"/>
      <c r="R619" s="282"/>
    </row>
    <row r="620" spans="1:19" s="8" customFormat="1" x14ac:dyDescent="0.2">
      <c r="C620" s="9">
        <f t="shared" si="165"/>
        <v>37073</v>
      </c>
      <c r="E620" s="282"/>
      <c r="F620" s="14"/>
      <c r="G620" s="14"/>
      <c r="H620" s="282"/>
      <c r="I620" s="282"/>
      <c r="J620" s="14"/>
      <c r="K620" s="14"/>
      <c r="L620" s="282"/>
      <c r="M620" s="14"/>
      <c r="N620" s="14"/>
      <c r="O620" s="14"/>
      <c r="P620" s="14"/>
      <c r="Q620" s="282"/>
      <c r="R620" s="282"/>
    </row>
    <row r="621" spans="1:19" s="8" customFormat="1" x14ac:dyDescent="0.2">
      <c r="C621" s="9">
        <f t="shared" si="165"/>
        <v>37104</v>
      </c>
      <c r="E621" s="282"/>
      <c r="F621" s="14"/>
      <c r="G621" s="14"/>
      <c r="H621" s="282"/>
      <c r="I621" s="282"/>
      <c r="J621" s="14"/>
      <c r="K621" s="14"/>
      <c r="L621" s="282"/>
      <c r="M621" s="14"/>
      <c r="N621" s="14"/>
      <c r="O621" s="14"/>
      <c r="P621" s="14"/>
      <c r="Q621" s="282"/>
      <c r="R621" s="282"/>
    </row>
    <row r="622" spans="1:19" s="8" customFormat="1" x14ac:dyDescent="0.2">
      <c r="C622" s="9">
        <f t="shared" si="165"/>
        <v>37135</v>
      </c>
      <c r="E622" s="282">
        <f>E500/VLOOKUP($C622,calendar!$A$2:$D$121,3,FALSE)</f>
        <v>0</v>
      </c>
      <c r="F622" s="14">
        <f>F500/VLOOKUP($C622,calendar!$A$2:$D$121,3,FALSE)</f>
        <v>0</v>
      </c>
      <c r="G622" s="14">
        <f>G500/VLOOKUP($C622,calendar!$A$2:$D$121,3,FALSE)</f>
        <v>0</v>
      </c>
      <c r="H622" s="282">
        <f>H500/VLOOKUP($C622,calendar!$A$2:$D$121,3,FALSE)</f>
        <v>0</v>
      </c>
      <c r="I622" s="282">
        <f>I500/VLOOKUP($C622,calendar!$A$2:$D$121,3,FALSE)</f>
        <v>0</v>
      </c>
      <c r="J622" s="14">
        <f>J500/VLOOKUP($C622,calendar!$A$2:$D$121,3,FALSE)</f>
        <v>0</v>
      </c>
      <c r="K622" s="14">
        <f>K500/VLOOKUP($C622,calendar!$A$2:$D$121,3,FALSE)</f>
        <v>0</v>
      </c>
      <c r="L622" s="282">
        <f>L500/VLOOKUP($C622,calendar!$A$2:$D$121,3,FALSE)</f>
        <v>0</v>
      </c>
      <c r="M622" s="14">
        <f>M500/VLOOKUP($C622,calendar!$A$2:$D$121,3,FALSE)</f>
        <v>0</v>
      </c>
      <c r="N622" s="14">
        <f>N500/VLOOKUP($C622,calendar!$A$2:$D$121,3,FALSE)</f>
        <v>0</v>
      </c>
      <c r="O622" s="14">
        <f>O500/VLOOKUP($C622,calendar!$A$2:$D$121,3,FALSE)</f>
        <v>0</v>
      </c>
      <c r="P622" s="14">
        <f>P500/VLOOKUP($C622,calendar!$A$2:$D$121,3,FALSE)</f>
        <v>0</v>
      </c>
      <c r="Q622" s="282">
        <f>Q500/VLOOKUP($C622,calendar!$A$2:$D$121,3,FALSE)</f>
        <v>0</v>
      </c>
      <c r="R622" s="282">
        <f>R500/VLOOKUP($C622,calendar!$A$2:$D$121,3,FALSE)</f>
        <v>0</v>
      </c>
    </row>
    <row r="623" spans="1:19" s="8" customFormat="1" x14ac:dyDescent="0.2">
      <c r="C623" s="9">
        <f t="shared" si="165"/>
        <v>37165</v>
      </c>
      <c r="E623" s="282" t="e">
        <f>E501/VLOOKUP($C623,calendar!$A$2:$D$121,3,FALSE)</f>
        <v>#VALUE!</v>
      </c>
      <c r="F623" s="14">
        <f>F501/VLOOKUP($C623,calendar!$A$2:$D$121,3,FALSE)</f>
        <v>0</v>
      </c>
      <c r="G623" s="14">
        <f>G501/VLOOKUP($C623,calendar!$A$2:$D$121,3,FALSE)</f>
        <v>0</v>
      </c>
      <c r="H623" s="282" t="e">
        <f>H501/VLOOKUP($C623,calendar!$A$2:$D$121,3,FALSE)</f>
        <v>#VALUE!</v>
      </c>
      <c r="I623" s="282" t="e">
        <f>I501/VLOOKUP($C623,calendar!$A$2:$D$121,3,FALSE)</f>
        <v>#VALUE!</v>
      </c>
      <c r="J623" s="14">
        <f>J501/VLOOKUP($C623,calendar!$A$2:$D$121,3,FALSE)</f>
        <v>0</v>
      </c>
      <c r="K623" s="14" t="e">
        <f>K501/VLOOKUP($C623,calendar!$A$2:$D$121,3,FALSE)</f>
        <v>#VALUE!</v>
      </c>
      <c r="L623" s="282" t="e">
        <f>L501/VLOOKUP($C623,calendar!$A$2:$D$121,3,FALSE)</f>
        <v>#VALUE!</v>
      </c>
      <c r="M623" s="14">
        <f>M501/VLOOKUP($C623,calendar!$A$2:$D$121,3,FALSE)</f>
        <v>0</v>
      </c>
      <c r="N623" s="14">
        <f>N501/VLOOKUP($C623,calendar!$A$2:$D$121,3,FALSE)</f>
        <v>0</v>
      </c>
      <c r="O623" s="14">
        <f>O501/VLOOKUP($C623,calendar!$A$2:$D$121,3,FALSE)</f>
        <v>0</v>
      </c>
      <c r="P623" s="14">
        <f>P501/VLOOKUP($C623,calendar!$A$2:$D$121,3,FALSE)</f>
        <v>0</v>
      </c>
      <c r="Q623" s="282" t="e">
        <f>Q501/VLOOKUP($C623,calendar!$A$2:$D$121,3,FALSE)</f>
        <v>#VALUE!</v>
      </c>
      <c r="R623" s="282" t="e">
        <f>R501/VLOOKUP($C623,calendar!$A$2:$D$121,3,FALSE)</f>
        <v>#VALUE!</v>
      </c>
    </row>
    <row r="624" spans="1:19" s="8" customFormat="1" x14ac:dyDescent="0.2">
      <c r="C624" s="9">
        <f t="shared" si="165"/>
        <v>37196</v>
      </c>
      <c r="E624" s="282">
        <f>E502/VLOOKUP($C624,calendar!$A$2:$D$121,3,FALSE)</f>
        <v>77.083333333333329</v>
      </c>
      <c r="F624" s="14">
        <f>F502/VLOOKUP($C624,calendar!$A$2:$D$121,3,FALSE)</f>
        <v>0</v>
      </c>
      <c r="G624" s="14">
        <f>G502/VLOOKUP($C624,calendar!$A$2:$D$121,3,FALSE)</f>
        <v>0</v>
      </c>
      <c r="H624" s="282">
        <f>H502/VLOOKUP($C624,calendar!$A$2:$D$121,3,FALSE)</f>
        <v>140.625</v>
      </c>
      <c r="I624" s="282">
        <f>I502/VLOOKUP($C624,calendar!$A$2:$D$121,3,FALSE)</f>
        <v>0</v>
      </c>
      <c r="J624" s="14">
        <f>J502/VLOOKUP($C624,calendar!$A$2:$D$121,3,FALSE)</f>
        <v>0</v>
      </c>
      <c r="K624" s="14">
        <f>K502/VLOOKUP($C624,calendar!$A$2:$D$121,3,FALSE)</f>
        <v>0</v>
      </c>
      <c r="L624" s="282">
        <f>L502/VLOOKUP($C624,calendar!$A$2:$D$121,3,FALSE)</f>
        <v>0</v>
      </c>
      <c r="M624" s="14">
        <f>M502/VLOOKUP($C624,calendar!$A$2:$D$121,3,FALSE)</f>
        <v>0</v>
      </c>
      <c r="N624" s="14">
        <f>N502/VLOOKUP($C624,calendar!$A$2:$D$121,3,FALSE)</f>
        <v>0</v>
      </c>
      <c r="O624" s="14">
        <f>O502/VLOOKUP($C624,calendar!$A$2:$D$121,3,FALSE)</f>
        <v>0</v>
      </c>
      <c r="P624" s="14">
        <f>P502/VLOOKUP($C624,calendar!$A$2:$D$121,3,FALSE)</f>
        <v>0</v>
      </c>
      <c r="Q624" s="282">
        <f>Q502/VLOOKUP($C624,calendar!$A$2:$D$121,3,FALSE)</f>
        <v>46.875</v>
      </c>
      <c r="R624" s="282">
        <f>R502/VLOOKUP($C624,calendar!$A$2:$D$121,3,FALSE)</f>
        <v>-46.875</v>
      </c>
    </row>
    <row r="625" spans="3:18" s="8" customFormat="1" x14ac:dyDescent="0.2">
      <c r="C625" s="9">
        <f t="shared" si="165"/>
        <v>37226</v>
      </c>
      <c r="E625" s="282">
        <f>E503/VLOOKUP($C625,calendar!$A$2:$D$121,3,FALSE)</f>
        <v>-230.24528301886792</v>
      </c>
      <c r="F625" s="14">
        <f>F503/VLOOKUP($C625,calendar!$A$2:$D$121,3,FALSE)</f>
        <v>0</v>
      </c>
      <c r="G625" s="14">
        <f>G503/VLOOKUP($C625,calendar!$A$2:$D$121,3,FALSE)</f>
        <v>0</v>
      </c>
      <c r="H625" s="282">
        <f>H503/VLOOKUP($C625,calendar!$A$2:$D$121,3,FALSE)</f>
        <v>-138.67924528301887</v>
      </c>
      <c r="I625" s="282">
        <f>I503/VLOOKUP($C625,calendar!$A$2:$D$121,3,FALSE)</f>
        <v>46.226415094339622</v>
      </c>
      <c r="J625" s="14">
        <f>J503/VLOOKUP($C625,calendar!$A$2:$D$121,3,FALSE)</f>
        <v>0</v>
      </c>
      <c r="K625" s="14">
        <f>K503/VLOOKUP($C625,calendar!$A$2:$D$121,3,FALSE)</f>
        <v>-92.452830188679243</v>
      </c>
      <c r="L625" s="282">
        <f>L503/VLOOKUP($C625,calendar!$A$2:$D$121,3,FALSE)</f>
        <v>24.962264150943398</v>
      </c>
      <c r="M625" s="14">
        <f>M503/VLOOKUP($C625,calendar!$A$2:$D$121,3,FALSE)</f>
        <v>0</v>
      </c>
      <c r="N625" s="14">
        <f>N503/VLOOKUP($C625,calendar!$A$2:$D$121,3,FALSE)</f>
        <v>0</v>
      </c>
      <c r="O625" s="14">
        <f>O503/VLOOKUP($C625,calendar!$A$2:$D$121,3,FALSE)</f>
        <v>0</v>
      </c>
      <c r="P625" s="14">
        <f>P503/VLOOKUP($C625,calendar!$A$2:$D$121,3,FALSE)</f>
        <v>0</v>
      </c>
      <c r="Q625" s="282">
        <f>Q503/VLOOKUP($C625,calendar!$A$2:$D$121,3,FALSE)</f>
        <v>0</v>
      </c>
      <c r="R625" s="282">
        <f>R503/VLOOKUP($C625,calendar!$A$2:$D$121,3,FALSE)</f>
        <v>0</v>
      </c>
    </row>
    <row r="626" spans="3:18" s="8" customFormat="1" x14ac:dyDescent="0.2">
      <c r="C626" s="9">
        <f t="shared" si="165"/>
        <v>37257</v>
      </c>
      <c r="E626" s="282">
        <f>E504/VLOOKUP($C626,calendar!$A$2:$D$121,3,FALSE)</f>
        <v>-223.42857142857142</v>
      </c>
      <c r="F626" s="14">
        <f>F504/VLOOKUP($C626,calendar!$A$2:$D$121,3,FALSE)</f>
        <v>0</v>
      </c>
      <c r="G626" s="14">
        <f>G504/VLOOKUP($C626,calendar!$A$2:$D$121,3,FALSE)</f>
        <v>0</v>
      </c>
      <c r="H626" s="282">
        <f>H504/VLOOKUP($C626,calendar!$A$2:$D$121,3,FALSE)</f>
        <v>-134.69387755102042</v>
      </c>
      <c r="I626" s="282">
        <f>I504/VLOOKUP($C626,calendar!$A$2:$D$121,3,FALSE)</f>
        <v>44.897959183673471</v>
      </c>
      <c r="J626" s="14">
        <f>J504/VLOOKUP($C626,calendar!$A$2:$D$121,3,FALSE)</f>
        <v>0</v>
      </c>
      <c r="K626" s="14">
        <f>K504/VLOOKUP($C626,calendar!$A$2:$D$121,3,FALSE)</f>
        <v>-89.795918367346943</v>
      </c>
      <c r="L626" s="282">
        <f>L504/VLOOKUP($C626,calendar!$A$2:$D$121,3,FALSE)</f>
        <v>24.244897959183675</v>
      </c>
      <c r="M626" s="14">
        <f>M504/VLOOKUP($C626,calendar!$A$2:$D$121,3,FALSE)</f>
        <v>0</v>
      </c>
      <c r="N626" s="14">
        <f>N504/VLOOKUP($C626,calendar!$A$2:$D$121,3,FALSE)</f>
        <v>0</v>
      </c>
      <c r="O626" s="14">
        <f>O504/VLOOKUP($C626,calendar!$A$2:$D$121,3,FALSE)</f>
        <v>0</v>
      </c>
      <c r="P626" s="14">
        <f>P504/VLOOKUP($C626,calendar!$A$2:$D$121,3,FALSE)</f>
        <v>0</v>
      </c>
      <c r="Q626" s="282">
        <f>Q504/VLOOKUP($C626,calendar!$A$2:$D$121,3,FALSE)</f>
        <v>0</v>
      </c>
      <c r="R626" s="282">
        <f>R504/VLOOKUP($C626,calendar!$A$2:$D$121,3,FALSE)</f>
        <v>0</v>
      </c>
    </row>
    <row r="627" spans="3:18" s="8" customFormat="1" x14ac:dyDescent="0.2">
      <c r="C627" s="9">
        <f t="shared" si="165"/>
        <v>37288</v>
      </c>
      <c r="E627" s="282">
        <f>E505/VLOOKUP($C627,calendar!$A$2:$D$121,3,FALSE)</f>
        <v>-232.43181818181819</v>
      </c>
      <c r="F627" s="14">
        <f>F505/VLOOKUP($C627,calendar!$A$2:$D$121,3,FALSE)</f>
        <v>0</v>
      </c>
      <c r="G627" s="14">
        <f>G505/VLOOKUP($C627,calendar!$A$2:$D$121,3,FALSE)</f>
        <v>0</v>
      </c>
      <c r="H627" s="282">
        <f>H505/VLOOKUP($C627,calendar!$A$2:$D$121,3,FALSE)</f>
        <v>-115.90909090909091</v>
      </c>
      <c r="I627" s="282">
        <f>I505/VLOOKUP($C627,calendar!$A$2:$D$121,3,FALSE)</f>
        <v>57.954545454545453</v>
      </c>
      <c r="J627" s="14">
        <f>J505/VLOOKUP($C627,calendar!$A$2:$D$121,3,FALSE)</f>
        <v>0</v>
      </c>
      <c r="K627" s="14">
        <f>K505/VLOOKUP($C627,calendar!$A$2:$D$121,3,FALSE)</f>
        <v>-115.90909090909091</v>
      </c>
      <c r="L627" s="282">
        <f>L505/VLOOKUP($C627,calendar!$A$2:$D$121,3,FALSE)</f>
        <v>31.295454545454547</v>
      </c>
      <c r="M627" s="14">
        <f>M505/VLOOKUP($C627,calendar!$A$2:$D$121,3,FALSE)</f>
        <v>0</v>
      </c>
      <c r="N627" s="14">
        <f>N505/VLOOKUP($C627,calendar!$A$2:$D$121,3,FALSE)</f>
        <v>0</v>
      </c>
      <c r="O627" s="14">
        <f>O505/VLOOKUP($C627,calendar!$A$2:$D$121,3,FALSE)</f>
        <v>0</v>
      </c>
      <c r="P627" s="14">
        <f>P505/VLOOKUP($C627,calendar!$A$2:$D$121,3,FALSE)</f>
        <v>0</v>
      </c>
      <c r="Q627" s="282">
        <f>Q505/VLOOKUP($C627,calendar!$A$2:$D$121,3,FALSE)</f>
        <v>0</v>
      </c>
      <c r="R627" s="282">
        <f>R505/VLOOKUP($C627,calendar!$A$2:$D$121,3,FALSE)</f>
        <v>-57.954545454545453</v>
      </c>
    </row>
    <row r="628" spans="3:18" s="8" customFormat="1" x14ac:dyDescent="0.2">
      <c r="C628" s="9">
        <f t="shared" si="165"/>
        <v>37316</v>
      </c>
      <c r="E628" s="282">
        <f>E506/VLOOKUP($C628,calendar!$A$2:$D$121,3,FALSE)</f>
        <v>-178.03676470588235</v>
      </c>
      <c r="F628" s="14">
        <f>F506/VLOOKUP($C628,calendar!$A$2:$D$121,3,FALSE)</f>
        <v>0</v>
      </c>
      <c r="G628" s="14">
        <f>G506/VLOOKUP($C628,calendar!$A$2:$D$121,3,FALSE)</f>
        <v>0</v>
      </c>
      <c r="H628" s="282">
        <f>H506/VLOOKUP($C628,calendar!$A$2:$D$121,3,FALSE)</f>
        <v>-89.950980392156865</v>
      </c>
      <c r="I628" s="282">
        <f>I506/VLOOKUP($C628,calendar!$A$2:$D$121,3,FALSE)</f>
        <v>44.975490196078432</v>
      </c>
      <c r="J628" s="14">
        <f>J506/VLOOKUP($C628,calendar!$A$2:$D$121,3,FALSE)</f>
        <v>0</v>
      </c>
      <c r="K628" s="14">
        <f>K506/VLOOKUP($C628,calendar!$A$2:$D$121,3,FALSE)</f>
        <v>-89.950980392156865</v>
      </c>
      <c r="L628" s="282">
        <f>L506/VLOOKUP($C628,calendar!$A$2:$D$121,3,FALSE)</f>
        <v>24.286764705882351</v>
      </c>
      <c r="M628" s="14">
        <f>M506/VLOOKUP($C628,calendar!$A$2:$D$121,3,FALSE)</f>
        <v>0</v>
      </c>
      <c r="N628" s="14">
        <f>N506/VLOOKUP($C628,calendar!$A$2:$D$121,3,FALSE)</f>
        <v>0</v>
      </c>
      <c r="O628" s="14">
        <f>O506/VLOOKUP($C628,calendar!$A$2:$D$121,3,FALSE)</f>
        <v>0</v>
      </c>
      <c r="P628" s="14">
        <f>P506/VLOOKUP($C628,calendar!$A$2:$D$121,3,FALSE)</f>
        <v>0</v>
      </c>
      <c r="Q628" s="282">
        <f>Q506/VLOOKUP($C628,calendar!$A$2:$D$121,3,FALSE)</f>
        <v>0</v>
      </c>
      <c r="R628" s="282">
        <f>R506/VLOOKUP($C628,calendar!$A$2:$D$121,3,FALSE)</f>
        <v>-44.975490196078432</v>
      </c>
    </row>
    <row r="629" spans="3:18" s="8" customFormat="1" x14ac:dyDescent="0.2">
      <c r="C629" s="9">
        <f t="shared" si="165"/>
        <v>37347</v>
      </c>
      <c r="E629" s="282">
        <f>E507/VLOOKUP($C629,calendar!$A$2:$D$121,3,FALSE)</f>
        <v>-158.7608695652174</v>
      </c>
      <c r="F629" s="14">
        <f>F507/VLOOKUP($C629,calendar!$A$2:$D$121,3,FALSE)</f>
        <v>0</v>
      </c>
      <c r="G629" s="14">
        <f>G507/VLOOKUP($C629,calendar!$A$2:$D$121,3,FALSE)</f>
        <v>0</v>
      </c>
      <c r="H629" s="282">
        <f>H507/VLOOKUP($C629,calendar!$A$2:$D$121,3,FALSE)</f>
        <v>-106.52173913043478</v>
      </c>
      <c r="I629" s="282">
        <f>I507/VLOOKUP($C629,calendar!$A$2:$D$121,3,FALSE)</f>
        <v>53.260869565217391</v>
      </c>
      <c r="J629" s="14">
        <f>J507/VLOOKUP($C629,calendar!$A$2:$D$121,3,FALSE)</f>
        <v>0</v>
      </c>
      <c r="K629" s="14">
        <f>K507/VLOOKUP($C629,calendar!$A$2:$D$121,3,FALSE)</f>
        <v>-106.52173913043478</v>
      </c>
      <c r="L629" s="282">
        <f>L507/VLOOKUP($C629,calendar!$A$2:$D$121,3,FALSE)</f>
        <v>28.760869565217391</v>
      </c>
      <c r="M629" s="14">
        <f>M507/VLOOKUP($C629,calendar!$A$2:$D$121,3,FALSE)</f>
        <v>0</v>
      </c>
      <c r="N629" s="14">
        <f>N507/VLOOKUP($C629,calendar!$A$2:$D$121,3,FALSE)</f>
        <v>0</v>
      </c>
      <c r="O629" s="14">
        <f>O507/VLOOKUP($C629,calendar!$A$2:$D$121,3,FALSE)</f>
        <v>0</v>
      </c>
      <c r="P629" s="14">
        <f>P507/VLOOKUP($C629,calendar!$A$2:$D$121,3,FALSE)</f>
        <v>0</v>
      </c>
      <c r="Q629" s="282">
        <f>Q507/VLOOKUP($C629,calendar!$A$2:$D$121,3,FALSE)</f>
        <v>0</v>
      </c>
      <c r="R629" s="282">
        <f>R507/VLOOKUP($C629,calendar!$A$2:$D$121,3,FALSE)</f>
        <v>0</v>
      </c>
    </row>
    <row r="630" spans="3:18" s="8" customFormat="1" x14ac:dyDescent="0.2">
      <c r="C630" s="9">
        <f t="shared" si="165"/>
        <v>37377</v>
      </c>
      <c r="E630" s="282">
        <f>E508/VLOOKUP($C630,calendar!$A$2:$D$121,3,FALSE)</f>
        <v>-52.04081632653061</v>
      </c>
      <c r="F630" s="14">
        <f>F508/VLOOKUP($C630,calendar!$A$2:$D$121,3,FALSE)</f>
        <v>0</v>
      </c>
      <c r="G630" s="14">
        <f>G508/VLOOKUP($C630,calendar!$A$2:$D$121,3,FALSE)</f>
        <v>0</v>
      </c>
      <c r="H630" s="282">
        <f>H508/VLOOKUP($C630,calendar!$A$2:$D$121,3,FALSE)</f>
        <v>-102.04081632653062</v>
      </c>
      <c r="I630" s="282">
        <f>I508/VLOOKUP($C630,calendar!$A$2:$D$121,3,FALSE)</f>
        <v>51.020408163265309</v>
      </c>
      <c r="J630" s="14">
        <f>J508/VLOOKUP($C630,calendar!$A$2:$D$121,3,FALSE)</f>
        <v>0</v>
      </c>
      <c r="K630" s="14">
        <f>K508/VLOOKUP($C630,calendar!$A$2:$D$121,3,FALSE)</f>
        <v>-102.04081632653062</v>
      </c>
      <c r="L630" s="282">
        <f>L508/VLOOKUP($C630,calendar!$A$2:$D$121,3,FALSE)</f>
        <v>27.551020408163264</v>
      </c>
      <c r="M630" s="14">
        <f>M508/VLOOKUP($C630,calendar!$A$2:$D$121,3,FALSE)</f>
        <v>0</v>
      </c>
      <c r="N630" s="14">
        <f>N508/VLOOKUP($C630,calendar!$A$2:$D$121,3,FALSE)</f>
        <v>0</v>
      </c>
      <c r="O630" s="14">
        <f>O508/VLOOKUP($C630,calendar!$A$2:$D$121,3,FALSE)</f>
        <v>0</v>
      </c>
      <c r="P630" s="14">
        <f>P508/VLOOKUP($C630,calendar!$A$2:$D$121,3,FALSE)</f>
        <v>0</v>
      </c>
      <c r="Q630" s="282">
        <f>Q508/VLOOKUP($C630,calendar!$A$2:$D$121,3,FALSE)</f>
        <v>0</v>
      </c>
      <c r="R630" s="282">
        <f>R508/VLOOKUP($C630,calendar!$A$2:$D$121,3,FALSE)</f>
        <v>0</v>
      </c>
    </row>
    <row r="631" spans="3:18" s="8" customFormat="1" x14ac:dyDescent="0.2">
      <c r="C631" s="9">
        <f t="shared" si="165"/>
        <v>37408</v>
      </c>
      <c r="E631" s="282">
        <f>E509/VLOOKUP($C631,calendar!$A$2:$D$121,3,FALSE)</f>
        <v>-48.06</v>
      </c>
      <c r="F631" s="14">
        <f>F509/VLOOKUP($C631,calendar!$A$2:$D$121,3,FALSE)</f>
        <v>0</v>
      </c>
      <c r="G631" s="14">
        <f>G509/VLOOKUP($C631,calendar!$A$2:$D$121,3,FALSE)</f>
        <v>0</v>
      </c>
      <c r="H631" s="282">
        <f>H509/VLOOKUP($C631,calendar!$A$2:$D$121,3,FALSE)</f>
        <v>49</v>
      </c>
      <c r="I631" s="282">
        <f>I509/VLOOKUP($C631,calendar!$A$2:$D$121,3,FALSE)</f>
        <v>49</v>
      </c>
      <c r="J631" s="14">
        <f>J509/VLOOKUP($C631,calendar!$A$2:$D$121,3,FALSE)</f>
        <v>0</v>
      </c>
      <c r="K631" s="14">
        <f>K509/VLOOKUP($C631,calendar!$A$2:$D$121,3,FALSE)</f>
        <v>-98</v>
      </c>
      <c r="L631" s="282">
        <f>L509/VLOOKUP($C631,calendar!$A$2:$D$121,3,FALSE)</f>
        <v>26.46</v>
      </c>
      <c r="M631" s="14">
        <f>M509/VLOOKUP($C631,calendar!$A$2:$D$121,3,FALSE)</f>
        <v>0</v>
      </c>
      <c r="N631" s="14">
        <f>N509/VLOOKUP($C631,calendar!$A$2:$D$121,3,FALSE)</f>
        <v>0</v>
      </c>
      <c r="O631" s="14">
        <f>O509/VLOOKUP($C631,calendar!$A$2:$D$121,3,FALSE)</f>
        <v>0</v>
      </c>
      <c r="P631" s="14">
        <f>P509/VLOOKUP($C631,calendar!$A$2:$D$121,3,FALSE)</f>
        <v>0</v>
      </c>
      <c r="Q631" s="282">
        <f>Q509/VLOOKUP($C631,calendar!$A$2:$D$121,3,FALSE)</f>
        <v>0</v>
      </c>
      <c r="R631" s="282">
        <f>R509/VLOOKUP($C631,calendar!$A$2:$D$121,3,FALSE)</f>
        <v>-49</v>
      </c>
    </row>
    <row r="632" spans="3:18" s="8" customFormat="1" x14ac:dyDescent="0.2">
      <c r="C632" s="9">
        <f t="shared" si="165"/>
        <v>37438</v>
      </c>
      <c r="E632" s="282">
        <f>E510/VLOOKUP($C632,calendar!$A$2:$D$121,3,FALSE)</f>
        <v>-49.04081632653061</v>
      </c>
      <c r="F632" s="14">
        <f>F510/VLOOKUP($C632,calendar!$A$2:$D$121,3,FALSE)</f>
        <v>0</v>
      </c>
      <c r="G632" s="14">
        <f>G510/VLOOKUP($C632,calendar!$A$2:$D$121,3,FALSE)</f>
        <v>0</v>
      </c>
      <c r="H632" s="282">
        <f>H510/VLOOKUP($C632,calendar!$A$2:$D$121,3,FALSE)</f>
        <v>50</v>
      </c>
      <c r="I632" s="282">
        <f>I510/VLOOKUP($C632,calendar!$A$2:$D$121,3,FALSE)</f>
        <v>50</v>
      </c>
      <c r="J632" s="14">
        <f>J510/VLOOKUP($C632,calendar!$A$2:$D$121,3,FALSE)</f>
        <v>0</v>
      </c>
      <c r="K632" s="14">
        <f>K510/VLOOKUP($C632,calendar!$A$2:$D$121,3,FALSE)</f>
        <v>-100</v>
      </c>
      <c r="L632" s="282">
        <f>L510/VLOOKUP($C632,calendar!$A$2:$D$121,3,FALSE)</f>
        <v>27</v>
      </c>
      <c r="M632" s="14">
        <f>M510/VLOOKUP($C632,calendar!$A$2:$D$121,3,FALSE)</f>
        <v>0</v>
      </c>
      <c r="N632" s="14">
        <f>N510/VLOOKUP($C632,calendar!$A$2:$D$121,3,FALSE)</f>
        <v>0</v>
      </c>
      <c r="O632" s="14">
        <f>O510/VLOOKUP($C632,calendar!$A$2:$D$121,3,FALSE)</f>
        <v>0</v>
      </c>
      <c r="P632" s="14">
        <f>P510/VLOOKUP($C632,calendar!$A$2:$D$121,3,FALSE)</f>
        <v>0</v>
      </c>
      <c r="Q632" s="282">
        <f>Q510/VLOOKUP($C632,calendar!$A$2:$D$121,3,FALSE)</f>
        <v>0</v>
      </c>
      <c r="R632" s="282">
        <f>R510/VLOOKUP($C632,calendar!$A$2:$D$121,3,FALSE)</f>
        <v>-50</v>
      </c>
    </row>
    <row r="633" spans="3:18" s="8" customFormat="1" x14ac:dyDescent="0.2">
      <c r="C633" s="9">
        <f t="shared" si="165"/>
        <v>37469</v>
      </c>
      <c r="E633" s="282">
        <f>E511/VLOOKUP($C633,calendar!$A$2:$D$121,3,FALSE)</f>
        <v>-154.08163265306123</v>
      </c>
      <c r="F633" s="14">
        <f>F511/VLOOKUP($C633,calendar!$A$2:$D$121,3,FALSE)</f>
        <v>0</v>
      </c>
      <c r="G633" s="14">
        <f>G511/VLOOKUP($C633,calendar!$A$2:$D$121,3,FALSE)</f>
        <v>0</v>
      </c>
      <c r="H633" s="282">
        <f>H511/VLOOKUP($C633,calendar!$A$2:$D$121,3,FALSE)</f>
        <v>-102.04081632653062</v>
      </c>
      <c r="I633" s="282">
        <f>I511/VLOOKUP($C633,calendar!$A$2:$D$121,3,FALSE)</f>
        <v>51.020408163265309</v>
      </c>
      <c r="J633" s="14">
        <f>J511/VLOOKUP($C633,calendar!$A$2:$D$121,3,FALSE)</f>
        <v>0</v>
      </c>
      <c r="K633" s="14">
        <f>K511/VLOOKUP($C633,calendar!$A$2:$D$121,3,FALSE)</f>
        <v>-102.04081632653062</v>
      </c>
      <c r="L633" s="282">
        <f>L511/VLOOKUP($C633,calendar!$A$2:$D$121,3,FALSE)</f>
        <v>27.551020408163264</v>
      </c>
      <c r="M633" s="14">
        <f>M511/VLOOKUP($C633,calendar!$A$2:$D$121,3,FALSE)</f>
        <v>0</v>
      </c>
      <c r="N633" s="14">
        <f>N511/VLOOKUP($C633,calendar!$A$2:$D$121,3,FALSE)</f>
        <v>0</v>
      </c>
      <c r="O633" s="14">
        <f>O511/VLOOKUP($C633,calendar!$A$2:$D$121,3,FALSE)</f>
        <v>0</v>
      </c>
      <c r="P633" s="14">
        <f>P511/VLOOKUP($C633,calendar!$A$2:$D$121,3,FALSE)</f>
        <v>0</v>
      </c>
      <c r="Q633" s="282">
        <f>Q511/VLOOKUP($C633,calendar!$A$2:$D$121,3,FALSE)</f>
        <v>0</v>
      </c>
      <c r="R633" s="282">
        <f>R511/VLOOKUP($C633,calendar!$A$2:$D$121,3,FALSE)</f>
        <v>0</v>
      </c>
    </row>
    <row r="634" spans="3:18" s="8" customFormat="1" x14ac:dyDescent="0.2">
      <c r="C634" s="9">
        <f t="shared" si="165"/>
        <v>37500</v>
      </c>
      <c r="E634" s="282">
        <f>E512/VLOOKUP($C634,calendar!$A$2:$D$121,3,FALSE)</f>
        <v>-136.02250000000001</v>
      </c>
      <c r="F634" s="14">
        <f>F512/VLOOKUP($C634,calendar!$A$2:$D$121,3,FALSE)</f>
        <v>0</v>
      </c>
      <c r="G634" s="14">
        <f>G512/VLOOKUP($C634,calendar!$A$2:$D$121,3,FALSE)</f>
        <v>0</v>
      </c>
      <c r="H634" s="282">
        <f>H512/VLOOKUP($C634,calendar!$A$2:$D$121,3,FALSE)</f>
        <v>-94.25</v>
      </c>
      <c r="I634" s="282">
        <f>I512/VLOOKUP($C634,calendar!$A$2:$D$121,3,FALSE)</f>
        <v>47.125</v>
      </c>
      <c r="J634" s="14">
        <f>J512/VLOOKUP($C634,calendar!$A$2:$D$121,3,FALSE)</f>
        <v>0</v>
      </c>
      <c r="K634" s="14">
        <f>K512/VLOOKUP($C634,calendar!$A$2:$D$121,3,FALSE)</f>
        <v>-94.25</v>
      </c>
      <c r="L634" s="282">
        <f>L512/VLOOKUP($C634,calendar!$A$2:$D$121,3,FALSE)</f>
        <v>25.447500000000002</v>
      </c>
      <c r="M634" s="14">
        <f>M512/VLOOKUP($C634,calendar!$A$2:$D$121,3,FALSE)</f>
        <v>0</v>
      </c>
      <c r="N634" s="14">
        <f>N512/VLOOKUP($C634,calendar!$A$2:$D$121,3,FALSE)</f>
        <v>0</v>
      </c>
      <c r="O634" s="14">
        <f>O512/VLOOKUP($C634,calendar!$A$2:$D$121,3,FALSE)</f>
        <v>0</v>
      </c>
      <c r="P634" s="14">
        <f>P512/VLOOKUP($C634,calendar!$A$2:$D$121,3,FALSE)</f>
        <v>0</v>
      </c>
      <c r="Q634" s="282">
        <f>Q512/VLOOKUP($C634,calendar!$A$2:$D$121,3,FALSE)</f>
        <v>0</v>
      </c>
      <c r="R634" s="282">
        <f>R512/VLOOKUP($C634,calendar!$A$2:$D$121,3,FALSE)</f>
        <v>0</v>
      </c>
    </row>
    <row r="635" spans="3:18" s="8" customFormat="1" x14ac:dyDescent="0.2">
      <c r="C635" s="9">
        <f t="shared" si="165"/>
        <v>37530</v>
      </c>
      <c r="E635" s="282">
        <f>E513/VLOOKUP($C635,calendar!$A$2:$D$121,3,FALSE)</f>
        <v>-157.97872340425531</v>
      </c>
      <c r="F635" s="14">
        <f>F513/VLOOKUP($C635,calendar!$A$2:$D$121,3,FALSE)</f>
        <v>0</v>
      </c>
      <c r="G635" s="14">
        <f>G513/VLOOKUP($C635,calendar!$A$2:$D$121,3,FALSE)</f>
        <v>0</v>
      </c>
      <c r="H635" s="282">
        <f>H513/VLOOKUP($C635,calendar!$A$2:$D$121,3,FALSE)</f>
        <v>-106.38297872340425</v>
      </c>
      <c r="I635" s="282">
        <f>I513/VLOOKUP($C635,calendar!$A$2:$D$121,3,FALSE)</f>
        <v>53.191489361702125</v>
      </c>
      <c r="J635" s="14">
        <f>J513/VLOOKUP($C635,calendar!$A$2:$D$121,3,FALSE)</f>
        <v>0</v>
      </c>
      <c r="K635" s="14">
        <f>K513/VLOOKUP($C635,calendar!$A$2:$D$121,3,FALSE)</f>
        <v>-106.38297872340425</v>
      </c>
      <c r="L635" s="282">
        <f>L513/VLOOKUP($C635,calendar!$A$2:$D$121,3,FALSE)</f>
        <v>28.723404255319149</v>
      </c>
      <c r="M635" s="14">
        <f>M513/VLOOKUP($C635,calendar!$A$2:$D$121,3,FALSE)</f>
        <v>0</v>
      </c>
      <c r="N635" s="14">
        <f>N513/VLOOKUP($C635,calendar!$A$2:$D$121,3,FALSE)</f>
        <v>0</v>
      </c>
      <c r="O635" s="14">
        <f>O513/VLOOKUP($C635,calendar!$A$2:$D$121,3,FALSE)</f>
        <v>0</v>
      </c>
      <c r="P635" s="14">
        <f>P513/VLOOKUP($C635,calendar!$A$2:$D$121,3,FALSE)</f>
        <v>0</v>
      </c>
      <c r="Q635" s="282">
        <f>Q513/VLOOKUP($C635,calendar!$A$2:$D$121,3,FALSE)</f>
        <v>0</v>
      </c>
      <c r="R635" s="282">
        <f>R513/VLOOKUP($C635,calendar!$A$2:$D$121,3,FALSE)</f>
        <v>0</v>
      </c>
    </row>
    <row r="636" spans="3:18" s="8" customFormat="1" x14ac:dyDescent="0.2">
      <c r="C636" s="9">
        <f t="shared" si="165"/>
        <v>37561</v>
      </c>
      <c r="E636" s="282">
        <f>E514/VLOOKUP($C636,calendar!$A$2:$D$121,3,FALSE)</f>
        <v>-150.91499999999999</v>
      </c>
      <c r="F636" s="14">
        <f>F514/VLOOKUP($C636,calendar!$A$2:$D$121,3,FALSE)</f>
        <v>0</v>
      </c>
      <c r="G636" s="14">
        <f>G514/VLOOKUP($C636,calendar!$A$2:$D$121,3,FALSE)</f>
        <v>0</v>
      </c>
      <c r="H636" s="282">
        <f>H514/VLOOKUP($C636,calendar!$A$2:$D$121,3,FALSE)</f>
        <v>-102</v>
      </c>
      <c r="I636" s="282">
        <f>I514/VLOOKUP($C636,calendar!$A$2:$D$121,3,FALSE)</f>
        <v>51</v>
      </c>
      <c r="J636" s="14">
        <f>J514/VLOOKUP($C636,calendar!$A$2:$D$121,3,FALSE)</f>
        <v>0</v>
      </c>
      <c r="K636" s="14">
        <f>K514/VLOOKUP($C636,calendar!$A$2:$D$121,3,FALSE)</f>
        <v>-102</v>
      </c>
      <c r="L636" s="282">
        <f>L514/VLOOKUP($C636,calendar!$A$2:$D$121,3,FALSE)</f>
        <v>27.54</v>
      </c>
      <c r="M636" s="14">
        <f>M514/VLOOKUP($C636,calendar!$A$2:$D$121,3,FALSE)</f>
        <v>0</v>
      </c>
      <c r="N636" s="14">
        <f>N514/VLOOKUP($C636,calendar!$A$2:$D$121,3,FALSE)</f>
        <v>0</v>
      </c>
      <c r="O636" s="14">
        <f>O514/VLOOKUP($C636,calendar!$A$2:$D$121,3,FALSE)</f>
        <v>0</v>
      </c>
      <c r="P636" s="14">
        <f>P514/VLOOKUP($C636,calendar!$A$2:$D$121,3,FALSE)</f>
        <v>0</v>
      </c>
      <c r="Q636" s="282">
        <f>Q514/VLOOKUP($C636,calendar!$A$2:$D$121,3,FALSE)</f>
        <v>0</v>
      </c>
      <c r="R636" s="282">
        <f>R514/VLOOKUP($C636,calendar!$A$2:$D$121,3,FALSE)</f>
        <v>0</v>
      </c>
    </row>
    <row r="637" spans="3:18" s="8" customFormat="1" x14ac:dyDescent="0.2">
      <c r="C637" s="9">
        <f t="shared" si="165"/>
        <v>37591</v>
      </c>
      <c r="E637" s="282">
        <f>E515/VLOOKUP($C637,calendar!$A$2:$D$121,3,FALSE)</f>
        <v>-239.27450980392157</v>
      </c>
      <c r="F637" s="14">
        <f>F515/VLOOKUP($C637,calendar!$A$2:$D$121,3,FALSE)</f>
        <v>0</v>
      </c>
      <c r="G637" s="14">
        <f>G515/VLOOKUP($C637,calendar!$A$2:$D$121,3,FALSE)</f>
        <v>0</v>
      </c>
      <c r="H637" s="282">
        <f>H515/VLOOKUP($C637,calendar!$A$2:$D$121,3,FALSE)</f>
        <v>-48.03921568627451</v>
      </c>
      <c r="I637" s="282">
        <f>I515/VLOOKUP($C637,calendar!$A$2:$D$121,3,FALSE)</f>
        <v>-96.078431372549019</v>
      </c>
      <c r="J637" s="14">
        <f>J515/VLOOKUP($C637,calendar!$A$2:$D$121,3,FALSE)</f>
        <v>0</v>
      </c>
      <c r="K637" s="14">
        <f>K515/VLOOKUP($C637,calendar!$A$2:$D$121,3,FALSE)</f>
        <v>0</v>
      </c>
      <c r="L637" s="282">
        <f>L515/VLOOKUP($C637,calendar!$A$2:$D$121,3,FALSE)</f>
        <v>25.941176470588236</v>
      </c>
      <c r="M637" s="14">
        <f>M515/VLOOKUP($C637,calendar!$A$2:$D$121,3,FALSE)</f>
        <v>0</v>
      </c>
      <c r="N637" s="14">
        <f>N515/VLOOKUP($C637,calendar!$A$2:$D$121,3,FALSE)</f>
        <v>0</v>
      </c>
      <c r="O637" s="14">
        <f>O515/VLOOKUP($C637,calendar!$A$2:$D$121,3,FALSE)</f>
        <v>0</v>
      </c>
      <c r="P637" s="14">
        <f>P515/VLOOKUP($C637,calendar!$A$2:$D$121,3,FALSE)</f>
        <v>0</v>
      </c>
      <c r="Q637" s="282">
        <f>Q515/VLOOKUP($C637,calendar!$A$2:$D$121,3,FALSE)</f>
        <v>-24.019607843137255</v>
      </c>
      <c r="R637" s="282">
        <f>R515/VLOOKUP($C637,calendar!$A$2:$D$121,3,FALSE)</f>
        <v>48.03921568627451</v>
      </c>
    </row>
    <row r="638" spans="3:18" s="8" customFormat="1" x14ac:dyDescent="0.2">
      <c r="C638" s="9">
        <f t="shared" si="165"/>
        <v>37622</v>
      </c>
      <c r="E638" s="282">
        <f>E516/VLOOKUP($C638,calendar!$A$2:$D$121,3,FALSE)</f>
        <v>-223.42857142857142</v>
      </c>
      <c r="F638" s="14">
        <f>F516/VLOOKUP($C638,calendar!$A$2:$D$121,3,FALSE)</f>
        <v>0</v>
      </c>
      <c r="G638" s="14">
        <f>G516/VLOOKUP($C638,calendar!$A$2:$D$121,3,FALSE)</f>
        <v>0</v>
      </c>
      <c r="H638" s="282">
        <f>H516/VLOOKUP($C638,calendar!$A$2:$D$121,3,FALSE)</f>
        <v>-44.897959183673471</v>
      </c>
      <c r="I638" s="282">
        <f>I516/VLOOKUP($C638,calendar!$A$2:$D$121,3,FALSE)</f>
        <v>-89.795918367346943</v>
      </c>
      <c r="J638" s="14">
        <f>J516/VLOOKUP($C638,calendar!$A$2:$D$121,3,FALSE)</f>
        <v>0</v>
      </c>
      <c r="K638" s="14">
        <f>K516/VLOOKUP($C638,calendar!$A$2:$D$121,3,FALSE)</f>
        <v>0</v>
      </c>
      <c r="L638" s="282">
        <f>L516/VLOOKUP($C638,calendar!$A$2:$D$121,3,FALSE)</f>
        <v>24.244897959183675</v>
      </c>
      <c r="M638" s="14">
        <f>M516/VLOOKUP($C638,calendar!$A$2:$D$121,3,FALSE)</f>
        <v>0</v>
      </c>
      <c r="N638" s="14">
        <f>N516/VLOOKUP($C638,calendar!$A$2:$D$121,3,FALSE)</f>
        <v>0</v>
      </c>
      <c r="O638" s="14">
        <f>O516/VLOOKUP($C638,calendar!$A$2:$D$121,3,FALSE)</f>
        <v>0</v>
      </c>
      <c r="P638" s="14">
        <f>P516/VLOOKUP($C638,calendar!$A$2:$D$121,3,FALSE)</f>
        <v>0</v>
      </c>
      <c r="Q638" s="282">
        <f>Q516/VLOOKUP($C638,calendar!$A$2:$D$121,3,FALSE)</f>
        <v>-22.448979591836736</v>
      </c>
      <c r="R638" s="282">
        <f>R516/VLOOKUP($C638,calendar!$A$2:$D$121,3,FALSE)</f>
        <v>44.897959183673471</v>
      </c>
    </row>
    <row r="639" spans="3:18" s="8" customFormat="1" x14ac:dyDescent="0.2">
      <c r="C639" s="9">
        <f t="shared" si="165"/>
        <v>37653</v>
      </c>
      <c r="E639" s="282">
        <f>E517/VLOOKUP($C639,calendar!$A$2:$D$121,3,FALSE)</f>
        <v>-290.38636363636363</v>
      </c>
      <c r="F639" s="14">
        <f>F517/VLOOKUP($C639,calendar!$A$2:$D$121,3,FALSE)</f>
        <v>0</v>
      </c>
      <c r="G639" s="14">
        <f>G517/VLOOKUP($C639,calendar!$A$2:$D$121,3,FALSE)</f>
        <v>0</v>
      </c>
      <c r="H639" s="282">
        <f>H517/VLOOKUP($C639,calendar!$A$2:$D$121,3,FALSE)</f>
        <v>-57.954545454545453</v>
      </c>
      <c r="I639" s="282">
        <f>I517/VLOOKUP($C639,calendar!$A$2:$D$121,3,FALSE)</f>
        <v>-115.90909090909091</v>
      </c>
      <c r="J639" s="14">
        <f>J517/VLOOKUP($C639,calendar!$A$2:$D$121,3,FALSE)</f>
        <v>0</v>
      </c>
      <c r="K639" s="14">
        <f>K517/VLOOKUP($C639,calendar!$A$2:$D$121,3,FALSE)</f>
        <v>0</v>
      </c>
      <c r="L639" s="282">
        <f>L517/VLOOKUP($C639,calendar!$A$2:$D$121,3,FALSE)</f>
        <v>31.295454545454547</v>
      </c>
      <c r="M639" s="14">
        <f>M517/VLOOKUP($C639,calendar!$A$2:$D$121,3,FALSE)</f>
        <v>0</v>
      </c>
      <c r="N639" s="14">
        <f>N517/VLOOKUP($C639,calendar!$A$2:$D$121,3,FALSE)</f>
        <v>0</v>
      </c>
      <c r="O639" s="14">
        <f>O517/VLOOKUP($C639,calendar!$A$2:$D$121,3,FALSE)</f>
        <v>0</v>
      </c>
      <c r="P639" s="14">
        <f>P517/VLOOKUP($C639,calendar!$A$2:$D$121,3,FALSE)</f>
        <v>0</v>
      </c>
      <c r="Q639" s="282">
        <f>Q517/VLOOKUP($C639,calendar!$A$2:$D$121,3,FALSE)</f>
        <v>-28.977272727272727</v>
      </c>
      <c r="R639" s="282">
        <f>R517/VLOOKUP($C639,calendar!$A$2:$D$121,3,FALSE)</f>
        <v>57.954545454545453</v>
      </c>
    </row>
    <row r="640" spans="3:18" s="8" customFormat="1" x14ac:dyDescent="0.2">
      <c r="C640" s="9">
        <f t="shared" si="165"/>
        <v>37681</v>
      </c>
      <c r="E640" s="282">
        <f>E518/VLOOKUP($C640,calendar!$A$2:$D$121,3,FALSE)</f>
        <v>-223.01225490196077</v>
      </c>
      <c r="F640" s="14">
        <f>F518/VLOOKUP($C640,calendar!$A$2:$D$121,3,FALSE)</f>
        <v>0</v>
      </c>
      <c r="G640" s="14">
        <f>G518/VLOOKUP($C640,calendar!$A$2:$D$121,3,FALSE)</f>
        <v>0</v>
      </c>
      <c r="H640" s="282">
        <f>H518/VLOOKUP($C640,calendar!$A$2:$D$121,3,FALSE)</f>
        <v>-44.975490196078432</v>
      </c>
      <c r="I640" s="282">
        <f>I518/VLOOKUP($C640,calendar!$A$2:$D$121,3,FALSE)</f>
        <v>-89.950980392156865</v>
      </c>
      <c r="J640" s="14">
        <f>J518/VLOOKUP($C640,calendar!$A$2:$D$121,3,FALSE)</f>
        <v>0</v>
      </c>
      <c r="K640" s="14">
        <f>K518/VLOOKUP($C640,calendar!$A$2:$D$121,3,FALSE)</f>
        <v>0</v>
      </c>
      <c r="L640" s="282">
        <f>L518/VLOOKUP($C640,calendar!$A$2:$D$121,3,FALSE)</f>
        <v>24.286764705882351</v>
      </c>
      <c r="M640" s="14">
        <f>M518/VLOOKUP($C640,calendar!$A$2:$D$121,3,FALSE)</f>
        <v>0</v>
      </c>
      <c r="N640" s="14">
        <f>N518/VLOOKUP($C640,calendar!$A$2:$D$121,3,FALSE)</f>
        <v>0</v>
      </c>
      <c r="O640" s="14">
        <f>O518/VLOOKUP($C640,calendar!$A$2:$D$121,3,FALSE)</f>
        <v>0</v>
      </c>
      <c r="P640" s="14">
        <f>P518/VLOOKUP($C640,calendar!$A$2:$D$121,3,FALSE)</f>
        <v>0</v>
      </c>
      <c r="Q640" s="282">
        <f>Q518/VLOOKUP($C640,calendar!$A$2:$D$121,3,FALSE)</f>
        <v>-22.487745098039216</v>
      </c>
      <c r="R640" s="282">
        <f>R518/VLOOKUP($C640,calendar!$A$2:$D$121,3,FALSE)</f>
        <v>44.975490196078432</v>
      </c>
    </row>
    <row r="641" spans="3:18" s="8" customFormat="1" x14ac:dyDescent="0.2">
      <c r="C641" s="9">
        <f t="shared" si="165"/>
        <v>37712</v>
      </c>
      <c r="E641" s="282">
        <f>E519/VLOOKUP($C641,calendar!$A$2:$D$121,3,FALSE)</f>
        <v>-289.17391304347825</v>
      </c>
      <c r="F641" s="14">
        <f>F519/VLOOKUP($C641,calendar!$A$2:$D$121,3,FALSE)</f>
        <v>0</v>
      </c>
      <c r="G641" s="14">
        <f>G519/VLOOKUP($C641,calendar!$A$2:$D$121,3,FALSE)</f>
        <v>0</v>
      </c>
      <c r="H641" s="282">
        <f>H519/VLOOKUP($C641,calendar!$A$2:$D$121,3,FALSE)</f>
        <v>-55.434782608695649</v>
      </c>
      <c r="I641" s="282">
        <f>I519/VLOOKUP($C641,calendar!$A$2:$D$121,3,FALSE)</f>
        <v>-110.8695652173913</v>
      </c>
      <c r="J641" s="14">
        <f>J519/VLOOKUP($C641,calendar!$A$2:$D$121,3,FALSE)</f>
        <v>0</v>
      </c>
      <c r="K641" s="14">
        <f>K519/VLOOKUP($C641,calendar!$A$2:$D$121,3,FALSE)</f>
        <v>0</v>
      </c>
      <c r="L641" s="282">
        <f>L519/VLOOKUP($C641,calendar!$A$2:$D$121,3,FALSE)</f>
        <v>29.934782608695652</v>
      </c>
      <c r="M641" s="14">
        <f>M519/VLOOKUP($C641,calendar!$A$2:$D$121,3,FALSE)</f>
        <v>0</v>
      </c>
      <c r="N641" s="14">
        <f>N519/VLOOKUP($C641,calendar!$A$2:$D$121,3,FALSE)</f>
        <v>0</v>
      </c>
      <c r="O641" s="14">
        <f>O519/VLOOKUP($C641,calendar!$A$2:$D$121,3,FALSE)</f>
        <v>0</v>
      </c>
      <c r="P641" s="14">
        <f>P519/VLOOKUP($C641,calendar!$A$2:$D$121,3,FALSE)</f>
        <v>0</v>
      </c>
      <c r="Q641" s="282">
        <f>Q519/VLOOKUP($C641,calendar!$A$2:$D$121,3,FALSE)</f>
        <v>-27.717391304347824</v>
      </c>
      <c r="R641" s="282">
        <f>R519/VLOOKUP($C641,calendar!$A$2:$D$121,3,FALSE)</f>
        <v>55.434782608695649</v>
      </c>
    </row>
    <row r="642" spans="3:18" s="8" customFormat="1" x14ac:dyDescent="0.2">
      <c r="C642" s="9">
        <f t="shared" si="165"/>
        <v>37742</v>
      </c>
      <c r="E642" s="282">
        <f>E520/VLOOKUP($C642,calendar!$A$2:$D$121,3,FALSE)</f>
        <v>-234.8235294117647</v>
      </c>
      <c r="F642" s="14">
        <f>F520/VLOOKUP($C642,calendar!$A$2:$D$121,3,FALSE)</f>
        <v>0</v>
      </c>
      <c r="G642" s="14">
        <f>G520/VLOOKUP($C642,calendar!$A$2:$D$121,3,FALSE)</f>
        <v>0</v>
      </c>
      <c r="H642" s="282">
        <f>H520/VLOOKUP($C642,calendar!$A$2:$D$121,3,FALSE)</f>
        <v>-47.058823529411768</v>
      </c>
      <c r="I642" s="282">
        <f>I520/VLOOKUP($C642,calendar!$A$2:$D$121,3,FALSE)</f>
        <v>-94.117647058823536</v>
      </c>
      <c r="J642" s="14">
        <f>J520/VLOOKUP($C642,calendar!$A$2:$D$121,3,FALSE)</f>
        <v>0</v>
      </c>
      <c r="K642" s="14">
        <f>K520/VLOOKUP($C642,calendar!$A$2:$D$121,3,FALSE)</f>
        <v>0</v>
      </c>
      <c r="L642" s="282">
        <f>L520/VLOOKUP($C642,calendar!$A$2:$D$121,3,FALSE)</f>
        <v>25.411764705882351</v>
      </c>
      <c r="M642" s="14">
        <f>M520/VLOOKUP($C642,calendar!$A$2:$D$121,3,FALSE)</f>
        <v>0</v>
      </c>
      <c r="N642" s="14">
        <f>N520/VLOOKUP($C642,calendar!$A$2:$D$121,3,FALSE)</f>
        <v>0</v>
      </c>
      <c r="O642" s="14">
        <f>O520/VLOOKUP($C642,calendar!$A$2:$D$121,3,FALSE)</f>
        <v>0</v>
      </c>
      <c r="P642" s="14">
        <f>P520/VLOOKUP($C642,calendar!$A$2:$D$121,3,FALSE)</f>
        <v>0</v>
      </c>
      <c r="Q642" s="282">
        <f>Q520/VLOOKUP($C642,calendar!$A$2:$D$121,3,FALSE)</f>
        <v>-23.529411764705884</v>
      </c>
      <c r="R642" s="282">
        <f>R520/VLOOKUP($C642,calendar!$A$2:$D$121,3,FALSE)</f>
        <v>47.058823529411768</v>
      </c>
    </row>
    <row r="643" spans="3:18" s="8" customFormat="1" x14ac:dyDescent="0.2">
      <c r="C643" s="9">
        <f t="shared" si="165"/>
        <v>37773</v>
      </c>
      <c r="E643" s="282">
        <f>E521/VLOOKUP($C643,calendar!$A$2:$D$121,3,FALSE)</f>
        <v>-254.22916666666666</v>
      </c>
      <c r="F643" s="14">
        <f>F521/VLOOKUP($C643,calendar!$A$2:$D$121,3,FALSE)</f>
        <v>0</v>
      </c>
      <c r="G643" s="14">
        <f>G521/VLOOKUP($C643,calendar!$A$2:$D$121,3,FALSE)</f>
        <v>0</v>
      </c>
      <c r="H643" s="282">
        <f>H521/VLOOKUP($C643,calendar!$A$2:$D$121,3,FALSE)</f>
        <v>-51.041666666666664</v>
      </c>
      <c r="I643" s="282">
        <f>I521/VLOOKUP($C643,calendar!$A$2:$D$121,3,FALSE)</f>
        <v>-102.08333333333333</v>
      </c>
      <c r="J643" s="14">
        <f>J521/VLOOKUP($C643,calendar!$A$2:$D$121,3,FALSE)</f>
        <v>0</v>
      </c>
      <c r="K643" s="14">
        <f>K521/VLOOKUP($C643,calendar!$A$2:$D$121,3,FALSE)</f>
        <v>0</v>
      </c>
      <c r="L643" s="282">
        <f>L521/VLOOKUP($C643,calendar!$A$2:$D$121,3,FALSE)</f>
        <v>27.5625</v>
      </c>
      <c r="M643" s="14">
        <f>M521/VLOOKUP($C643,calendar!$A$2:$D$121,3,FALSE)</f>
        <v>0</v>
      </c>
      <c r="N643" s="14">
        <f>N521/VLOOKUP($C643,calendar!$A$2:$D$121,3,FALSE)</f>
        <v>0</v>
      </c>
      <c r="O643" s="14">
        <f>O521/VLOOKUP($C643,calendar!$A$2:$D$121,3,FALSE)</f>
        <v>0</v>
      </c>
      <c r="P643" s="14">
        <f>P521/VLOOKUP($C643,calendar!$A$2:$D$121,3,FALSE)</f>
        <v>0</v>
      </c>
      <c r="Q643" s="282">
        <f>Q521/VLOOKUP($C643,calendar!$A$2:$D$121,3,FALSE)</f>
        <v>-25.520833333333332</v>
      </c>
      <c r="R643" s="282">
        <f>R521/VLOOKUP($C643,calendar!$A$2:$D$121,3,FALSE)</f>
        <v>51.041666666666664</v>
      </c>
    </row>
    <row r="644" spans="3:18" s="8" customFormat="1" x14ac:dyDescent="0.2">
      <c r="C644" s="9">
        <f t="shared" si="165"/>
        <v>37803</v>
      </c>
      <c r="E644" s="282">
        <f>E522/VLOOKUP($C644,calendar!$A$2:$D$121,3,FALSE)</f>
        <v>-260.75510204081633</v>
      </c>
      <c r="F644" s="14">
        <f>F522/VLOOKUP($C644,calendar!$A$2:$D$121,3,FALSE)</f>
        <v>0</v>
      </c>
      <c r="G644" s="14">
        <f>G522/VLOOKUP($C644,calendar!$A$2:$D$121,3,FALSE)</f>
        <v>0</v>
      </c>
      <c r="H644" s="282">
        <f>H522/VLOOKUP($C644,calendar!$A$2:$D$121,3,FALSE)</f>
        <v>-52.04081632653061</v>
      </c>
      <c r="I644" s="282">
        <f>I522/VLOOKUP($C644,calendar!$A$2:$D$121,3,FALSE)</f>
        <v>-104.08163265306122</v>
      </c>
      <c r="J644" s="14">
        <f>J522/VLOOKUP($C644,calendar!$A$2:$D$121,3,FALSE)</f>
        <v>0</v>
      </c>
      <c r="K644" s="14">
        <f>K522/VLOOKUP($C644,calendar!$A$2:$D$121,3,FALSE)</f>
        <v>0</v>
      </c>
      <c r="L644" s="282">
        <f>L522/VLOOKUP($C644,calendar!$A$2:$D$121,3,FALSE)</f>
        <v>28.102040816326532</v>
      </c>
      <c r="M644" s="14">
        <f>M522/VLOOKUP($C644,calendar!$A$2:$D$121,3,FALSE)</f>
        <v>0</v>
      </c>
      <c r="N644" s="14">
        <f>N522/VLOOKUP($C644,calendar!$A$2:$D$121,3,FALSE)</f>
        <v>0</v>
      </c>
      <c r="O644" s="14">
        <f>O522/VLOOKUP($C644,calendar!$A$2:$D$121,3,FALSE)</f>
        <v>0</v>
      </c>
      <c r="P644" s="14">
        <f>P522/VLOOKUP($C644,calendar!$A$2:$D$121,3,FALSE)</f>
        <v>0</v>
      </c>
      <c r="Q644" s="282">
        <f>Q522/VLOOKUP($C644,calendar!$A$2:$D$121,3,FALSE)</f>
        <v>-26.020408163265305</v>
      </c>
      <c r="R644" s="282">
        <f>R522/VLOOKUP($C644,calendar!$A$2:$D$121,3,FALSE)</f>
        <v>52.04081632653061</v>
      </c>
    </row>
    <row r="645" spans="3:18" s="8" customFormat="1" x14ac:dyDescent="0.2">
      <c r="C645" s="9">
        <f t="shared" si="165"/>
        <v>37834</v>
      </c>
      <c r="E645" s="282">
        <f>E523/VLOOKUP($C645,calendar!$A$2:$D$121,3,FALSE)</f>
        <v>-234.8235294117647</v>
      </c>
      <c r="F645" s="14">
        <f>F523/VLOOKUP($C645,calendar!$A$2:$D$121,3,FALSE)</f>
        <v>0</v>
      </c>
      <c r="G645" s="14">
        <f>G523/VLOOKUP($C645,calendar!$A$2:$D$121,3,FALSE)</f>
        <v>0</v>
      </c>
      <c r="H645" s="282">
        <f>H523/VLOOKUP($C645,calendar!$A$2:$D$121,3,FALSE)</f>
        <v>-47.058823529411768</v>
      </c>
      <c r="I645" s="282">
        <f>I523/VLOOKUP($C645,calendar!$A$2:$D$121,3,FALSE)</f>
        <v>-94.117647058823536</v>
      </c>
      <c r="J645" s="14">
        <f>J523/VLOOKUP($C645,calendar!$A$2:$D$121,3,FALSE)</f>
        <v>0</v>
      </c>
      <c r="K645" s="14">
        <f>K523/VLOOKUP($C645,calendar!$A$2:$D$121,3,FALSE)</f>
        <v>0</v>
      </c>
      <c r="L645" s="282">
        <f>L523/VLOOKUP($C645,calendar!$A$2:$D$121,3,FALSE)</f>
        <v>25.411764705882351</v>
      </c>
      <c r="M645" s="14">
        <f>M523/VLOOKUP($C645,calendar!$A$2:$D$121,3,FALSE)</f>
        <v>0</v>
      </c>
      <c r="N645" s="14">
        <f>N523/VLOOKUP($C645,calendar!$A$2:$D$121,3,FALSE)</f>
        <v>0</v>
      </c>
      <c r="O645" s="14">
        <f>O523/VLOOKUP($C645,calendar!$A$2:$D$121,3,FALSE)</f>
        <v>0</v>
      </c>
      <c r="P645" s="14">
        <f>P523/VLOOKUP($C645,calendar!$A$2:$D$121,3,FALSE)</f>
        <v>0</v>
      </c>
      <c r="Q645" s="282">
        <f>Q523/VLOOKUP($C645,calendar!$A$2:$D$121,3,FALSE)</f>
        <v>-23.529411764705884</v>
      </c>
      <c r="R645" s="282">
        <f>R523/VLOOKUP($C645,calendar!$A$2:$D$121,3,FALSE)</f>
        <v>47.058823529411768</v>
      </c>
    </row>
    <row r="646" spans="3:18" s="8" customFormat="1" x14ac:dyDescent="0.2">
      <c r="C646" s="9">
        <f t="shared" ref="C646:C677" si="166">C524</f>
        <v>37865</v>
      </c>
      <c r="E646" s="282">
        <f>E524/VLOOKUP($C646,calendar!$A$2:$D$121,3,FALSE)</f>
        <v>-242.86197916666666</v>
      </c>
      <c r="F646" s="14">
        <f>F524/VLOOKUP($C646,calendar!$A$2:$D$121,3,FALSE)</f>
        <v>0</v>
      </c>
      <c r="G646" s="14">
        <f>G524/VLOOKUP($C646,calendar!$A$2:$D$121,3,FALSE)</f>
        <v>0</v>
      </c>
      <c r="H646" s="282">
        <f>H524/VLOOKUP($C646,calendar!$A$2:$D$121,3,FALSE)</f>
        <v>-49.088541666666664</v>
      </c>
      <c r="I646" s="282">
        <f>I524/VLOOKUP($C646,calendar!$A$2:$D$121,3,FALSE)</f>
        <v>-98.177083333333329</v>
      </c>
      <c r="J646" s="14">
        <f>J524/VLOOKUP($C646,calendar!$A$2:$D$121,3,FALSE)</f>
        <v>0</v>
      </c>
      <c r="K646" s="14">
        <f>K524/VLOOKUP($C646,calendar!$A$2:$D$121,3,FALSE)</f>
        <v>0</v>
      </c>
      <c r="L646" s="282">
        <f>L524/VLOOKUP($C646,calendar!$A$2:$D$121,3,FALSE)</f>
        <v>26.5078125</v>
      </c>
      <c r="M646" s="14">
        <f>M524/VLOOKUP($C646,calendar!$A$2:$D$121,3,FALSE)</f>
        <v>0</v>
      </c>
      <c r="N646" s="14">
        <f>N524/VLOOKUP($C646,calendar!$A$2:$D$121,3,FALSE)</f>
        <v>0</v>
      </c>
      <c r="O646" s="14">
        <f>O524/VLOOKUP($C646,calendar!$A$2:$D$121,3,FALSE)</f>
        <v>0</v>
      </c>
      <c r="P646" s="14">
        <f>P524/VLOOKUP($C646,calendar!$A$2:$D$121,3,FALSE)</f>
        <v>0</v>
      </c>
      <c r="Q646" s="282">
        <f>Q524/VLOOKUP($C646,calendar!$A$2:$D$121,3,FALSE)</f>
        <v>-24.544270833333332</v>
      </c>
      <c r="R646" s="282">
        <f>R524/VLOOKUP($C646,calendar!$A$2:$D$121,3,FALSE)</f>
        <v>49.088541666666664</v>
      </c>
    </row>
    <row r="647" spans="3:18" s="8" customFormat="1" x14ac:dyDescent="0.2">
      <c r="C647" s="9">
        <f t="shared" si="166"/>
        <v>37895</v>
      </c>
      <c r="E647" s="282">
        <f>E525/VLOOKUP($C647,calendar!$A$2:$D$121,3,FALSE)</f>
        <v>-279.2340425531915</v>
      </c>
      <c r="F647" s="14">
        <f>F525/VLOOKUP($C647,calendar!$A$2:$D$121,3,FALSE)</f>
        <v>0</v>
      </c>
      <c r="G647" s="14">
        <f>G525/VLOOKUP($C647,calendar!$A$2:$D$121,3,FALSE)</f>
        <v>0</v>
      </c>
      <c r="H647" s="282">
        <f>H525/VLOOKUP($C647,calendar!$A$2:$D$121,3,FALSE)</f>
        <v>-55.319148936170215</v>
      </c>
      <c r="I647" s="282">
        <f>I525/VLOOKUP($C647,calendar!$A$2:$D$121,3,FALSE)</f>
        <v>-110.63829787234043</v>
      </c>
      <c r="J647" s="14">
        <f>J525/VLOOKUP($C647,calendar!$A$2:$D$121,3,FALSE)</f>
        <v>0</v>
      </c>
      <c r="K647" s="14">
        <f>K525/VLOOKUP($C647,calendar!$A$2:$D$121,3,FALSE)</f>
        <v>0</v>
      </c>
      <c r="L647" s="282">
        <f>L525/VLOOKUP($C647,calendar!$A$2:$D$121,3,FALSE)</f>
        <v>29.872340425531913</v>
      </c>
      <c r="M647" s="14">
        <f>M525/VLOOKUP($C647,calendar!$A$2:$D$121,3,FALSE)</f>
        <v>0</v>
      </c>
      <c r="N647" s="14">
        <f>N525/VLOOKUP($C647,calendar!$A$2:$D$121,3,FALSE)</f>
        <v>0</v>
      </c>
      <c r="O647" s="14">
        <f>O525/VLOOKUP($C647,calendar!$A$2:$D$121,3,FALSE)</f>
        <v>0</v>
      </c>
      <c r="P647" s="14">
        <f>P525/VLOOKUP($C647,calendar!$A$2:$D$121,3,FALSE)</f>
        <v>0</v>
      </c>
      <c r="Q647" s="282">
        <f>Q525/VLOOKUP($C647,calendar!$A$2:$D$121,3,FALSE)</f>
        <v>-27.659574468085108</v>
      </c>
      <c r="R647" s="282">
        <f>R525/VLOOKUP($C647,calendar!$A$2:$D$121,3,FALSE)</f>
        <v>55.319148936170215</v>
      </c>
    </row>
    <row r="648" spans="3:18" s="8" customFormat="1" x14ac:dyDescent="0.2">
      <c r="C648" s="9">
        <f t="shared" si="166"/>
        <v>37926</v>
      </c>
      <c r="E648" s="282">
        <f>E526/VLOOKUP($C648,calendar!$A$2:$D$121,3,FALSE)</f>
        <v>-234.67307692307693</v>
      </c>
      <c r="F648" s="14">
        <f>F526/VLOOKUP($C648,calendar!$A$2:$D$121,3,FALSE)</f>
        <v>0</v>
      </c>
      <c r="G648" s="14">
        <f>G526/VLOOKUP($C648,calendar!$A$2:$D$121,3,FALSE)</f>
        <v>0</v>
      </c>
      <c r="H648" s="282">
        <f>H526/VLOOKUP($C648,calendar!$A$2:$D$121,3,FALSE)</f>
        <v>-47.115384615384613</v>
      </c>
      <c r="I648" s="282">
        <f>I526/VLOOKUP($C648,calendar!$A$2:$D$121,3,FALSE)</f>
        <v>-94.230769230769226</v>
      </c>
      <c r="J648" s="14">
        <f>J526/VLOOKUP($C648,calendar!$A$2:$D$121,3,FALSE)</f>
        <v>0</v>
      </c>
      <c r="K648" s="14">
        <f>K526/VLOOKUP($C648,calendar!$A$2:$D$121,3,FALSE)</f>
        <v>0</v>
      </c>
      <c r="L648" s="282">
        <f>L526/VLOOKUP($C648,calendar!$A$2:$D$121,3,FALSE)</f>
        <v>25.442307692307693</v>
      </c>
      <c r="M648" s="14">
        <f>M526/VLOOKUP($C648,calendar!$A$2:$D$121,3,FALSE)</f>
        <v>0</v>
      </c>
      <c r="N648" s="14">
        <f>N526/VLOOKUP($C648,calendar!$A$2:$D$121,3,FALSE)</f>
        <v>0</v>
      </c>
      <c r="O648" s="14">
        <f>O526/VLOOKUP($C648,calendar!$A$2:$D$121,3,FALSE)</f>
        <v>0</v>
      </c>
      <c r="P648" s="14">
        <f>P526/VLOOKUP($C648,calendar!$A$2:$D$121,3,FALSE)</f>
        <v>0</v>
      </c>
      <c r="Q648" s="282">
        <f>Q526/VLOOKUP($C648,calendar!$A$2:$D$121,3,FALSE)</f>
        <v>-23.557692307692307</v>
      </c>
      <c r="R648" s="282">
        <f>R526/VLOOKUP($C648,calendar!$A$2:$D$121,3,FALSE)</f>
        <v>47.115384615384613</v>
      </c>
    </row>
    <row r="649" spans="3:18" s="8" customFormat="1" x14ac:dyDescent="0.2">
      <c r="C649" s="9">
        <f t="shared" si="166"/>
        <v>37956</v>
      </c>
      <c r="E649" s="282">
        <f>E527/VLOOKUP($C649,calendar!$A$2:$D$121,3,FALSE)</f>
        <v>128.0204081632653</v>
      </c>
      <c r="F649" s="14">
        <f>F527/VLOOKUP($C649,calendar!$A$2:$D$121,3,FALSE)</f>
        <v>0</v>
      </c>
      <c r="G649" s="14">
        <f>G527/VLOOKUP($C649,calendar!$A$2:$D$121,3,FALSE)</f>
        <v>0</v>
      </c>
      <c r="H649" s="282">
        <f>H527/VLOOKUP($C649,calendar!$A$2:$D$121,3,FALSE)</f>
        <v>0</v>
      </c>
      <c r="I649" s="282">
        <f>I527/VLOOKUP($C649,calendar!$A$2:$D$121,3,FALSE)</f>
        <v>0</v>
      </c>
      <c r="J649" s="14">
        <f>J527/VLOOKUP($C649,calendar!$A$2:$D$121,3,FALSE)</f>
        <v>0</v>
      </c>
      <c r="K649" s="14">
        <f>K527/VLOOKUP($C649,calendar!$A$2:$D$121,3,FALSE)</f>
        <v>0</v>
      </c>
      <c r="L649" s="282">
        <f>L527/VLOOKUP($C649,calendar!$A$2:$D$121,3,FALSE)</f>
        <v>0</v>
      </c>
      <c r="M649" s="14">
        <f>M527/VLOOKUP($C649,calendar!$A$2:$D$121,3,FALSE)</f>
        <v>0</v>
      </c>
      <c r="N649" s="14">
        <f>N527/VLOOKUP($C649,calendar!$A$2:$D$121,3,FALSE)</f>
        <v>0</v>
      </c>
      <c r="O649" s="14">
        <f>O527/VLOOKUP($C649,calendar!$A$2:$D$121,3,FALSE)</f>
        <v>0</v>
      </c>
      <c r="P649" s="14">
        <f>P527/VLOOKUP($C649,calendar!$A$2:$D$121,3,FALSE)</f>
        <v>0</v>
      </c>
      <c r="Q649" s="282">
        <f>Q527/VLOOKUP($C649,calendar!$A$2:$D$121,3,FALSE)</f>
        <v>0</v>
      </c>
      <c r="R649" s="282">
        <f>R527/VLOOKUP($C649,calendar!$A$2:$D$121,3,FALSE)</f>
        <v>-104.08163265306122</v>
      </c>
    </row>
    <row r="650" spans="3:18" s="8" customFormat="1" x14ac:dyDescent="0.2">
      <c r="C650" s="9">
        <f t="shared" si="166"/>
        <v>37987</v>
      </c>
      <c r="E650" s="282">
        <f>E528/VLOOKUP($C650,calendar!$A$2:$D$121,3,FALSE)</f>
        <v>113.35294117647059</v>
      </c>
      <c r="F650" s="14">
        <f>F528/VLOOKUP($C650,calendar!$A$2:$D$121,3,FALSE)</f>
        <v>0</v>
      </c>
      <c r="G650" s="14">
        <f>G528/VLOOKUP($C650,calendar!$A$2:$D$121,3,FALSE)</f>
        <v>0</v>
      </c>
      <c r="H650" s="282">
        <f>H528/VLOOKUP($C650,calendar!$A$2:$D$121,3,FALSE)</f>
        <v>0</v>
      </c>
      <c r="I650" s="282">
        <f>I528/VLOOKUP($C650,calendar!$A$2:$D$121,3,FALSE)</f>
        <v>0</v>
      </c>
      <c r="J650" s="14">
        <f>J528/VLOOKUP($C650,calendar!$A$2:$D$121,3,FALSE)</f>
        <v>0</v>
      </c>
      <c r="K650" s="14">
        <f>K528/VLOOKUP($C650,calendar!$A$2:$D$121,3,FALSE)</f>
        <v>0</v>
      </c>
      <c r="L650" s="282">
        <f>L528/VLOOKUP($C650,calendar!$A$2:$D$121,3,FALSE)</f>
        <v>0</v>
      </c>
      <c r="M650" s="14">
        <f>M528/VLOOKUP($C650,calendar!$A$2:$D$121,3,FALSE)</f>
        <v>0</v>
      </c>
      <c r="N650" s="14">
        <f>N528/VLOOKUP($C650,calendar!$A$2:$D$121,3,FALSE)</f>
        <v>0</v>
      </c>
      <c r="O650" s="14">
        <f>O528/VLOOKUP($C650,calendar!$A$2:$D$121,3,FALSE)</f>
        <v>0</v>
      </c>
      <c r="P650" s="14">
        <f>P528/VLOOKUP($C650,calendar!$A$2:$D$121,3,FALSE)</f>
        <v>0</v>
      </c>
      <c r="Q650" s="282">
        <f>Q528/VLOOKUP($C650,calendar!$A$2:$D$121,3,FALSE)</f>
        <v>0</v>
      </c>
      <c r="R650" s="282">
        <f>R528/VLOOKUP($C650,calendar!$A$2:$D$121,3,FALSE)</f>
        <v>-92.156862745098039</v>
      </c>
    </row>
    <row r="651" spans="3:18" s="8" customFormat="1" x14ac:dyDescent="0.2">
      <c r="C651" s="9">
        <f t="shared" si="166"/>
        <v>38018</v>
      </c>
      <c r="E651" s="282">
        <f>E529/VLOOKUP($C651,calendar!$A$2:$D$121,3,FALSE)</f>
        <v>123</v>
      </c>
      <c r="F651" s="14">
        <f>F529/VLOOKUP($C651,calendar!$A$2:$D$121,3,FALSE)</f>
        <v>0</v>
      </c>
      <c r="G651" s="14">
        <f>G529/VLOOKUP($C651,calendar!$A$2:$D$121,3,FALSE)</f>
        <v>0</v>
      </c>
      <c r="H651" s="282">
        <f>H529/VLOOKUP($C651,calendar!$A$2:$D$121,3,FALSE)</f>
        <v>0</v>
      </c>
      <c r="I651" s="282">
        <f>I529/VLOOKUP($C651,calendar!$A$2:$D$121,3,FALSE)</f>
        <v>0</v>
      </c>
      <c r="J651" s="14">
        <f>J529/VLOOKUP($C651,calendar!$A$2:$D$121,3,FALSE)</f>
        <v>0</v>
      </c>
      <c r="K651" s="14">
        <f>K529/VLOOKUP($C651,calendar!$A$2:$D$121,3,FALSE)</f>
        <v>0</v>
      </c>
      <c r="L651" s="282">
        <f>L529/VLOOKUP($C651,calendar!$A$2:$D$121,3,FALSE)</f>
        <v>0</v>
      </c>
      <c r="M651" s="14">
        <f>M529/VLOOKUP($C651,calendar!$A$2:$D$121,3,FALSE)</f>
        <v>0</v>
      </c>
      <c r="N651" s="14">
        <f>N529/VLOOKUP($C651,calendar!$A$2:$D$121,3,FALSE)</f>
        <v>0</v>
      </c>
      <c r="O651" s="14">
        <f>O529/VLOOKUP($C651,calendar!$A$2:$D$121,3,FALSE)</f>
        <v>0</v>
      </c>
      <c r="P651" s="14">
        <f>P529/VLOOKUP($C651,calendar!$A$2:$D$121,3,FALSE)</f>
        <v>0</v>
      </c>
      <c r="Q651" s="282">
        <f>Q529/VLOOKUP($C651,calendar!$A$2:$D$121,3,FALSE)</f>
        <v>0</v>
      </c>
      <c r="R651" s="282">
        <f>R529/VLOOKUP($C651,calendar!$A$2:$D$121,3,FALSE)</f>
        <v>-100</v>
      </c>
    </row>
    <row r="652" spans="3:18" s="8" customFormat="1" x14ac:dyDescent="0.2">
      <c r="C652" s="9">
        <f t="shared" si="166"/>
        <v>38047</v>
      </c>
      <c r="E652" s="282">
        <f>E530/VLOOKUP($C652,calendar!$A$2:$D$121,3,FALSE)</f>
        <v>120.05585106382979</v>
      </c>
      <c r="F652" s="14">
        <f>F530/VLOOKUP($C652,calendar!$A$2:$D$121,3,FALSE)</f>
        <v>0</v>
      </c>
      <c r="G652" s="14">
        <f>G530/VLOOKUP($C652,calendar!$A$2:$D$121,3,FALSE)</f>
        <v>0</v>
      </c>
      <c r="H652" s="282">
        <f>H530/VLOOKUP($C652,calendar!$A$2:$D$121,3,FALSE)</f>
        <v>0</v>
      </c>
      <c r="I652" s="282">
        <f>I530/VLOOKUP($C652,calendar!$A$2:$D$121,3,FALSE)</f>
        <v>0</v>
      </c>
      <c r="J652" s="14">
        <f>J530/VLOOKUP($C652,calendar!$A$2:$D$121,3,FALSE)</f>
        <v>0</v>
      </c>
      <c r="K652" s="14">
        <f>K530/VLOOKUP($C652,calendar!$A$2:$D$121,3,FALSE)</f>
        <v>0</v>
      </c>
      <c r="L652" s="282">
        <f>L530/VLOOKUP($C652,calendar!$A$2:$D$121,3,FALSE)</f>
        <v>0</v>
      </c>
      <c r="M652" s="14">
        <f>M530/VLOOKUP($C652,calendar!$A$2:$D$121,3,FALSE)</f>
        <v>0</v>
      </c>
      <c r="N652" s="14">
        <f>N530/VLOOKUP($C652,calendar!$A$2:$D$121,3,FALSE)</f>
        <v>0</v>
      </c>
      <c r="O652" s="14">
        <f>O530/VLOOKUP($C652,calendar!$A$2:$D$121,3,FALSE)</f>
        <v>0</v>
      </c>
      <c r="P652" s="14">
        <f>P530/VLOOKUP($C652,calendar!$A$2:$D$121,3,FALSE)</f>
        <v>0</v>
      </c>
      <c r="Q652" s="282">
        <f>Q530/VLOOKUP($C652,calendar!$A$2:$D$121,3,FALSE)</f>
        <v>0</v>
      </c>
      <c r="R652" s="282">
        <f>R530/VLOOKUP($C652,calendar!$A$2:$D$121,3,FALSE)</f>
        <v>-97.606382978723403</v>
      </c>
    </row>
    <row r="653" spans="3:18" s="8" customFormat="1" x14ac:dyDescent="0.2">
      <c r="C653" s="9">
        <f t="shared" si="166"/>
        <v>38078</v>
      </c>
      <c r="E653" s="282">
        <f>E531/VLOOKUP($C653,calendar!$A$2:$D$121,3,FALSE)</f>
        <v>141.71739130434781</v>
      </c>
      <c r="F653" s="14">
        <f>F531/VLOOKUP($C653,calendar!$A$2:$D$121,3,FALSE)</f>
        <v>0</v>
      </c>
      <c r="G653" s="14">
        <f>G531/VLOOKUP($C653,calendar!$A$2:$D$121,3,FALSE)</f>
        <v>0</v>
      </c>
      <c r="H653" s="282">
        <f>H531/VLOOKUP($C653,calendar!$A$2:$D$121,3,FALSE)</f>
        <v>0</v>
      </c>
      <c r="I653" s="282">
        <f>I531/VLOOKUP($C653,calendar!$A$2:$D$121,3,FALSE)</f>
        <v>0</v>
      </c>
      <c r="J653" s="14">
        <f>J531/VLOOKUP($C653,calendar!$A$2:$D$121,3,FALSE)</f>
        <v>0</v>
      </c>
      <c r="K653" s="14">
        <f>K531/VLOOKUP($C653,calendar!$A$2:$D$121,3,FALSE)</f>
        <v>0</v>
      </c>
      <c r="L653" s="282">
        <f>L531/VLOOKUP($C653,calendar!$A$2:$D$121,3,FALSE)</f>
        <v>0</v>
      </c>
      <c r="M653" s="14">
        <f>M531/VLOOKUP($C653,calendar!$A$2:$D$121,3,FALSE)</f>
        <v>0</v>
      </c>
      <c r="N653" s="14">
        <f>N531/VLOOKUP($C653,calendar!$A$2:$D$121,3,FALSE)</f>
        <v>0</v>
      </c>
      <c r="O653" s="14">
        <f>O531/VLOOKUP($C653,calendar!$A$2:$D$121,3,FALSE)</f>
        <v>0</v>
      </c>
      <c r="P653" s="14">
        <f>P531/VLOOKUP($C653,calendar!$A$2:$D$121,3,FALSE)</f>
        <v>0</v>
      </c>
      <c r="Q653" s="282">
        <f>Q531/VLOOKUP($C653,calendar!$A$2:$D$121,3,FALSE)</f>
        <v>0</v>
      </c>
      <c r="R653" s="282">
        <f>R531/VLOOKUP($C653,calendar!$A$2:$D$121,3,FALSE)</f>
        <v>-115.21739130434783</v>
      </c>
    </row>
    <row r="654" spans="3:18" s="8" customFormat="1" x14ac:dyDescent="0.2">
      <c r="C654" s="9">
        <f t="shared" si="166"/>
        <v>38108</v>
      </c>
      <c r="E654" s="282">
        <f>E532/VLOOKUP($C654,calendar!$A$2:$D$121,3,FALSE)</f>
        <v>106.75471698113208</v>
      </c>
      <c r="F654" s="14">
        <f>F532/VLOOKUP($C654,calendar!$A$2:$D$121,3,FALSE)</f>
        <v>0</v>
      </c>
      <c r="G654" s="14">
        <f>G532/VLOOKUP($C654,calendar!$A$2:$D$121,3,FALSE)</f>
        <v>0</v>
      </c>
      <c r="H654" s="282">
        <f>H532/VLOOKUP($C654,calendar!$A$2:$D$121,3,FALSE)</f>
        <v>0</v>
      </c>
      <c r="I654" s="282">
        <f>I532/VLOOKUP($C654,calendar!$A$2:$D$121,3,FALSE)</f>
        <v>0</v>
      </c>
      <c r="J654" s="14">
        <f>J532/VLOOKUP($C654,calendar!$A$2:$D$121,3,FALSE)</f>
        <v>0</v>
      </c>
      <c r="K654" s="14">
        <f>K532/VLOOKUP($C654,calendar!$A$2:$D$121,3,FALSE)</f>
        <v>0</v>
      </c>
      <c r="L654" s="282">
        <f>L532/VLOOKUP($C654,calendar!$A$2:$D$121,3,FALSE)</f>
        <v>0</v>
      </c>
      <c r="M654" s="14">
        <f>M532/VLOOKUP($C654,calendar!$A$2:$D$121,3,FALSE)</f>
        <v>0</v>
      </c>
      <c r="N654" s="14">
        <f>N532/VLOOKUP($C654,calendar!$A$2:$D$121,3,FALSE)</f>
        <v>0</v>
      </c>
      <c r="O654" s="14">
        <f>O532/VLOOKUP($C654,calendar!$A$2:$D$121,3,FALSE)</f>
        <v>0</v>
      </c>
      <c r="P654" s="14">
        <f>P532/VLOOKUP($C654,calendar!$A$2:$D$121,3,FALSE)</f>
        <v>0</v>
      </c>
      <c r="Q654" s="282">
        <f>Q532/VLOOKUP($C654,calendar!$A$2:$D$121,3,FALSE)</f>
        <v>0</v>
      </c>
      <c r="R654" s="282">
        <f>R532/VLOOKUP($C654,calendar!$A$2:$D$121,3,FALSE)</f>
        <v>-86.79245283018868</v>
      </c>
    </row>
    <row r="655" spans="3:18" s="8" customFormat="1" x14ac:dyDescent="0.2">
      <c r="C655" s="9">
        <f t="shared" si="166"/>
        <v>38139</v>
      </c>
      <c r="E655" s="282">
        <f>E533/VLOOKUP($C655,calendar!$A$2:$D$121,3,FALSE)</f>
        <v>136.36956521739131</v>
      </c>
      <c r="F655" s="14">
        <f>F533/VLOOKUP($C655,calendar!$A$2:$D$121,3,FALSE)</f>
        <v>0</v>
      </c>
      <c r="G655" s="14">
        <f>G533/VLOOKUP($C655,calendar!$A$2:$D$121,3,FALSE)</f>
        <v>0</v>
      </c>
      <c r="H655" s="282">
        <f>H533/VLOOKUP($C655,calendar!$A$2:$D$121,3,FALSE)</f>
        <v>0</v>
      </c>
      <c r="I655" s="282">
        <f>I533/VLOOKUP($C655,calendar!$A$2:$D$121,3,FALSE)</f>
        <v>0</v>
      </c>
      <c r="J655" s="14">
        <f>J533/VLOOKUP($C655,calendar!$A$2:$D$121,3,FALSE)</f>
        <v>0</v>
      </c>
      <c r="K655" s="14">
        <f>K533/VLOOKUP($C655,calendar!$A$2:$D$121,3,FALSE)</f>
        <v>0</v>
      </c>
      <c r="L655" s="282">
        <f>L533/VLOOKUP($C655,calendar!$A$2:$D$121,3,FALSE)</f>
        <v>0</v>
      </c>
      <c r="M655" s="14">
        <f>M533/VLOOKUP($C655,calendar!$A$2:$D$121,3,FALSE)</f>
        <v>0</v>
      </c>
      <c r="N655" s="14">
        <f>N533/VLOOKUP($C655,calendar!$A$2:$D$121,3,FALSE)</f>
        <v>0</v>
      </c>
      <c r="O655" s="14">
        <f>O533/VLOOKUP($C655,calendar!$A$2:$D$121,3,FALSE)</f>
        <v>0</v>
      </c>
      <c r="P655" s="14">
        <f>P533/VLOOKUP($C655,calendar!$A$2:$D$121,3,FALSE)</f>
        <v>0</v>
      </c>
      <c r="Q655" s="282">
        <f>Q533/VLOOKUP($C655,calendar!$A$2:$D$121,3,FALSE)</f>
        <v>0</v>
      </c>
      <c r="R655" s="282">
        <f>R533/VLOOKUP($C655,calendar!$A$2:$D$121,3,FALSE)</f>
        <v>-110.8695652173913</v>
      </c>
    </row>
    <row r="656" spans="3:18" s="8" customFormat="1" x14ac:dyDescent="0.2">
      <c r="C656" s="9">
        <f t="shared" si="166"/>
        <v>38169</v>
      </c>
      <c r="E656" s="282">
        <f>E534/VLOOKUP($C656,calendar!$A$2:$D$121,3,FALSE)</f>
        <v>118.17647058823529</v>
      </c>
      <c r="F656" s="14">
        <f>F534/VLOOKUP($C656,calendar!$A$2:$D$121,3,FALSE)</f>
        <v>0</v>
      </c>
      <c r="G656" s="14">
        <f>G534/VLOOKUP($C656,calendar!$A$2:$D$121,3,FALSE)</f>
        <v>0</v>
      </c>
      <c r="H656" s="282">
        <f>H534/VLOOKUP($C656,calendar!$A$2:$D$121,3,FALSE)</f>
        <v>0</v>
      </c>
      <c r="I656" s="282">
        <f>I534/VLOOKUP($C656,calendar!$A$2:$D$121,3,FALSE)</f>
        <v>0</v>
      </c>
      <c r="J656" s="14">
        <f>J534/VLOOKUP($C656,calendar!$A$2:$D$121,3,FALSE)</f>
        <v>0</v>
      </c>
      <c r="K656" s="14">
        <f>K534/VLOOKUP($C656,calendar!$A$2:$D$121,3,FALSE)</f>
        <v>0</v>
      </c>
      <c r="L656" s="282">
        <f>L534/VLOOKUP($C656,calendar!$A$2:$D$121,3,FALSE)</f>
        <v>0</v>
      </c>
      <c r="M656" s="14">
        <f>M534/VLOOKUP($C656,calendar!$A$2:$D$121,3,FALSE)</f>
        <v>0</v>
      </c>
      <c r="N656" s="14">
        <f>N534/VLOOKUP($C656,calendar!$A$2:$D$121,3,FALSE)</f>
        <v>0</v>
      </c>
      <c r="O656" s="14">
        <f>O534/VLOOKUP($C656,calendar!$A$2:$D$121,3,FALSE)</f>
        <v>0</v>
      </c>
      <c r="P656" s="14">
        <f>P534/VLOOKUP($C656,calendar!$A$2:$D$121,3,FALSE)</f>
        <v>0</v>
      </c>
      <c r="Q656" s="282">
        <f>Q534/VLOOKUP($C656,calendar!$A$2:$D$121,3,FALSE)</f>
        <v>0</v>
      </c>
      <c r="R656" s="282">
        <f>R534/VLOOKUP($C656,calendar!$A$2:$D$121,3,FALSE)</f>
        <v>-96.078431372549019</v>
      </c>
    </row>
    <row r="657" spans="3:18" s="8" customFormat="1" x14ac:dyDescent="0.2">
      <c r="C657" s="9">
        <f t="shared" si="166"/>
        <v>38200</v>
      </c>
      <c r="E657" s="282">
        <f>E535/VLOOKUP($C657,calendar!$A$2:$D$121,3,FALSE)</f>
        <v>120.48979591836735</v>
      </c>
      <c r="F657" s="14">
        <f>F535/VLOOKUP($C657,calendar!$A$2:$D$121,3,FALSE)</f>
        <v>0</v>
      </c>
      <c r="G657" s="14">
        <f>G535/VLOOKUP($C657,calendar!$A$2:$D$121,3,FALSE)</f>
        <v>0</v>
      </c>
      <c r="H657" s="282">
        <f>H535/VLOOKUP($C657,calendar!$A$2:$D$121,3,FALSE)</f>
        <v>0</v>
      </c>
      <c r="I657" s="282">
        <f>I535/VLOOKUP($C657,calendar!$A$2:$D$121,3,FALSE)</f>
        <v>0</v>
      </c>
      <c r="J657" s="14">
        <f>J535/VLOOKUP($C657,calendar!$A$2:$D$121,3,FALSE)</f>
        <v>0</v>
      </c>
      <c r="K657" s="14">
        <f>K535/VLOOKUP($C657,calendar!$A$2:$D$121,3,FALSE)</f>
        <v>0</v>
      </c>
      <c r="L657" s="282">
        <f>L535/VLOOKUP($C657,calendar!$A$2:$D$121,3,FALSE)</f>
        <v>0</v>
      </c>
      <c r="M657" s="14">
        <f>M535/VLOOKUP($C657,calendar!$A$2:$D$121,3,FALSE)</f>
        <v>0</v>
      </c>
      <c r="N657" s="14">
        <f>N535/VLOOKUP($C657,calendar!$A$2:$D$121,3,FALSE)</f>
        <v>0</v>
      </c>
      <c r="O657" s="14">
        <f>O535/VLOOKUP($C657,calendar!$A$2:$D$121,3,FALSE)</f>
        <v>0</v>
      </c>
      <c r="P657" s="14">
        <f>P535/VLOOKUP($C657,calendar!$A$2:$D$121,3,FALSE)</f>
        <v>0</v>
      </c>
      <c r="Q657" s="282">
        <f>Q535/VLOOKUP($C657,calendar!$A$2:$D$121,3,FALSE)</f>
        <v>0</v>
      </c>
      <c r="R657" s="282">
        <f>R535/VLOOKUP($C657,calendar!$A$2:$D$121,3,FALSE)</f>
        <v>-97.959183673469383</v>
      </c>
    </row>
    <row r="658" spans="3:18" s="8" customFormat="1" x14ac:dyDescent="0.2">
      <c r="C658" s="9">
        <f t="shared" si="166"/>
        <v>38231</v>
      </c>
      <c r="E658" s="282">
        <f>E536/VLOOKUP($C658,calendar!$A$2:$D$121,3,FALSE)</f>
        <v>131.0078125</v>
      </c>
      <c r="F658" s="14">
        <f>F536/VLOOKUP($C658,calendar!$A$2:$D$121,3,FALSE)</f>
        <v>0</v>
      </c>
      <c r="G658" s="14">
        <f>G536/VLOOKUP($C658,calendar!$A$2:$D$121,3,FALSE)</f>
        <v>0</v>
      </c>
      <c r="H658" s="282">
        <f>H536/VLOOKUP($C658,calendar!$A$2:$D$121,3,FALSE)</f>
        <v>0</v>
      </c>
      <c r="I658" s="282">
        <f>I536/VLOOKUP($C658,calendar!$A$2:$D$121,3,FALSE)</f>
        <v>0</v>
      </c>
      <c r="J658" s="14">
        <f>J536/VLOOKUP($C658,calendar!$A$2:$D$121,3,FALSE)</f>
        <v>0</v>
      </c>
      <c r="K658" s="14">
        <f>K536/VLOOKUP($C658,calendar!$A$2:$D$121,3,FALSE)</f>
        <v>0</v>
      </c>
      <c r="L658" s="282">
        <f>L536/VLOOKUP($C658,calendar!$A$2:$D$121,3,FALSE)</f>
        <v>0</v>
      </c>
      <c r="M658" s="14">
        <f>M536/VLOOKUP($C658,calendar!$A$2:$D$121,3,FALSE)</f>
        <v>0</v>
      </c>
      <c r="N658" s="14">
        <f>N536/VLOOKUP($C658,calendar!$A$2:$D$121,3,FALSE)</f>
        <v>0</v>
      </c>
      <c r="O658" s="14">
        <f>O536/VLOOKUP($C658,calendar!$A$2:$D$121,3,FALSE)</f>
        <v>0</v>
      </c>
      <c r="P658" s="14">
        <f>P536/VLOOKUP($C658,calendar!$A$2:$D$121,3,FALSE)</f>
        <v>0</v>
      </c>
      <c r="Q658" s="282">
        <f>Q536/VLOOKUP($C658,calendar!$A$2:$D$121,3,FALSE)</f>
        <v>0</v>
      </c>
      <c r="R658" s="282">
        <f>R536/VLOOKUP($C658,calendar!$A$2:$D$121,3,FALSE)</f>
        <v>-106.51041666666667</v>
      </c>
    </row>
    <row r="659" spans="3:18" s="8" customFormat="1" x14ac:dyDescent="0.2">
      <c r="C659" s="9">
        <f t="shared" si="166"/>
        <v>38261</v>
      </c>
      <c r="E659" s="282">
        <f>E537/VLOOKUP($C659,calendar!$A$2:$D$121,3,FALSE)</f>
        <v>115.76470588235294</v>
      </c>
      <c r="F659" s="14">
        <f>F537/VLOOKUP($C659,calendar!$A$2:$D$121,3,FALSE)</f>
        <v>0</v>
      </c>
      <c r="G659" s="14">
        <f>G537/VLOOKUP($C659,calendar!$A$2:$D$121,3,FALSE)</f>
        <v>0</v>
      </c>
      <c r="H659" s="282">
        <f>H537/VLOOKUP($C659,calendar!$A$2:$D$121,3,FALSE)</f>
        <v>0</v>
      </c>
      <c r="I659" s="282">
        <f>I537/VLOOKUP($C659,calendar!$A$2:$D$121,3,FALSE)</f>
        <v>0</v>
      </c>
      <c r="J659" s="14">
        <f>J537/VLOOKUP($C659,calendar!$A$2:$D$121,3,FALSE)</f>
        <v>0</v>
      </c>
      <c r="K659" s="14">
        <f>K537/VLOOKUP($C659,calendar!$A$2:$D$121,3,FALSE)</f>
        <v>0</v>
      </c>
      <c r="L659" s="282">
        <f>L537/VLOOKUP($C659,calendar!$A$2:$D$121,3,FALSE)</f>
        <v>0</v>
      </c>
      <c r="M659" s="14">
        <f>M537/VLOOKUP($C659,calendar!$A$2:$D$121,3,FALSE)</f>
        <v>0</v>
      </c>
      <c r="N659" s="14">
        <f>N537/VLOOKUP($C659,calendar!$A$2:$D$121,3,FALSE)</f>
        <v>0</v>
      </c>
      <c r="O659" s="14">
        <f>O537/VLOOKUP($C659,calendar!$A$2:$D$121,3,FALSE)</f>
        <v>0</v>
      </c>
      <c r="P659" s="14">
        <f>P537/VLOOKUP($C659,calendar!$A$2:$D$121,3,FALSE)</f>
        <v>0</v>
      </c>
      <c r="Q659" s="282">
        <f>Q537/VLOOKUP($C659,calendar!$A$2:$D$121,3,FALSE)</f>
        <v>0</v>
      </c>
      <c r="R659" s="282">
        <f>R537/VLOOKUP($C659,calendar!$A$2:$D$121,3,FALSE)</f>
        <v>-94.117647058823536</v>
      </c>
    </row>
    <row r="660" spans="3:18" s="8" customFormat="1" x14ac:dyDescent="0.2">
      <c r="C660" s="9">
        <f t="shared" si="166"/>
        <v>38292</v>
      </c>
      <c r="E660" s="282">
        <f>E538/VLOOKUP($C660,calendar!$A$2:$D$121,3,FALSE)</f>
        <v>120.4375</v>
      </c>
      <c r="F660" s="14">
        <f>F538/VLOOKUP($C660,calendar!$A$2:$D$121,3,FALSE)</f>
        <v>0</v>
      </c>
      <c r="G660" s="14">
        <f>G538/VLOOKUP($C660,calendar!$A$2:$D$121,3,FALSE)</f>
        <v>0</v>
      </c>
      <c r="H660" s="282">
        <f>H538/VLOOKUP($C660,calendar!$A$2:$D$121,3,FALSE)</f>
        <v>0</v>
      </c>
      <c r="I660" s="282">
        <f>I538/VLOOKUP($C660,calendar!$A$2:$D$121,3,FALSE)</f>
        <v>0</v>
      </c>
      <c r="J660" s="14">
        <f>J538/VLOOKUP($C660,calendar!$A$2:$D$121,3,FALSE)</f>
        <v>0</v>
      </c>
      <c r="K660" s="14">
        <f>K538/VLOOKUP($C660,calendar!$A$2:$D$121,3,FALSE)</f>
        <v>0</v>
      </c>
      <c r="L660" s="282">
        <f>L538/VLOOKUP($C660,calendar!$A$2:$D$121,3,FALSE)</f>
        <v>0</v>
      </c>
      <c r="M660" s="14">
        <f>M538/VLOOKUP($C660,calendar!$A$2:$D$121,3,FALSE)</f>
        <v>0</v>
      </c>
      <c r="N660" s="14">
        <f>N538/VLOOKUP($C660,calendar!$A$2:$D$121,3,FALSE)</f>
        <v>0</v>
      </c>
      <c r="O660" s="14">
        <f>O538/VLOOKUP($C660,calendar!$A$2:$D$121,3,FALSE)</f>
        <v>0</v>
      </c>
      <c r="P660" s="14">
        <f>P538/VLOOKUP($C660,calendar!$A$2:$D$121,3,FALSE)</f>
        <v>0</v>
      </c>
      <c r="Q660" s="282">
        <f>Q538/VLOOKUP($C660,calendar!$A$2:$D$121,3,FALSE)</f>
        <v>0</v>
      </c>
      <c r="R660" s="282">
        <f>R538/VLOOKUP($C660,calendar!$A$2:$D$121,3,FALSE)</f>
        <v>-97.916666666666671</v>
      </c>
    </row>
    <row r="661" spans="3:18" s="8" customFormat="1" x14ac:dyDescent="0.2">
      <c r="C661" s="9">
        <f t="shared" si="166"/>
        <v>38322</v>
      </c>
      <c r="E661" s="282">
        <f>E539/VLOOKUP($C661,calendar!$A$2:$D$121,3,FALSE)</f>
        <v>187.72340425531914</v>
      </c>
      <c r="F661" s="14">
        <f>F539/VLOOKUP($C661,calendar!$A$2:$D$121,3,FALSE)</f>
        <v>0</v>
      </c>
      <c r="G661" s="14">
        <f>G539/VLOOKUP($C661,calendar!$A$2:$D$121,3,FALSE)</f>
        <v>0</v>
      </c>
      <c r="H661" s="282">
        <f>H539/VLOOKUP($C661,calendar!$A$2:$D$121,3,FALSE)</f>
        <v>0</v>
      </c>
      <c r="I661" s="282">
        <f>I539/VLOOKUP($C661,calendar!$A$2:$D$121,3,FALSE)</f>
        <v>0</v>
      </c>
      <c r="J661" s="14">
        <f>J539/VLOOKUP($C661,calendar!$A$2:$D$121,3,FALSE)</f>
        <v>0</v>
      </c>
      <c r="K661" s="14">
        <f>K539/VLOOKUP($C661,calendar!$A$2:$D$121,3,FALSE)</f>
        <v>0</v>
      </c>
      <c r="L661" s="282">
        <f>L539/VLOOKUP($C661,calendar!$A$2:$D$121,3,FALSE)</f>
        <v>0</v>
      </c>
      <c r="M661" s="14">
        <f>M539/VLOOKUP($C661,calendar!$A$2:$D$121,3,FALSE)</f>
        <v>0</v>
      </c>
      <c r="N661" s="14">
        <f>N539/VLOOKUP($C661,calendar!$A$2:$D$121,3,FALSE)</f>
        <v>0</v>
      </c>
      <c r="O661" s="14">
        <f>O539/VLOOKUP($C661,calendar!$A$2:$D$121,3,FALSE)</f>
        <v>0</v>
      </c>
      <c r="P661" s="14">
        <f>P539/VLOOKUP($C661,calendar!$A$2:$D$121,3,FALSE)</f>
        <v>0</v>
      </c>
      <c r="Q661" s="282">
        <f>Q539/VLOOKUP($C661,calendar!$A$2:$D$121,3,FALSE)</f>
        <v>0</v>
      </c>
      <c r="R661" s="282">
        <f>R539/VLOOKUP($C661,calendar!$A$2:$D$121,3,FALSE)</f>
        <v>0</v>
      </c>
    </row>
    <row r="662" spans="3:18" s="8" customFormat="1" x14ac:dyDescent="0.2">
      <c r="C662" s="9">
        <f t="shared" si="166"/>
        <v>38353</v>
      </c>
      <c r="E662" s="282">
        <f>E540/VLOOKUP($C662,calendar!$A$2:$D$121,3,FALSE)</f>
        <v>149.25490196078431</v>
      </c>
      <c r="F662" s="14">
        <f>F540/VLOOKUP($C662,calendar!$A$2:$D$121,3,FALSE)</f>
        <v>0</v>
      </c>
      <c r="G662" s="14">
        <f>G540/VLOOKUP($C662,calendar!$A$2:$D$121,3,FALSE)</f>
        <v>0</v>
      </c>
      <c r="H662" s="282">
        <f>H540/VLOOKUP($C662,calendar!$A$2:$D$121,3,FALSE)</f>
        <v>0</v>
      </c>
      <c r="I662" s="282">
        <f>I540/VLOOKUP($C662,calendar!$A$2:$D$121,3,FALSE)</f>
        <v>0</v>
      </c>
      <c r="J662" s="14">
        <f>J540/VLOOKUP($C662,calendar!$A$2:$D$121,3,FALSE)</f>
        <v>0</v>
      </c>
      <c r="K662" s="14">
        <f>K540/VLOOKUP($C662,calendar!$A$2:$D$121,3,FALSE)</f>
        <v>0</v>
      </c>
      <c r="L662" s="282">
        <f>L540/VLOOKUP($C662,calendar!$A$2:$D$121,3,FALSE)</f>
        <v>0</v>
      </c>
      <c r="M662" s="14">
        <f>M540/VLOOKUP($C662,calendar!$A$2:$D$121,3,FALSE)</f>
        <v>0</v>
      </c>
      <c r="N662" s="14">
        <f>N540/VLOOKUP($C662,calendar!$A$2:$D$121,3,FALSE)</f>
        <v>0</v>
      </c>
      <c r="O662" s="14">
        <f>O540/VLOOKUP($C662,calendar!$A$2:$D$121,3,FALSE)</f>
        <v>0</v>
      </c>
      <c r="P662" s="14">
        <f>P540/VLOOKUP($C662,calendar!$A$2:$D$121,3,FALSE)</f>
        <v>0</v>
      </c>
      <c r="Q662" s="282">
        <f>Q540/VLOOKUP($C662,calendar!$A$2:$D$121,3,FALSE)</f>
        <v>0</v>
      </c>
      <c r="R662" s="282">
        <f>R540/VLOOKUP($C662,calendar!$A$2:$D$121,3,FALSE)</f>
        <v>0</v>
      </c>
    </row>
    <row r="663" spans="3:18" s="8" customFormat="1" x14ac:dyDescent="0.2">
      <c r="C663" s="9">
        <f t="shared" si="166"/>
        <v>38384</v>
      </c>
      <c r="E663" s="282">
        <f>E541/VLOOKUP($C663,calendar!$A$2:$D$121,3,FALSE)</f>
        <v>184.79545454545453</v>
      </c>
      <c r="F663" s="14">
        <f>F541/VLOOKUP($C663,calendar!$A$2:$D$121,3,FALSE)</f>
        <v>0</v>
      </c>
      <c r="G663" s="14">
        <f>G541/VLOOKUP($C663,calendar!$A$2:$D$121,3,FALSE)</f>
        <v>0</v>
      </c>
      <c r="H663" s="282">
        <f>H541/VLOOKUP($C663,calendar!$A$2:$D$121,3,FALSE)</f>
        <v>0</v>
      </c>
      <c r="I663" s="282">
        <f>I541/VLOOKUP($C663,calendar!$A$2:$D$121,3,FALSE)</f>
        <v>0</v>
      </c>
      <c r="J663" s="14">
        <f>J541/VLOOKUP($C663,calendar!$A$2:$D$121,3,FALSE)</f>
        <v>0</v>
      </c>
      <c r="K663" s="14">
        <f>K541/VLOOKUP($C663,calendar!$A$2:$D$121,3,FALSE)</f>
        <v>0</v>
      </c>
      <c r="L663" s="282">
        <f>L541/VLOOKUP($C663,calendar!$A$2:$D$121,3,FALSE)</f>
        <v>0</v>
      </c>
      <c r="M663" s="14">
        <f>M541/VLOOKUP($C663,calendar!$A$2:$D$121,3,FALSE)</f>
        <v>0</v>
      </c>
      <c r="N663" s="14">
        <f>N541/VLOOKUP($C663,calendar!$A$2:$D$121,3,FALSE)</f>
        <v>0</v>
      </c>
      <c r="O663" s="14">
        <f>O541/VLOOKUP($C663,calendar!$A$2:$D$121,3,FALSE)</f>
        <v>0</v>
      </c>
      <c r="P663" s="14">
        <f>P541/VLOOKUP($C663,calendar!$A$2:$D$121,3,FALSE)</f>
        <v>0</v>
      </c>
      <c r="Q663" s="282">
        <f>Q541/VLOOKUP($C663,calendar!$A$2:$D$121,3,FALSE)</f>
        <v>0</v>
      </c>
      <c r="R663" s="282">
        <f>R541/VLOOKUP($C663,calendar!$A$2:$D$121,3,FALSE)</f>
        <v>0</v>
      </c>
    </row>
    <row r="664" spans="3:18" s="8" customFormat="1" x14ac:dyDescent="0.2">
      <c r="C664" s="9">
        <f t="shared" si="166"/>
        <v>38412</v>
      </c>
      <c r="E664" s="282">
        <f>E542/VLOOKUP($C664,calendar!$A$2:$D$121,3,FALSE)</f>
        <v>176.22074468085106</v>
      </c>
      <c r="F664" s="14">
        <f>F542/VLOOKUP($C664,calendar!$A$2:$D$121,3,FALSE)</f>
        <v>0</v>
      </c>
      <c r="G664" s="14">
        <f>G542/VLOOKUP($C664,calendar!$A$2:$D$121,3,FALSE)</f>
        <v>0</v>
      </c>
      <c r="H664" s="282">
        <f>H542/VLOOKUP($C664,calendar!$A$2:$D$121,3,FALSE)</f>
        <v>0</v>
      </c>
      <c r="I664" s="282">
        <f>I542/VLOOKUP($C664,calendar!$A$2:$D$121,3,FALSE)</f>
        <v>0</v>
      </c>
      <c r="J664" s="14">
        <f>J542/VLOOKUP($C664,calendar!$A$2:$D$121,3,FALSE)</f>
        <v>0</v>
      </c>
      <c r="K664" s="14">
        <f>K542/VLOOKUP($C664,calendar!$A$2:$D$121,3,FALSE)</f>
        <v>0</v>
      </c>
      <c r="L664" s="282">
        <f>L542/VLOOKUP($C664,calendar!$A$2:$D$121,3,FALSE)</f>
        <v>0</v>
      </c>
      <c r="M664" s="14">
        <f>M542/VLOOKUP($C664,calendar!$A$2:$D$121,3,FALSE)</f>
        <v>0</v>
      </c>
      <c r="N664" s="14">
        <f>N542/VLOOKUP($C664,calendar!$A$2:$D$121,3,FALSE)</f>
        <v>0</v>
      </c>
      <c r="O664" s="14">
        <f>O542/VLOOKUP($C664,calendar!$A$2:$D$121,3,FALSE)</f>
        <v>0</v>
      </c>
      <c r="P664" s="14">
        <f>P542/VLOOKUP($C664,calendar!$A$2:$D$121,3,FALSE)</f>
        <v>0</v>
      </c>
      <c r="Q664" s="282">
        <f>Q542/VLOOKUP($C664,calendar!$A$2:$D$121,3,FALSE)</f>
        <v>0</v>
      </c>
      <c r="R664" s="282">
        <f>R542/VLOOKUP($C664,calendar!$A$2:$D$121,3,FALSE)</f>
        <v>0</v>
      </c>
    </row>
    <row r="665" spans="3:18" s="8" customFormat="1" x14ac:dyDescent="0.2">
      <c r="C665" s="9">
        <f t="shared" si="166"/>
        <v>38443</v>
      </c>
      <c r="E665" s="282">
        <f>E543/VLOOKUP($C665,calendar!$A$2:$D$121,3,FALSE)</f>
        <v>183.8125</v>
      </c>
      <c r="F665" s="14">
        <f>F543/VLOOKUP($C665,calendar!$A$2:$D$121,3,FALSE)</f>
        <v>0</v>
      </c>
      <c r="G665" s="14">
        <f>G543/VLOOKUP($C665,calendar!$A$2:$D$121,3,FALSE)</f>
        <v>0</v>
      </c>
      <c r="H665" s="282">
        <f>H543/VLOOKUP($C665,calendar!$A$2:$D$121,3,FALSE)</f>
        <v>0</v>
      </c>
      <c r="I665" s="282">
        <f>I543/VLOOKUP($C665,calendar!$A$2:$D$121,3,FALSE)</f>
        <v>0</v>
      </c>
      <c r="J665" s="14">
        <f>J543/VLOOKUP($C665,calendar!$A$2:$D$121,3,FALSE)</f>
        <v>0</v>
      </c>
      <c r="K665" s="14">
        <f>K543/VLOOKUP($C665,calendar!$A$2:$D$121,3,FALSE)</f>
        <v>0</v>
      </c>
      <c r="L665" s="282">
        <f>L543/VLOOKUP($C665,calendar!$A$2:$D$121,3,FALSE)</f>
        <v>0</v>
      </c>
      <c r="M665" s="14">
        <f>M543/VLOOKUP($C665,calendar!$A$2:$D$121,3,FALSE)</f>
        <v>0</v>
      </c>
      <c r="N665" s="14">
        <f>N543/VLOOKUP($C665,calendar!$A$2:$D$121,3,FALSE)</f>
        <v>0</v>
      </c>
      <c r="O665" s="14">
        <f>O543/VLOOKUP($C665,calendar!$A$2:$D$121,3,FALSE)</f>
        <v>0</v>
      </c>
      <c r="P665" s="14">
        <f>P543/VLOOKUP($C665,calendar!$A$2:$D$121,3,FALSE)</f>
        <v>0</v>
      </c>
      <c r="Q665" s="282">
        <f>Q543/VLOOKUP($C665,calendar!$A$2:$D$121,3,FALSE)</f>
        <v>0</v>
      </c>
      <c r="R665" s="282">
        <f>R543/VLOOKUP($C665,calendar!$A$2:$D$121,3,FALSE)</f>
        <v>0</v>
      </c>
    </row>
    <row r="666" spans="3:18" s="8" customFormat="1" x14ac:dyDescent="0.2">
      <c r="C666" s="9">
        <f t="shared" si="166"/>
        <v>38473</v>
      </c>
      <c r="E666" s="282">
        <f>E544/VLOOKUP($C666,calendar!$A$2:$D$121,3,FALSE)</f>
        <v>156.0392156862745</v>
      </c>
      <c r="F666" s="14">
        <f>F544/VLOOKUP($C666,calendar!$A$2:$D$121,3,FALSE)</f>
        <v>0</v>
      </c>
      <c r="G666" s="14">
        <f>G544/VLOOKUP($C666,calendar!$A$2:$D$121,3,FALSE)</f>
        <v>0</v>
      </c>
      <c r="H666" s="282">
        <f>H544/VLOOKUP($C666,calendar!$A$2:$D$121,3,FALSE)</f>
        <v>0</v>
      </c>
      <c r="I666" s="282">
        <f>I544/VLOOKUP($C666,calendar!$A$2:$D$121,3,FALSE)</f>
        <v>0</v>
      </c>
      <c r="J666" s="14">
        <f>J544/VLOOKUP($C666,calendar!$A$2:$D$121,3,FALSE)</f>
        <v>0</v>
      </c>
      <c r="K666" s="14">
        <f>K544/VLOOKUP($C666,calendar!$A$2:$D$121,3,FALSE)</f>
        <v>0</v>
      </c>
      <c r="L666" s="282">
        <f>L544/VLOOKUP($C666,calendar!$A$2:$D$121,3,FALSE)</f>
        <v>0</v>
      </c>
      <c r="M666" s="14">
        <f>M544/VLOOKUP($C666,calendar!$A$2:$D$121,3,FALSE)</f>
        <v>0</v>
      </c>
      <c r="N666" s="14">
        <f>N544/VLOOKUP($C666,calendar!$A$2:$D$121,3,FALSE)</f>
        <v>0</v>
      </c>
      <c r="O666" s="14">
        <f>O544/VLOOKUP($C666,calendar!$A$2:$D$121,3,FALSE)</f>
        <v>0</v>
      </c>
      <c r="P666" s="14">
        <f>P544/VLOOKUP($C666,calendar!$A$2:$D$121,3,FALSE)</f>
        <v>0</v>
      </c>
      <c r="Q666" s="282">
        <f>Q544/VLOOKUP($C666,calendar!$A$2:$D$121,3,FALSE)</f>
        <v>0</v>
      </c>
      <c r="R666" s="282">
        <f>R544/VLOOKUP($C666,calendar!$A$2:$D$121,3,FALSE)</f>
        <v>0</v>
      </c>
    </row>
    <row r="667" spans="3:18" s="8" customFormat="1" x14ac:dyDescent="0.2">
      <c r="C667" s="9">
        <f t="shared" si="166"/>
        <v>38504</v>
      </c>
      <c r="E667" s="282">
        <f>E545/VLOOKUP($C667,calendar!$A$2:$D$121,3,FALSE)</f>
        <v>199.32608695652175</v>
      </c>
      <c r="F667" s="14">
        <f>F545/VLOOKUP($C667,calendar!$A$2:$D$121,3,FALSE)</f>
        <v>0</v>
      </c>
      <c r="G667" s="14">
        <f>G545/VLOOKUP($C667,calendar!$A$2:$D$121,3,FALSE)</f>
        <v>0</v>
      </c>
      <c r="H667" s="282">
        <f>H545/VLOOKUP($C667,calendar!$A$2:$D$121,3,FALSE)</f>
        <v>0</v>
      </c>
      <c r="I667" s="282">
        <f>I545/VLOOKUP($C667,calendar!$A$2:$D$121,3,FALSE)</f>
        <v>0</v>
      </c>
      <c r="J667" s="14">
        <f>J545/VLOOKUP($C667,calendar!$A$2:$D$121,3,FALSE)</f>
        <v>0</v>
      </c>
      <c r="K667" s="14">
        <f>K545/VLOOKUP($C667,calendar!$A$2:$D$121,3,FALSE)</f>
        <v>0</v>
      </c>
      <c r="L667" s="282">
        <f>L545/VLOOKUP($C667,calendar!$A$2:$D$121,3,FALSE)</f>
        <v>0</v>
      </c>
      <c r="M667" s="14">
        <f>M545/VLOOKUP($C667,calendar!$A$2:$D$121,3,FALSE)</f>
        <v>0</v>
      </c>
      <c r="N667" s="14">
        <f>N545/VLOOKUP($C667,calendar!$A$2:$D$121,3,FALSE)</f>
        <v>0</v>
      </c>
      <c r="O667" s="14">
        <f>O545/VLOOKUP($C667,calendar!$A$2:$D$121,3,FALSE)</f>
        <v>0</v>
      </c>
      <c r="P667" s="14">
        <f>P545/VLOOKUP($C667,calendar!$A$2:$D$121,3,FALSE)</f>
        <v>0</v>
      </c>
      <c r="Q667" s="282">
        <f>Q545/VLOOKUP($C667,calendar!$A$2:$D$121,3,FALSE)</f>
        <v>0</v>
      </c>
      <c r="R667" s="282">
        <f>R545/VLOOKUP($C667,calendar!$A$2:$D$121,3,FALSE)</f>
        <v>0</v>
      </c>
    </row>
    <row r="668" spans="3:18" s="8" customFormat="1" x14ac:dyDescent="0.2">
      <c r="C668" s="9">
        <f t="shared" si="166"/>
        <v>38534</v>
      </c>
      <c r="E668" s="282">
        <f>E546/VLOOKUP($C668,calendar!$A$2:$D$121,3,FALSE)</f>
        <v>153.41509433962264</v>
      </c>
      <c r="F668" s="14">
        <f>F546/VLOOKUP($C668,calendar!$A$2:$D$121,3,FALSE)</f>
        <v>0</v>
      </c>
      <c r="G668" s="14">
        <f>G546/VLOOKUP($C668,calendar!$A$2:$D$121,3,FALSE)</f>
        <v>0</v>
      </c>
      <c r="H668" s="282">
        <f>H546/VLOOKUP($C668,calendar!$A$2:$D$121,3,FALSE)</f>
        <v>0</v>
      </c>
      <c r="I668" s="282">
        <f>I546/VLOOKUP($C668,calendar!$A$2:$D$121,3,FALSE)</f>
        <v>0</v>
      </c>
      <c r="J668" s="14">
        <f>J546/VLOOKUP($C668,calendar!$A$2:$D$121,3,FALSE)</f>
        <v>0</v>
      </c>
      <c r="K668" s="14">
        <f>K546/VLOOKUP($C668,calendar!$A$2:$D$121,3,FALSE)</f>
        <v>0</v>
      </c>
      <c r="L668" s="282">
        <f>L546/VLOOKUP($C668,calendar!$A$2:$D$121,3,FALSE)</f>
        <v>0</v>
      </c>
      <c r="M668" s="14">
        <f>M546/VLOOKUP($C668,calendar!$A$2:$D$121,3,FALSE)</f>
        <v>0</v>
      </c>
      <c r="N668" s="14">
        <f>N546/VLOOKUP($C668,calendar!$A$2:$D$121,3,FALSE)</f>
        <v>0</v>
      </c>
      <c r="O668" s="14">
        <f>O546/VLOOKUP($C668,calendar!$A$2:$D$121,3,FALSE)</f>
        <v>0</v>
      </c>
      <c r="P668" s="14">
        <f>P546/VLOOKUP($C668,calendar!$A$2:$D$121,3,FALSE)</f>
        <v>0</v>
      </c>
      <c r="Q668" s="282">
        <f>Q546/VLOOKUP($C668,calendar!$A$2:$D$121,3,FALSE)</f>
        <v>0</v>
      </c>
      <c r="R668" s="282">
        <f>R546/VLOOKUP($C668,calendar!$A$2:$D$121,3,FALSE)</f>
        <v>0</v>
      </c>
    </row>
    <row r="669" spans="3:18" s="8" customFormat="1" x14ac:dyDescent="0.2">
      <c r="C669" s="9">
        <f t="shared" si="166"/>
        <v>38565</v>
      </c>
      <c r="E669" s="282">
        <f>E547/VLOOKUP($C669,calendar!$A$2:$D$121,3,FALSE)</f>
        <v>176.68085106382978</v>
      </c>
      <c r="F669" s="14">
        <f>F547/VLOOKUP($C669,calendar!$A$2:$D$121,3,FALSE)</f>
        <v>0</v>
      </c>
      <c r="G669" s="14">
        <f>G547/VLOOKUP($C669,calendar!$A$2:$D$121,3,FALSE)</f>
        <v>0</v>
      </c>
      <c r="H669" s="282">
        <f>H547/VLOOKUP($C669,calendar!$A$2:$D$121,3,FALSE)</f>
        <v>0</v>
      </c>
      <c r="I669" s="282">
        <f>I547/VLOOKUP($C669,calendar!$A$2:$D$121,3,FALSE)</f>
        <v>0</v>
      </c>
      <c r="J669" s="14">
        <f>J547/VLOOKUP($C669,calendar!$A$2:$D$121,3,FALSE)</f>
        <v>0</v>
      </c>
      <c r="K669" s="14">
        <f>K547/VLOOKUP($C669,calendar!$A$2:$D$121,3,FALSE)</f>
        <v>0</v>
      </c>
      <c r="L669" s="282">
        <f>L547/VLOOKUP($C669,calendar!$A$2:$D$121,3,FALSE)</f>
        <v>0</v>
      </c>
      <c r="M669" s="14">
        <f>M547/VLOOKUP($C669,calendar!$A$2:$D$121,3,FALSE)</f>
        <v>0</v>
      </c>
      <c r="N669" s="14">
        <f>N547/VLOOKUP($C669,calendar!$A$2:$D$121,3,FALSE)</f>
        <v>0</v>
      </c>
      <c r="O669" s="14">
        <f>O547/VLOOKUP($C669,calendar!$A$2:$D$121,3,FALSE)</f>
        <v>0</v>
      </c>
      <c r="P669" s="14">
        <f>P547/VLOOKUP($C669,calendar!$A$2:$D$121,3,FALSE)</f>
        <v>0</v>
      </c>
      <c r="Q669" s="282">
        <f>Q547/VLOOKUP($C669,calendar!$A$2:$D$121,3,FALSE)</f>
        <v>0</v>
      </c>
      <c r="R669" s="282">
        <f>R547/VLOOKUP($C669,calendar!$A$2:$D$121,3,FALSE)</f>
        <v>0</v>
      </c>
    </row>
    <row r="670" spans="3:18" s="8" customFormat="1" x14ac:dyDescent="0.2">
      <c r="C670" s="9">
        <f t="shared" si="166"/>
        <v>38596</v>
      </c>
      <c r="E670" s="282">
        <f>E548/VLOOKUP($C670,calendar!$A$2:$D$121,3,FALSE)</f>
        <v>184.26302083333334</v>
      </c>
      <c r="F670" s="14">
        <f>F548/VLOOKUP($C670,calendar!$A$2:$D$121,3,FALSE)</f>
        <v>0</v>
      </c>
      <c r="G670" s="14">
        <f>G548/VLOOKUP($C670,calendar!$A$2:$D$121,3,FALSE)</f>
        <v>0</v>
      </c>
      <c r="H670" s="282">
        <f>H548/VLOOKUP($C670,calendar!$A$2:$D$121,3,FALSE)</f>
        <v>0</v>
      </c>
      <c r="I670" s="282">
        <f>I548/VLOOKUP($C670,calendar!$A$2:$D$121,3,FALSE)</f>
        <v>0</v>
      </c>
      <c r="J670" s="14">
        <f>J548/VLOOKUP($C670,calendar!$A$2:$D$121,3,FALSE)</f>
        <v>0</v>
      </c>
      <c r="K670" s="14">
        <f>K548/VLOOKUP($C670,calendar!$A$2:$D$121,3,FALSE)</f>
        <v>0</v>
      </c>
      <c r="L670" s="282">
        <f>L548/VLOOKUP($C670,calendar!$A$2:$D$121,3,FALSE)</f>
        <v>0</v>
      </c>
      <c r="M670" s="14">
        <f>M548/VLOOKUP($C670,calendar!$A$2:$D$121,3,FALSE)</f>
        <v>0</v>
      </c>
      <c r="N670" s="14">
        <f>N548/VLOOKUP($C670,calendar!$A$2:$D$121,3,FALSE)</f>
        <v>0</v>
      </c>
      <c r="O670" s="14">
        <f>O548/VLOOKUP($C670,calendar!$A$2:$D$121,3,FALSE)</f>
        <v>0</v>
      </c>
      <c r="P670" s="14">
        <f>P548/VLOOKUP($C670,calendar!$A$2:$D$121,3,FALSE)</f>
        <v>0</v>
      </c>
      <c r="Q670" s="282">
        <f>Q548/VLOOKUP($C670,calendar!$A$2:$D$121,3,FALSE)</f>
        <v>0</v>
      </c>
      <c r="R670" s="282">
        <f>R548/VLOOKUP($C670,calendar!$A$2:$D$121,3,FALSE)</f>
        <v>0</v>
      </c>
    </row>
    <row r="671" spans="3:18" s="8" customFormat="1" x14ac:dyDescent="0.2">
      <c r="C671" s="9">
        <f t="shared" si="166"/>
        <v>38626</v>
      </c>
      <c r="E671" s="282">
        <f>E549/VLOOKUP($C671,calendar!$A$2:$D$121,3,FALSE)</f>
        <v>162.8235294117647</v>
      </c>
      <c r="F671" s="14">
        <f>F549/VLOOKUP($C671,calendar!$A$2:$D$121,3,FALSE)</f>
        <v>0</v>
      </c>
      <c r="G671" s="14">
        <f>G549/VLOOKUP($C671,calendar!$A$2:$D$121,3,FALSE)</f>
        <v>0</v>
      </c>
      <c r="H671" s="282">
        <f>H549/VLOOKUP($C671,calendar!$A$2:$D$121,3,FALSE)</f>
        <v>0</v>
      </c>
      <c r="I671" s="282">
        <f>I549/VLOOKUP($C671,calendar!$A$2:$D$121,3,FALSE)</f>
        <v>0</v>
      </c>
      <c r="J671" s="14">
        <f>J549/VLOOKUP($C671,calendar!$A$2:$D$121,3,FALSE)</f>
        <v>0</v>
      </c>
      <c r="K671" s="14">
        <f>K549/VLOOKUP($C671,calendar!$A$2:$D$121,3,FALSE)</f>
        <v>0</v>
      </c>
      <c r="L671" s="282">
        <f>L549/VLOOKUP($C671,calendar!$A$2:$D$121,3,FALSE)</f>
        <v>0</v>
      </c>
      <c r="M671" s="14">
        <f>M549/VLOOKUP($C671,calendar!$A$2:$D$121,3,FALSE)</f>
        <v>0</v>
      </c>
      <c r="N671" s="14">
        <f>N549/VLOOKUP($C671,calendar!$A$2:$D$121,3,FALSE)</f>
        <v>0</v>
      </c>
      <c r="O671" s="14">
        <f>O549/VLOOKUP($C671,calendar!$A$2:$D$121,3,FALSE)</f>
        <v>0</v>
      </c>
      <c r="P671" s="14">
        <f>P549/VLOOKUP($C671,calendar!$A$2:$D$121,3,FALSE)</f>
        <v>0</v>
      </c>
      <c r="Q671" s="282">
        <f>Q549/VLOOKUP($C671,calendar!$A$2:$D$121,3,FALSE)</f>
        <v>0</v>
      </c>
      <c r="R671" s="282">
        <f>R549/VLOOKUP($C671,calendar!$A$2:$D$121,3,FALSE)</f>
        <v>0</v>
      </c>
    </row>
    <row r="672" spans="3:18" s="8" customFormat="1" x14ac:dyDescent="0.2">
      <c r="C672" s="9">
        <f t="shared" si="166"/>
        <v>38657</v>
      </c>
      <c r="E672" s="282">
        <f>E550/VLOOKUP($C672,calendar!$A$2:$D$121,3,FALSE)</f>
        <v>183.8125</v>
      </c>
      <c r="F672" s="14">
        <f>F550/VLOOKUP($C672,calendar!$A$2:$D$121,3,FALSE)</f>
        <v>0</v>
      </c>
      <c r="G672" s="14">
        <f>G550/VLOOKUP($C672,calendar!$A$2:$D$121,3,FALSE)</f>
        <v>0</v>
      </c>
      <c r="H672" s="282">
        <f>H550/VLOOKUP($C672,calendar!$A$2:$D$121,3,FALSE)</f>
        <v>0</v>
      </c>
      <c r="I672" s="282">
        <f>I550/VLOOKUP($C672,calendar!$A$2:$D$121,3,FALSE)</f>
        <v>0</v>
      </c>
      <c r="J672" s="14">
        <f>J550/VLOOKUP($C672,calendar!$A$2:$D$121,3,FALSE)</f>
        <v>0</v>
      </c>
      <c r="K672" s="14">
        <f>K550/VLOOKUP($C672,calendar!$A$2:$D$121,3,FALSE)</f>
        <v>0</v>
      </c>
      <c r="L672" s="282">
        <f>L550/VLOOKUP($C672,calendar!$A$2:$D$121,3,FALSE)</f>
        <v>0</v>
      </c>
      <c r="M672" s="14">
        <f>M550/VLOOKUP($C672,calendar!$A$2:$D$121,3,FALSE)</f>
        <v>0</v>
      </c>
      <c r="N672" s="14">
        <f>N550/VLOOKUP($C672,calendar!$A$2:$D$121,3,FALSE)</f>
        <v>0</v>
      </c>
      <c r="O672" s="14">
        <f>O550/VLOOKUP($C672,calendar!$A$2:$D$121,3,FALSE)</f>
        <v>0</v>
      </c>
      <c r="P672" s="14">
        <f>P550/VLOOKUP($C672,calendar!$A$2:$D$121,3,FALSE)</f>
        <v>0</v>
      </c>
      <c r="Q672" s="282">
        <f>Q550/VLOOKUP($C672,calendar!$A$2:$D$121,3,FALSE)</f>
        <v>0</v>
      </c>
      <c r="R672" s="282">
        <f>R550/VLOOKUP($C672,calendar!$A$2:$D$121,3,FALSE)</f>
        <v>0</v>
      </c>
    </row>
    <row r="673" spans="3:18" s="8" customFormat="1" x14ac:dyDescent="0.2">
      <c r="C673" s="9">
        <f t="shared" si="166"/>
        <v>38687</v>
      </c>
      <c r="E673" s="282">
        <f>E551/VLOOKUP($C673,calendar!$A$2:$D$121,3,FALSE)</f>
        <v>73</v>
      </c>
      <c r="F673" s="14">
        <f>F551/VLOOKUP($C673,calendar!$A$2:$D$121,3,FALSE)</f>
        <v>0</v>
      </c>
      <c r="G673" s="14">
        <f>G551/VLOOKUP($C673,calendar!$A$2:$D$121,3,FALSE)</f>
        <v>0</v>
      </c>
      <c r="H673" s="282">
        <f>H551/VLOOKUP($C673,calendar!$A$2:$D$121,3,FALSE)</f>
        <v>-75</v>
      </c>
      <c r="I673" s="282">
        <f>I551/VLOOKUP($C673,calendar!$A$2:$D$121,3,FALSE)</f>
        <v>0</v>
      </c>
      <c r="J673" s="14">
        <f>J551/VLOOKUP($C673,calendar!$A$2:$D$121,3,FALSE)</f>
        <v>0</v>
      </c>
      <c r="K673" s="14">
        <f>K551/VLOOKUP($C673,calendar!$A$2:$D$121,3,FALSE)</f>
        <v>0</v>
      </c>
      <c r="L673" s="282">
        <f>L551/VLOOKUP($C673,calendar!$A$2:$D$121,3,FALSE)</f>
        <v>0</v>
      </c>
      <c r="M673" s="14">
        <f>M551/VLOOKUP($C673,calendar!$A$2:$D$121,3,FALSE)</f>
        <v>0</v>
      </c>
      <c r="N673" s="14">
        <f>N551/VLOOKUP($C673,calendar!$A$2:$D$121,3,FALSE)</f>
        <v>0</v>
      </c>
      <c r="O673" s="14">
        <f>O551/VLOOKUP($C673,calendar!$A$2:$D$121,3,FALSE)</f>
        <v>0</v>
      </c>
      <c r="P673" s="14">
        <f>P551/VLOOKUP($C673,calendar!$A$2:$D$121,3,FALSE)</f>
        <v>0</v>
      </c>
      <c r="Q673" s="282">
        <f>Q551/VLOOKUP($C673,calendar!$A$2:$D$121,3,FALSE)</f>
        <v>0</v>
      </c>
      <c r="R673" s="282">
        <f>R551/VLOOKUP($C673,calendar!$A$2:$D$121,3,FALSE)</f>
        <v>0</v>
      </c>
    </row>
    <row r="674" spans="3:18" s="8" customFormat="1" x14ac:dyDescent="0.2">
      <c r="C674" s="9">
        <f t="shared" si="166"/>
        <v>38718</v>
      </c>
      <c r="E674" s="282">
        <f>E552/VLOOKUP($C674,calendar!$A$2:$D$121,3,FALSE)</f>
        <v>62.980392156862742</v>
      </c>
      <c r="F674" s="14">
        <f>F552/VLOOKUP($C674,calendar!$A$2:$D$121,3,FALSE)</f>
        <v>0</v>
      </c>
      <c r="G674" s="14">
        <f>G552/VLOOKUP($C674,calendar!$A$2:$D$121,3,FALSE)</f>
        <v>0</v>
      </c>
      <c r="H674" s="282">
        <f>H552/VLOOKUP($C674,calendar!$A$2:$D$121,3,FALSE)</f>
        <v>-62.980392156862742</v>
      </c>
      <c r="I674" s="282">
        <f>I552/VLOOKUP($C674,calendar!$A$2:$D$121,3,FALSE)</f>
        <v>0</v>
      </c>
      <c r="J674" s="14">
        <f>J552/VLOOKUP($C674,calendar!$A$2:$D$121,3,FALSE)</f>
        <v>0</v>
      </c>
      <c r="K674" s="14">
        <f>K552/VLOOKUP($C674,calendar!$A$2:$D$121,3,FALSE)</f>
        <v>0</v>
      </c>
      <c r="L674" s="282">
        <f>L552/VLOOKUP($C674,calendar!$A$2:$D$121,3,FALSE)</f>
        <v>0</v>
      </c>
      <c r="M674" s="14">
        <f>M552/VLOOKUP($C674,calendar!$A$2:$D$121,3,FALSE)</f>
        <v>0</v>
      </c>
      <c r="N674" s="14">
        <f>N552/VLOOKUP($C674,calendar!$A$2:$D$121,3,FALSE)</f>
        <v>0</v>
      </c>
      <c r="O674" s="14">
        <f>O552/VLOOKUP($C674,calendar!$A$2:$D$121,3,FALSE)</f>
        <v>0</v>
      </c>
      <c r="P674" s="14">
        <f>P552/VLOOKUP($C674,calendar!$A$2:$D$121,3,FALSE)</f>
        <v>0</v>
      </c>
      <c r="Q674" s="282">
        <f>Q552/VLOOKUP($C674,calendar!$A$2:$D$121,3,FALSE)</f>
        <v>0</v>
      </c>
      <c r="R674" s="282">
        <f>R552/VLOOKUP($C674,calendar!$A$2:$D$121,3,FALSE)</f>
        <v>0</v>
      </c>
    </row>
    <row r="675" spans="3:18" s="8" customFormat="1" x14ac:dyDescent="0.2">
      <c r="C675" s="9">
        <f t="shared" si="166"/>
        <v>38749</v>
      </c>
      <c r="E675" s="282">
        <f>E553/VLOOKUP($C675,calendar!$A$2:$D$121,3,FALSE)</f>
        <v>77.977272727272734</v>
      </c>
      <c r="F675" s="14">
        <f>F553/VLOOKUP($C675,calendar!$A$2:$D$121,3,FALSE)</f>
        <v>0</v>
      </c>
      <c r="G675" s="14">
        <f>G553/VLOOKUP($C675,calendar!$A$2:$D$121,3,FALSE)</f>
        <v>0</v>
      </c>
      <c r="H675" s="282">
        <f>H553/VLOOKUP($C675,calendar!$A$2:$D$121,3,FALSE)</f>
        <v>-80.11363636363636</v>
      </c>
      <c r="I675" s="282">
        <f>I553/VLOOKUP($C675,calendar!$A$2:$D$121,3,FALSE)</f>
        <v>0</v>
      </c>
      <c r="J675" s="14">
        <f>J553/VLOOKUP($C675,calendar!$A$2:$D$121,3,FALSE)</f>
        <v>0</v>
      </c>
      <c r="K675" s="14">
        <f>K553/VLOOKUP($C675,calendar!$A$2:$D$121,3,FALSE)</f>
        <v>0</v>
      </c>
      <c r="L675" s="282">
        <f>L553/VLOOKUP($C675,calendar!$A$2:$D$121,3,FALSE)</f>
        <v>0</v>
      </c>
      <c r="M675" s="14">
        <f>M553/VLOOKUP($C675,calendar!$A$2:$D$121,3,FALSE)</f>
        <v>0</v>
      </c>
      <c r="N675" s="14">
        <f>N553/VLOOKUP($C675,calendar!$A$2:$D$121,3,FALSE)</f>
        <v>0</v>
      </c>
      <c r="O675" s="14">
        <f>O553/VLOOKUP($C675,calendar!$A$2:$D$121,3,FALSE)</f>
        <v>0</v>
      </c>
      <c r="P675" s="14">
        <f>P553/VLOOKUP($C675,calendar!$A$2:$D$121,3,FALSE)</f>
        <v>0</v>
      </c>
      <c r="Q675" s="282">
        <f>Q553/VLOOKUP($C675,calendar!$A$2:$D$121,3,FALSE)</f>
        <v>0</v>
      </c>
      <c r="R675" s="282">
        <f>R553/VLOOKUP($C675,calendar!$A$2:$D$121,3,FALSE)</f>
        <v>0</v>
      </c>
    </row>
    <row r="676" spans="3:18" s="8" customFormat="1" x14ac:dyDescent="0.2">
      <c r="C676" s="9">
        <f t="shared" si="166"/>
        <v>38777</v>
      </c>
      <c r="E676" s="282">
        <f>E554/VLOOKUP($C676,calendar!$A$2:$D$121,3,FALSE)</f>
        <v>77.465425531914889</v>
      </c>
      <c r="F676" s="14">
        <f>F554/VLOOKUP($C676,calendar!$A$2:$D$121,3,FALSE)</f>
        <v>0</v>
      </c>
      <c r="G676" s="14">
        <f>G554/VLOOKUP($C676,calendar!$A$2:$D$121,3,FALSE)</f>
        <v>0</v>
      </c>
      <c r="H676" s="282">
        <f>H554/VLOOKUP($C676,calendar!$A$2:$D$121,3,FALSE)</f>
        <v>-78.590425531914889</v>
      </c>
      <c r="I676" s="282">
        <f>I554/VLOOKUP($C676,calendar!$A$2:$D$121,3,FALSE)</f>
        <v>0</v>
      </c>
      <c r="J676" s="14">
        <f>J554/VLOOKUP($C676,calendar!$A$2:$D$121,3,FALSE)</f>
        <v>0</v>
      </c>
      <c r="K676" s="14">
        <f>K554/VLOOKUP($C676,calendar!$A$2:$D$121,3,FALSE)</f>
        <v>0</v>
      </c>
      <c r="L676" s="282">
        <f>L554/VLOOKUP($C676,calendar!$A$2:$D$121,3,FALSE)</f>
        <v>0</v>
      </c>
      <c r="M676" s="14">
        <f>M554/VLOOKUP($C676,calendar!$A$2:$D$121,3,FALSE)</f>
        <v>0</v>
      </c>
      <c r="N676" s="14">
        <f>N554/VLOOKUP($C676,calendar!$A$2:$D$121,3,FALSE)</f>
        <v>0</v>
      </c>
      <c r="O676" s="14">
        <f>O554/VLOOKUP($C676,calendar!$A$2:$D$121,3,FALSE)</f>
        <v>0</v>
      </c>
      <c r="P676" s="14">
        <f>P554/VLOOKUP($C676,calendar!$A$2:$D$121,3,FALSE)</f>
        <v>0</v>
      </c>
      <c r="Q676" s="282">
        <f>Q554/VLOOKUP($C676,calendar!$A$2:$D$121,3,FALSE)</f>
        <v>0</v>
      </c>
      <c r="R676" s="282">
        <f>R554/VLOOKUP($C676,calendar!$A$2:$D$121,3,FALSE)</f>
        <v>0</v>
      </c>
    </row>
    <row r="677" spans="3:18" s="8" customFormat="1" x14ac:dyDescent="0.2">
      <c r="C677" s="9">
        <f t="shared" si="166"/>
        <v>38808</v>
      </c>
      <c r="E677" s="282">
        <f>E555/VLOOKUP($C677,calendar!$A$2:$D$121,3,FALSE)</f>
        <v>71.540000000000006</v>
      </c>
      <c r="F677" s="14">
        <f>F555/VLOOKUP($C677,calendar!$A$2:$D$121,3,FALSE)</f>
        <v>0</v>
      </c>
      <c r="G677" s="14">
        <f>G555/VLOOKUP($C677,calendar!$A$2:$D$121,3,FALSE)</f>
        <v>0</v>
      </c>
      <c r="H677" s="282">
        <f>H555/VLOOKUP($C677,calendar!$A$2:$D$121,3,FALSE)</f>
        <v>-63.7</v>
      </c>
      <c r="I677" s="282">
        <f>I555/VLOOKUP($C677,calendar!$A$2:$D$121,3,FALSE)</f>
        <v>0</v>
      </c>
      <c r="J677" s="14">
        <f>J555/VLOOKUP($C677,calendar!$A$2:$D$121,3,FALSE)</f>
        <v>0</v>
      </c>
      <c r="K677" s="14">
        <f>K555/VLOOKUP($C677,calendar!$A$2:$D$121,3,FALSE)</f>
        <v>0</v>
      </c>
      <c r="L677" s="282">
        <f>L555/VLOOKUP($C677,calendar!$A$2:$D$121,3,FALSE)</f>
        <v>0</v>
      </c>
      <c r="M677" s="14">
        <f>M555/VLOOKUP($C677,calendar!$A$2:$D$121,3,FALSE)</f>
        <v>0</v>
      </c>
      <c r="N677" s="14">
        <f>N555/VLOOKUP($C677,calendar!$A$2:$D$121,3,FALSE)</f>
        <v>0</v>
      </c>
      <c r="O677" s="14">
        <f>O555/VLOOKUP($C677,calendar!$A$2:$D$121,3,FALSE)</f>
        <v>0</v>
      </c>
      <c r="P677" s="14">
        <f>P555/VLOOKUP($C677,calendar!$A$2:$D$121,3,FALSE)</f>
        <v>0</v>
      </c>
      <c r="Q677" s="282">
        <f>Q555/VLOOKUP($C677,calendar!$A$2:$D$121,3,FALSE)</f>
        <v>0</v>
      </c>
      <c r="R677" s="282">
        <f>R555/VLOOKUP($C677,calendar!$A$2:$D$121,3,FALSE)</f>
        <v>0</v>
      </c>
    </row>
    <row r="678" spans="3:18" s="8" customFormat="1" x14ac:dyDescent="0.2">
      <c r="C678" s="9">
        <f t="shared" ref="C678:C709" si="167">C556</f>
        <v>38838</v>
      </c>
      <c r="E678" s="282">
        <f>E556/VLOOKUP($C678,calendar!$A$2:$D$121,3,FALSE)</f>
        <v>68.530612244897952</v>
      </c>
      <c r="F678" s="14">
        <f>F556/VLOOKUP($C678,calendar!$A$2:$D$121,3,FALSE)</f>
        <v>0</v>
      </c>
      <c r="G678" s="14">
        <f>G556/VLOOKUP($C678,calendar!$A$2:$D$121,3,FALSE)</f>
        <v>0</v>
      </c>
      <c r="H678" s="282">
        <f>H556/VLOOKUP($C678,calendar!$A$2:$D$121,3,FALSE)</f>
        <v>-58.204081632653065</v>
      </c>
      <c r="I678" s="282">
        <f>I556/VLOOKUP($C678,calendar!$A$2:$D$121,3,FALSE)</f>
        <v>0</v>
      </c>
      <c r="J678" s="14">
        <f>J556/VLOOKUP($C678,calendar!$A$2:$D$121,3,FALSE)</f>
        <v>0</v>
      </c>
      <c r="K678" s="14">
        <f>K556/VLOOKUP($C678,calendar!$A$2:$D$121,3,FALSE)</f>
        <v>0</v>
      </c>
      <c r="L678" s="282">
        <f>L556/VLOOKUP($C678,calendar!$A$2:$D$121,3,FALSE)</f>
        <v>0</v>
      </c>
      <c r="M678" s="14">
        <f>M556/VLOOKUP($C678,calendar!$A$2:$D$121,3,FALSE)</f>
        <v>0</v>
      </c>
      <c r="N678" s="14">
        <f>N556/VLOOKUP($C678,calendar!$A$2:$D$121,3,FALSE)</f>
        <v>0</v>
      </c>
      <c r="O678" s="14">
        <f>O556/VLOOKUP($C678,calendar!$A$2:$D$121,3,FALSE)</f>
        <v>0</v>
      </c>
      <c r="P678" s="14">
        <f>P556/VLOOKUP($C678,calendar!$A$2:$D$121,3,FALSE)</f>
        <v>0</v>
      </c>
      <c r="Q678" s="282">
        <f>Q556/VLOOKUP($C678,calendar!$A$2:$D$121,3,FALSE)</f>
        <v>0</v>
      </c>
      <c r="R678" s="282">
        <f>R556/VLOOKUP($C678,calendar!$A$2:$D$121,3,FALSE)</f>
        <v>0</v>
      </c>
    </row>
    <row r="679" spans="3:18" s="8" customFormat="1" x14ac:dyDescent="0.2">
      <c r="C679" s="9">
        <f t="shared" si="167"/>
        <v>38869</v>
      </c>
      <c r="E679" s="282">
        <f>E557/VLOOKUP($C679,calendar!$A$2:$D$121,3,FALSE)</f>
        <v>84.108695652173907</v>
      </c>
      <c r="F679" s="14">
        <f>F557/VLOOKUP($C679,calendar!$A$2:$D$121,3,FALSE)</f>
        <v>0</v>
      </c>
      <c r="G679" s="14">
        <f>G557/VLOOKUP($C679,calendar!$A$2:$D$121,3,FALSE)</f>
        <v>0</v>
      </c>
      <c r="H679" s="282">
        <f>H557/VLOOKUP($C679,calendar!$A$2:$D$121,3,FALSE)</f>
        <v>-67.978260869565219</v>
      </c>
      <c r="I679" s="282">
        <f>I557/VLOOKUP($C679,calendar!$A$2:$D$121,3,FALSE)</f>
        <v>0</v>
      </c>
      <c r="J679" s="14">
        <f>J557/VLOOKUP($C679,calendar!$A$2:$D$121,3,FALSE)</f>
        <v>0</v>
      </c>
      <c r="K679" s="14">
        <f>K557/VLOOKUP($C679,calendar!$A$2:$D$121,3,FALSE)</f>
        <v>0</v>
      </c>
      <c r="L679" s="282">
        <f>L557/VLOOKUP($C679,calendar!$A$2:$D$121,3,FALSE)</f>
        <v>0</v>
      </c>
      <c r="M679" s="14">
        <f>M557/VLOOKUP($C679,calendar!$A$2:$D$121,3,FALSE)</f>
        <v>0</v>
      </c>
      <c r="N679" s="14">
        <f>N557/VLOOKUP($C679,calendar!$A$2:$D$121,3,FALSE)</f>
        <v>0</v>
      </c>
      <c r="O679" s="14">
        <f>O557/VLOOKUP($C679,calendar!$A$2:$D$121,3,FALSE)</f>
        <v>0</v>
      </c>
      <c r="P679" s="14">
        <f>P557/VLOOKUP($C679,calendar!$A$2:$D$121,3,FALSE)</f>
        <v>0</v>
      </c>
      <c r="Q679" s="282">
        <f>Q557/VLOOKUP($C679,calendar!$A$2:$D$121,3,FALSE)</f>
        <v>0</v>
      </c>
      <c r="R679" s="282">
        <f>R557/VLOOKUP($C679,calendar!$A$2:$D$121,3,FALSE)</f>
        <v>0</v>
      </c>
    </row>
    <row r="680" spans="3:18" s="8" customFormat="1" x14ac:dyDescent="0.2">
      <c r="C680" s="9">
        <f t="shared" si="167"/>
        <v>38899</v>
      </c>
      <c r="E680" s="282">
        <f>E558/VLOOKUP($C680,calendar!$A$2:$D$121,3,FALSE)</f>
        <v>64.735849056603769</v>
      </c>
      <c r="F680" s="14">
        <f>F558/VLOOKUP($C680,calendar!$A$2:$D$121,3,FALSE)</f>
        <v>0</v>
      </c>
      <c r="G680" s="14">
        <f>G558/VLOOKUP($C680,calendar!$A$2:$D$121,3,FALSE)</f>
        <v>0</v>
      </c>
      <c r="H680" s="282">
        <f>H558/VLOOKUP($C680,calendar!$A$2:$D$121,3,FALSE)</f>
        <v>-52.320754716981135</v>
      </c>
      <c r="I680" s="282">
        <f>I558/VLOOKUP($C680,calendar!$A$2:$D$121,3,FALSE)</f>
        <v>0</v>
      </c>
      <c r="J680" s="14">
        <f>J558/VLOOKUP($C680,calendar!$A$2:$D$121,3,FALSE)</f>
        <v>0</v>
      </c>
      <c r="K680" s="14">
        <f>K558/VLOOKUP($C680,calendar!$A$2:$D$121,3,FALSE)</f>
        <v>0</v>
      </c>
      <c r="L680" s="282">
        <f>L558/VLOOKUP($C680,calendar!$A$2:$D$121,3,FALSE)</f>
        <v>0</v>
      </c>
      <c r="M680" s="14">
        <f>M558/VLOOKUP($C680,calendar!$A$2:$D$121,3,FALSE)</f>
        <v>0</v>
      </c>
      <c r="N680" s="14">
        <f>N558/VLOOKUP($C680,calendar!$A$2:$D$121,3,FALSE)</f>
        <v>0</v>
      </c>
      <c r="O680" s="14">
        <f>O558/VLOOKUP($C680,calendar!$A$2:$D$121,3,FALSE)</f>
        <v>0</v>
      </c>
      <c r="P680" s="14">
        <f>P558/VLOOKUP($C680,calendar!$A$2:$D$121,3,FALSE)</f>
        <v>0</v>
      </c>
      <c r="Q680" s="282">
        <f>Q558/VLOOKUP($C680,calendar!$A$2:$D$121,3,FALSE)</f>
        <v>0</v>
      </c>
      <c r="R680" s="282">
        <f>R558/VLOOKUP($C680,calendar!$A$2:$D$121,3,FALSE)</f>
        <v>0</v>
      </c>
    </row>
    <row r="681" spans="3:18" s="8" customFormat="1" x14ac:dyDescent="0.2">
      <c r="C681" s="9">
        <f t="shared" si="167"/>
        <v>38930</v>
      </c>
      <c r="E681" s="282">
        <f>E559/VLOOKUP($C681,calendar!$A$2:$D$121,3,FALSE)</f>
        <v>77.659574468085111</v>
      </c>
      <c r="F681" s="14">
        <f>F559/VLOOKUP($C681,calendar!$A$2:$D$121,3,FALSE)</f>
        <v>0</v>
      </c>
      <c r="G681" s="14">
        <f>G559/VLOOKUP($C681,calendar!$A$2:$D$121,3,FALSE)</f>
        <v>0</v>
      </c>
      <c r="H681" s="282">
        <f>H559/VLOOKUP($C681,calendar!$A$2:$D$121,3,FALSE)</f>
        <v>-69.148936170212764</v>
      </c>
      <c r="I681" s="282">
        <f>I559/VLOOKUP($C681,calendar!$A$2:$D$121,3,FALSE)</f>
        <v>0</v>
      </c>
      <c r="J681" s="14">
        <f>J559/VLOOKUP($C681,calendar!$A$2:$D$121,3,FALSE)</f>
        <v>0</v>
      </c>
      <c r="K681" s="14">
        <f>K559/VLOOKUP($C681,calendar!$A$2:$D$121,3,FALSE)</f>
        <v>0</v>
      </c>
      <c r="L681" s="282">
        <f>L559/VLOOKUP($C681,calendar!$A$2:$D$121,3,FALSE)</f>
        <v>0</v>
      </c>
      <c r="M681" s="14">
        <f>M559/VLOOKUP($C681,calendar!$A$2:$D$121,3,FALSE)</f>
        <v>0</v>
      </c>
      <c r="N681" s="14">
        <f>N559/VLOOKUP($C681,calendar!$A$2:$D$121,3,FALSE)</f>
        <v>0</v>
      </c>
      <c r="O681" s="14">
        <f>O559/VLOOKUP($C681,calendar!$A$2:$D$121,3,FALSE)</f>
        <v>0</v>
      </c>
      <c r="P681" s="14">
        <f>P559/VLOOKUP($C681,calendar!$A$2:$D$121,3,FALSE)</f>
        <v>0</v>
      </c>
      <c r="Q681" s="282">
        <f>Q559/VLOOKUP($C681,calendar!$A$2:$D$121,3,FALSE)</f>
        <v>0</v>
      </c>
      <c r="R681" s="282">
        <f>R559/VLOOKUP($C681,calendar!$A$2:$D$121,3,FALSE)</f>
        <v>0</v>
      </c>
    </row>
    <row r="682" spans="3:18" s="8" customFormat="1" x14ac:dyDescent="0.2">
      <c r="C682" s="9">
        <f t="shared" si="167"/>
        <v>38961</v>
      </c>
      <c r="E682" s="282">
        <f>E560/VLOOKUP($C682,calendar!$A$2:$D$121,3,FALSE)</f>
        <v>71.722499999999997</v>
      </c>
      <c r="F682" s="14">
        <f>F560/VLOOKUP($C682,calendar!$A$2:$D$121,3,FALSE)</f>
        <v>0</v>
      </c>
      <c r="G682" s="14">
        <f>G560/VLOOKUP($C682,calendar!$A$2:$D$121,3,FALSE)</f>
        <v>0</v>
      </c>
      <c r="H682" s="282">
        <f>H560/VLOOKUP($C682,calendar!$A$2:$D$121,3,FALSE)</f>
        <v>-64.805000000000007</v>
      </c>
      <c r="I682" s="282">
        <f>I560/VLOOKUP($C682,calendar!$A$2:$D$121,3,FALSE)</f>
        <v>0</v>
      </c>
      <c r="J682" s="14">
        <f>J560/VLOOKUP($C682,calendar!$A$2:$D$121,3,FALSE)</f>
        <v>0</v>
      </c>
      <c r="K682" s="14">
        <f>K560/VLOOKUP($C682,calendar!$A$2:$D$121,3,FALSE)</f>
        <v>0</v>
      </c>
      <c r="L682" s="282">
        <f>L560/VLOOKUP($C682,calendar!$A$2:$D$121,3,FALSE)</f>
        <v>0</v>
      </c>
      <c r="M682" s="14">
        <f>M560/VLOOKUP($C682,calendar!$A$2:$D$121,3,FALSE)</f>
        <v>0</v>
      </c>
      <c r="N682" s="14">
        <f>N560/VLOOKUP($C682,calendar!$A$2:$D$121,3,FALSE)</f>
        <v>0</v>
      </c>
      <c r="O682" s="14">
        <f>O560/VLOOKUP($C682,calendar!$A$2:$D$121,3,FALSE)</f>
        <v>0</v>
      </c>
      <c r="P682" s="14">
        <f>P560/VLOOKUP($C682,calendar!$A$2:$D$121,3,FALSE)</f>
        <v>0</v>
      </c>
      <c r="Q682" s="282">
        <f>Q560/VLOOKUP($C682,calendar!$A$2:$D$121,3,FALSE)</f>
        <v>0</v>
      </c>
      <c r="R682" s="282">
        <f>R560/VLOOKUP($C682,calendar!$A$2:$D$121,3,FALSE)</f>
        <v>0</v>
      </c>
    </row>
    <row r="683" spans="3:18" s="8" customFormat="1" x14ac:dyDescent="0.2">
      <c r="C683" s="9">
        <f t="shared" si="167"/>
        <v>38991</v>
      </c>
      <c r="E683" s="282">
        <f>E561/VLOOKUP($C683,calendar!$A$2:$D$121,3,FALSE)</f>
        <v>71.510204081632651</v>
      </c>
      <c r="F683" s="14">
        <f>F561/VLOOKUP($C683,calendar!$A$2:$D$121,3,FALSE)</f>
        <v>0</v>
      </c>
      <c r="G683" s="14">
        <f>G561/VLOOKUP($C683,calendar!$A$2:$D$121,3,FALSE)</f>
        <v>0</v>
      </c>
      <c r="H683" s="282">
        <f>H561/VLOOKUP($C683,calendar!$A$2:$D$121,3,FALSE)</f>
        <v>-72.489795918367349</v>
      </c>
      <c r="I683" s="282">
        <f>I561/VLOOKUP($C683,calendar!$A$2:$D$121,3,FALSE)</f>
        <v>0</v>
      </c>
      <c r="J683" s="14">
        <f>J561/VLOOKUP($C683,calendar!$A$2:$D$121,3,FALSE)</f>
        <v>0</v>
      </c>
      <c r="K683" s="14">
        <f>K561/VLOOKUP($C683,calendar!$A$2:$D$121,3,FALSE)</f>
        <v>0</v>
      </c>
      <c r="L683" s="282">
        <f>L561/VLOOKUP($C683,calendar!$A$2:$D$121,3,FALSE)</f>
        <v>0</v>
      </c>
      <c r="M683" s="14">
        <f>M561/VLOOKUP($C683,calendar!$A$2:$D$121,3,FALSE)</f>
        <v>0</v>
      </c>
      <c r="N683" s="14">
        <f>N561/VLOOKUP($C683,calendar!$A$2:$D$121,3,FALSE)</f>
        <v>0</v>
      </c>
      <c r="O683" s="14">
        <f>O561/VLOOKUP($C683,calendar!$A$2:$D$121,3,FALSE)</f>
        <v>0</v>
      </c>
      <c r="P683" s="14">
        <f>P561/VLOOKUP($C683,calendar!$A$2:$D$121,3,FALSE)</f>
        <v>0</v>
      </c>
      <c r="Q683" s="282">
        <f>Q561/VLOOKUP($C683,calendar!$A$2:$D$121,3,FALSE)</f>
        <v>0</v>
      </c>
      <c r="R683" s="282">
        <f>R561/VLOOKUP($C683,calendar!$A$2:$D$121,3,FALSE)</f>
        <v>0</v>
      </c>
    </row>
    <row r="684" spans="3:18" s="8" customFormat="1" x14ac:dyDescent="0.2">
      <c r="C684" s="9">
        <f t="shared" si="167"/>
        <v>39022</v>
      </c>
      <c r="E684" s="282">
        <f>E562/VLOOKUP($C684,calendar!$A$2:$D$121,3,FALSE)</f>
        <v>80.604166666666671</v>
      </c>
      <c r="F684" s="14">
        <f>F562/VLOOKUP($C684,calendar!$A$2:$D$121,3,FALSE)</f>
        <v>0</v>
      </c>
      <c r="G684" s="14">
        <f>G562/VLOOKUP($C684,calendar!$A$2:$D$121,3,FALSE)</f>
        <v>0</v>
      </c>
      <c r="H684" s="282">
        <f>H562/VLOOKUP($C684,calendar!$A$2:$D$121,3,FALSE)</f>
        <v>-80.604166666666671</v>
      </c>
      <c r="I684" s="282">
        <f>I562/VLOOKUP($C684,calendar!$A$2:$D$121,3,FALSE)</f>
        <v>0</v>
      </c>
      <c r="J684" s="14">
        <f>J562/VLOOKUP($C684,calendar!$A$2:$D$121,3,FALSE)</f>
        <v>0</v>
      </c>
      <c r="K684" s="14">
        <f>K562/VLOOKUP($C684,calendar!$A$2:$D$121,3,FALSE)</f>
        <v>0</v>
      </c>
      <c r="L684" s="282">
        <f>L562/VLOOKUP($C684,calendar!$A$2:$D$121,3,FALSE)</f>
        <v>0</v>
      </c>
      <c r="M684" s="14">
        <f>M562/VLOOKUP($C684,calendar!$A$2:$D$121,3,FALSE)</f>
        <v>0</v>
      </c>
      <c r="N684" s="14">
        <f>N562/VLOOKUP($C684,calendar!$A$2:$D$121,3,FALSE)</f>
        <v>0</v>
      </c>
      <c r="O684" s="14">
        <f>O562/VLOOKUP($C684,calendar!$A$2:$D$121,3,FALSE)</f>
        <v>0</v>
      </c>
      <c r="P684" s="14">
        <f>P562/VLOOKUP($C684,calendar!$A$2:$D$121,3,FALSE)</f>
        <v>0</v>
      </c>
      <c r="Q684" s="282">
        <f>Q562/VLOOKUP($C684,calendar!$A$2:$D$121,3,FALSE)</f>
        <v>0</v>
      </c>
      <c r="R684" s="282">
        <f>R562/VLOOKUP($C684,calendar!$A$2:$D$121,3,FALSE)</f>
        <v>0</v>
      </c>
    </row>
    <row r="685" spans="3:18" s="8" customFormat="1" x14ac:dyDescent="0.2">
      <c r="C685" s="9">
        <f t="shared" si="167"/>
        <v>39052</v>
      </c>
      <c r="E685" s="282">
        <f>E563/VLOOKUP($C685,calendar!$A$2:$D$121,3,FALSE)</f>
        <v>21.264150943396228</v>
      </c>
      <c r="F685" s="14">
        <f>F563/VLOOKUP($C685,calendar!$A$2:$D$121,3,FALSE)</f>
        <v>0</v>
      </c>
      <c r="G685" s="14">
        <f>G563/VLOOKUP($C685,calendar!$A$2:$D$121,3,FALSE)</f>
        <v>0</v>
      </c>
      <c r="H685" s="282">
        <f>H563/VLOOKUP($C685,calendar!$A$2:$D$121,3,FALSE)</f>
        <v>-69.339622641509436</v>
      </c>
      <c r="I685" s="282">
        <f>I563/VLOOKUP($C685,calendar!$A$2:$D$121,3,FALSE)</f>
        <v>0</v>
      </c>
      <c r="J685" s="14">
        <f>J563/VLOOKUP($C685,calendar!$A$2:$D$121,3,FALSE)</f>
        <v>0</v>
      </c>
      <c r="K685" s="14">
        <f>K563/VLOOKUP($C685,calendar!$A$2:$D$121,3,FALSE)</f>
        <v>0</v>
      </c>
      <c r="L685" s="282">
        <f>L563/VLOOKUP($C685,calendar!$A$2:$D$121,3,FALSE)</f>
        <v>0</v>
      </c>
      <c r="M685" s="14">
        <f>M563/VLOOKUP($C685,calendar!$A$2:$D$121,3,FALSE)</f>
        <v>0</v>
      </c>
      <c r="N685" s="14">
        <f>N563/VLOOKUP($C685,calendar!$A$2:$D$121,3,FALSE)</f>
        <v>0</v>
      </c>
      <c r="O685" s="14">
        <f>O563/VLOOKUP($C685,calendar!$A$2:$D$121,3,FALSE)</f>
        <v>0</v>
      </c>
      <c r="P685" s="14">
        <f>P563/VLOOKUP($C685,calendar!$A$2:$D$121,3,FALSE)</f>
        <v>0</v>
      </c>
      <c r="Q685" s="282">
        <f>Q563/VLOOKUP($C685,calendar!$A$2:$D$121,3,FALSE)</f>
        <v>0</v>
      </c>
      <c r="R685" s="282">
        <f>R563/VLOOKUP($C685,calendar!$A$2:$D$121,3,FALSE)</f>
        <v>0</v>
      </c>
    </row>
    <row r="686" spans="3:18" s="8" customFormat="1" x14ac:dyDescent="0.2">
      <c r="C686" s="9">
        <f t="shared" si="167"/>
        <v>39083</v>
      </c>
      <c r="E686" s="282">
        <f>E564/VLOOKUP($C686,calendar!$A$2:$D$121,3,FALSE)</f>
        <v>20.653061224489797</v>
      </c>
      <c r="F686" s="14">
        <f>F564/VLOOKUP($C686,calendar!$A$2:$D$121,3,FALSE)</f>
        <v>0</v>
      </c>
      <c r="G686" s="14">
        <f>G564/VLOOKUP($C686,calendar!$A$2:$D$121,3,FALSE)</f>
        <v>0</v>
      </c>
      <c r="H686" s="282">
        <f>H564/VLOOKUP($C686,calendar!$A$2:$D$121,3,FALSE)</f>
        <v>-65.551020408163268</v>
      </c>
      <c r="I686" s="282">
        <f>I564/VLOOKUP($C686,calendar!$A$2:$D$121,3,FALSE)</f>
        <v>0</v>
      </c>
      <c r="J686" s="14">
        <f>J564/VLOOKUP($C686,calendar!$A$2:$D$121,3,FALSE)</f>
        <v>0</v>
      </c>
      <c r="K686" s="14">
        <f>K564/VLOOKUP($C686,calendar!$A$2:$D$121,3,FALSE)</f>
        <v>0</v>
      </c>
      <c r="L686" s="282">
        <f>L564/VLOOKUP($C686,calendar!$A$2:$D$121,3,FALSE)</f>
        <v>0</v>
      </c>
      <c r="M686" s="14">
        <f>M564/VLOOKUP($C686,calendar!$A$2:$D$121,3,FALSE)</f>
        <v>0</v>
      </c>
      <c r="N686" s="14">
        <f>N564/VLOOKUP($C686,calendar!$A$2:$D$121,3,FALSE)</f>
        <v>0</v>
      </c>
      <c r="O686" s="14">
        <f>O564/VLOOKUP($C686,calendar!$A$2:$D$121,3,FALSE)</f>
        <v>0</v>
      </c>
      <c r="P686" s="14">
        <f>P564/VLOOKUP($C686,calendar!$A$2:$D$121,3,FALSE)</f>
        <v>0</v>
      </c>
      <c r="Q686" s="282">
        <f>Q564/VLOOKUP($C686,calendar!$A$2:$D$121,3,FALSE)</f>
        <v>0</v>
      </c>
      <c r="R686" s="282">
        <f>R564/VLOOKUP($C686,calendar!$A$2:$D$121,3,FALSE)</f>
        <v>0</v>
      </c>
    </row>
    <row r="687" spans="3:18" s="8" customFormat="1" x14ac:dyDescent="0.2">
      <c r="C687" s="9">
        <f t="shared" si="167"/>
        <v>39114</v>
      </c>
      <c r="E687" s="282">
        <f>E565/VLOOKUP($C687,calendar!$A$2:$D$121,3,FALSE)</f>
        <v>25.613636363636363</v>
      </c>
      <c r="F687" s="14">
        <f>F565/VLOOKUP($C687,calendar!$A$2:$D$121,3,FALSE)</f>
        <v>0</v>
      </c>
      <c r="G687" s="14">
        <f>G565/VLOOKUP($C687,calendar!$A$2:$D$121,3,FALSE)</f>
        <v>0</v>
      </c>
      <c r="H687" s="282">
        <f>H565/VLOOKUP($C687,calendar!$A$2:$D$121,3,FALSE)</f>
        <v>-83.522727272727266</v>
      </c>
      <c r="I687" s="282">
        <f>I565/VLOOKUP($C687,calendar!$A$2:$D$121,3,FALSE)</f>
        <v>0</v>
      </c>
      <c r="J687" s="14">
        <f>J565/VLOOKUP($C687,calendar!$A$2:$D$121,3,FALSE)</f>
        <v>0</v>
      </c>
      <c r="K687" s="14">
        <f>K565/VLOOKUP($C687,calendar!$A$2:$D$121,3,FALSE)</f>
        <v>0</v>
      </c>
      <c r="L687" s="282">
        <f>L565/VLOOKUP($C687,calendar!$A$2:$D$121,3,FALSE)</f>
        <v>0</v>
      </c>
      <c r="M687" s="14">
        <f>M565/VLOOKUP($C687,calendar!$A$2:$D$121,3,FALSE)</f>
        <v>0</v>
      </c>
      <c r="N687" s="14">
        <f>N565/VLOOKUP($C687,calendar!$A$2:$D$121,3,FALSE)</f>
        <v>0</v>
      </c>
      <c r="O687" s="14">
        <f>O565/VLOOKUP($C687,calendar!$A$2:$D$121,3,FALSE)</f>
        <v>0</v>
      </c>
      <c r="P687" s="14">
        <f>P565/VLOOKUP($C687,calendar!$A$2:$D$121,3,FALSE)</f>
        <v>0</v>
      </c>
      <c r="Q687" s="282">
        <f>Q565/VLOOKUP($C687,calendar!$A$2:$D$121,3,FALSE)</f>
        <v>0</v>
      </c>
      <c r="R687" s="282">
        <f>R565/VLOOKUP($C687,calendar!$A$2:$D$121,3,FALSE)</f>
        <v>0</v>
      </c>
    </row>
    <row r="688" spans="3:18" s="8" customFormat="1" x14ac:dyDescent="0.2">
      <c r="C688" s="9">
        <f t="shared" si="167"/>
        <v>39142</v>
      </c>
      <c r="E688" s="282">
        <f>E566/VLOOKUP($C688,calendar!$A$2:$D$121,3,FALSE)</f>
        <v>22.471938775510203</v>
      </c>
      <c r="F688" s="14">
        <f>F566/VLOOKUP($C688,calendar!$A$2:$D$121,3,FALSE)</f>
        <v>0</v>
      </c>
      <c r="G688" s="14">
        <f>G566/VLOOKUP($C688,calendar!$A$2:$D$121,3,FALSE)</f>
        <v>0</v>
      </c>
      <c r="H688" s="282">
        <f>H566/VLOOKUP($C688,calendar!$A$2:$D$121,3,FALSE)</f>
        <v>-72.362244897959187</v>
      </c>
      <c r="I688" s="282">
        <f>I566/VLOOKUP($C688,calendar!$A$2:$D$121,3,FALSE)</f>
        <v>0</v>
      </c>
      <c r="J688" s="14">
        <f>J566/VLOOKUP($C688,calendar!$A$2:$D$121,3,FALSE)</f>
        <v>0</v>
      </c>
      <c r="K688" s="14">
        <f>K566/VLOOKUP($C688,calendar!$A$2:$D$121,3,FALSE)</f>
        <v>0</v>
      </c>
      <c r="L688" s="282">
        <f>L566/VLOOKUP($C688,calendar!$A$2:$D$121,3,FALSE)</f>
        <v>0</v>
      </c>
      <c r="M688" s="14">
        <f>M566/VLOOKUP($C688,calendar!$A$2:$D$121,3,FALSE)</f>
        <v>0</v>
      </c>
      <c r="N688" s="14">
        <f>N566/VLOOKUP($C688,calendar!$A$2:$D$121,3,FALSE)</f>
        <v>0</v>
      </c>
      <c r="O688" s="14">
        <f>O566/VLOOKUP($C688,calendar!$A$2:$D$121,3,FALSE)</f>
        <v>0</v>
      </c>
      <c r="P688" s="14">
        <f>P566/VLOOKUP($C688,calendar!$A$2:$D$121,3,FALSE)</f>
        <v>0</v>
      </c>
      <c r="Q688" s="282">
        <f>Q566/VLOOKUP($C688,calendar!$A$2:$D$121,3,FALSE)</f>
        <v>0</v>
      </c>
      <c r="R688" s="282">
        <f>R566/VLOOKUP($C688,calendar!$A$2:$D$121,3,FALSE)</f>
        <v>0</v>
      </c>
    </row>
    <row r="689" spans="3:18" s="8" customFormat="1" x14ac:dyDescent="0.2">
      <c r="C689" s="9">
        <f t="shared" si="167"/>
        <v>39173</v>
      </c>
      <c r="E689" s="282">
        <f>E567/VLOOKUP($C689,calendar!$A$2:$D$121,3,FALSE)</f>
        <v>23.479166666666668</v>
      </c>
      <c r="F689" s="14">
        <f>F567/VLOOKUP($C689,calendar!$A$2:$D$121,3,FALSE)</f>
        <v>0</v>
      </c>
      <c r="G689" s="14">
        <f>G567/VLOOKUP($C689,calendar!$A$2:$D$121,3,FALSE)</f>
        <v>0</v>
      </c>
      <c r="H689" s="282">
        <f>H567/VLOOKUP($C689,calendar!$A$2:$D$121,3,FALSE)</f>
        <v>-66.354166666666671</v>
      </c>
      <c r="I689" s="282">
        <f>I567/VLOOKUP($C689,calendar!$A$2:$D$121,3,FALSE)</f>
        <v>0</v>
      </c>
      <c r="J689" s="14">
        <f>J567/VLOOKUP($C689,calendar!$A$2:$D$121,3,FALSE)</f>
        <v>0</v>
      </c>
      <c r="K689" s="14">
        <f>K567/VLOOKUP($C689,calendar!$A$2:$D$121,3,FALSE)</f>
        <v>0</v>
      </c>
      <c r="L689" s="282">
        <f>L567/VLOOKUP($C689,calendar!$A$2:$D$121,3,FALSE)</f>
        <v>0</v>
      </c>
      <c r="M689" s="14">
        <f>M567/VLOOKUP($C689,calendar!$A$2:$D$121,3,FALSE)</f>
        <v>0</v>
      </c>
      <c r="N689" s="14">
        <f>N567/VLOOKUP($C689,calendar!$A$2:$D$121,3,FALSE)</f>
        <v>0</v>
      </c>
      <c r="O689" s="14">
        <f>O567/VLOOKUP($C689,calendar!$A$2:$D$121,3,FALSE)</f>
        <v>0</v>
      </c>
      <c r="P689" s="14">
        <f>P567/VLOOKUP($C689,calendar!$A$2:$D$121,3,FALSE)</f>
        <v>0</v>
      </c>
      <c r="Q689" s="282">
        <f>Q567/VLOOKUP($C689,calendar!$A$2:$D$121,3,FALSE)</f>
        <v>0</v>
      </c>
      <c r="R689" s="282">
        <f>R567/VLOOKUP($C689,calendar!$A$2:$D$121,3,FALSE)</f>
        <v>0</v>
      </c>
    </row>
    <row r="690" spans="3:18" s="8" customFormat="1" x14ac:dyDescent="0.2">
      <c r="C690" s="9">
        <f t="shared" si="167"/>
        <v>39203</v>
      </c>
      <c r="E690" s="282">
        <f>E568/VLOOKUP($C690,calendar!$A$2:$D$121,3,FALSE)</f>
        <v>22.530612244897959</v>
      </c>
      <c r="F690" s="14">
        <f>F568/VLOOKUP($C690,calendar!$A$2:$D$121,3,FALSE)</f>
        <v>0</v>
      </c>
      <c r="G690" s="14">
        <f>G568/VLOOKUP($C690,calendar!$A$2:$D$121,3,FALSE)</f>
        <v>0</v>
      </c>
      <c r="H690" s="282">
        <f>H568/VLOOKUP($C690,calendar!$A$2:$D$121,3,FALSE)</f>
        <v>-60.734693877551024</v>
      </c>
      <c r="I690" s="282">
        <f>I568/VLOOKUP($C690,calendar!$A$2:$D$121,3,FALSE)</f>
        <v>0</v>
      </c>
      <c r="J690" s="14">
        <f>J568/VLOOKUP($C690,calendar!$A$2:$D$121,3,FALSE)</f>
        <v>0</v>
      </c>
      <c r="K690" s="14">
        <f>K568/VLOOKUP($C690,calendar!$A$2:$D$121,3,FALSE)</f>
        <v>0</v>
      </c>
      <c r="L690" s="282">
        <f>L568/VLOOKUP($C690,calendar!$A$2:$D$121,3,FALSE)</f>
        <v>0</v>
      </c>
      <c r="M690" s="14">
        <f>M568/VLOOKUP($C690,calendar!$A$2:$D$121,3,FALSE)</f>
        <v>0</v>
      </c>
      <c r="N690" s="14">
        <f>N568/VLOOKUP($C690,calendar!$A$2:$D$121,3,FALSE)</f>
        <v>0</v>
      </c>
      <c r="O690" s="14">
        <f>O568/VLOOKUP($C690,calendar!$A$2:$D$121,3,FALSE)</f>
        <v>0</v>
      </c>
      <c r="P690" s="14">
        <f>P568/VLOOKUP($C690,calendar!$A$2:$D$121,3,FALSE)</f>
        <v>0</v>
      </c>
      <c r="Q690" s="282">
        <f>Q568/VLOOKUP($C690,calendar!$A$2:$D$121,3,FALSE)</f>
        <v>0</v>
      </c>
      <c r="R690" s="282">
        <f>R568/VLOOKUP($C690,calendar!$A$2:$D$121,3,FALSE)</f>
        <v>0</v>
      </c>
    </row>
    <row r="691" spans="3:18" s="8" customFormat="1" x14ac:dyDescent="0.2">
      <c r="C691" s="9">
        <f t="shared" si="167"/>
        <v>39234</v>
      </c>
      <c r="E691" s="282">
        <f>E569/VLOOKUP($C691,calendar!$A$2:$D$121,3,FALSE)</f>
        <v>24.4375</v>
      </c>
      <c r="F691" s="14">
        <f>F569/VLOOKUP($C691,calendar!$A$2:$D$121,3,FALSE)</f>
        <v>0</v>
      </c>
      <c r="G691" s="14">
        <f>G569/VLOOKUP($C691,calendar!$A$2:$D$121,3,FALSE)</f>
        <v>0</v>
      </c>
      <c r="H691" s="282">
        <f>H569/VLOOKUP($C691,calendar!$A$2:$D$121,3,FALSE)</f>
        <v>-62.6875</v>
      </c>
      <c r="I691" s="282">
        <f>I569/VLOOKUP($C691,calendar!$A$2:$D$121,3,FALSE)</f>
        <v>0</v>
      </c>
      <c r="J691" s="14">
        <f>J569/VLOOKUP($C691,calendar!$A$2:$D$121,3,FALSE)</f>
        <v>0</v>
      </c>
      <c r="K691" s="14">
        <f>K569/VLOOKUP($C691,calendar!$A$2:$D$121,3,FALSE)</f>
        <v>0</v>
      </c>
      <c r="L691" s="282">
        <f>L569/VLOOKUP($C691,calendar!$A$2:$D$121,3,FALSE)</f>
        <v>0</v>
      </c>
      <c r="M691" s="14">
        <f>M569/VLOOKUP($C691,calendar!$A$2:$D$121,3,FALSE)</f>
        <v>0</v>
      </c>
      <c r="N691" s="14">
        <f>N569/VLOOKUP($C691,calendar!$A$2:$D$121,3,FALSE)</f>
        <v>0</v>
      </c>
      <c r="O691" s="14">
        <f>O569/VLOOKUP($C691,calendar!$A$2:$D$121,3,FALSE)</f>
        <v>0</v>
      </c>
      <c r="P691" s="14">
        <f>P569/VLOOKUP($C691,calendar!$A$2:$D$121,3,FALSE)</f>
        <v>0</v>
      </c>
      <c r="Q691" s="282">
        <f>Q569/VLOOKUP($C691,calendar!$A$2:$D$121,3,FALSE)</f>
        <v>0</v>
      </c>
      <c r="R691" s="282">
        <f>R569/VLOOKUP($C691,calendar!$A$2:$D$121,3,FALSE)</f>
        <v>0</v>
      </c>
    </row>
    <row r="692" spans="3:18" s="8" customFormat="1" x14ac:dyDescent="0.2">
      <c r="C692" s="9">
        <f t="shared" si="167"/>
        <v>39264</v>
      </c>
      <c r="E692" s="282">
        <f>E570/VLOOKUP($C692,calendar!$A$2:$D$121,3,FALSE)</f>
        <v>21.196078431372548</v>
      </c>
      <c r="F692" s="14">
        <f>F570/VLOOKUP($C692,calendar!$A$2:$D$121,3,FALSE)</f>
        <v>0</v>
      </c>
      <c r="G692" s="14">
        <f>G570/VLOOKUP($C692,calendar!$A$2:$D$121,3,FALSE)</f>
        <v>0</v>
      </c>
      <c r="H692" s="282">
        <f>H570/VLOOKUP($C692,calendar!$A$2:$D$121,3,FALSE)</f>
        <v>-54.372549019607845</v>
      </c>
      <c r="I692" s="282">
        <f>I570/VLOOKUP($C692,calendar!$A$2:$D$121,3,FALSE)</f>
        <v>0</v>
      </c>
      <c r="J692" s="14">
        <f>J570/VLOOKUP($C692,calendar!$A$2:$D$121,3,FALSE)</f>
        <v>0</v>
      </c>
      <c r="K692" s="14">
        <f>K570/VLOOKUP($C692,calendar!$A$2:$D$121,3,FALSE)</f>
        <v>0</v>
      </c>
      <c r="L692" s="282">
        <f>L570/VLOOKUP($C692,calendar!$A$2:$D$121,3,FALSE)</f>
        <v>0</v>
      </c>
      <c r="M692" s="14">
        <f>M570/VLOOKUP($C692,calendar!$A$2:$D$121,3,FALSE)</f>
        <v>0</v>
      </c>
      <c r="N692" s="14">
        <f>N570/VLOOKUP($C692,calendar!$A$2:$D$121,3,FALSE)</f>
        <v>0</v>
      </c>
      <c r="O692" s="14">
        <f>O570/VLOOKUP($C692,calendar!$A$2:$D$121,3,FALSE)</f>
        <v>0</v>
      </c>
      <c r="P692" s="14">
        <f>P570/VLOOKUP($C692,calendar!$A$2:$D$121,3,FALSE)</f>
        <v>0</v>
      </c>
      <c r="Q692" s="282">
        <f>Q570/VLOOKUP($C692,calendar!$A$2:$D$121,3,FALSE)</f>
        <v>0</v>
      </c>
      <c r="R692" s="282">
        <f>R570/VLOOKUP($C692,calendar!$A$2:$D$121,3,FALSE)</f>
        <v>0</v>
      </c>
    </row>
    <row r="693" spans="3:18" s="8" customFormat="1" x14ac:dyDescent="0.2">
      <c r="C693" s="9">
        <f t="shared" si="167"/>
        <v>39295</v>
      </c>
      <c r="E693" s="282">
        <f>E571/VLOOKUP($C693,calendar!$A$2:$D$121,3,FALSE)</f>
        <v>25.446808510638299</v>
      </c>
      <c r="F693" s="14">
        <f>F571/VLOOKUP($C693,calendar!$A$2:$D$121,3,FALSE)</f>
        <v>0</v>
      </c>
      <c r="G693" s="14">
        <f>G571/VLOOKUP($C693,calendar!$A$2:$D$121,3,FALSE)</f>
        <v>0</v>
      </c>
      <c r="H693" s="282">
        <f>H571/VLOOKUP($C693,calendar!$A$2:$D$121,3,FALSE)</f>
        <v>-71.914893617021278</v>
      </c>
      <c r="I693" s="282">
        <f>I571/VLOOKUP($C693,calendar!$A$2:$D$121,3,FALSE)</f>
        <v>0</v>
      </c>
      <c r="J693" s="14">
        <f>J571/VLOOKUP($C693,calendar!$A$2:$D$121,3,FALSE)</f>
        <v>0</v>
      </c>
      <c r="K693" s="14">
        <f>K571/VLOOKUP($C693,calendar!$A$2:$D$121,3,FALSE)</f>
        <v>0</v>
      </c>
      <c r="L693" s="282">
        <f>L571/VLOOKUP($C693,calendar!$A$2:$D$121,3,FALSE)</f>
        <v>0</v>
      </c>
      <c r="M693" s="14">
        <f>M571/VLOOKUP($C693,calendar!$A$2:$D$121,3,FALSE)</f>
        <v>0</v>
      </c>
      <c r="N693" s="14">
        <f>N571/VLOOKUP($C693,calendar!$A$2:$D$121,3,FALSE)</f>
        <v>0</v>
      </c>
      <c r="O693" s="14">
        <f>O571/VLOOKUP($C693,calendar!$A$2:$D$121,3,FALSE)</f>
        <v>0</v>
      </c>
      <c r="P693" s="14">
        <f>P571/VLOOKUP($C693,calendar!$A$2:$D$121,3,FALSE)</f>
        <v>0</v>
      </c>
      <c r="Q693" s="282">
        <f>Q571/VLOOKUP($C693,calendar!$A$2:$D$121,3,FALSE)</f>
        <v>0</v>
      </c>
      <c r="R693" s="282">
        <f>R571/VLOOKUP($C693,calendar!$A$2:$D$121,3,FALSE)</f>
        <v>0</v>
      </c>
    </row>
    <row r="694" spans="3:18" s="8" customFormat="1" x14ac:dyDescent="0.2">
      <c r="C694" s="9">
        <f t="shared" si="167"/>
        <v>39326</v>
      </c>
      <c r="E694" s="282">
        <f>E572/VLOOKUP($C694,calendar!$A$2:$D$121,3,FALSE)</f>
        <v>20.84375</v>
      </c>
      <c r="F694" s="14">
        <f>F572/VLOOKUP($C694,calendar!$A$2:$D$121,3,FALSE)</f>
        <v>0</v>
      </c>
      <c r="G694" s="14">
        <f>G572/VLOOKUP($C694,calendar!$A$2:$D$121,3,FALSE)</f>
        <v>0</v>
      </c>
      <c r="H694" s="282">
        <f>H572/VLOOKUP($C694,calendar!$A$2:$D$121,3,FALSE)</f>
        <v>-59.77403846153846</v>
      </c>
      <c r="I694" s="282">
        <f>I572/VLOOKUP($C694,calendar!$A$2:$D$121,3,FALSE)</f>
        <v>0</v>
      </c>
      <c r="J694" s="14">
        <f>J572/VLOOKUP($C694,calendar!$A$2:$D$121,3,FALSE)</f>
        <v>0</v>
      </c>
      <c r="K694" s="14">
        <f>K572/VLOOKUP($C694,calendar!$A$2:$D$121,3,FALSE)</f>
        <v>0</v>
      </c>
      <c r="L694" s="282">
        <f>L572/VLOOKUP($C694,calendar!$A$2:$D$121,3,FALSE)</f>
        <v>0</v>
      </c>
      <c r="M694" s="14">
        <f>M572/VLOOKUP($C694,calendar!$A$2:$D$121,3,FALSE)</f>
        <v>0</v>
      </c>
      <c r="N694" s="14">
        <f>N572/VLOOKUP($C694,calendar!$A$2:$D$121,3,FALSE)</f>
        <v>0</v>
      </c>
      <c r="O694" s="14">
        <f>O572/VLOOKUP($C694,calendar!$A$2:$D$121,3,FALSE)</f>
        <v>0</v>
      </c>
      <c r="P694" s="14">
        <f>P572/VLOOKUP($C694,calendar!$A$2:$D$121,3,FALSE)</f>
        <v>0</v>
      </c>
      <c r="Q694" s="282">
        <f>Q572/VLOOKUP($C694,calendar!$A$2:$D$121,3,FALSE)</f>
        <v>0</v>
      </c>
      <c r="R694" s="282">
        <f>R572/VLOOKUP($C694,calendar!$A$2:$D$121,3,FALSE)</f>
        <v>0</v>
      </c>
    </row>
    <row r="695" spans="3:18" s="8" customFormat="1" x14ac:dyDescent="0.2">
      <c r="C695" s="9">
        <f t="shared" si="167"/>
        <v>39356</v>
      </c>
      <c r="E695" s="282">
        <f>E573/VLOOKUP($C695,calendar!$A$2:$D$121,3,FALSE)</f>
        <v>23.48936170212766</v>
      </c>
      <c r="F695" s="14">
        <f>F573/VLOOKUP($C695,calendar!$A$2:$D$121,3,FALSE)</f>
        <v>0</v>
      </c>
      <c r="G695" s="14">
        <f>G573/VLOOKUP($C695,calendar!$A$2:$D$121,3,FALSE)</f>
        <v>0</v>
      </c>
      <c r="H695" s="282">
        <f>H573/VLOOKUP($C695,calendar!$A$2:$D$121,3,FALSE)</f>
        <v>-75.574468085106389</v>
      </c>
      <c r="I695" s="282">
        <f>I573/VLOOKUP($C695,calendar!$A$2:$D$121,3,FALSE)</f>
        <v>0</v>
      </c>
      <c r="J695" s="14">
        <f>J573/VLOOKUP($C695,calendar!$A$2:$D$121,3,FALSE)</f>
        <v>0</v>
      </c>
      <c r="K695" s="14">
        <f>K573/VLOOKUP($C695,calendar!$A$2:$D$121,3,FALSE)</f>
        <v>0</v>
      </c>
      <c r="L695" s="282">
        <f>L573/VLOOKUP($C695,calendar!$A$2:$D$121,3,FALSE)</f>
        <v>0</v>
      </c>
      <c r="M695" s="14">
        <f>M573/VLOOKUP($C695,calendar!$A$2:$D$121,3,FALSE)</f>
        <v>0</v>
      </c>
      <c r="N695" s="14">
        <f>N573/VLOOKUP($C695,calendar!$A$2:$D$121,3,FALSE)</f>
        <v>0</v>
      </c>
      <c r="O695" s="14">
        <f>O573/VLOOKUP($C695,calendar!$A$2:$D$121,3,FALSE)</f>
        <v>0</v>
      </c>
      <c r="P695" s="14">
        <f>P573/VLOOKUP($C695,calendar!$A$2:$D$121,3,FALSE)</f>
        <v>0</v>
      </c>
      <c r="Q695" s="282">
        <f>Q573/VLOOKUP($C695,calendar!$A$2:$D$121,3,FALSE)</f>
        <v>0</v>
      </c>
      <c r="R695" s="282">
        <f>R573/VLOOKUP($C695,calendar!$A$2:$D$121,3,FALSE)</f>
        <v>0</v>
      </c>
    </row>
    <row r="696" spans="3:18" s="8" customFormat="1" x14ac:dyDescent="0.2">
      <c r="C696" s="9">
        <f t="shared" si="167"/>
        <v>39387</v>
      </c>
      <c r="E696" s="282">
        <f>E574/VLOOKUP($C696,calendar!$A$2:$D$121,3,FALSE)</f>
        <v>25.395833333333332</v>
      </c>
      <c r="F696" s="14">
        <f>F574/VLOOKUP($C696,calendar!$A$2:$D$121,3,FALSE)</f>
        <v>0</v>
      </c>
      <c r="G696" s="14">
        <f>G574/VLOOKUP($C696,calendar!$A$2:$D$121,3,FALSE)</f>
        <v>0</v>
      </c>
      <c r="H696" s="282">
        <f>H574/VLOOKUP($C696,calendar!$A$2:$D$121,3,FALSE)</f>
        <v>-80.604166666666671</v>
      </c>
      <c r="I696" s="282">
        <f>I574/VLOOKUP($C696,calendar!$A$2:$D$121,3,FALSE)</f>
        <v>0</v>
      </c>
      <c r="J696" s="14">
        <f>J574/VLOOKUP($C696,calendar!$A$2:$D$121,3,FALSE)</f>
        <v>0</v>
      </c>
      <c r="K696" s="14">
        <f>K574/VLOOKUP($C696,calendar!$A$2:$D$121,3,FALSE)</f>
        <v>0</v>
      </c>
      <c r="L696" s="282">
        <f>L574/VLOOKUP($C696,calendar!$A$2:$D$121,3,FALSE)</f>
        <v>0</v>
      </c>
      <c r="M696" s="14">
        <f>M574/VLOOKUP($C696,calendar!$A$2:$D$121,3,FALSE)</f>
        <v>0</v>
      </c>
      <c r="N696" s="14">
        <f>N574/VLOOKUP($C696,calendar!$A$2:$D$121,3,FALSE)</f>
        <v>0</v>
      </c>
      <c r="O696" s="14">
        <f>O574/VLOOKUP($C696,calendar!$A$2:$D$121,3,FALSE)</f>
        <v>0</v>
      </c>
      <c r="P696" s="14">
        <f>P574/VLOOKUP($C696,calendar!$A$2:$D$121,3,FALSE)</f>
        <v>0</v>
      </c>
      <c r="Q696" s="282">
        <f>Q574/VLOOKUP($C696,calendar!$A$2:$D$121,3,FALSE)</f>
        <v>0</v>
      </c>
      <c r="R696" s="282">
        <f>R574/VLOOKUP($C696,calendar!$A$2:$D$121,3,FALSE)</f>
        <v>0</v>
      </c>
    </row>
    <row r="697" spans="3:18" s="8" customFormat="1" x14ac:dyDescent="0.2">
      <c r="C697" s="9">
        <f t="shared" si="167"/>
        <v>39417</v>
      </c>
      <c r="E697" s="282">
        <f>E575/VLOOKUP($C697,calendar!$A$2:$D$121,3,FALSE)</f>
        <v>-24.962264150943398</v>
      </c>
      <c r="F697" s="14">
        <f>F575/VLOOKUP($C697,calendar!$A$2:$D$121,3,FALSE)</f>
        <v>0</v>
      </c>
      <c r="G697" s="14">
        <f>G575/VLOOKUP($C697,calendar!$A$2:$D$121,3,FALSE)</f>
        <v>0</v>
      </c>
      <c r="H697" s="282">
        <f>H575/VLOOKUP($C697,calendar!$A$2:$D$121,3,FALSE)</f>
        <v>-69.339622641509436</v>
      </c>
      <c r="I697" s="282">
        <f>I575/VLOOKUP($C697,calendar!$A$2:$D$121,3,FALSE)</f>
        <v>-46.226415094339622</v>
      </c>
      <c r="J697" s="14">
        <f>J575/VLOOKUP($C697,calendar!$A$2:$D$121,3,FALSE)</f>
        <v>0</v>
      </c>
      <c r="K697" s="14">
        <f>K575/VLOOKUP($C697,calendar!$A$2:$D$121,3,FALSE)</f>
        <v>0</v>
      </c>
      <c r="L697" s="282">
        <f>L575/VLOOKUP($C697,calendar!$A$2:$D$121,3,FALSE)</f>
        <v>0</v>
      </c>
      <c r="M697" s="14">
        <f>M575/VLOOKUP($C697,calendar!$A$2:$D$121,3,FALSE)</f>
        <v>0</v>
      </c>
      <c r="N697" s="14">
        <f>N575/VLOOKUP($C697,calendar!$A$2:$D$121,3,FALSE)</f>
        <v>0</v>
      </c>
      <c r="O697" s="14">
        <f>O575/VLOOKUP($C697,calendar!$A$2:$D$121,3,FALSE)</f>
        <v>0</v>
      </c>
      <c r="P697" s="14">
        <f>P575/VLOOKUP($C697,calendar!$A$2:$D$121,3,FALSE)</f>
        <v>0</v>
      </c>
      <c r="Q697" s="282">
        <f>Q575/VLOOKUP($C697,calendar!$A$2:$D$121,3,FALSE)</f>
        <v>0</v>
      </c>
      <c r="R697" s="282">
        <f>R575/VLOOKUP($C697,calendar!$A$2:$D$121,3,FALSE)</f>
        <v>0</v>
      </c>
    </row>
    <row r="698" spans="3:18" s="8" customFormat="1" x14ac:dyDescent="0.2">
      <c r="C698" s="9">
        <f t="shared" si="167"/>
        <v>39448</v>
      </c>
      <c r="E698" s="282">
        <f>E576/VLOOKUP($C698,calendar!$A$2:$D$121,3,FALSE)</f>
        <v>-24.795918367346939</v>
      </c>
      <c r="F698" s="14">
        <f>F576/VLOOKUP($C698,calendar!$A$2:$D$121,3,FALSE)</f>
        <v>0</v>
      </c>
      <c r="G698" s="14">
        <f>G576/VLOOKUP($C698,calendar!$A$2:$D$121,3,FALSE)</f>
        <v>0</v>
      </c>
      <c r="H698" s="282">
        <f>H576/VLOOKUP($C698,calendar!$A$2:$D$121,3,FALSE)</f>
        <v>-67.040816326530617</v>
      </c>
      <c r="I698" s="282">
        <f>I576/VLOOKUP($C698,calendar!$A$2:$D$121,3,FALSE)</f>
        <v>-45.918367346938773</v>
      </c>
      <c r="J698" s="14">
        <f>J576/VLOOKUP($C698,calendar!$A$2:$D$121,3,FALSE)</f>
        <v>0</v>
      </c>
      <c r="K698" s="14">
        <f>K576/VLOOKUP($C698,calendar!$A$2:$D$121,3,FALSE)</f>
        <v>0</v>
      </c>
      <c r="L698" s="282">
        <f>L576/VLOOKUP($C698,calendar!$A$2:$D$121,3,FALSE)</f>
        <v>0</v>
      </c>
      <c r="M698" s="14">
        <f>M576/VLOOKUP($C698,calendar!$A$2:$D$121,3,FALSE)</f>
        <v>0</v>
      </c>
      <c r="N698" s="14">
        <f>N576/VLOOKUP($C698,calendar!$A$2:$D$121,3,FALSE)</f>
        <v>0</v>
      </c>
      <c r="O698" s="14">
        <f>O576/VLOOKUP($C698,calendar!$A$2:$D$121,3,FALSE)</f>
        <v>0</v>
      </c>
      <c r="P698" s="14">
        <f>P576/VLOOKUP($C698,calendar!$A$2:$D$121,3,FALSE)</f>
        <v>0</v>
      </c>
      <c r="Q698" s="282">
        <f>Q576/VLOOKUP($C698,calendar!$A$2:$D$121,3,FALSE)</f>
        <v>0</v>
      </c>
      <c r="R698" s="282">
        <f>R576/VLOOKUP($C698,calendar!$A$2:$D$121,3,FALSE)</f>
        <v>0</v>
      </c>
    </row>
    <row r="699" spans="3:18" s="8" customFormat="1" x14ac:dyDescent="0.2">
      <c r="C699" s="9">
        <f t="shared" si="167"/>
        <v>39479</v>
      </c>
      <c r="E699" s="282">
        <f>E577/VLOOKUP($C699,calendar!$A$2:$D$121,3,FALSE)</f>
        <v>-30.6</v>
      </c>
      <c r="F699" s="14">
        <f>F577/VLOOKUP($C699,calendar!$A$2:$D$121,3,FALSE)</f>
        <v>0</v>
      </c>
      <c r="G699" s="14">
        <f>G577/VLOOKUP($C699,calendar!$A$2:$D$121,3,FALSE)</f>
        <v>0</v>
      </c>
      <c r="H699" s="282">
        <f>H577/VLOOKUP($C699,calendar!$A$2:$D$121,3,FALSE)</f>
        <v>-85</v>
      </c>
      <c r="I699" s="282">
        <f>I577/VLOOKUP($C699,calendar!$A$2:$D$121,3,FALSE)</f>
        <v>-56.666666666666664</v>
      </c>
      <c r="J699" s="14">
        <f>J577/VLOOKUP($C699,calendar!$A$2:$D$121,3,FALSE)</f>
        <v>0</v>
      </c>
      <c r="K699" s="14">
        <f>K577/VLOOKUP($C699,calendar!$A$2:$D$121,3,FALSE)</f>
        <v>0</v>
      </c>
      <c r="L699" s="282">
        <f>L577/VLOOKUP($C699,calendar!$A$2:$D$121,3,FALSE)</f>
        <v>0</v>
      </c>
      <c r="M699" s="14">
        <f>M577/VLOOKUP($C699,calendar!$A$2:$D$121,3,FALSE)</f>
        <v>0</v>
      </c>
      <c r="N699" s="14">
        <f>N577/VLOOKUP($C699,calendar!$A$2:$D$121,3,FALSE)</f>
        <v>0</v>
      </c>
      <c r="O699" s="14">
        <f>O577/VLOOKUP($C699,calendar!$A$2:$D$121,3,FALSE)</f>
        <v>0</v>
      </c>
      <c r="P699" s="14">
        <f>P577/VLOOKUP($C699,calendar!$A$2:$D$121,3,FALSE)</f>
        <v>0</v>
      </c>
      <c r="Q699" s="282">
        <f>Q577/VLOOKUP($C699,calendar!$A$2:$D$121,3,FALSE)</f>
        <v>0</v>
      </c>
      <c r="R699" s="282">
        <f>R577/VLOOKUP($C699,calendar!$A$2:$D$121,3,FALSE)</f>
        <v>0</v>
      </c>
    </row>
    <row r="700" spans="3:18" s="8" customFormat="1" x14ac:dyDescent="0.2">
      <c r="C700" s="9">
        <f t="shared" si="167"/>
        <v>39508</v>
      </c>
      <c r="E700" s="282">
        <f>E578/VLOOKUP($C700,calendar!$A$2:$D$121,3,FALSE)</f>
        <v>-24.286764705882351</v>
      </c>
      <c r="F700" s="14">
        <f>F578/VLOOKUP($C700,calendar!$A$2:$D$121,3,FALSE)</f>
        <v>0</v>
      </c>
      <c r="G700" s="14">
        <f>G578/VLOOKUP($C700,calendar!$A$2:$D$121,3,FALSE)</f>
        <v>0</v>
      </c>
      <c r="H700" s="282">
        <f>H578/VLOOKUP($C700,calendar!$A$2:$D$121,3,FALSE)</f>
        <v>-66.622549019607845</v>
      </c>
      <c r="I700" s="282">
        <f>I578/VLOOKUP($C700,calendar!$A$2:$D$121,3,FALSE)</f>
        <v>-44.975490196078432</v>
      </c>
      <c r="J700" s="14">
        <f>J578/VLOOKUP($C700,calendar!$A$2:$D$121,3,FALSE)</f>
        <v>0</v>
      </c>
      <c r="K700" s="14">
        <f>K578/VLOOKUP($C700,calendar!$A$2:$D$121,3,FALSE)</f>
        <v>0</v>
      </c>
      <c r="L700" s="282">
        <f>L578/VLOOKUP($C700,calendar!$A$2:$D$121,3,FALSE)</f>
        <v>0</v>
      </c>
      <c r="M700" s="14">
        <f>M578/VLOOKUP($C700,calendar!$A$2:$D$121,3,FALSE)</f>
        <v>0</v>
      </c>
      <c r="N700" s="14">
        <f>N578/VLOOKUP($C700,calendar!$A$2:$D$121,3,FALSE)</f>
        <v>0</v>
      </c>
      <c r="O700" s="14">
        <f>O578/VLOOKUP($C700,calendar!$A$2:$D$121,3,FALSE)</f>
        <v>0</v>
      </c>
      <c r="P700" s="14">
        <f>P578/VLOOKUP($C700,calendar!$A$2:$D$121,3,FALSE)</f>
        <v>0</v>
      </c>
      <c r="Q700" s="282">
        <f>Q578/VLOOKUP($C700,calendar!$A$2:$D$121,3,FALSE)</f>
        <v>0</v>
      </c>
      <c r="R700" s="282">
        <f>R578/VLOOKUP($C700,calendar!$A$2:$D$121,3,FALSE)</f>
        <v>0</v>
      </c>
    </row>
    <row r="701" spans="3:18" s="8" customFormat="1" x14ac:dyDescent="0.2">
      <c r="C701" s="9">
        <f t="shared" si="167"/>
        <v>39539</v>
      </c>
      <c r="E701" s="282">
        <f>E579/VLOOKUP($C701,calendar!$A$2:$D$121,3,FALSE)</f>
        <v>-29.934782608695652</v>
      </c>
      <c r="F701" s="14">
        <f>F579/VLOOKUP($C701,calendar!$A$2:$D$121,3,FALSE)</f>
        <v>0</v>
      </c>
      <c r="G701" s="14">
        <f>G579/VLOOKUP($C701,calendar!$A$2:$D$121,3,FALSE)</f>
        <v>0</v>
      </c>
      <c r="H701" s="282">
        <f>H579/VLOOKUP($C701,calendar!$A$2:$D$121,3,FALSE)</f>
        <v>-72.065217391304344</v>
      </c>
      <c r="I701" s="282">
        <f>I579/VLOOKUP($C701,calendar!$A$2:$D$121,3,FALSE)</f>
        <v>-55.434782608695649</v>
      </c>
      <c r="J701" s="14">
        <f>J579/VLOOKUP($C701,calendar!$A$2:$D$121,3,FALSE)</f>
        <v>0</v>
      </c>
      <c r="K701" s="14">
        <f>K579/VLOOKUP($C701,calendar!$A$2:$D$121,3,FALSE)</f>
        <v>0</v>
      </c>
      <c r="L701" s="282">
        <f>L579/VLOOKUP($C701,calendar!$A$2:$D$121,3,FALSE)</f>
        <v>0</v>
      </c>
      <c r="M701" s="14">
        <f>M579/VLOOKUP($C701,calendar!$A$2:$D$121,3,FALSE)</f>
        <v>0</v>
      </c>
      <c r="N701" s="14">
        <f>N579/VLOOKUP($C701,calendar!$A$2:$D$121,3,FALSE)</f>
        <v>0</v>
      </c>
      <c r="O701" s="14">
        <f>O579/VLOOKUP($C701,calendar!$A$2:$D$121,3,FALSE)</f>
        <v>0</v>
      </c>
      <c r="P701" s="14">
        <f>P579/VLOOKUP($C701,calendar!$A$2:$D$121,3,FALSE)</f>
        <v>0</v>
      </c>
      <c r="Q701" s="282">
        <f>Q579/VLOOKUP($C701,calendar!$A$2:$D$121,3,FALSE)</f>
        <v>0</v>
      </c>
      <c r="R701" s="282">
        <f>R579/VLOOKUP($C701,calendar!$A$2:$D$121,3,FALSE)</f>
        <v>0</v>
      </c>
    </row>
    <row r="702" spans="3:18" s="8" customFormat="1" x14ac:dyDescent="0.2">
      <c r="C702" s="9">
        <f t="shared" si="167"/>
        <v>39569</v>
      </c>
      <c r="E702" s="282">
        <f>E580/VLOOKUP($C702,calendar!$A$2:$D$121,3,FALSE)</f>
        <v>-25.411764705882351</v>
      </c>
      <c r="F702" s="14">
        <f>F580/VLOOKUP($C702,calendar!$A$2:$D$121,3,FALSE)</f>
        <v>0</v>
      </c>
      <c r="G702" s="14">
        <f>G580/VLOOKUP($C702,calendar!$A$2:$D$121,3,FALSE)</f>
        <v>0</v>
      </c>
      <c r="H702" s="282">
        <f>H580/VLOOKUP($C702,calendar!$A$2:$D$121,3,FALSE)</f>
        <v>-58.352941176470587</v>
      </c>
      <c r="I702" s="282">
        <f>I580/VLOOKUP($C702,calendar!$A$2:$D$121,3,FALSE)</f>
        <v>-47.058823529411768</v>
      </c>
      <c r="J702" s="14">
        <f>J580/VLOOKUP($C702,calendar!$A$2:$D$121,3,FALSE)</f>
        <v>0</v>
      </c>
      <c r="K702" s="14">
        <f>K580/VLOOKUP($C702,calendar!$A$2:$D$121,3,FALSE)</f>
        <v>0</v>
      </c>
      <c r="L702" s="282">
        <f>L580/VLOOKUP($C702,calendar!$A$2:$D$121,3,FALSE)</f>
        <v>0</v>
      </c>
      <c r="M702" s="14">
        <f>M580/VLOOKUP($C702,calendar!$A$2:$D$121,3,FALSE)</f>
        <v>0</v>
      </c>
      <c r="N702" s="14">
        <f>N580/VLOOKUP($C702,calendar!$A$2:$D$121,3,FALSE)</f>
        <v>0</v>
      </c>
      <c r="O702" s="14">
        <f>O580/VLOOKUP($C702,calendar!$A$2:$D$121,3,FALSE)</f>
        <v>0</v>
      </c>
      <c r="P702" s="14">
        <f>P580/VLOOKUP($C702,calendar!$A$2:$D$121,3,FALSE)</f>
        <v>0</v>
      </c>
      <c r="Q702" s="282">
        <f>Q580/VLOOKUP($C702,calendar!$A$2:$D$121,3,FALSE)</f>
        <v>0</v>
      </c>
      <c r="R702" s="282">
        <f>R580/VLOOKUP($C702,calendar!$A$2:$D$121,3,FALSE)</f>
        <v>0</v>
      </c>
    </row>
    <row r="703" spans="3:18" s="8" customFormat="1" x14ac:dyDescent="0.2">
      <c r="C703" s="9">
        <f t="shared" si="167"/>
        <v>39600</v>
      </c>
      <c r="E703" s="282">
        <f>E581/VLOOKUP($C703,calendar!$A$2:$D$121,3,FALSE)</f>
        <v>-27.5625</v>
      </c>
      <c r="F703" s="14">
        <f>F581/VLOOKUP($C703,calendar!$A$2:$D$121,3,FALSE)</f>
        <v>0</v>
      </c>
      <c r="G703" s="14">
        <f>G581/VLOOKUP($C703,calendar!$A$2:$D$121,3,FALSE)</f>
        <v>0</v>
      </c>
      <c r="H703" s="282">
        <f>H581/VLOOKUP($C703,calendar!$A$2:$D$121,3,FALSE)</f>
        <v>-60.229166666666664</v>
      </c>
      <c r="I703" s="282">
        <f>I581/VLOOKUP($C703,calendar!$A$2:$D$121,3,FALSE)</f>
        <v>-51.041666666666664</v>
      </c>
      <c r="J703" s="14">
        <f>J581/VLOOKUP($C703,calendar!$A$2:$D$121,3,FALSE)</f>
        <v>0</v>
      </c>
      <c r="K703" s="14">
        <f>K581/VLOOKUP($C703,calendar!$A$2:$D$121,3,FALSE)</f>
        <v>0</v>
      </c>
      <c r="L703" s="282">
        <f>L581/VLOOKUP($C703,calendar!$A$2:$D$121,3,FALSE)</f>
        <v>0</v>
      </c>
      <c r="M703" s="14">
        <f>M581/VLOOKUP($C703,calendar!$A$2:$D$121,3,FALSE)</f>
        <v>0</v>
      </c>
      <c r="N703" s="14">
        <f>N581/VLOOKUP($C703,calendar!$A$2:$D$121,3,FALSE)</f>
        <v>0</v>
      </c>
      <c r="O703" s="14">
        <f>O581/VLOOKUP($C703,calendar!$A$2:$D$121,3,FALSE)</f>
        <v>0</v>
      </c>
      <c r="P703" s="14">
        <f>P581/VLOOKUP($C703,calendar!$A$2:$D$121,3,FALSE)</f>
        <v>0</v>
      </c>
      <c r="Q703" s="282">
        <f>Q581/VLOOKUP($C703,calendar!$A$2:$D$121,3,FALSE)</f>
        <v>0</v>
      </c>
      <c r="R703" s="282">
        <f>R581/VLOOKUP($C703,calendar!$A$2:$D$121,3,FALSE)</f>
        <v>0</v>
      </c>
    </row>
    <row r="704" spans="3:18" s="8" customFormat="1" x14ac:dyDescent="0.2">
      <c r="C704" s="9">
        <f t="shared" si="167"/>
        <v>39630</v>
      </c>
      <c r="E704" s="282">
        <f>E582/VLOOKUP($C704,calendar!$A$2:$D$121,3,FALSE)</f>
        <v>-28.102040816326532</v>
      </c>
      <c r="F704" s="14">
        <f>F582/VLOOKUP($C704,calendar!$A$2:$D$121,3,FALSE)</f>
        <v>0</v>
      </c>
      <c r="G704" s="14">
        <f>G582/VLOOKUP($C704,calendar!$A$2:$D$121,3,FALSE)</f>
        <v>0</v>
      </c>
      <c r="H704" s="282">
        <f>H582/VLOOKUP($C704,calendar!$A$2:$D$121,3,FALSE)</f>
        <v>-61.408163265306122</v>
      </c>
      <c r="I704" s="282">
        <f>I582/VLOOKUP($C704,calendar!$A$2:$D$121,3,FALSE)</f>
        <v>-52.04081632653061</v>
      </c>
      <c r="J704" s="14">
        <f>J582/VLOOKUP($C704,calendar!$A$2:$D$121,3,FALSE)</f>
        <v>0</v>
      </c>
      <c r="K704" s="14">
        <f>K582/VLOOKUP($C704,calendar!$A$2:$D$121,3,FALSE)</f>
        <v>0</v>
      </c>
      <c r="L704" s="282">
        <f>L582/VLOOKUP($C704,calendar!$A$2:$D$121,3,FALSE)</f>
        <v>0</v>
      </c>
      <c r="M704" s="14">
        <f>M582/VLOOKUP($C704,calendar!$A$2:$D$121,3,FALSE)</f>
        <v>0</v>
      </c>
      <c r="N704" s="14">
        <f>N582/VLOOKUP($C704,calendar!$A$2:$D$121,3,FALSE)</f>
        <v>0</v>
      </c>
      <c r="O704" s="14">
        <f>O582/VLOOKUP($C704,calendar!$A$2:$D$121,3,FALSE)</f>
        <v>0</v>
      </c>
      <c r="P704" s="14">
        <f>P582/VLOOKUP($C704,calendar!$A$2:$D$121,3,FALSE)</f>
        <v>0</v>
      </c>
      <c r="Q704" s="282">
        <f>Q582/VLOOKUP($C704,calendar!$A$2:$D$121,3,FALSE)</f>
        <v>0</v>
      </c>
      <c r="R704" s="282">
        <f>R582/VLOOKUP($C704,calendar!$A$2:$D$121,3,FALSE)</f>
        <v>0</v>
      </c>
    </row>
    <row r="705" spans="3:18" s="8" customFormat="1" x14ac:dyDescent="0.2">
      <c r="C705" s="9">
        <f t="shared" si="167"/>
        <v>39661</v>
      </c>
      <c r="E705" s="282">
        <f>E583/VLOOKUP($C705,calendar!$A$2:$D$121,3,FALSE)</f>
        <v>-25.411764705882351</v>
      </c>
      <c r="F705" s="14">
        <f>F583/VLOOKUP($C705,calendar!$A$2:$D$121,3,FALSE)</f>
        <v>0</v>
      </c>
      <c r="G705" s="14">
        <f>G583/VLOOKUP($C705,calendar!$A$2:$D$121,3,FALSE)</f>
        <v>0</v>
      </c>
      <c r="H705" s="282">
        <f>H583/VLOOKUP($C705,calendar!$A$2:$D$121,3,FALSE)</f>
        <v>-47.058823529411768</v>
      </c>
      <c r="I705" s="282">
        <f>I583/VLOOKUP($C705,calendar!$A$2:$D$121,3,FALSE)</f>
        <v>-47.058823529411768</v>
      </c>
      <c r="J705" s="14">
        <f>J583/VLOOKUP($C705,calendar!$A$2:$D$121,3,FALSE)</f>
        <v>0</v>
      </c>
      <c r="K705" s="14">
        <f>K583/VLOOKUP($C705,calendar!$A$2:$D$121,3,FALSE)</f>
        <v>0</v>
      </c>
      <c r="L705" s="282">
        <f>L583/VLOOKUP($C705,calendar!$A$2:$D$121,3,FALSE)</f>
        <v>0</v>
      </c>
      <c r="M705" s="14">
        <f>M583/VLOOKUP($C705,calendar!$A$2:$D$121,3,FALSE)</f>
        <v>0</v>
      </c>
      <c r="N705" s="14">
        <f>N583/VLOOKUP($C705,calendar!$A$2:$D$121,3,FALSE)</f>
        <v>0</v>
      </c>
      <c r="O705" s="14">
        <f>O583/VLOOKUP($C705,calendar!$A$2:$D$121,3,FALSE)</f>
        <v>0</v>
      </c>
      <c r="P705" s="14">
        <f>P583/VLOOKUP($C705,calendar!$A$2:$D$121,3,FALSE)</f>
        <v>0</v>
      </c>
      <c r="Q705" s="282">
        <f>Q583/VLOOKUP($C705,calendar!$A$2:$D$121,3,FALSE)</f>
        <v>0</v>
      </c>
      <c r="R705" s="282">
        <f>R583/VLOOKUP($C705,calendar!$A$2:$D$121,3,FALSE)</f>
        <v>0</v>
      </c>
    </row>
    <row r="706" spans="3:18" s="8" customFormat="1" x14ac:dyDescent="0.2">
      <c r="C706" s="9">
        <f t="shared" si="167"/>
        <v>39692</v>
      </c>
      <c r="E706" s="282">
        <f>E584/VLOOKUP($C706,calendar!$A$2:$D$121,3,FALSE)</f>
        <v>-26.5078125</v>
      </c>
      <c r="F706" s="14">
        <f>F584/VLOOKUP($C706,calendar!$A$2:$D$121,3,FALSE)</f>
        <v>0</v>
      </c>
      <c r="G706" s="14">
        <f>G584/VLOOKUP($C706,calendar!$A$2:$D$121,3,FALSE)</f>
        <v>0</v>
      </c>
      <c r="H706" s="282">
        <f>H584/VLOOKUP($C706,calendar!$A$2:$D$121,3,FALSE)</f>
        <v>-49.088541666666664</v>
      </c>
      <c r="I706" s="282">
        <f>I584/VLOOKUP($C706,calendar!$A$2:$D$121,3,FALSE)</f>
        <v>-49.088541666666664</v>
      </c>
      <c r="J706" s="14">
        <f>J584/VLOOKUP($C706,calendar!$A$2:$D$121,3,FALSE)</f>
        <v>0</v>
      </c>
      <c r="K706" s="14">
        <f>K584/VLOOKUP($C706,calendar!$A$2:$D$121,3,FALSE)</f>
        <v>0</v>
      </c>
      <c r="L706" s="282">
        <f>L584/VLOOKUP($C706,calendar!$A$2:$D$121,3,FALSE)</f>
        <v>0</v>
      </c>
      <c r="M706" s="14">
        <f>M584/VLOOKUP($C706,calendar!$A$2:$D$121,3,FALSE)</f>
        <v>0</v>
      </c>
      <c r="N706" s="14">
        <f>N584/VLOOKUP($C706,calendar!$A$2:$D$121,3,FALSE)</f>
        <v>0</v>
      </c>
      <c r="O706" s="14">
        <f>O584/VLOOKUP($C706,calendar!$A$2:$D$121,3,FALSE)</f>
        <v>0</v>
      </c>
      <c r="P706" s="14">
        <f>P584/VLOOKUP($C706,calendar!$A$2:$D$121,3,FALSE)</f>
        <v>0</v>
      </c>
      <c r="Q706" s="282">
        <f>Q584/VLOOKUP($C706,calendar!$A$2:$D$121,3,FALSE)</f>
        <v>0</v>
      </c>
      <c r="R706" s="282">
        <f>R584/VLOOKUP($C706,calendar!$A$2:$D$121,3,FALSE)</f>
        <v>0</v>
      </c>
    </row>
    <row r="707" spans="3:18" s="8" customFormat="1" x14ac:dyDescent="0.2">
      <c r="C707" s="9">
        <f t="shared" si="167"/>
        <v>39722</v>
      </c>
      <c r="E707" s="282">
        <f>E585/VLOOKUP($C707,calendar!$A$2:$D$121,3,FALSE)</f>
        <v>-29.872340425531913</v>
      </c>
      <c r="F707" s="14">
        <f>F585/VLOOKUP($C707,calendar!$A$2:$D$121,3,FALSE)</f>
        <v>0</v>
      </c>
      <c r="G707" s="14">
        <f>G585/VLOOKUP($C707,calendar!$A$2:$D$121,3,FALSE)</f>
        <v>0</v>
      </c>
      <c r="H707" s="282">
        <f>H585/VLOOKUP($C707,calendar!$A$2:$D$121,3,FALSE)</f>
        <v>-55.319148936170215</v>
      </c>
      <c r="I707" s="282">
        <f>I585/VLOOKUP($C707,calendar!$A$2:$D$121,3,FALSE)</f>
        <v>-55.319148936170215</v>
      </c>
      <c r="J707" s="14">
        <f>J585/VLOOKUP($C707,calendar!$A$2:$D$121,3,FALSE)</f>
        <v>0</v>
      </c>
      <c r="K707" s="14">
        <f>K585/VLOOKUP($C707,calendar!$A$2:$D$121,3,FALSE)</f>
        <v>0</v>
      </c>
      <c r="L707" s="282">
        <f>L585/VLOOKUP($C707,calendar!$A$2:$D$121,3,FALSE)</f>
        <v>0</v>
      </c>
      <c r="M707" s="14">
        <f>M585/VLOOKUP($C707,calendar!$A$2:$D$121,3,FALSE)</f>
        <v>0</v>
      </c>
      <c r="N707" s="14">
        <f>N585/VLOOKUP($C707,calendar!$A$2:$D$121,3,FALSE)</f>
        <v>0</v>
      </c>
      <c r="O707" s="14">
        <f>O585/VLOOKUP($C707,calendar!$A$2:$D$121,3,FALSE)</f>
        <v>0</v>
      </c>
      <c r="P707" s="14">
        <f>P585/VLOOKUP($C707,calendar!$A$2:$D$121,3,FALSE)</f>
        <v>0</v>
      </c>
      <c r="Q707" s="282">
        <f>Q585/VLOOKUP($C707,calendar!$A$2:$D$121,3,FALSE)</f>
        <v>0</v>
      </c>
      <c r="R707" s="282">
        <f>R585/VLOOKUP($C707,calendar!$A$2:$D$121,3,FALSE)</f>
        <v>0</v>
      </c>
    </row>
    <row r="708" spans="3:18" s="8" customFormat="1" x14ac:dyDescent="0.2">
      <c r="C708" s="9">
        <f t="shared" si="167"/>
        <v>39753</v>
      </c>
      <c r="E708" s="282">
        <f>E586/VLOOKUP($C708,calendar!$A$2:$D$121,3,FALSE)</f>
        <v>-25.442307692307693</v>
      </c>
      <c r="F708" s="14">
        <f>F586/VLOOKUP($C708,calendar!$A$2:$D$121,3,FALSE)</f>
        <v>0</v>
      </c>
      <c r="G708" s="14">
        <f>G586/VLOOKUP($C708,calendar!$A$2:$D$121,3,FALSE)</f>
        <v>0</v>
      </c>
      <c r="H708" s="282">
        <f>H586/VLOOKUP($C708,calendar!$A$2:$D$121,3,FALSE)</f>
        <v>-47.115384615384613</v>
      </c>
      <c r="I708" s="282">
        <f>I586/VLOOKUP($C708,calendar!$A$2:$D$121,3,FALSE)</f>
        <v>-47.115384615384613</v>
      </c>
      <c r="J708" s="14">
        <f>J586/VLOOKUP($C708,calendar!$A$2:$D$121,3,FALSE)</f>
        <v>0</v>
      </c>
      <c r="K708" s="14">
        <f>K586/VLOOKUP($C708,calendar!$A$2:$D$121,3,FALSE)</f>
        <v>0</v>
      </c>
      <c r="L708" s="282">
        <f>L586/VLOOKUP($C708,calendar!$A$2:$D$121,3,FALSE)</f>
        <v>0</v>
      </c>
      <c r="M708" s="14">
        <f>M586/VLOOKUP($C708,calendar!$A$2:$D$121,3,FALSE)</f>
        <v>0</v>
      </c>
      <c r="N708" s="14">
        <f>N586/VLOOKUP($C708,calendar!$A$2:$D$121,3,FALSE)</f>
        <v>0</v>
      </c>
      <c r="O708" s="14">
        <f>O586/VLOOKUP($C708,calendar!$A$2:$D$121,3,FALSE)</f>
        <v>0</v>
      </c>
      <c r="P708" s="14">
        <f>P586/VLOOKUP($C708,calendar!$A$2:$D$121,3,FALSE)</f>
        <v>0</v>
      </c>
      <c r="Q708" s="282">
        <f>Q586/VLOOKUP($C708,calendar!$A$2:$D$121,3,FALSE)</f>
        <v>0</v>
      </c>
      <c r="R708" s="282">
        <f>R586/VLOOKUP($C708,calendar!$A$2:$D$121,3,FALSE)</f>
        <v>0</v>
      </c>
    </row>
    <row r="709" spans="3:18" s="8" customFormat="1" x14ac:dyDescent="0.2">
      <c r="C709" s="9">
        <f t="shared" si="167"/>
        <v>39783</v>
      </c>
      <c r="E709" s="282">
        <f>E587/VLOOKUP($C709,calendar!$A$2:$D$121,3,FALSE)</f>
        <v>0</v>
      </c>
      <c r="F709" s="14">
        <f>F587/VLOOKUP($C709,calendar!$A$2:$D$121,3,FALSE)</f>
        <v>0</v>
      </c>
      <c r="G709" s="14">
        <f>G587/VLOOKUP($C709,calendar!$A$2:$D$121,3,FALSE)</f>
        <v>0</v>
      </c>
      <c r="H709" s="282">
        <f>H587/VLOOKUP($C709,calendar!$A$2:$D$121,3,FALSE)</f>
        <v>-52.04081632653061</v>
      </c>
      <c r="I709" s="282">
        <f>I587/VLOOKUP($C709,calendar!$A$2:$D$121,3,FALSE)</f>
        <v>0</v>
      </c>
      <c r="J709" s="14">
        <f>J587/VLOOKUP($C709,calendar!$A$2:$D$121,3,FALSE)</f>
        <v>0</v>
      </c>
      <c r="K709" s="14">
        <f>K587/VLOOKUP($C709,calendar!$A$2:$D$121,3,FALSE)</f>
        <v>0</v>
      </c>
      <c r="L709" s="282">
        <f>L587/VLOOKUP($C709,calendar!$A$2:$D$121,3,FALSE)</f>
        <v>0</v>
      </c>
      <c r="M709" s="14">
        <f>M587/VLOOKUP($C709,calendar!$A$2:$D$121,3,FALSE)</f>
        <v>0</v>
      </c>
      <c r="N709" s="14">
        <f>N587/VLOOKUP($C709,calendar!$A$2:$D$121,3,FALSE)</f>
        <v>0</v>
      </c>
      <c r="O709" s="14">
        <f>O587/VLOOKUP($C709,calendar!$A$2:$D$121,3,FALSE)</f>
        <v>0</v>
      </c>
      <c r="P709" s="14">
        <f>P587/VLOOKUP($C709,calendar!$A$2:$D$121,3,FALSE)</f>
        <v>0</v>
      </c>
      <c r="Q709" s="282">
        <f>Q587/VLOOKUP($C709,calendar!$A$2:$D$121,3,FALSE)</f>
        <v>0</v>
      </c>
      <c r="R709" s="282">
        <f>R587/VLOOKUP($C709,calendar!$A$2:$D$121,3,FALSE)</f>
        <v>0</v>
      </c>
    </row>
    <row r="710" spans="3:18" s="8" customFormat="1" x14ac:dyDescent="0.2">
      <c r="C710" s="9">
        <f t="shared" ref="C710:C733" si="168">C588</f>
        <v>39814</v>
      </c>
      <c r="E710" s="282">
        <f>E588/VLOOKUP($C710,calendar!$A$2:$D$121,3,FALSE)</f>
        <v>0</v>
      </c>
      <c r="F710" s="14">
        <f>F588/VLOOKUP($C710,calendar!$A$2:$D$121,3,FALSE)</f>
        <v>0</v>
      </c>
      <c r="G710" s="14">
        <f>G588/VLOOKUP($C710,calendar!$A$2:$D$121,3,FALSE)</f>
        <v>0</v>
      </c>
      <c r="H710" s="282">
        <f>H588/VLOOKUP($C710,calendar!$A$2:$D$121,3,FALSE)</f>
        <v>-43.137254901960787</v>
      </c>
      <c r="I710" s="282">
        <f>I588/VLOOKUP($C710,calendar!$A$2:$D$121,3,FALSE)</f>
        <v>0</v>
      </c>
      <c r="J710" s="14">
        <f>J588/VLOOKUP($C710,calendar!$A$2:$D$121,3,FALSE)</f>
        <v>0</v>
      </c>
      <c r="K710" s="14">
        <f>K588/VLOOKUP($C710,calendar!$A$2:$D$121,3,FALSE)</f>
        <v>0</v>
      </c>
      <c r="L710" s="282">
        <f>L588/VLOOKUP($C710,calendar!$A$2:$D$121,3,FALSE)</f>
        <v>0</v>
      </c>
      <c r="M710" s="14">
        <f>M588/VLOOKUP($C710,calendar!$A$2:$D$121,3,FALSE)</f>
        <v>0</v>
      </c>
      <c r="N710" s="14">
        <f>N588/VLOOKUP($C710,calendar!$A$2:$D$121,3,FALSE)</f>
        <v>0</v>
      </c>
      <c r="O710" s="14">
        <f>O588/VLOOKUP($C710,calendar!$A$2:$D$121,3,FALSE)</f>
        <v>0</v>
      </c>
      <c r="P710" s="14">
        <f>P588/VLOOKUP($C710,calendar!$A$2:$D$121,3,FALSE)</f>
        <v>0</v>
      </c>
      <c r="Q710" s="282">
        <f>Q588/VLOOKUP($C710,calendar!$A$2:$D$121,3,FALSE)</f>
        <v>0</v>
      </c>
      <c r="R710" s="282">
        <f>R588/VLOOKUP($C710,calendar!$A$2:$D$121,3,FALSE)</f>
        <v>0</v>
      </c>
    </row>
    <row r="711" spans="3:18" s="8" customFormat="1" x14ac:dyDescent="0.2">
      <c r="C711" s="9">
        <f t="shared" si="168"/>
        <v>39845</v>
      </c>
      <c r="E711" s="282">
        <f>E589/VLOOKUP($C711,calendar!$A$2:$D$121,3,FALSE)</f>
        <v>0</v>
      </c>
      <c r="F711" s="14">
        <f>F589/VLOOKUP($C711,calendar!$A$2:$D$121,3,FALSE)</f>
        <v>0</v>
      </c>
      <c r="G711" s="14">
        <f>G589/VLOOKUP($C711,calendar!$A$2:$D$121,3,FALSE)</f>
        <v>0</v>
      </c>
      <c r="H711" s="282">
        <f>H589/VLOOKUP($C711,calendar!$A$2:$D$121,3,FALSE)</f>
        <v>-55.68181818181818</v>
      </c>
      <c r="I711" s="282">
        <f>I589/VLOOKUP($C711,calendar!$A$2:$D$121,3,FALSE)</f>
        <v>0</v>
      </c>
      <c r="J711" s="14">
        <f>J589/VLOOKUP($C711,calendar!$A$2:$D$121,3,FALSE)</f>
        <v>0</v>
      </c>
      <c r="K711" s="14">
        <f>K589/VLOOKUP($C711,calendar!$A$2:$D$121,3,FALSE)</f>
        <v>0</v>
      </c>
      <c r="L711" s="282">
        <f>L589/VLOOKUP($C711,calendar!$A$2:$D$121,3,FALSE)</f>
        <v>0</v>
      </c>
      <c r="M711" s="14">
        <f>M589/VLOOKUP($C711,calendar!$A$2:$D$121,3,FALSE)</f>
        <v>0</v>
      </c>
      <c r="N711" s="14">
        <f>N589/VLOOKUP($C711,calendar!$A$2:$D$121,3,FALSE)</f>
        <v>0</v>
      </c>
      <c r="O711" s="14">
        <f>O589/VLOOKUP($C711,calendar!$A$2:$D$121,3,FALSE)</f>
        <v>0</v>
      </c>
      <c r="P711" s="14">
        <f>P589/VLOOKUP($C711,calendar!$A$2:$D$121,3,FALSE)</f>
        <v>0</v>
      </c>
      <c r="Q711" s="282">
        <f>Q589/VLOOKUP($C711,calendar!$A$2:$D$121,3,FALSE)</f>
        <v>0</v>
      </c>
      <c r="R711" s="282">
        <f>R589/VLOOKUP($C711,calendar!$A$2:$D$121,3,FALSE)</f>
        <v>0</v>
      </c>
    </row>
    <row r="712" spans="3:18" s="8" customFormat="1" x14ac:dyDescent="0.2">
      <c r="C712" s="9">
        <f t="shared" si="168"/>
        <v>39873</v>
      </c>
      <c r="E712" s="282">
        <f>E590/VLOOKUP($C712,calendar!$A$2:$D$121,3,FALSE)</f>
        <v>0</v>
      </c>
      <c r="F712" s="14">
        <f>F590/VLOOKUP($C712,calendar!$A$2:$D$121,3,FALSE)</f>
        <v>0</v>
      </c>
      <c r="G712" s="14">
        <f>G590/VLOOKUP($C712,calendar!$A$2:$D$121,3,FALSE)</f>
        <v>0</v>
      </c>
      <c r="H712" s="282">
        <f>H590/VLOOKUP($C712,calendar!$A$2:$D$121,3,FALSE)</f>
        <v>-46.811224489795919</v>
      </c>
      <c r="I712" s="282">
        <f>I590/VLOOKUP($C712,calendar!$A$2:$D$121,3,FALSE)</f>
        <v>0</v>
      </c>
      <c r="J712" s="14">
        <f>J590/VLOOKUP($C712,calendar!$A$2:$D$121,3,FALSE)</f>
        <v>0</v>
      </c>
      <c r="K712" s="14">
        <f>K590/VLOOKUP($C712,calendar!$A$2:$D$121,3,FALSE)</f>
        <v>0</v>
      </c>
      <c r="L712" s="282">
        <f>L590/VLOOKUP($C712,calendar!$A$2:$D$121,3,FALSE)</f>
        <v>0</v>
      </c>
      <c r="M712" s="14">
        <f>M590/VLOOKUP($C712,calendar!$A$2:$D$121,3,FALSE)</f>
        <v>0</v>
      </c>
      <c r="N712" s="14">
        <f>N590/VLOOKUP($C712,calendar!$A$2:$D$121,3,FALSE)</f>
        <v>0</v>
      </c>
      <c r="O712" s="14">
        <f>O590/VLOOKUP($C712,calendar!$A$2:$D$121,3,FALSE)</f>
        <v>0</v>
      </c>
      <c r="P712" s="14">
        <f>P590/VLOOKUP($C712,calendar!$A$2:$D$121,3,FALSE)</f>
        <v>0</v>
      </c>
      <c r="Q712" s="282">
        <f>Q590/VLOOKUP($C712,calendar!$A$2:$D$121,3,FALSE)</f>
        <v>0</v>
      </c>
      <c r="R712" s="282">
        <f>R590/VLOOKUP($C712,calendar!$A$2:$D$121,3,FALSE)</f>
        <v>0</v>
      </c>
    </row>
    <row r="713" spans="3:18" s="8" customFormat="1" x14ac:dyDescent="0.2">
      <c r="C713" s="9">
        <f t="shared" si="168"/>
        <v>39904</v>
      </c>
      <c r="E713" s="282">
        <f>E591/VLOOKUP($C713,calendar!$A$2:$D$121,3,FALSE)</f>
        <v>0</v>
      </c>
      <c r="F713" s="14">
        <f>F591/VLOOKUP($C713,calendar!$A$2:$D$121,3,FALSE)</f>
        <v>0</v>
      </c>
      <c r="G713" s="14">
        <f>G591/VLOOKUP($C713,calendar!$A$2:$D$121,3,FALSE)</f>
        <v>0</v>
      </c>
      <c r="H713" s="282">
        <f>H591/VLOOKUP($C713,calendar!$A$2:$D$121,3,FALSE)</f>
        <v>-57.608695652173914</v>
      </c>
      <c r="I713" s="282">
        <f>I591/VLOOKUP($C713,calendar!$A$2:$D$121,3,FALSE)</f>
        <v>0</v>
      </c>
      <c r="J713" s="14">
        <f>J591/VLOOKUP($C713,calendar!$A$2:$D$121,3,FALSE)</f>
        <v>0</v>
      </c>
      <c r="K713" s="14">
        <f>K591/VLOOKUP($C713,calendar!$A$2:$D$121,3,FALSE)</f>
        <v>0</v>
      </c>
      <c r="L713" s="282">
        <f>L591/VLOOKUP($C713,calendar!$A$2:$D$121,3,FALSE)</f>
        <v>0</v>
      </c>
      <c r="M713" s="14">
        <f>M591/VLOOKUP($C713,calendar!$A$2:$D$121,3,FALSE)</f>
        <v>0</v>
      </c>
      <c r="N713" s="14">
        <f>N591/VLOOKUP($C713,calendar!$A$2:$D$121,3,FALSE)</f>
        <v>0</v>
      </c>
      <c r="O713" s="14">
        <f>O591/VLOOKUP($C713,calendar!$A$2:$D$121,3,FALSE)</f>
        <v>0</v>
      </c>
      <c r="P713" s="14">
        <f>P591/VLOOKUP($C713,calendar!$A$2:$D$121,3,FALSE)</f>
        <v>0</v>
      </c>
      <c r="Q713" s="282">
        <f>Q591/VLOOKUP($C713,calendar!$A$2:$D$121,3,FALSE)</f>
        <v>0</v>
      </c>
      <c r="R713" s="282">
        <f>R591/VLOOKUP($C713,calendar!$A$2:$D$121,3,FALSE)</f>
        <v>0</v>
      </c>
    </row>
    <row r="714" spans="3:18" s="8" customFormat="1" x14ac:dyDescent="0.2">
      <c r="C714" s="9">
        <f t="shared" si="168"/>
        <v>39934</v>
      </c>
      <c r="E714" s="282">
        <f>E592/VLOOKUP($C714,calendar!$A$2:$D$121,3,FALSE)</f>
        <v>0</v>
      </c>
      <c r="F714" s="14">
        <f>F592/VLOOKUP($C714,calendar!$A$2:$D$121,3,FALSE)</f>
        <v>0</v>
      </c>
      <c r="G714" s="14">
        <f>G592/VLOOKUP($C714,calendar!$A$2:$D$121,3,FALSE)</f>
        <v>0</v>
      </c>
      <c r="H714" s="282">
        <f>H592/VLOOKUP($C714,calendar!$A$2:$D$121,3,FALSE)</f>
        <v>-43.39622641509434</v>
      </c>
      <c r="I714" s="282">
        <f>I592/VLOOKUP($C714,calendar!$A$2:$D$121,3,FALSE)</f>
        <v>0</v>
      </c>
      <c r="J714" s="14">
        <f>J592/VLOOKUP($C714,calendar!$A$2:$D$121,3,FALSE)</f>
        <v>0</v>
      </c>
      <c r="K714" s="14">
        <f>K592/VLOOKUP($C714,calendar!$A$2:$D$121,3,FALSE)</f>
        <v>0</v>
      </c>
      <c r="L714" s="282">
        <f>L592/VLOOKUP($C714,calendar!$A$2:$D$121,3,FALSE)</f>
        <v>0</v>
      </c>
      <c r="M714" s="14">
        <f>M592/VLOOKUP($C714,calendar!$A$2:$D$121,3,FALSE)</f>
        <v>0</v>
      </c>
      <c r="N714" s="14">
        <f>N592/VLOOKUP($C714,calendar!$A$2:$D$121,3,FALSE)</f>
        <v>0</v>
      </c>
      <c r="O714" s="14">
        <f>O592/VLOOKUP($C714,calendar!$A$2:$D$121,3,FALSE)</f>
        <v>0</v>
      </c>
      <c r="P714" s="14">
        <f>P592/VLOOKUP($C714,calendar!$A$2:$D$121,3,FALSE)</f>
        <v>0</v>
      </c>
      <c r="Q714" s="282">
        <f>Q592/VLOOKUP($C714,calendar!$A$2:$D$121,3,FALSE)</f>
        <v>0</v>
      </c>
      <c r="R714" s="282">
        <f>R592/VLOOKUP($C714,calendar!$A$2:$D$121,3,FALSE)</f>
        <v>0</v>
      </c>
    </row>
    <row r="715" spans="3:18" s="8" customFormat="1" x14ac:dyDescent="0.2">
      <c r="C715" s="9">
        <f t="shared" si="168"/>
        <v>39965</v>
      </c>
      <c r="E715" s="282">
        <f>E593/VLOOKUP($C715,calendar!$A$2:$D$121,3,FALSE)</f>
        <v>0</v>
      </c>
      <c r="F715" s="14">
        <f>F593/VLOOKUP($C715,calendar!$A$2:$D$121,3,FALSE)</f>
        <v>0</v>
      </c>
      <c r="G715" s="14">
        <f>G593/VLOOKUP($C715,calendar!$A$2:$D$121,3,FALSE)</f>
        <v>0</v>
      </c>
      <c r="H715" s="282">
        <f>H593/VLOOKUP($C715,calendar!$A$2:$D$121,3,FALSE)</f>
        <v>-51.086956521739133</v>
      </c>
      <c r="I715" s="282">
        <f>I593/VLOOKUP($C715,calendar!$A$2:$D$121,3,FALSE)</f>
        <v>0</v>
      </c>
      <c r="J715" s="14">
        <f>J593/VLOOKUP($C715,calendar!$A$2:$D$121,3,FALSE)</f>
        <v>0</v>
      </c>
      <c r="K715" s="14">
        <f>K593/VLOOKUP($C715,calendar!$A$2:$D$121,3,FALSE)</f>
        <v>0</v>
      </c>
      <c r="L715" s="282">
        <f>L593/VLOOKUP($C715,calendar!$A$2:$D$121,3,FALSE)</f>
        <v>0</v>
      </c>
      <c r="M715" s="14">
        <f>M593/VLOOKUP($C715,calendar!$A$2:$D$121,3,FALSE)</f>
        <v>0</v>
      </c>
      <c r="N715" s="14">
        <f>N593/VLOOKUP($C715,calendar!$A$2:$D$121,3,FALSE)</f>
        <v>0</v>
      </c>
      <c r="O715" s="14">
        <f>O593/VLOOKUP($C715,calendar!$A$2:$D$121,3,FALSE)</f>
        <v>0</v>
      </c>
      <c r="P715" s="14">
        <f>P593/VLOOKUP($C715,calendar!$A$2:$D$121,3,FALSE)</f>
        <v>0</v>
      </c>
      <c r="Q715" s="282">
        <f>Q593/VLOOKUP($C715,calendar!$A$2:$D$121,3,FALSE)</f>
        <v>0</v>
      </c>
      <c r="R715" s="282">
        <f>R593/VLOOKUP($C715,calendar!$A$2:$D$121,3,FALSE)</f>
        <v>0</v>
      </c>
    </row>
    <row r="716" spans="3:18" s="8" customFormat="1" x14ac:dyDescent="0.2">
      <c r="C716" s="9">
        <f t="shared" si="168"/>
        <v>39995</v>
      </c>
      <c r="E716" s="282">
        <f>E594/VLOOKUP($C716,calendar!$A$2:$D$121,3,FALSE)</f>
        <v>0</v>
      </c>
      <c r="F716" s="14">
        <f>F594/VLOOKUP($C716,calendar!$A$2:$D$121,3,FALSE)</f>
        <v>0</v>
      </c>
      <c r="G716" s="14">
        <f>G594/VLOOKUP($C716,calendar!$A$2:$D$121,3,FALSE)</f>
        <v>0</v>
      </c>
      <c r="H716" s="282">
        <f>H594/VLOOKUP($C716,calendar!$A$2:$D$121,3,FALSE)</f>
        <v>-54.255319148936174</v>
      </c>
      <c r="I716" s="282">
        <f>I594/VLOOKUP($C716,calendar!$A$2:$D$121,3,FALSE)</f>
        <v>0</v>
      </c>
      <c r="J716" s="14">
        <f>J594/VLOOKUP($C716,calendar!$A$2:$D$121,3,FALSE)</f>
        <v>0</v>
      </c>
      <c r="K716" s="14">
        <f>K594/VLOOKUP($C716,calendar!$A$2:$D$121,3,FALSE)</f>
        <v>0</v>
      </c>
      <c r="L716" s="282">
        <f>L594/VLOOKUP($C716,calendar!$A$2:$D$121,3,FALSE)</f>
        <v>0</v>
      </c>
      <c r="M716" s="14">
        <f>M594/VLOOKUP($C716,calendar!$A$2:$D$121,3,FALSE)</f>
        <v>0</v>
      </c>
      <c r="N716" s="14">
        <f>N594/VLOOKUP($C716,calendar!$A$2:$D$121,3,FALSE)</f>
        <v>0</v>
      </c>
      <c r="O716" s="14">
        <f>O594/VLOOKUP($C716,calendar!$A$2:$D$121,3,FALSE)</f>
        <v>0</v>
      </c>
      <c r="P716" s="14">
        <f>P594/VLOOKUP($C716,calendar!$A$2:$D$121,3,FALSE)</f>
        <v>0</v>
      </c>
      <c r="Q716" s="282">
        <f>Q594/VLOOKUP($C716,calendar!$A$2:$D$121,3,FALSE)</f>
        <v>0</v>
      </c>
      <c r="R716" s="282">
        <f>R594/VLOOKUP($C716,calendar!$A$2:$D$121,3,FALSE)</f>
        <v>0</v>
      </c>
    </row>
    <row r="717" spans="3:18" s="8" customFormat="1" x14ac:dyDescent="0.2">
      <c r="C717" s="9">
        <f t="shared" si="168"/>
        <v>40026</v>
      </c>
      <c r="E717" s="282">
        <f>E595/VLOOKUP($C717,calendar!$A$2:$D$121,3,FALSE)</f>
        <v>0</v>
      </c>
      <c r="F717" s="14">
        <f>F595/VLOOKUP($C717,calendar!$A$2:$D$121,3,FALSE)</f>
        <v>0</v>
      </c>
      <c r="G717" s="14">
        <f>G595/VLOOKUP($C717,calendar!$A$2:$D$121,3,FALSE)</f>
        <v>0</v>
      </c>
      <c r="H717" s="282">
        <f>H595/VLOOKUP($C717,calendar!$A$2:$D$121,3,FALSE)</f>
        <v>-47.058823529411768</v>
      </c>
      <c r="I717" s="282">
        <f>I595/VLOOKUP($C717,calendar!$A$2:$D$121,3,FALSE)</f>
        <v>0</v>
      </c>
      <c r="J717" s="14">
        <f>J595/VLOOKUP($C717,calendar!$A$2:$D$121,3,FALSE)</f>
        <v>0</v>
      </c>
      <c r="K717" s="14">
        <f>K595/VLOOKUP($C717,calendar!$A$2:$D$121,3,FALSE)</f>
        <v>0</v>
      </c>
      <c r="L717" s="282">
        <f>L595/VLOOKUP($C717,calendar!$A$2:$D$121,3,FALSE)</f>
        <v>0</v>
      </c>
      <c r="M717" s="14">
        <f>M595/VLOOKUP($C717,calendar!$A$2:$D$121,3,FALSE)</f>
        <v>0</v>
      </c>
      <c r="N717" s="14">
        <f>N595/VLOOKUP($C717,calendar!$A$2:$D$121,3,FALSE)</f>
        <v>0</v>
      </c>
      <c r="O717" s="14">
        <f>O595/VLOOKUP($C717,calendar!$A$2:$D$121,3,FALSE)</f>
        <v>0</v>
      </c>
      <c r="P717" s="14">
        <f>P595/VLOOKUP($C717,calendar!$A$2:$D$121,3,FALSE)</f>
        <v>0</v>
      </c>
      <c r="Q717" s="282">
        <f>Q595/VLOOKUP($C717,calendar!$A$2:$D$121,3,FALSE)</f>
        <v>0</v>
      </c>
      <c r="R717" s="282">
        <f>R595/VLOOKUP($C717,calendar!$A$2:$D$121,3,FALSE)</f>
        <v>0</v>
      </c>
    </row>
    <row r="718" spans="3:18" s="8" customFormat="1" x14ac:dyDescent="0.2">
      <c r="C718" s="9">
        <f t="shared" si="168"/>
        <v>40057</v>
      </c>
      <c r="E718" s="282">
        <f>E596/VLOOKUP($C718,calendar!$A$2:$D$121,3,FALSE)</f>
        <v>0</v>
      </c>
      <c r="F718" s="14">
        <f>F596/VLOOKUP($C718,calendar!$A$2:$D$121,3,FALSE)</f>
        <v>0</v>
      </c>
      <c r="G718" s="14">
        <f>G596/VLOOKUP($C718,calendar!$A$2:$D$121,3,FALSE)</f>
        <v>0</v>
      </c>
      <c r="H718" s="282">
        <f>H596/VLOOKUP($C718,calendar!$A$2:$D$121,3,FALSE)</f>
        <v>-51.171875</v>
      </c>
      <c r="I718" s="282">
        <f>I596/VLOOKUP($C718,calendar!$A$2:$D$121,3,FALSE)</f>
        <v>0</v>
      </c>
      <c r="J718" s="14">
        <f>J596/VLOOKUP($C718,calendar!$A$2:$D$121,3,FALSE)</f>
        <v>0</v>
      </c>
      <c r="K718" s="14">
        <f>K596/VLOOKUP($C718,calendar!$A$2:$D$121,3,FALSE)</f>
        <v>0</v>
      </c>
      <c r="L718" s="282">
        <f>L596/VLOOKUP($C718,calendar!$A$2:$D$121,3,FALSE)</f>
        <v>0</v>
      </c>
      <c r="M718" s="14">
        <f>M596/VLOOKUP($C718,calendar!$A$2:$D$121,3,FALSE)</f>
        <v>0</v>
      </c>
      <c r="N718" s="14">
        <f>N596/VLOOKUP($C718,calendar!$A$2:$D$121,3,FALSE)</f>
        <v>0</v>
      </c>
      <c r="O718" s="14">
        <f>O596/VLOOKUP($C718,calendar!$A$2:$D$121,3,FALSE)</f>
        <v>0</v>
      </c>
      <c r="P718" s="14">
        <f>P596/VLOOKUP($C718,calendar!$A$2:$D$121,3,FALSE)</f>
        <v>0</v>
      </c>
      <c r="Q718" s="282">
        <f>Q596/VLOOKUP($C718,calendar!$A$2:$D$121,3,FALSE)</f>
        <v>0</v>
      </c>
      <c r="R718" s="282">
        <f>R596/VLOOKUP($C718,calendar!$A$2:$D$121,3,FALSE)</f>
        <v>0</v>
      </c>
    </row>
    <row r="719" spans="3:18" s="8" customFormat="1" x14ac:dyDescent="0.2">
      <c r="C719" s="9">
        <f t="shared" si="168"/>
        <v>40087</v>
      </c>
      <c r="E719" s="282">
        <f>E597/VLOOKUP($C719,calendar!$A$2:$D$121,3,FALSE)</f>
        <v>0</v>
      </c>
      <c r="F719" s="14">
        <f>F597/VLOOKUP($C719,calendar!$A$2:$D$121,3,FALSE)</f>
        <v>0</v>
      </c>
      <c r="G719" s="14">
        <f>G597/VLOOKUP($C719,calendar!$A$2:$D$121,3,FALSE)</f>
        <v>0</v>
      </c>
      <c r="H719" s="282">
        <f>H597/VLOOKUP($C719,calendar!$A$2:$D$121,3,FALSE)</f>
        <v>-51.020408163265309</v>
      </c>
      <c r="I719" s="282">
        <f>I597/VLOOKUP($C719,calendar!$A$2:$D$121,3,FALSE)</f>
        <v>0</v>
      </c>
      <c r="J719" s="14">
        <f>J597/VLOOKUP($C719,calendar!$A$2:$D$121,3,FALSE)</f>
        <v>0</v>
      </c>
      <c r="K719" s="14">
        <f>K597/VLOOKUP($C719,calendar!$A$2:$D$121,3,FALSE)</f>
        <v>0</v>
      </c>
      <c r="L719" s="282">
        <f>L597/VLOOKUP($C719,calendar!$A$2:$D$121,3,FALSE)</f>
        <v>0</v>
      </c>
      <c r="M719" s="14">
        <f>M597/VLOOKUP($C719,calendar!$A$2:$D$121,3,FALSE)</f>
        <v>0</v>
      </c>
      <c r="N719" s="14">
        <f>N597/VLOOKUP($C719,calendar!$A$2:$D$121,3,FALSE)</f>
        <v>0</v>
      </c>
      <c r="O719" s="14">
        <f>O597/VLOOKUP($C719,calendar!$A$2:$D$121,3,FALSE)</f>
        <v>0</v>
      </c>
      <c r="P719" s="14">
        <f>P597/VLOOKUP($C719,calendar!$A$2:$D$121,3,FALSE)</f>
        <v>0</v>
      </c>
      <c r="Q719" s="282">
        <f>Q597/VLOOKUP($C719,calendar!$A$2:$D$121,3,FALSE)</f>
        <v>0</v>
      </c>
      <c r="R719" s="282">
        <f>R597/VLOOKUP($C719,calendar!$A$2:$D$121,3,FALSE)</f>
        <v>0</v>
      </c>
    </row>
    <row r="720" spans="3:18" s="8" customFormat="1" x14ac:dyDescent="0.2">
      <c r="C720" s="9">
        <f t="shared" si="168"/>
        <v>40118</v>
      </c>
      <c r="E720" s="282">
        <f>E598/VLOOKUP($C720,calendar!$A$2:$D$121,3,FALSE)</f>
        <v>0</v>
      </c>
      <c r="F720" s="14">
        <f>F598/VLOOKUP($C720,calendar!$A$2:$D$121,3,FALSE)</f>
        <v>0</v>
      </c>
      <c r="G720" s="14">
        <f>G598/VLOOKUP($C720,calendar!$A$2:$D$121,3,FALSE)</f>
        <v>0</v>
      </c>
      <c r="H720" s="282">
        <f>H598/VLOOKUP($C720,calendar!$A$2:$D$121,3,FALSE)</f>
        <v>-49</v>
      </c>
      <c r="I720" s="282">
        <f>I598/VLOOKUP($C720,calendar!$A$2:$D$121,3,FALSE)</f>
        <v>0</v>
      </c>
      <c r="J720" s="14">
        <f>J598/VLOOKUP($C720,calendar!$A$2:$D$121,3,FALSE)</f>
        <v>0</v>
      </c>
      <c r="K720" s="14">
        <f>K598/VLOOKUP($C720,calendar!$A$2:$D$121,3,FALSE)</f>
        <v>0</v>
      </c>
      <c r="L720" s="282">
        <f>L598/VLOOKUP($C720,calendar!$A$2:$D$121,3,FALSE)</f>
        <v>0</v>
      </c>
      <c r="M720" s="14">
        <f>M598/VLOOKUP($C720,calendar!$A$2:$D$121,3,FALSE)</f>
        <v>0</v>
      </c>
      <c r="N720" s="14">
        <f>N598/VLOOKUP($C720,calendar!$A$2:$D$121,3,FALSE)</f>
        <v>0</v>
      </c>
      <c r="O720" s="14">
        <f>O598/VLOOKUP($C720,calendar!$A$2:$D$121,3,FALSE)</f>
        <v>0</v>
      </c>
      <c r="P720" s="14">
        <f>P598/VLOOKUP($C720,calendar!$A$2:$D$121,3,FALSE)</f>
        <v>0</v>
      </c>
      <c r="Q720" s="282">
        <f>Q598/VLOOKUP($C720,calendar!$A$2:$D$121,3,FALSE)</f>
        <v>0</v>
      </c>
      <c r="R720" s="282">
        <f>R598/VLOOKUP($C720,calendar!$A$2:$D$121,3,FALSE)</f>
        <v>0</v>
      </c>
    </row>
    <row r="721" spans="3:18" s="8" customFormat="1" x14ac:dyDescent="0.2">
      <c r="C721" s="9">
        <f t="shared" si="168"/>
        <v>40148</v>
      </c>
      <c r="E721" s="282">
        <f>E599/VLOOKUP($C721,calendar!$A$2:$D$121,3,FALSE)</f>
        <v>0</v>
      </c>
      <c r="F721" s="14">
        <f>F599/VLOOKUP($C721,calendar!$A$2:$D$121,3,FALSE)</f>
        <v>0</v>
      </c>
      <c r="G721" s="14">
        <f>G599/VLOOKUP($C721,calendar!$A$2:$D$121,3,FALSE)</f>
        <v>0</v>
      </c>
      <c r="H721" s="282">
        <f>H599/VLOOKUP($C721,calendar!$A$2:$D$121,3,FALSE)</f>
        <v>-54.081632653061227</v>
      </c>
      <c r="I721" s="282">
        <f>I599/VLOOKUP($C721,calendar!$A$2:$D$121,3,FALSE)</f>
        <v>0</v>
      </c>
      <c r="J721" s="14">
        <f>J599/VLOOKUP($C721,calendar!$A$2:$D$121,3,FALSE)</f>
        <v>0</v>
      </c>
      <c r="K721" s="14">
        <f>K599/VLOOKUP($C721,calendar!$A$2:$D$121,3,FALSE)</f>
        <v>0</v>
      </c>
      <c r="L721" s="282">
        <f>L599/VLOOKUP($C721,calendar!$A$2:$D$121,3,FALSE)</f>
        <v>0</v>
      </c>
      <c r="M721" s="14">
        <f>M599/VLOOKUP($C721,calendar!$A$2:$D$121,3,FALSE)</f>
        <v>0</v>
      </c>
      <c r="N721" s="14">
        <f>N599/VLOOKUP($C721,calendar!$A$2:$D$121,3,FALSE)</f>
        <v>0</v>
      </c>
      <c r="O721" s="14">
        <f>O599/VLOOKUP($C721,calendar!$A$2:$D$121,3,FALSE)</f>
        <v>0</v>
      </c>
      <c r="P721" s="14">
        <f>P599/VLOOKUP($C721,calendar!$A$2:$D$121,3,FALSE)</f>
        <v>0</v>
      </c>
      <c r="Q721" s="282">
        <f>Q599/VLOOKUP($C721,calendar!$A$2:$D$121,3,FALSE)</f>
        <v>0</v>
      </c>
      <c r="R721" s="282">
        <f>R599/VLOOKUP($C721,calendar!$A$2:$D$121,3,FALSE)</f>
        <v>0</v>
      </c>
    </row>
    <row r="722" spans="3:18" s="8" customFormat="1" x14ac:dyDescent="0.2">
      <c r="C722" s="9">
        <f t="shared" si="168"/>
        <v>40179</v>
      </c>
      <c r="E722" s="282">
        <f>E600/VLOOKUP($C722,calendar!$A$2:$D$121,3,FALSE)</f>
        <v>0</v>
      </c>
      <c r="F722" s="14">
        <f>F600/VLOOKUP($C722,calendar!$A$2:$D$121,3,FALSE)</f>
        <v>0</v>
      </c>
      <c r="G722" s="14">
        <f>G600/VLOOKUP($C722,calendar!$A$2:$D$121,3,FALSE)</f>
        <v>0</v>
      </c>
      <c r="H722" s="282">
        <f>H600/VLOOKUP($C722,calendar!$A$2:$D$121,3,FALSE)</f>
        <v>-41.509433962264154</v>
      </c>
      <c r="I722" s="282">
        <f>I600/VLOOKUP($C722,calendar!$A$2:$D$121,3,FALSE)</f>
        <v>0</v>
      </c>
      <c r="J722" s="14">
        <f>J600/VLOOKUP($C722,calendar!$A$2:$D$121,3,FALSE)</f>
        <v>0</v>
      </c>
      <c r="K722" s="14">
        <f>K600/VLOOKUP($C722,calendar!$A$2:$D$121,3,FALSE)</f>
        <v>0</v>
      </c>
      <c r="L722" s="282">
        <f>L600/VLOOKUP($C722,calendar!$A$2:$D$121,3,FALSE)</f>
        <v>0</v>
      </c>
      <c r="M722" s="14">
        <f>M600/VLOOKUP($C722,calendar!$A$2:$D$121,3,FALSE)</f>
        <v>0</v>
      </c>
      <c r="N722" s="14">
        <f>N600/VLOOKUP($C722,calendar!$A$2:$D$121,3,FALSE)</f>
        <v>0</v>
      </c>
      <c r="O722" s="14">
        <f>O600/VLOOKUP($C722,calendar!$A$2:$D$121,3,FALSE)</f>
        <v>0</v>
      </c>
      <c r="P722" s="14">
        <f>P600/VLOOKUP($C722,calendar!$A$2:$D$121,3,FALSE)</f>
        <v>0</v>
      </c>
      <c r="Q722" s="282">
        <f>Q600/VLOOKUP($C722,calendar!$A$2:$D$121,3,FALSE)</f>
        <v>0</v>
      </c>
      <c r="R722" s="282">
        <f>R600/VLOOKUP($C722,calendar!$A$2:$D$121,3,FALSE)</f>
        <v>0</v>
      </c>
    </row>
    <row r="723" spans="3:18" s="8" customFormat="1" x14ac:dyDescent="0.2">
      <c r="C723" s="9">
        <f t="shared" si="168"/>
        <v>40210</v>
      </c>
      <c r="E723" s="282">
        <f>E601/VLOOKUP($C723,calendar!$A$2:$D$121,3,FALSE)</f>
        <v>0</v>
      </c>
      <c r="F723" s="14">
        <f>F601/VLOOKUP($C723,calendar!$A$2:$D$121,3,FALSE)</f>
        <v>0</v>
      </c>
      <c r="G723" s="14">
        <f>G601/VLOOKUP($C723,calendar!$A$2:$D$121,3,FALSE)</f>
        <v>0</v>
      </c>
      <c r="H723" s="282">
        <f>H601/VLOOKUP($C723,calendar!$A$2:$D$121,3,FALSE)</f>
        <v>-53.409090909090907</v>
      </c>
      <c r="I723" s="282">
        <f>I601/VLOOKUP($C723,calendar!$A$2:$D$121,3,FALSE)</f>
        <v>0</v>
      </c>
      <c r="J723" s="14">
        <f>J601/VLOOKUP($C723,calendar!$A$2:$D$121,3,FALSE)</f>
        <v>0</v>
      </c>
      <c r="K723" s="14">
        <f>K601/VLOOKUP($C723,calendar!$A$2:$D$121,3,FALSE)</f>
        <v>0</v>
      </c>
      <c r="L723" s="282">
        <f>L601/VLOOKUP($C723,calendar!$A$2:$D$121,3,FALSE)</f>
        <v>0</v>
      </c>
      <c r="M723" s="14">
        <f>M601/VLOOKUP($C723,calendar!$A$2:$D$121,3,FALSE)</f>
        <v>0</v>
      </c>
      <c r="N723" s="14">
        <f>N601/VLOOKUP($C723,calendar!$A$2:$D$121,3,FALSE)</f>
        <v>0</v>
      </c>
      <c r="O723" s="14">
        <f>O601/VLOOKUP($C723,calendar!$A$2:$D$121,3,FALSE)</f>
        <v>0</v>
      </c>
      <c r="P723" s="14">
        <f>P601/VLOOKUP($C723,calendar!$A$2:$D$121,3,FALSE)</f>
        <v>0</v>
      </c>
      <c r="Q723" s="282">
        <f>Q601/VLOOKUP($C723,calendar!$A$2:$D$121,3,FALSE)</f>
        <v>0</v>
      </c>
      <c r="R723" s="282">
        <f>R601/VLOOKUP($C723,calendar!$A$2:$D$121,3,FALSE)</f>
        <v>0</v>
      </c>
    </row>
    <row r="724" spans="3:18" s="8" customFormat="1" x14ac:dyDescent="0.2">
      <c r="C724" s="9">
        <f t="shared" si="168"/>
        <v>40238</v>
      </c>
      <c r="E724" s="282">
        <f>E602/VLOOKUP($C724,calendar!$A$2:$D$121,3,FALSE)</f>
        <v>0</v>
      </c>
      <c r="F724" s="14">
        <f>F602/VLOOKUP($C724,calendar!$A$2:$D$121,3,FALSE)</f>
        <v>0</v>
      </c>
      <c r="G724" s="14">
        <f>G602/VLOOKUP($C724,calendar!$A$2:$D$121,3,FALSE)</f>
        <v>0</v>
      </c>
      <c r="H724" s="282">
        <f>H602/VLOOKUP($C724,calendar!$A$2:$D$121,3,FALSE)</f>
        <v>-48.803191489361701</v>
      </c>
      <c r="I724" s="282">
        <f>I602/VLOOKUP($C724,calendar!$A$2:$D$121,3,FALSE)</f>
        <v>0</v>
      </c>
      <c r="J724" s="14">
        <f>J602/VLOOKUP($C724,calendar!$A$2:$D$121,3,FALSE)</f>
        <v>0</v>
      </c>
      <c r="K724" s="14">
        <f>K602/VLOOKUP($C724,calendar!$A$2:$D$121,3,FALSE)</f>
        <v>0</v>
      </c>
      <c r="L724" s="282">
        <f>L602/VLOOKUP($C724,calendar!$A$2:$D$121,3,FALSE)</f>
        <v>0</v>
      </c>
      <c r="M724" s="14">
        <f>M602/VLOOKUP($C724,calendar!$A$2:$D$121,3,FALSE)</f>
        <v>0</v>
      </c>
      <c r="N724" s="14">
        <f>N602/VLOOKUP($C724,calendar!$A$2:$D$121,3,FALSE)</f>
        <v>0</v>
      </c>
      <c r="O724" s="14">
        <f>O602/VLOOKUP($C724,calendar!$A$2:$D$121,3,FALSE)</f>
        <v>0</v>
      </c>
      <c r="P724" s="14">
        <f>P602/VLOOKUP($C724,calendar!$A$2:$D$121,3,FALSE)</f>
        <v>0</v>
      </c>
      <c r="Q724" s="282">
        <f>Q602/VLOOKUP($C724,calendar!$A$2:$D$121,3,FALSE)</f>
        <v>0</v>
      </c>
      <c r="R724" s="282">
        <f>R602/VLOOKUP($C724,calendar!$A$2:$D$121,3,FALSE)</f>
        <v>0</v>
      </c>
    </row>
    <row r="725" spans="3:18" s="8" customFormat="1" x14ac:dyDescent="0.2">
      <c r="C725" s="9">
        <f t="shared" si="168"/>
        <v>40269</v>
      </c>
      <c r="E725" s="282">
        <f>E603/VLOOKUP($C725,calendar!$A$2:$D$121,3,FALSE)</f>
        <v>0</v>
      </c>
      <c r="F725" s="14">
        <f>F603/VLOOKUP($C725,calendar!$A$2:$D$121,3,FALSE)</f>
        <v>0</v>
      </c>
      <c r="G725" s="14">
        <f>G603/VLOOKUP($C725,calendar!$A$2:$D$121,3,FALSE)</f>
        <v>0</v>
      </c>
      <c r="H725" s="282">
        <f>H603/VLOOKUP($C725,calendar!$A$2:$D$121,3,FALSE)</f>
        <v>-57.608695652173914</v>
      </c>
      <c r="I725" s="282">
        <f>I603/VLOOKUP($C725,calendar!$A$2:$D$121,3,FALSE)</f>
        <v>0</v>
      </c>
      <c r="J725" s="14">
        <f>J603/VLOOKUP($C725,calendar!$A$2:$D$121,3,FALSE)</f>
        <v>0</v>
      </c>
      <c r="K725" s="14">
        <f>K603/VLOOKUP($C725,calendar!$A$2:$D$121,3,FALSE)</f>
        <v>0</v>
      </c>
      <c r="L725" s="282">
        <f>L603/VLOOKUP($C725,calendar!$A$2:$D$121,3,FALSE)</f>
        <v>0</v>
      </c>
      <c r="M725" s="14">
        <f>M603/VLOOKUP($C725,calendar!$A$2:$D$121,3,FALSE)</f>
        <v>0</v>
      </c>
      <c r="N725" s="14">
        <f>N603/VLOOKUP($C725,calendar!$A$2:$D$121,3,FALSE)</f>
        <v>0</v>
      </c>
      <c r="O725" s="14">
        <f>O603/VLOOKUP($C725,calendar!$A$2:$D$121,3,FALSE)</f>
        <v>0</v>
      </c>
      <c r="P725" s="14">
        <f>P603/VLOOKUP($C725,calendar!$A$2:$D$121,3,FALSE)</f>
        <v>0</v>
      </c>
      <c r="Q725" s="282">
        <f>Q603/VLOOKUP($C725,calendar!$A$2:$D$121,3,FALSE)</f>
        <v>0</v>
      </c>
      <c r="R725" s="282">
        <f>R603/VLOOKUP($C725,calendar!$A$2:$D$121,3,FALSE)</f>
        <v>0</v>
      </c>
    </row>
    <row r="726" spans="3:18" s="8" customFormat="1" x14ac:dyDescent="0.2">
      <c r="C726" s="9">
        <f t="shared" si="168"/>
        <v>40299</v>
      </c>
      <c r="E726" s="282">
        <f>E604/VLOOKUP($C726,calendar!$A$2:$D$121,3,FALSE)</f>
        <v>0</v>
      </c>
      <c r="F726" s="14">
        <f>F604/VLOOKUP($C726,calendar!$A$2:$D$121,3,FALSE)</f>
        <v>0</v>
      </c>
      <c r="G726" s="14">
        <f>G604/VLOOKUP($C726,calendar!$A$2:$D$121,3,FALSE)</f>
        <v>0</v>
      </c>
      <c r="H726" s="282">
        <f>H604/VLOOKUP($C726,calendar!$A$2:$D$121,3,FALSE)</f>
        <v>-43.39622641509434</v>
      </c>
      <c r="I726" s="282">
        <f>I604/VLOOKUP($C726,calendar!$A$2:$D$121,3,FALSE)</f>
        <v>0</v>
      </c>
      <c r="J726" s="14">
        <f>J604/VLOOKUP($C726,calendar!$A$2:$D$121,3,FALSE)</f>
        <v>0</v>
      </c>
      <c r="K726" s="14">
        <f>K604/VLOOKUP($C726,calendar!$A$2:$D$121,3,FALSE)</f>
        <v>0</v>
      </c>
      <c r="L726" s="282">
        <f>L604/VLOOKUP($C726,calendar!$A$2:$D$121,3,FALSE)</f>
        <v>0</v>
      </c>
      <c r="M726" s="14">
        <f>M604/VLOOKUP($C726,calendar!$A$2:$D$121,3,FALSE)</f>
        <v>0</v>
      </c>
      <c r="N726" s="14">
        <f>N604/VLOOKUP($C726,calendar!$A$2:$D$121,3,FALSE)</f>
        <v>0</v>
      </c>
      <c r="O726" s="14">
        <f>O604/VLOOKUP($C726,calendar!$A$2:$D$121,3,FALSE)</f>
        <v>0</v>
      </c>
      <c r="P726" s="14">
        <f>P604/VLOOKUP($C726,calendar!$A$2:$D$121,3,FALSE)</f>
        <v>0</v>
      </c>
      <c r="Q726" s="282">
        <f>Q604/VLOOKUP($C726,calendar!$A$2:$D$121,3,FALSE)</f>
        <v>0</v>
      </c>
      <c r="R726" s="282">
        <f>R604/VLOOKUP($C726,calendar!$A$2:$D$121,3,FALSE)</f>
        <v>0</v>
      </c>
    </row>
    <row r="727" spans="3:18" s="8" customFormat="1" x14ac:dyDescent="0.2">
      <c r="C727" s="9">
        <f t="shared" si="168"/>
        <v>40330</v>
      </c>
      <c r="E727" s="282">
        <f>E605/VLOOKUP($C727,calendar!$A$2:$D$121,3,FALSE)</f>
        <v>0</v>
      </c>
      <c r="F727" s="14">
        <f>F605/VLOOKUP($C727,calendar!$A$2:$D$121,3,FALSE)</f>
        <v>0</v>
      </c>
      <c r="G727" s="14">
        <f>G605/VLOOKUP($C727,calendar!$A$2:$D$121,3,FALSE)</f>
        <v>0</v>
      </c>
      <c r="H727" s="282">
        <f>H605/VLOOKUP($C727,calendar!$A$2:$D$121,3,FALSE)</f>
        <v>-55.434782608695649</v>
      </c>
      <c r="I727" s="282">
        <f>I605/VLOOKUP($C727,calendar!$A$2:$D$121,3,FALSE)</f>
        <v>0</v>
      </c>
      <c r="J727" s="14">
        <f>J605/VLOOKUP($C727,calendar!$A$2:$D$121,3,FALSE)</f>
        <v>0</v>
      </c>
      <c r="K727" s="14">
        <f>K605/VLOOKUP($C727,calendar!$A$2:$D$121,3,FALSE)</f>
        <v>0</v>
      </c>
      <c r="L727" s="282">
        <f>L605/VLOOKUP($C727,calendar!$A$2:$D$121,3,FALSE)</f>
        <v>0</v>
      </c>
      <c r="M727" s="14">
        <f>M605/VLOOKUP($C727,calendar!$A$2:$D$121,3,FALSE)</f>
        <v>0</v>
      </c>
      <c r="N727" s="14">
        <f>N605/VLOOKUP($C727,calendar!$A$2:$D$121,3,FALSE)</f>
        <v>0</v>
      </c>
      <c r="O727" s="14">
        <f>O605/VLOOKUP($C727,calendar!$A$2:$D$121,3,FALSE)</f>
        <v>0</v>
      </c>
      <c r="P727" s="14">
        <f>P605/VLOOKUP($C727,calendar!$A$2:$D$121,3,FALSE)</f>
        <v>0</v>
      </c>
      <c r="Q727" s="282">
        <f>Q605/VLOOKUP($C727,calendar!$A$2:$D$121,3,FALSE)</f>
        <v>0</v>
      </c>
      <c r="R727" s="282">
        <f>R605/VLOOKUP($C727,calendar!$A$2:$D$121,3,FALSE)</f>
        <v>0</v>
      </c>
    </row>
    <row r="728" spans="3:18" s="8" customFormat="1" x14ac:dyDescent="0.2">
      <c r="C728" s="9">
        <f t="shared" si="168"/>
        <v>40360</v>
      </c>
      <c r="E728" s="282">
        <f>E606/VLOOKUP($C728,calendar!$A$2:$D$121,3,FALSE)</f>
        <v>0</v>
      </c>
      <c r="F728" s="14">
        <f>F606/VLOOKUP($C728,calendar!$A$2:$D$121,3,FALSE)</f>
        <v>0</v>
      </c>
      <c r="G728" s="14">
        <f>G606/VLOOKUP($C728,calendar!$A$2:$D$121,3,FALSE)</f>
        <v>0</v>
      </c>
      <c r="H728" s="282">
        <f>H606/VLOOKUP($C728,calendar!$A$2:$D$121,3,FALSE)</f>
        <v>-48.03921568627451</v>
      </c>
      <c r="I728" s="282">
        <f>I606/VLOOKUP($C728,calendar!$A$2:$D$121,3,FALSE)</f>
        <v>0</v>
      </c>
      <c r="J728" s="14">
        <f>J606/VLOOKUP($C728,calendar!$A$2:$D$121,3,FALSE)</f>
        <v>0</v>
      </c>
      <c r="K728" s="14">
        <f>K606/VLOOKUP($C728,calendar!$A$2:$D$121,3,FALSE)</f>
        <v>0</v>
      </c>
      <c r="L728" s="282">
        <f>L606/VLOOKUP($C728,calendar!$A$2:$D$121,3,FALSE)</f>
        <v>0</v>
      </c>
      <c r="M728" s="14">
        <f>M606/VLOOKUP($C728,calendar!$A$2:$D$121,3,FALSE)</f>
        <v>0</v>
      </c>
      <c r="N728" s="14">
        <f>N606/VLOOKUP($C728,calendar!$A$2:$D$121,3,FALSE)</f>
        <v>0</v>
      </c>
      <c r="O728" s="14">
        <f>O606/VLOOKUP($C728,calendar!$A$2:$D$121,3,FALSE)</f>
        <v>0</v>
      </c>
      <c r="P728" s="14">
        <f>P606/VLOOKUP($C728,calendar!$A$2:$D$121,3,FALSE)</f>
        <v>0</v>
      </c>
      <c r="Q728" s="282">
        <f>Q606/VLOOKUP($C728,calendar!$A$2:$D$121,3,FALSE)</f>
        <v>0</v>
      </c>
      <c r="R728" s="282">
        <f>R606/VLOOKUP($C728,calendar!$A$2:$D$121,3,FALSE)</f>
        <v>0</v>
      </c>
    </row>
    <row r="729" spans="3:18" s="8" customFormat="1" x14ac:dyDescent="0.2">
      <c r="C729" s="9">
        <f t="shared" si="168"/>
        <v>40391</v>
      </c>
      <c r="E729" s="282">
        <f>E607/VLOOKUP($C729,calendar!$A$2:$D$121,3,FALSE)</f>
        <v>0</v>
      </c>
      <c r="F729" s="14">
        <f>F607/VLOOKUP($C729,calendar!$A$2:$D$121,3,FALSE)</f>
        <v>0</v>
      </c>
      <c r="G729" s="14">
        <f>G607/VLOOKUP($C729,calendar!$A$2:$D$121,3,FALSE)</f>
        <v>0</v>
      </c>
      <c r="H729" s="282">
        <f>H607/VLOOKUP($C729,calendar!$A$2:$D$121,3,FALSE)</f>
        <v>-48.979591836734691</v>
      </c>
      <c r="I729" s="282">
        <f>I607/VLOOKUP($C729,calendar!$A$2:$D$121,3,FALSE)</f>
        <v>0</v>
      </c>
      <c r="J729" s="14">
        <f>J607/VLOOKUP($C729,calendar!$A$2:$D$121,3,FALSE)</f>
        <v>0</v>
      </c>
      <c r="K729" s="14">
        <f>K607/VLOOKUP($C729,calendar!$A$2:$D$121,3,FALSE)</f>
        <v>0</v>
      </c>
      <c r="L729" s="282">
        <f>L607/VLOOKUP($C729,calendar!$A$2:$D$121,3,FALSE)</f>
        <v>0</v>
      </c>
      <c r="M729" s="14">
        <f>M607/VLOOKUP($C729,calendar!$A$2:$D$121,3,FALSE)</f>
        <v>0</v>
      </c>
      <c r="N729" s="14">
        <f>N607/VLOOKUP($C729,calendar!$A$2:$D$121,3,FALSE)</f>
        <v>0</v>
      </c>
      <c r="O729" s="14">
        <f>O607/VLOOKUP($C729,calendar!$A$2:$D$121,3,FALSE)</f>
        <v>0</v>
      </c>
      <c r="P729" s="14">
        <f>P607/VLOOKUP($C729,calendar!$A$2:$D$121,3,FALSE)</f>
        <v>0</v>
      </c>
      <c r="Q729" s="282">
        <f>Q607/VLOOKUP($C729,calendar!$A$2:$D$121,3,FALSE)</f>
        <v>0</v>
      </c>
      <c r="R729" s="282">
        <f>R607/VLOOKUP($C729,calendar!$A$2:$D$121,3,FALSE)</f>
        <v>0</v>
      </c>
    </row>
    <row r="730" spans="3:18" s="8" customFormat="1" x14ac:dyDescent="0.2">
      <c r="C730" s="9">
        <f t="shared" si="168"/>
        <v>40422</v>
      </c>
      <c r="E730" s="282">
        <f>E608/VLOOKUP($C730,calendar!$A$2:$D$121,3,FALSE)</f>
        <v>0</v>
      </c>
      <c r="F730" s="14">
        <f>F608/VLOOKUP($C730,calendar!$A$2:$D$121,3,FALSE)</f>
        <v>0</v>
      </c>
      <c r="G730" s="14">
        <f>G608/VLOOKUP($C730,calendar!$A$2:$D$121,3,FALSE)</f>
        <v>0</v>
      </c>
      <c r="H730" s="282">
        <f>H608/VLOOKUP($C730,calendar!$A$2:$D$121,3,FALSE)</f>
        <v>-53.255208333333336</v>
      </c>
      <c r="I730" s="282">
        <f>I608/VLOOKUP($C730,calendar!$A$2:$D$121,3,FALSE)</f>
        <v>0</v>
      </c>
      <c r="J730" s="14">
        <f>J608/VLOOKUP($C730,calendar!$A$2:$D$121,3,FALSE)</f>
        <v>0</v>
      </c>
      <c r="K730" s="14">
        <f>K608/VLOOKUP($C730,calendar!$A$2:$D$121,3,FALSE)</f>
        <v>0</v>
      </c>
      <c r="L730" s="282">
        <f>L608/VLOOKUP($C730,calendar!$A$2:$D$121,3,FALSE)</f>
        <v>0</v>
      </c>
      <c r="M730" s="14">
        <f>M608/VLOOKUP($C730,calendar!$A$2:$D$121,3,FALSE)</f>
        <v>0</v>
      </c>
      <c r="N730" s="14">
        <f>N608/VLOOKUP($C730,calendar!$A$2:$D$121,3,FALSE)</f>
        <v>0</v>
      </c>
      <c r="O730" s="14">
        <f>O608/VLOOKUP($C730,calendar!$A$2:$D$121,3,FALSE)</f>
        <v>0</v>
      </c>
      <c r="P730" s="14">
        <f>P608/VLOOKUP($C730,calendar!$A$2:$D$121,3,FALSE)</f>
        <v>0</v>
      </c>
      <c r="Q730" s="282">
        <f>Q608/VLOOKUP($C730,calendar!$A$2:$D$121,3,FALSE)</f>
        <v>0</v>
      </c>
      <c r="R730" s="282">
        <f>R608/VLOOKUP($C730,calendar!$A$2:$D$121,3,FALSE)</f>
        <v>0</v>
      </c>
    </row>
    <row r="731" spans="3:18" s="8" customFormat="1" x14ac:dyDescent="0.2">
      <c r="C731" s="9">
        <f t="shared" si="168"/>
        <v>40452</v>
      </c>
      <c r="E731" s="282">
        <f>E609/VLOOKUP($C731,calendar!$A$2:$D$121,3,FALSE)</f>
        <v>0</v>
      </c>
      <c r="F731" s="14">
        <f>F609/VLOOKUP($C731,calendar!$A$2:$D$121,3,FALSE)</f>
        <v>0</v>
      </c>
      <c r="G731" s="14">
        <f>G609/VLOOKUP($C731,calendar!$A$2:$D$121,3,FALSE)</f>
        <v>0</v>
      </c>
      <c r="H731" s="282">
        <f>H609/VLOOKUP($C731,calendar!$A$2:$D$121,3,FALSE)</f>
        <v>-47.058823529411768</v>
      </c>
      <c r="I731" s="282">
        <f>I609/VLOOKUP($C731,calendar!$A$2:$D$121,3,FALSE)</f>
        <v>0</v>
      </c>
      <c r="J731" s="14">
        <f>J609/VLOOKUP($C731,calendar!$A$2:$D$121,3,FALSE)</f>
        <v>0</v>
      </c>
      <c r="K731" s="14">
        <f>K609/VLOOKUP($C731,calendar!$A$2:$D$121,3,FALSE)</f>
        <v>0</v>
      </c>
      <c r="L731" s="282">
        <f>L609/VLOOKUP($C731,calendar!$A$2:$D$121,3,FALSE)</f>
        <v>0</v>
      </c>
      <c r="M731" s="14">
        <f>M609/VLOOKUP($C731,calendar!$A$2:$D$121,3,FALSE)</f>
        <v>0</v>
      </c>
      <c r="N731" s="14">
        <f>N609/VLOOKUP($C731,calendar!$A$2:$D$121,3,FALSE)</f>
        <v>0</v>
      </c>
      <c r="O731" s="14">
        <f>O609/VLOOKUP($C731,calendar!$A$2:$D$121,3,FALSE)</f>
        <v>0</v>
      </c>
      <c r="P731" s="14">
        <f>P609/VLOOKUP($C731,calendar!$A$2:$D$121,3,FALSE)</f>
        <v>0</v>
      </c>
      <c r="Q731" s="282">
        <f>Q609/VLOOKUP($C731,calendar!$A$2:$D$121,3,FALSE)</f>
        <v>0</v>
      </c>
      <c r="R731" s="282">
        <f>R609/VLOOKUP($C731,calendar!$A$2:$D$121,3,FALSE)</f>
        <v>0</v>
      </c>
    </row>
    <row r="732" spans="3:18" s="8" customFormat="1" x14ac:dyDescent="0.2">
      <c r="C732" s="9">
        <f t="shared" si="168"/>
        <v>40483</v>
      </c>
      <c r="E732" s="282">
        <f>E610/VLOOKUP($C732,calendar!$A$2:$D$121,3,FALSE)</f>
        <v>0</v>
      </c>
      <c r="F732" s="14">
        <f>F610/VLOOKUP($C732,calendar!$A$2:$D$121,3,FALSE)</f>
        <v>0</v>
      </c>
      <c r="G732" s="14">
        <f>G610/VLOOKUP($C732,calendar!$A$2:$D$121,3,FALSE)</f>
        <v>0</v>
      </c>
      <c r="H732" s="282">
        <f>H610/VLOOKUP($C732,calendar!$A$2:$D$121,3,FALSE)</f>
        <v>-48.958333333333336</v>
      </c>
      <c r="I732" s="282">
        <f>I610/VLOOKUP($C732,calendar!$A$2:$D$121,3,FALSE)</f>
        <v>0</v>
      </c>
      <c r="J732" s="14">
        <f>J610/VLOOKUP($C732,calendar!$A$2:$D$121,3,FALSE)</f>
        <v>0</v>
      </c>
      <c r="K732" s="14">
        <f>K610/VLOOKUP($C732,calendar!$A$2:$D$121,3,FALSE)</f>
        <v>0</v>
      </c>
      <c r="L732" s="282">
        <f>L610/VLOOKUP($C732,calendar!$A$2:$D$121,3,FALSE)</f>
        <v>0</v>
      </c>
      <c r="M732" s="14">
        <f>M610/VLOOKUP($C732,calendar!$A$2:$D$121,3,FALSE)</f>
        <v>0</v>
      </c>
      <c r="N732" s="14">
        <f>N610/VLOOKUP($C732,calendar!$A$2:$D$121,3,FALSE)</f>
        <v>0</v>
      </c>
      <c r="O732" s="14">
        <f>O610/VLOOKUP($C732,calendar!$A$2:$D$121,3,FALSE)</f>
        <v>0</v>
      </c>
      <c r="P732" s="14">
        <f>P610/VLOOKUP($C732,calendar!$A$2:$D$121,3,FALSE)</f>
        <v>0</v>
      </c>
      <c r="Q732" s="282">
        <f>Q610/VLOOKUP($C732,calendar!$A$2:$D$121,3,FALSE)</f>
        <v>0</v>
      </c>
      <c r="R732" s="282">
        <f>R610/VLOOKUP($C732,calendar!$A$2:$D$121,3,FALSE)</f>
        <v>0</v>
      </c>
    </row>
    <row r="733" spans="3:18" s="8" customFormat="1" x14ac:dyDescent="0.2">
      <c r="C733" s="9">
        <f t="shared" si="168"/>
        <v>40513</v>
      </c>
      <c r="E733" s="282">
        <f>E611/VLOOKUP($C733,calendar!$A$2:$D$121,3,FALSE)</f>
        <v>-334.84574468085106</v>
      </c>
      <c r="F733" s="14">
        <f>F611/VLOOKUP($C733,calendar!$A$2:$D$121,3,FALSE)</f>
        <v>0</v>
      </c>
      <c r="G733" s="14">
        <f>G611/VLOOKUP($C733,calendar!$A$2:$D$121,3,FALSE)</f>
        <v>0</v>
      </c>
      <c r="H733" s="282">
        <f>H611/VLOOKUP($C733,calendar!$A$2:$D$121,3,FALSE)</f>
        <v>-5223.2765957446809</v>
      </c>
      <c r="I733" s="282">
        <f>I611/VLOOKUP($C733,calendar!$A$2:$D$121,3,FALSE)</f>
        <v>-1245.7446808510638</v>
      </c>
      <c r="J733" s="14">
        <f>J611/VLOOKUP($C733,calendar!$A$2:$D$121,3,FALSE)</f>
        <v>0</v>
      </c>
      <c r="K733" s="14">
        <f>K611/VLOOKUP($C733,calendar!$A$2:$D$121,3,FALSE)</f>
        <v>-1244.6808510638298</v>
      </c>
      <c r="L733" s="282">
        <f>L611/VLOOKUP($C733,calendar!$A$2:$D$121,3,FALSE)</f>
        <v>672.12765957446811</v>
      </c>
      <c r="M733" s="14">
        <f>M611/VLOOKUP($C733,calendar!$A$2:$D$121,3,FALSE)</f>
        <v>0</v>
      </c>
      <c r="N733" s="14">
        <f>N611/VLOOKUP($C733,calendar!$A$2:$D$121,3,FALSE)</f>
        <v>0</v>
      </c>
      <c r="O733" s="14">
        <f>O611/VLOOKUP($C733,calendar!$A$2:$D$121,3,FALSE)</f>
        <v>0</v>
      </c>
      <c r="P733" s="14">
        <f>P611/VLOOKUP($C733,calendar!$A$2:$D$121,3,FALSE)</f>
        <v>0</v>
      </c>
      <c r="Q733" s="282">
        <f>Q611/VLOOKUP($C733,calendar!$A$2:$D$121,3,FALSE)</f>
        <v>-263.29787234042556</v>
      </c>
      <c r="R733" s="282">
        <f>R611/VLOOKUP($C733,calendar!$A$2:$D$121,3,FALSE)</f>
        <v>-875.39893617021278</v>
      </c>
    </row>
    <row r="734" spans="3:18" x14ac:dyDescent="0.2">
      <c r="C734" s="1"/>
    </row>
    <row r="735" spans="3:18" x14ac:dyDescent="0.2">
      <c r="C735" s="1"/>
    </row>
    <row r="736" spans="3:18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</sheetData>
  <phoneticPr fontId="0" type="noConversion"/>
  <conditionalFormatting sqref="E248:R367">
    <cfRule type="cellIs" dxfId="3" priority="1" stopIfTrue="1" operator="greaterThan">
      <formula>11000</formula>
    </cfRule>
    <cfRule type="cellIs" dxfId="2" priority="2" stopIfTrue="1" operator="between">
      <formula>11000</formula>
      <formula>8000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G14"/>
  <sheetViews>
    <sheetView workbookViewId="0"/>
  </sheetViews>
  <sheetFormatPr defaultRowHeight="12.75" x14ac:dyDescent="0.2"/>
  <sheetData>
    <row r="1" spans="1:111" x14ac:dyDescent="0.2">
      <c r="B1" s="1">
        <v>37226</v>
      </c>
      <c r="C1" s="1">
        <v>37257</v>
      </c>
      <c r="D1" s="1">
        <v>37288</v>
      </c>
      <c r="E1" s="1">
        <v>37316</v>
      </c>
      <c r="F1" s="1">
        <v>37347</v>
      </c>
      <c r="G1" s="1">
        <v>37377</v>
      </c>
      <c r="H1" s="1">
        <v>37408</v>
      </c>
      <c r="I1" s="1">
        <v>37438</v>
      </c>
      <c r="J1" s="1">
        <v>37469</v>
      </c>
      <c r="K1" s="1">
        <v>37500</v>
      </c>
      <c r="L1" s="1">
        <v>37530</v>
      </c>
      <c r="M1" s="1">
        <v>37561</v>
      </c>
      <c r="N1" s="1">
        <v>37591</v>
      </c>
      <c r="O1" s="1">
        <v>37622</v>
      </c>
      <c r="P1" s="1">
        <v>37653</v>
      </c>
      <c r="Q1" s="1">
        <v>37681</v>
      </c>
      <c r="R1" s="1">
        <v>37712</v>
      </c>
      <c r="S1" s="1">
        <v>37742</v>
      </c>
      <c r="T1" s="1">
        <v>37773</v>
      </c>
      <c r="U1" s="1">
        <v>37803</v>
      </c>
      <c r="V1" s="1">
        <v>37834</v>
      </c>
      <c r="W1" s="1">
        <v>37865</v>
      </c>
      <c r="X1" s="1">
        <v>37895</v>
      </c>
      <c r="Y1" s="1">
        <v>37926</v>
      </c>
      <c r="Z1" s="1">
        <v>37956</v>
      </c>
      <c r="AA1" s="1">
        <v>37987</v>
      </c>
      <c r="AB1" s="1">
        <v>38018</v>
      </c>
      <c r="AC1" s="1">
        <v>38047</v>
      </c>
      <c r="AD1" s="1">
        <v>38078</v>
      </c>
      <c r="AE1" s="1">
        <v>38108</v>
      </c>
      <c r="AF1" s="1">
        <v>38139</v>
      </c>
      <c r="AG1" s="1">
        <v>38169</v>
      </c>
      <c r="AH1" s="1">
        <v>38200</v>
      </c>
      <c r="AI1" s="1">
        <v>38231</v>
      </c>
      <c r="AJ1" s="1">
        <v>38261</v>
      </c>
      <c r="AK1" s="1">
        <v>38292</v>
      </c>
      <c r="AL1" s="1">
        <v>38322</v>
      </c>
      <c r="AM1" s="1">
        <v>38353</v>
      </c>
      <c r="AN1" s="1">
        <v>38384</v>
      </c>
      <c r="AO1" s="1">
        <v>38412</v>
      </c>
      <c r="AP1" s="1">
        <v>38443</v>
      </c>
      <c r="AQ1" s="1">
        <v>38473</v>
      </c>
      <c r="AR1" s="1">
        <v>38504</v>
      </c>
      <c r="AS1" s="1">
        <v>38534</v>
      </c>
      <c r="AT1" s="1">
        <v>38565</v>
      </c>
      <c r="AU1" s="1">
        <v>38596</v>
      </c>
      <c r="AV1" s="1">
        <v>38626</v>
      </c>
      <c r="AW1" s="1">
        <v>38657</v>
      </c>
      <c r="AX1" s="1">
        <v>38687</v>
      </c>
      <c r="AY1" s="1">
        <v>38718</v>
      </c>
      <c r="AZ1" s="1">
        <v>38749</v>
      </c>
      <c r="BA1" s="1">
        <v>38777</v>
      </c>
      <c r="BB1" s="1">
        <v>38808</v>
      </c>
      <c r="BC1" s="1">
        <v>38838</v>
      </c>
      <c r="BD1" s="1">
        <v>38869</v>
      </c>
      <c r="BE1" s="1">
        <v>38899</v>
      </c>
      <c r="BF1" s="1">
        <v>38930</v>
      </c>
      <c r="BG1" s="1">
        <v>38961</v>
      </c>
      <c r="BH1" s="1">
        <v>38991</v>
      </c>
      <c r="BI1" s="1">
        <v>39022</v>
      </c>
      <c r="BJ1" s="1">
        <v>39052</v>
      </c>
      <c r="BK1" s="1">
        <v>39083</v>
      </c>
      <c r="BL1" s="1">
        <v>39114</v>
      </c>
      <c r="BM1" s="1">
        <v>39142</v>
      </c>
      <c r="BN1" s="1">
        <v>39173</v>
      </c>
      <c r="BO1" s="1">
        <v>39203</v>
      </c>
      <c r="BP1" s="1">
        <v>39234</v>
      </c>
      <c r="BQ1" s="1">
        <v>39264</v>
      </c>
      <c r="BR1" s="1">
        <v>39295</v>
      </c>
      <c r="BS1" s="1">
        <v>39326</v>
      </c>
      <c r="BT1" s="1">
        <v>39356</v>
      </c>
      <c r="BU1" s="1">
        <v>39387</v>
      </c>
      <c r="BV1" s="1">
        <v>39417</v>
      </c>
      <c r="BW1" s="1">
        <v>39448</v>
      </c>
      <c r="BX1" s="1">
        <v>39479</v>
      </c>
      <c r="BY1" s="1">
        <v>39508</v>
      </c>
      <c r="BZ1" s="1">
        <v>39539</v>
      </c>
      <c r="CA1" s="1">
        <v>39569</v>
      </c>
      <c r="CB1" s="1">
        <v>39600</v>
      </c>
      <c r="CC1" s="1">
        <v>39630</v>
      </c>
      <c r="CD1" s="1">
        <v>39661</v>
      </c>
      <c r="CE1" s="1">
        <v>39692</v>
      </c>
      <c r="CF1" s="1">
        <v>39722</v>
      </c>
      <c r="CG1" s="1">
        <v>39753</v>
      </c>
      <c r="CH1" s="1">
        <v>39783</v>
      </c>
      <c r="CI1" s="1">
        <v>39814</v>
      </c>
      <c r="CJ1" s="1">
        <v>39845</v>
      </c>
      <c r="CK1" s="1">
        <v>39873</v>
      </c>
      <c r="CL1" s="1">
        <v>39904</v>
      </c>
      <c r="CM1" s="1">
        <v>39934</v>
      </c>
      <c r="CN1" s="1">
        <v>39965</v>
      </c>
      <c r="CO1" s="1">
        <v>39995</v>
      </c>
      <c r="CP1" s="1">
        <v>40026</v>
      </c>
      <c r="CQ1" s="1">
        <v>40057</v>
      </c>
      <c r="CR1" s="1">
        <v>40087</v>
      </c>
      <c r="CS1" s="1">
        <v>40118</v>
      </c>
      <c r="CT1" s="1">
        <v>40148</v>
      </c>
      <c r="CU1" s="1">
        <v>40179</v>
      </c>
      <c r="CV1" s="1">
        <v>40210</v>
      </c>
      <c r="CW1" s="1">
        <v>40238</v>
      </c>
      <c r="CX1" s="1">
        <v>40269</v>
      </c>
      <c r="CY1" s="1">
        <v>40299</v>
      </c>
      <c r="CZ1" s="1">
        <v>40330</v>
      </c>
      <c r="DA1" s="1">
        <v>40360</v>
      </c>
      <c r="DB1" s="1">
        <v>40391</v>
      </c>
      <c r="DC1" s="1">
        <v>40422</v>
      </c>
      <c r="DD1" s="1">
        <v>40452</v>
      </c>
      <c r="DE1" s="1">
        <v>40483</v>
      </c>
      <c r="DF1" s="1">
        <v>40513</v>
      </c>
    </row>
    <row r="2" spans="1:111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2</v>
      </c>
    </row>
    <row r="3" spans="1:111" x14ac:dyDescent="0.2">
      <c r="A3" t="s">
        <v>3</v>
      </c>
      <c r="B3" s="2">
        <v>443520</v>
      </c>
      <c r="C3" s="2">
        <v>-836704</v>
      </c>
      <c r="D3" s="2">
        <v>-760640</v>
      </c>
      <c r="E3" s="2">
        <v>-765072</v>
      </c>
      <c r="F3" s="2">
        <v>-801504</v>
      </c>
      <c r="G3" s="2">
        <v>-625504</v>
      </c>
      <c r="H3" s="2">
        <v>-776640</v>
      </c>
      <c r="I3" s="2">
        <v>-607904</v>
      </c>
      <c r="J3" s="2">
        <v>-607904</v>
      </c>
      <c r="K3" s="2">
        <v>-696640</v>
      </c>
      <c r="L3" s="2">
        <v>-231886</v>
      </c>
      <c r="M3" s="2">
        <v>-201640</v>
      </c>
      <c r="N3" s="2">
        <v>-211722</v>
      </c>
      <c r="O3" s="2">
        <v>-203104</v>
      </c>
      <c r="P3" s="2">
        <v>-184640</v>
      </c>
      <c r="Q3" s="2">
        <v>-160272</v>
      </c>
      <c r="R3" s="2">
        <v>-167904</v>
      </c>
      <c r="S3" s="2">
        <v>-256872</v>
      </c>
      <c r="T3" s="2">
        <v>-193872</v>
      </c>
      <c r="U3" s="2">
        <v>-326304</v>
      </c>
      <c r="V3" s="2">
        <v>-311472</v>
      </c>
      <c r="W3" s="2">
        <v>-126672</v>
      </c>
      <c r="X3" s="2">
        <v>-46736</v>
      </c>
      <c r="Y3" s="2">
        <v>-38608</v>
      </c>
      <c r="Z3" s="2">
        <v>-44704</v>
      </c>
      <c r="AA3" s="2">
        <v>7728</v>
      </c>
      <c r="AB3" s="2">
        <v>7360</v>
      </c>
      <c r="AC3" s="2">
        <v>8464</v>
      </c>
      <c r="AD3" s="2">
        <v>8096</v>
      </c>
      <c r="AE3" s="2">
        <v>7360</v>
      </c>
      <c r="AF3" s="2">
        <v>-185504</v>
      </c>
      <c r="AG3" s="2">
        <v>-42672</v>
      </c>
      <c r="AH3" s="2">
        <v>-44704</v>
      </c>
      <c r="AI3" s="2">
        <v>7728</v>
      </c>
      <c r="AJ3" s="2">
        <v>7728</v>
      </c>
      <c r="AK3" s="2">
        <v>7728</v>
      </c>
      <c r="AL3" s="2">
        <v>8464</v>
      </c>
      <c r="AM3" s="2">
        <v>-25872</v>
      </c>
      <c r="AN3" s="2">
        <v>-24640</v>
      </c>
      <c r="AO3" s="2">
        <v>-28336</v>
      </c>
      <c r="AP3" s="2">
        <v>-25872</v>
      </c>
      <c r="AQ3" s="2">
        <v>-25872</v>
      </c>
      <c r="AR3" s="2">
        <v>-44704</v>
      </c>
      <c r="AS3" s="2">
        <v>-24640</v>
      </c>
      <c r="AT3" s="2">
        <v>-28336</v>
      </c>
      <c r="AU3" s="2">
        <v>-25872</v>
      </c>
      <c r="AV3" s="2">
        <v>-25872</v>
      </c>
      <c r="AW3" s="2">
        <v>-25872</v>
      </c>
      <c r="AX3" s="2">
        <v>-25872</v>
      </c>
      <c r="AY3" s="2">
        <v>7728</v>
      </c>
      <c r="AZ3" s="2">
        <v>7360</v>
      </c>
      <c r="BA3" s="2">
        <v>8464</v>
      </c>
      <c r="BB3" s="2">
        <v>7360</v>
      </c>
      <c r="BC3" s="2">
        <v>8096</v>
      </c>
      <c r="BD3" s="2">
        <v>8096</v>
      </c>
      <c r="BE3" s="2">
        <v>7360</v>
      </c>
      <c r="BF3" s="2">
        <v>8464</v>
      </c>
      <c r="BG3" s="2">
        <v>7360</v>
      </c>
      <c r="BH3" s="2">
        <v>8096</v>
      </c>
      <c r="BI3" s="2">
        <v>7728</v>
      </c>
      <c r="BJ3" s="2">
        <v>7360</v>
      </c>
      <c r="BK3" s="2">
        <v>60896</v>
      </c>
      <c r="BL3" s="2">
        <v>55360</v>
      </c>
      <c r="BM3" s="2">
        <v>60896</v>
      </c>
      <c r="BN3" s="2">
        <v>58128</v>
      </c>
      <c r="BO3" s="2">
        <v>60896</v>
      </c>
      <c r="BP3" s="2">
        <v>58128</v>
      </c>
      <c r="BQ3" s="2">
        <v>58128</v>
      </c>
      <c r="BR3" s="2">
        <v>63664</v>
      </c>
      <c r="BS3" s="2">
        <v>52592</v>
      </c>
      <c r="BT3" s="2">
        <v>63664</v>
      </c>
      <c r="BU3" s="2">
        <v>58128</v>
      </c>
      <c r="BV3" s="2">
        <v>55360</v>
      </c>
      <c r="BW3" s="2">
        <v>43296</v>
      </c>
      <c r="BX3" s="2">
        <v>41328</v>
      </c>
      <c r="BY3" s="2">
        <v>41328</v>
      </c>
      <c r="BZ3" s="2">
        <v>43296</v>
      </c>
      <c r="CA3" s="2">
        <v>41328</v>
      </c>
      <c r="CB3" s="2">
        <v>41328</v>
      </c>
      <c r="CC3" s="2">
        <v>43296</v>
      </c>
      <c r="CD3" s="2">
        <v>41328</v>
      </c>
      <c r="CE3" s="2">
        <v>41328</v>
      </c>
      <c r="CF3" s="2">
        <v>45264</v>
      </c>
      <c r="CG3" s="2">
        <v>37392</v>
      </c>
      <c r="CH3" s="2">
        <v>43296</v>
      </c>
      <c r="CI3" s="2">
        <v>-16800</v>
      </c>
      <c r="CJ3" s="2">
        <v>-16000</v>
      </c>
      <c r="CK3" s="2">
        <v>-17600</v>
      </c>
      <c r="CL3" s="2">
        <v>-17600</v>
      </c>
      <c r="CM3" s="2">
        <v>-16000</v>
      </c>
      <c r="CN3" s="2">
        <v>-17600</v>
      </c>
      <c r="CO3" s="2">
        <v>-18400</v>
      </c>
      <c r="CP3" s="2">
        <v>-16800</v>
      </c>
      <c r="CQ3" s="2">
        <v>-16800</v>
      </c>
      <c r="CR3" s="2">
        <v>-17600</v>
      </c>
      <c r="CS3" s="2">
        <v>-16000</v>
      </c>
      <c r="CT3" s="2">
        <v>-17600</v>
      </c>
      <c r="CU3" s="2">
        <v>16000</v>
      </c>
      <c r="CV3" s="2">
        <v>16000</v>
      </c>
      <c r="CW3" s="2">
        <v>18400</v>
      </c>
      <c r="CX3" s="2">
        <v>17600</v>
      </c>
      <c r="CY3" s="2">
        <v>16000</v>
      </c>
      <c r="CZ3" s="2">
        <v>17600</v>
      </c>
      <c r="DA3" s="2">
        <v>16800</v>
      </c>
      <c r="DB3" s="2">
        <v>17600</v>
      </c>
      <c r="DC3" s="2">
        <v>16800</v>
      </c>
      <c r="DD3" s="2">
        <v>16800</v>
      </c>
      <c r="DE3" s="2">
        <v>16800</v>
      </c>
      <c r="DF3" s="2">
        <v>18400</v>
      </c>
      <c r="DG3" s="2">
        <v>-7972264</v>
      </c>
    </row>
    <row r="4" spans="1:111" x14ac:dyDescent="0.2">
      <c r="A4" t="s">
        <v>35</v>
      </c>
      <c r="F4" s="2">
        <v>52800</v>
      </c>
      <c r="L4" s="2">
        <v>-36800</v>
      </c>
      <c r="M4" s="2">
        <v>-32000</v>
      </c>
      <c r="N4" s="2">
        <v>-33600</v>
      </c>
      <c r="O4" s="2">
        <v>52800</v>
      </c>
      <c r="P4" s="2">
        <v>48000</v>
      </c>
      <c r="Q4" s="2">
        <v>100800</v>
      </c>
      <c r="R4" s="2">
        <v>105600</v>
      </c>
      <c r="S4" s="2">
        <v>-16800</v>
      </c>
      <c r="T4" s="2">
        <v>-16800</v>
      </c>
      <c r="U4" s="2">
        <v>-17600</v>
      </c>
      <c r="V4" s="2">
        <v>-16800</v>
      </c>
      <c r="W4" s="2">
        <v>-16800</v>
      </c>
      <c r="X4" s="2">
        <v>55200</v>
      </c>
      <c r="Y4" s="2">
        <v>45600</v>
      </c>
      <c r="Z4" s="2">
        <v>52800</v>
      </c>
      <c r="AA4">
        <v>-672</v>
      </c>
      <c r="AB4">
        <v>-640</v>
      </c>
      <c r="AC4">
        <v>-736</v>
      </c>
      <c r="AD4" s="2">
        <v>-1056</v>
      </c>
      <c r="AE4">
        <v>-960</v>
      </c>
      <c r="AF4" s="2">
        <v>-89408</v>
      </c>
      <c r="AG4" s="2">
        <v>-35280</v>
      </c>
      <c r="AH4" s="2">
        <v>-36608</v>
      </c>
      <c r="AI4" s="2">
        <v>-1008</v>
      </c>
      <c r="AJ4" s="2">
        <v>-1008</v>
      </c>
      <c r="AK4" s="2">
        <v>-1008</v>
      </c>
      <c r="AL4" s="2">
        <v>-1104</v>
      </c>
      <c r="AM4" s="2">
        <v>41328</v>
      </c>
      <c r="AN4" s="2">
        <v>39360</v>
      </c>
      <c r="AO4" s="2">
        <v>45264</v>
      </c>
      <c r="AP4" s="2">
        <v>40992</v>
      </c>
      <c r="AQ4" s="2">
        <v>40992</v>
      </c>
      <c r="AR4" s="2">
        <v>42592</v>
      </c>
      <c r="AS4" s="2">
        <v>38400</v>
      </c>
      <c r="AT4" s="2">
        <v>44528</v>
      </c>
      <c r="AU4" s="2">
        <v>40992</v>
      </c>
      <c r="AV4" s="2">
        <v>40992</v>
      </c>
      <c r="AW4" s="2">
        <v>40992</v>
      </c>
      <c r="AX4" s="2">
        <v>40992</v>
      </c>
      <c r="AY4" s="2">
        <v>41328</v>
      </c>
      <c r="AZ4" s="2">
        <v>39360</v>
      </c>
      <c r="BA4" s="2">
        <v>45264</v>
      </c>
      <c r="BB4" s="2">
        <v>39040</v>
      </c>
      <c r="BC4" s="2">
        <v>42944</v>
      </c>
      <c r="BD4" s="2">
        <v>42592</v>
      </c>
      <c r="BE4" s="2">
        <v>38400</v>
      </c>
      <c r="BF4" s="2">
        <v>44528</v>
      </c>
      <c r="BG4" s="2">
        <v>39040</v>
      </c>
      <c r="BH4" s="2">
        <v>42944</v>
      </c>
      <c r="BI4" s="2">
        <v>40992</v>
      </c>
      <c r="BJ4" s="2">
        <v>39040</v>
      </c>
      <c r="BK4" s="2">
        <v>8096</v>
      </c>
      <c r="BL4" s="2">
        <v>7360</v>
      </c>
      <c r="BM4" s="2">
        <v>8096</v>
      </c>
      <c r="BN4" s="2">
        <v>7392</v>
      </c>
      <c r="BO4" s="2">
        <v>7744</v>
      </c>
      <c r="BP4" s="2">
        <v>7056</v>
      </c>
      <c r="BQ4" s="2">
        <v>6720</v>
      </c>
      <c r="BR4" s="2">
        <v>7728</v>
      </c>
      <c r="BS4" s="2">
        <v>6688</v>
      </c>
      <c r="BT4" s="2">
        <v>8096</v>
      </c>
      <c r="BU4" s="2">
        <v>7392</v>
      </c>
      <c r="BV4" s="2">
        <v>7040</v>
      </c>
      <c r="BW4" s="2">
        <v>8096</v>
      </c>
      <c r="BX4" s="2">
        <v>7728</v>
      </c>
      <c r="BY4" s="2">
        <v>7728</v>
      </c>
      <c r="BZ4" s="2">
        <v>7744</v>
      </c>
      <c r="CA4" s="2">
        <v>7392</v>
      </c>
      <c r="CB4" s="2">
        <v>7056</v>
      </c>
      <c r="CC4" s="2">
        <v>7040</v>
      </c>
      <c r="CD4" s="2">
        <v>7056</v>
      </c>
      <c r="CE4" s="2">
        <v>7392</v>
      </c>
      <c r="CF4" s="2">
        <v>8096</v>
      </c>
      <c r="CG4" s="2">
        <v>6688</v>
      </c>
      <c r="CH4" s="2">
        <v>7744</v>
      </c>
      <c r="CI4">
        <v>-672</v>
      </c>
      <c r="CJ4">
        <v>-640</v>
      </c>
      <c r="CK4">
        <v>-704</v>
      </c>
      <c r="CL4" s="2">
        <v>-1056</v>
      </c>
      <c r="CM4">
        <v>-960</v>
      </c>
      <c r="CN4" s="2">
        <v>-1408</v>
      </c>
      <c r="DG4" s="2">
        <v>1323536</v>
      </c>
    </row>
    <row r="5" spans="1:111" x14ac:dyDescent="0.2">
      <c r="A5" t="s">
        <v>26</v>
      </c>
      <c r="C5" s="2">
        <v>9504</v>
      </c>
      <c r="D5" s="2">
        <v>8640</v>
      </c>
      <c r="E5" s="2">
        <v>9072</v>
      </c>
      <c r="F5" s="2">
        <v>9504</v>
      </c>
      <c r="G5" s="2">
        <v>9504</v>
      </c>
      <c r="H5" s="2">
        <v>8640</v>
      </c>
      <c r="I5" s="2">
        <v>9152</v>
      </c>
      <c r="J5" s="2">
        <v>9152</v>
      </c>
      <c r="K5" s="2">
        <v>8640</v>
      </c>
      <c r="L5" s="2">
        <v>9936</v>
      </c>
      <c r="M5" s="2">
        <v>8640</v>
      </c>
      <c r="N5" s="2">
        <v>9072</v>
      </c>
      <c r="O5" s="2">
        <v>9504</v>
      </c>
      <c r="P5" s="2">
        <v>8640</v>
      </c>
      <c r="Q5" s="2">
        <v>9072</v>
      </c>
      <c r="R5" s="2">
        <v>9504</v>
      </c>
      <c r="S5" s="2">
        <v>9072</v>
      </c>
      <c r="T5" s="2">
        <v>9072</v>
      </c>
      <c r="U5" s="2">
        <v>9152</v>
      </c>
      <c r="V5" s="2">
        <v>8736</v>
      </c>
      <c r="W5" s="2">
        <v>9072</v>
      </c>
      <c r="X5" s="2">
        <v>9936</v>
      </c>
      <c r="Y5" s="2">
        <v>8208</v>
      </c>
      <c r="Z5" s="2">
        <v>9504</v>
      </c>
      <c r="AG5">
        <v>-336</v>
      </c>
      <c r="AH5">
        <v>-352</v>
      </c>
      <c r="AS5">
        <v>-320</v>
      </c>
      <c r="AT5">
        <v>-368</v>
      </c>
      <c r="BE5">
        <v>-320</v>
      </c>
      <c r="BF5">
        <v>-368</v>
      </c>
      <c r="BQ5">
        <v>-336</v>
      </c>
      <c r="BR5">
        <v>-368</v>
      </c>
      <c r="CC5">
        <v>-352</v>
      </c>
      <c r="CD5">
        <v>-336</v>
      </c>
      <c r="DG5" s="2">
        <v>215472</v>
      </c>
    </row>
    <row r="6" spans="1:111" x14ac:dyDescent="0.2">
      <c r="A6" t="s">
        <v>6</v>
      </c>
      <c r="B6" s="2">
        <v>56800</v>
      </c>
      <c r="C6" s="2">
        <v>-341440</v>
      </c>
      <c r="D6" s="2">
        <v>-294400</v>
      </c>
      <c r="E6" s="2">
        <v>-23520</v>
      </c>
      <c r="F6" s="2">
        <v>-24640</v>
      </c>
      <c r="G6" s="2">
        <v>-24640</v>
      </c>
      <c r="H6" s="2">
        <v>32000</v>
      </c>
      <c r="I6" s="2">
        <v>-105600</v>
      </c>
      <c r="J6" s="2">
        <v>-105600</v>
      </c>
      <c r="K6" s="2">
        <v>160000</v>
      </c>
      <c r="L6" s="2">
        <v>92000</v>
      </c>
      <c r="M6" s="2">
        <v>80000</v>
      </c>
      <c r="N6" s="2">
        <v>84000</v>
      </c>
      <c r="O6" s="2">
        <v>-334400</v>
      </c>
      <c r="P6" s="2">
        <v>-304000</v>
      </c>
      <c r="Q6" s="2">
        <v>-252000</v>
      </c>
      <c r="R6" s="2">
        <v>-264000</v>
      </c>
      <c r="S6" s="2">
        <v>-252000</v>
      </c>
      <c r="T6" s="2">
        <v>-252000</v>
      </c>
      <c r="U6" s="2">
        <v>-404800</v>
      </c>
      <c r="V6" s="2">
        <v>-386400</v>
      </c>
      <c r="W6" s="2">
        <v>-218400</v>
      </c>
      <c r="X6" s="2">
        <v>-220800</v>
      </c>
      <c r="Y6" s="2">
        <v>-182400</v>
      </c>
      <c r="Z6" s="2">
        <v>-211200</v>
      </c>
      <c r="AM6" s="2">
        <v>-16800</v>
      </c>
      <c r="AN6" s="2">
        <v>-16000</v>
      </c>
      <c r="AO6" s="2">
        <v>-18400</v>
      </c>
      <c r="AP6" s="2">
        <v>-16800</v>
      </c>
      <c r="AQ6" s="2">
        <v>-16800</v>
      </c>
      <c r="AR6" s="2">
        <v>-17600</v>
      </c>
      <c r="AS6" s="2">
        <v>-16000</v>
      </c>
      <c r="AT6" s="2">
        <v>-18400</v>
      </c>
      <c r="AU6" s="2">
        <v>-16800</v>
      </c>
      <c r="AV6" s="2">
        <v>-16800</v>
      </c>
      <c r="AW6" s="2">
        <v>-16800</v>
      </c>
      <c r="AX6" s="2">
        <v>-16800</v>
      </c>
      <c r="AY6" s="2">
        <v>-94752</v>
      </c>
      <c r="AZ6" s="2">
        <v>-90240</v>
      </c>
      <c r="BA6" s="2">
        <v>-105248</v>
      </c>
      <c r="BB6" s="2">
        <v>-91200</v>
      </c>
      <c r="BC6" s="2">
        <v>-97152</v>
      </c>
      <c r="BD6" s="2">
        <v>-95392</v>
      </c>
      <c r="BE6" s="2">
        <v>-84160</v>
      </c>
      <c r="BF6" s="2">
        <v>-96416</v>
      </c>
      <c r="BG6" s="2">
        <v>-88960</v>
      </c>
      <c r="BH6" s="2">
        <v>-98208</v>
      </c>
      <c r="BI6" s="2">
        <v>-94080</v>
      </c>
      <c r="BJ6" s="2">
        <v>-89280</v>
      </c>
      <c r="BK6" s="2">
        <v>-81664</v>
      </c>
      <c r="BL6" s="2">
        <v>-74240</v>
      </c>
      <c r="BM6" s="2">
        <v>-83072</v>
      </c>
      <c r="BN6" s="2">
        <v>-78960</v>
      </c>
      <c r="BO6" s="2">
        <v>-79552</v>
      </c>
      <c r="BP6" s="2">
        <v>-74256</v>
      </c>
      <c r="BQ6" s="2">
        <v>-71568</v>
      </c>
      <c r="BR6" s="2">
        <v>-78016</v>
      </c>
      <c r="BS6" s="2">
        <v>-69312</v>
      </c>
      <c r="BT6" s="2">
        <v>-84272</v>
      </c>
      <c r="BU6" s="2">
        <v>-77280</v>
      </c>
      <c r="BV6" s="2">
        <v>-73280</v>
      </c>
      <c r="BW6" s="2">
        <v>-46464</v>
      </c>
      <c r="BX6" s="2">
        <v>-44352</v>
      </c>
      <c r="BY6" s="2">
        <v>-45696</v>
      </c>
      <c r="BZ6" s="2">
        <v>-47520</v>
      </c>
      <c r="CA6" s="2">
        <v>-42336</v>
      </c>
      <c r="CB6" s="2">
        <v>-40656</v>
      </c>
      <c r="CC6" s="2">
        <v>-39776</v>
      </c>
      <c r="CD6" s="2">
        <v>-37632</v>
      </c>
      <c r="CE6" s="2">
        <v>-33600</v>
      </c>
      <c r="CF6" s="2">
        <v>-36800</v>
      </c>
      <c r="CG6" s="2">
        <v>-30400</v>
      </c>
      <c r="CH6" s="2">
        <v>-35200</v>
      </c>
      <c r="CI6" s="2">
        <v>-50400</v>
      </c>
      <c r="CJ6" s="2">
        <v>-48000</v>
      </c>
      <c r="CK6" s="2">
        <v>-52800</v>
      </c>
      <c r="CL6" s="2">
        <v>-52800</v>
      </c>
      <c r="CM6" s="2">
        <v>-48000</v>
      </c>
      <c r="CN6" s="2">
        <v>-52800</v>
      </c>
      <c r="CO6" s="2">
        <v>-55200</v>
      </c>
      <c r="CP6" s="2">
        <v>-50400</v>
      </c>
      <c r="CQ6" s="2">
        <v>-50400</v>
      </c>
      <c r="CR6" s="2">
        <v>-52800</v>
      </c>
      <c r="CS6" s="2">
        <v>-48000</v>
      </c>
      <c r="CT6" s="2">
        <v>-52800</v>
      </c>
      <c r="CU6" s="2">
        <v>-32000</v>
      </c>
      <c r="CV6" s="2">
        <v>-32000</v>
      </c>
      <c r="CW6" s="2">
        <v>-36800</v>
      </c>
      <c r="CX6" s="2">
        <v>-35200</v>
      </c>
      <c r="CY6" s="2">
        <v>-32000</v>
      </c>
      <c r="CZ6" s="2">
        <v>-35200</v>
      </c>
      <c r="DA6" s="2">
        <v>-33600</v>
      </c>
      <c r="DB6" s="2">
        <v>-35200</v>
      </c>
      <c r="DC6" s="2">
        <v>-33600</v>
      </c>
      <c r="DD6" s="2">
        <v>-33600</v>
      </c>
      <c r="DE6" s="2">
        <v>-33600</v>
      </c>
      <c r="DF6" s="2">
        <v>-36800</v>
      </c>
      <c r="DG6" s="2">
        <v>-7456432</v>
      </c>
    </row>
    <row r="7" spans="1:111" x14ac:dyDescent="0.2">
      <c r="A7" t="s">
        <v>7</v>
      </c>
      <c r="B7" s="2">
        <v>14400</v>
      </c>
      <c r="C7" s="2">
        <v>-193600</v>
      </c>
      <c r="D7" s="2">
        <v>-160000</v>
      </c>
      <c r="E7" s="2">
        <v>-50400</v>
      </c>
      <c r="F7" s="2">
        <v>-52800</v>
      </c>
      <c r="G7" s="2">
        <v>-35200</v>
      </c>
      <c r="H7" s="2">
        <v>-64000</v>
      </c>
      <c r="I7" s="2">
        <v>-105600</v>
      </c>
      <c r="J7" s="2">
        <v>-105600</v>
      </c>
      <c r="K7" s="2">
        <v>16000</v>
      </c>
      <c r="O7" s="2">
        <v>-17600</v>
      </c>
      <c r="P7" s="2">
        <v>-16000</v>
      </c>
      <c r="Q7" s="2">
        <v>-16800</v>
      </c>
      <c r="R7" s="2">
        <v>-17600</v>
      </c>
      <c r="S7" s="2">
        <v>-33600</v>
      </c>
      <c r="T7" s="2">
        <v>16800</v>
      </c>
      <c r="U7" s="2">
        <v>17600</v>
      </c>
      <c r="V7" s="2">
        <v>16800</v>
      </c>
      <c r="W7" s="2">
        <v>-16800</v>
      </c>
      <c r="X7" s="2">
        <v>36800</v>
      </c>
      <c r="Y7" s="2">
        <v>30400</v>
      </c>
      <c r="Z7" s="2">
        <v>35200</v>
      </c>
      <c r="AA7" s="2">
        <v>33600</v>
      </c>
      <c r="AB7" s="2">
        <v>32000</v>
      </c>
      <c r="AC7" s="2">
        <v>36800</v>
      </c>
      <c r="AD7" s="2">
        <v>35200</v>
      </c>
      <c r="AE7" s="2">
        <v>32000</v>
      </c>
      <c r="AF7" s="2">
        <v>35200</v>
      </c>
      <c r="AG7" s="2">
        <v>33600</v>
      </c>
      <c r="AH7" s="2">
        <v>35200</v>
      </c>
      <c r="AI7" s="2">
        <v>33600</v>
      </c>
      <c r="AJ7" s="2">
        <v>33600</v>
      </c>
      <c r="AK7" s="2">
        <v>33600</v>
      </c>
      <c r="AL7" s="2">
        <v>36800</v>
      </c>
      <c r="AM7" s="2">
        <v>8400</v>
      </c>
      <c r="AN7" s="2">
        <v>8000</v>
      </c>
      <c r="AO7" s="2">
        <v>9200</v>
      </c>
      <c r="AP7" s="2">
        <v>8400</v>
      </c>
      <c r="AQ7" s="2">
        <v>8400</v>
      </c>
      <c r="AR7" s="2">
        <v>8800</v>
      </c>
      <c r="AS7" s="2">
        <v>8000</v>
      </c>
      <c r="AT7" s="2">
        <v>9200</v>
      </c>
      <c r="AU7" s="2">
        <v>8400</v>
      </c>
      <c r="AV7" s="2">
        <v>8400</v>
      </c>
      <c r="AW7" s="2">
        <v>8400</v>
      </c>
      <c r="AX7" s="2">
        <v>8400</v>
      </c>
      <c r="AY7" s="2">
        <v>-8400</v>
      </c>
      <c r="AZ7" s="2">
        <v>-8000</v>
      </c>
      <c r="BA7" s="2">
        <v>-9200</v>
      </c>
      <c r="BB7" s="2">
        <v>-8000</v>
      </c>
      <c r="BC7" s="2">
        <v>-8800</v>
      </c>
      <c r="BD7" s="2">
        <v>-8800</v>
      </c>
      <c r="BE7" s="2">
        <v>-8000</v>
      </c>
      <c r="BF7" s="2">
        <v>-9200</v>
      </c>
      <c r="BG7" s="2">
        <v>-8000</v>
      </c>
      <c r="BH7" s="2">
        <v>-8800</v>
      </c>
      <c r="BI7" s="2">
        <v>-8400</v>
      </c>
      <c r="BJ7" s="2">
        <v>-8000</v>
      </c>
      <c r="BK7" s="2">
        <v>-8800</v>
      </c>
      <c r="BL7" s="2">
        <v>-8000</v>
      </c>
      <c r="BM7" s="2">
        <v>-8800</v>
      </c>
      <c r="BN7" s="2">
        <v>-8400</v>
      </c>
      <c r="BO7" s="2">
        <v>-8800</v>
      </c>
      <c r="BP7" s="2">
        <v>-8400</v>
      </c>
      <c r="BQ7" s="2">
        <v>-8400</v>
      </c>
      <c r="BR7" s="2">
        <v>-9200</v>
      </c>
      <c r="BS7" s="2">
        <v>-7600</v>
      </c>
      <c r="BT7" s="2">
        <v>-9200</v>
      </c>
      <c r="BU7" s="2">
        <v>-8400</v>
      </c>
      <c r="BV7" s="2">
        <v>-8000</v>
      </c>
      <c r="BW7" s="2">
        <v>-8800</v>
      </c>
      <c r="BX7" s="2">
        <v>-8400</v>
      </c>
      <c r="BY7" s="2">
        <v>-8400</v>
      </c>
      <c r="BZ7" s="2">
        <v>-8800</v>
      </c>
      <c r="CA7" s="2">
        <v>-8400</v>
      </c>
      <c r="CB7" s="2">
        <v>-8400</v>
      </c>
      <c r="CC7" s="2">
        <v>-8800</v>
      </c>
      <c r="CD7" s="2">
        <v>-8400</v>
      </c>
      <c r="CE7" s="2">
        <v>-8400</v>
      </c>
      <c r="CF7" s="2">
        <v>-9200</v>
      </c>
      <c r="CG7" s="2">
        <v>-7600</v>
      </c>
      <c r="CH7" s="2">
        <v>-8800</v>
      </c>
      <c r="DG7" s="2">
        <v>-494400</v>
      </c>
    </row>
    <row r="8" spans="1:111" x14ac:dyDescent="0.2">
      <c r="A8" t="s">
        <v>9</v>
      </c>
      <c r="B8" s="2">
        <v>72000</v>
      </c>
      <c r="C8" s="2">
        <v>352000</v>
      </c>
      <c r="D8" s="2">
        <v>320000</v>
      </c>
      <c r="I8" s="2">
        <v>17600</v>
      </c>
      <c r="J8" s="2">
        <v>17600</v>
      </c>
      <c r="L8" s="2">
        <v>184000</v>
      </c>
      <c r="M8" s="2">
        <v>160000</v>
      </c>
      <c r="N8" s="2">
        <v>168000</v>
      </c>
      <c r="O8" s="2">
        <v>-17600</v>
      </c>
      <c r="P8" s="2">
        <v>-16000</v>
      </c>
      <c r="Q8" s="2">
        <v>-16800</v>
      </c>
      <c r="R8" s="2">
        <v>-17600</v>
      </c>
      <c r="S8" s="2">
        <v>-16800</v>
      </c>
      <c r="T8" s="2">
        <v>-33600</v>
      </c>
      <c r="U8" s="2">
        <v>-35200</v>
      </c>
      <c r="V8" s="2">
        <v>-33600</v>
      </c>
      <c r="W8" s="2">
        <v>-16800</v>
      </c>
      <c r="X8" s="2">
        <v>-18400</v>
      </c>
      <c r="Y8" s="2">
        <v>-15200</v>
      </c>
      <c r="Z8" s="2">
        <v>-17600</v>
      </c>
      <c r="DG8" s="2">
        <v>1036000</v>
      </c>
    </row>
    <row r="9" spans="1:111" x14ac:dyDescent="0.2">
      <c r="A9" t="s">
        <v>113</v>
      </c>
      <c r="C9" s="2">
        <v>17600</v>
      </c>
      <c r="D9" s="2">
        <v>16000</v>
      </c>
      <c r="E9" s="2">
        <v>-33600</v>
      </c>
      <c r="F9" s="2">
        <v>-35200</v>
      </c>
      <c r="I9" s="2">
        <v>-17600</v>
      </c>
      <c r="J9" s="2">
        <v>-17600</v>
      </c>
      <c r="DG9" s="2">
        <v>-70400</v>
      </c>
    </row>
    <row r="10" spans="1:111" x14ac:dyDescent="0.2">
      <c r="A10" t="s">
        <v>124</v>
      </c>
      <c r="B10" s="2">
        <v>144000</v>
      </c>
      <c r="C10" s="2">
        <v>369600</v>
      </c>
      <c r="D10" s="2">
        <v>336000</v>
      </c>
      <c r="E10" s="2">
        <v>84000</v>
      </c>
      <c r="F10" s="2">
        <v>88000</v>
      </c>
      <c r="G10" s="2">
        <v>52800</v>
      </c>
      <c r="H10" s="2">
        <v>48000</v>
      </c>
      <c r="I10" s="2">
        <v>228800</v>
      </c>
      <c r="J10" s="2">
        <v>228800</v>
      </c>
      <c r="K10" s="2">
        <v>48000</v>
      </c>
      <c r="L10" s="2">
        <v>220800</v>
      </c>
      <c r="M10" s="2">
        <v>192000</v>
      </c>
      <c r="N10" s="2">
        <v>201600</v>
      </c>
      <c r="DG10" s="2">
        <v>2242400</v>
      </c>
    </row>
    <row r="11" spans="1:111" x14ac:dyDescent="0.2">
      <c r="A11" t="s">
        <v>125</v>
      </c>
      <c r="B11" s="2">
        <v>144000</v>
      </c>
      <c r="C11" s="2">
        <v>352000</v>
      </c>
      <c r="D11" s="2">
        <v>320000</v>
      </c>
      <c r="E11" s="2">
        <v>84000</v>
      </c>
      <c r="F11" s="2">
        <v>88000</v>
      </c>
      <c r="G11" s="2">
        <v>88000</v>
      </c>
      <c r="H11" s="2">
        <v>160000</v>
      </c>
      <c r="I11" s="2">
        <v>968000</v>
      </c>
      <c r="J11" s="2">
        <v>968000</v>
      </c>
      <c r="K11" s="2">
        <v>80000</v>
      </c>
      <c r="L11" s="2">
        <v>184000</v>
      </c>
      <c r="M11" s="2">
        <v>160000</v>
      </c>
      <c r="N11" s="2">
        <v>168000</v>
      </c>
      <c r="O11" s="2">
        <v>88000</v>
      </c>
      <c r="P11" s="2">
        <v>80000</v>
      </c>
      <c r="Q11" s="2">
        <v>84000</v>
      </c>
      <c r="R11" s="2">
        <v>88000</v>
      </c>
      <c r="S11" s="2">
        <v>84000</v>
      </c>
      <c r="T11" s="2">
        <v>84000</v>
      </c>
      <c r="U11" s="2">
        <v>52800</v>
      </c>
      <c r="V11" s="2">
        <v>50400</v>
      </c>
      <c r="W11" s="2">
        <v>84000</v>
      </c>
      <c r="X11" s="2">
        <v>92000</v>
      </c>
      <c r="Y11" s="2">
        <v>76000</v>
      </c>
      <c r="Z11" s="2">
        <v>88000</v>
      </c>
      <c r="AA11" s="2">
        <v>-16800</v>
      </c>
      <c r="AB11" s="2">
        <v>-16000</v>
      </c>
      <c r="AC11" s="2">
        <v>-18400</v>
      </c>
      <c r="AD11" s="2">
        <v>-17600</v>
      </c>
      <c r="AE11" s="2">
        <v>-16000</v>
      </c>
      <c r="AF11" s="2">
        <v>-17600</v>
      </c>
      <c r="AG11" s="2">
        <v>-16800</v>
      </c>
      <c r="AH11" s="2">
        <v>-17600</v>
      </c>
      <c r="AI11" s="2">
        <v>-16800</v>
      </c>
      <c r="AJ11" s="2">
        <v>-16800</v>
      </c>
      <c r="AK11" s="2">
        <v>-16800</v>
      </c>
      <c r="AL11" s="2">
        <v>-18400</v>
      </c>
      <c r="DG11" s="2">
        <v>4509600</v>
      </c>
    </row>
    <row r="12" spans="1:111" x14ac:dyDescent="0.2">
      <c r="A12" t="s">
        <v>78</v>
      </c>
      <c r="B12" s="2">
        <v>14400</v>
      </c>
      <c r="E12" s="2">
        <v>50400</v>
      </c>
      <c r="F12" s="2">
        <v>52800</v>
      </c>
      <c r="G12" s="2">
        <v>123200</v>
      </c>
      <c r="H12" s="2">
        <v>80000</v>
      </c>
      <c r="I12" s="2">
        <v>123200</v>
      </c>
      <c r="J12" s="2">
        <v>123200</v>
      </c>
      <c r="K12" s="2">
        <v>16000</v>
      </c>
      <c r="L12" s="2">
        <v>312800</v>
      </c>
      <c r="M12" s="2">
        <v>272000</v>
      </c>
      <c r="N12" s="2">
        <v>285600</v>
      </c>
      <c r="O12" s="2">
        <v>17600</v>
      </c>
      <c r="P12" s="2">
        <v>16000</v>
      </c>
      <c r="Q12" s="2">
        <v>16800</v>
      </c>
      <c r="R12" s="2">
        <v>17600</v>
      </c>
      <c r="S12" s="2">
        <v>16800</v>
      </c>
      <c r="T12" s="2">
        <v>33600</v>
      </c>
      <c r="U12" s="2">
        <v>35200</v>
      </c>
      <c r="V12" s="2">
        <v>33600</v>
      </c>
      <c r="W12" s="2">
        <v>33600</v>
      </c>
      <c r="X12" s="2">
        <v>36800</v>
      </c>
      <c r="Y12" s="2">
        <v>30400</v>
      </c>
      <c r="Z12" s="2">
        <v>35200</v>
      </c>
      <c r="DG12" s="2">
        <v>1776800</v>
      </c>
    </row>
    <row r="13" spans="1:111" x14ac:dyDescent="0.2">
      <c r="A13" t="s">
        <v>14</v>
      </c>
      <c r="B13" s="2">
        <v>28800</v>
      </c>
      <c r="C13" s="2">
        <v>404800</v>
      </c>
      <c r="D13" s="2">
        <v>368000</v>
      </c>
      <c r="E13" s="2">
        <v>50400</v>
      </c>
      <c r="F13" s="2">
        <v>52800</v>
      </c>
      <c r="G13" s="2">
        <v>17600</v>
      </c>
      <c r="H13" s="2">
        <v>16000</v>
      </c>
      <c r="I13" s="2">
        <v>-246400</v>
      </c>
      <c r="J13" s="2">
        <v>-246400</v>
      </c>
      <c r="K13" s="2">
        <v>-16000</v>
      </c>
      <c r="Q13" s="2">
        <v>117600</v>
      </c>
      <c r="R13" s="2">
        <v>123200</v>
      </c>
      <c r="S13" s="2">
        <v>168000</v>
      </c>
      <c r="T13" s="2">
        <v>218400</v>
      </c>
      <c r="U13" s="2">
        <v>-52800</v>
      </c>
      <c r="V13" s="2">
        <v>-50400</v>
      </c>
      <c r="W13" s="2">
        <v>134400</v>
      </c>
      <c r="X13" s="2">
        <v>184000</v>
      </c>
      <c r="Y13" s="2">
        <v>152000</v>
      </c>
      <c r="Z13" s="2">
        <v>176000</v>
      </c>
      <c r="AA13" s="2">
        <v>67200</v>
      </c>
      <c r="AB13" s="2">
        <v>64000</v>
      </c>
      <c r="AC13" s="2">
        <v>73600</v>
      </c>
      <c r="AD13" s="2">
        <v>70400</v>
      </c>
      <c r="AE13" s="2">
        <v>64000</v>
      </c>
      <c r="AF13" s="2">
        <v>70400</v>
      </c>
      <c r="AG13" s="2">
        <v>117600</v>
      </c>
      <c r="AH13" s="2">
        <v>123200</v>
      </c>
      <c r="AI13" s="2">
        <v>67200</v>
      </c>
      <c r="AJ13" s="2">
        <v>67200</v>
      </c>
      <c r="AK13" s="2">
        <v>67200</v>
      </c>
      <c r="AL13" s="2">
        <v>73600</v>
      </c>
      <c r="AM13" s="2">
        <v>16800</v>
      </c>
      <c r="AN13" s="2">
        <v>16000</v>
      </c>
      <c r="AO13" s="2">
        <v>18400</v>
      </c>
      <c r="AP13" s="2">
        <v>16800</v>
      </c>
      <c r="AQ13" s="2">
        <v>16800</v>
      </c>
      <c r="AR13" s="2">
        <v>17600</v>
      </c>
      <c r="AS13" s="2">
        <v>16000</v>
      </c>
      <c r="AT13" s="2">
        <v>18400</v>
      </c>
      <c r="AU13" s="2">
        <v>16800</v>
      </c>
      <c r="AV13" s="2">
        <v>16800</v>
      </c>
      <c r="AW13" s="2">
        <v>16800</v>
      </c>
      <c r="AX13" s="2">
        <v>16800</v>
      </c>
      <c r="DG13" s="2">
        <v>2729600</v>
      </c>
    </row>
    <row r="14" spans="1:111" x14ac:dyDescent="0.2">
      <c r="A14" t="s">
        <v>15</v>
      </c>
      <c r="B14" s="2">
        <v>917920</v>
      </c>
      <c r="C14" s="2">
        <v>133760</v>
      </c>
      <c r="D14" s="2">
        <v>153600</v>
      </c>
      <c r="E14" s="2">
        <v>-594720</v>
      </c>
      <c r="F14" s="2">
        <v>-570240</v>
      </c>
      <c r="G14" s="2">
        <v>-394240</v>
      </c>
      <c r="H14" s="2">
        <v>-496000</v>
      </c>
      <c r="I14" s="2">
        <v>263648</v>
      </c>
      <c r="J14" s="2">
        <v>263648</v>
      </c>
      <c r="K14" s="2">
        <v>-384000</v>
      </c>
      <c r="L14" s="2">
        <v>734850</v>
      </c>
      <c r="M14" s="2">
        <v>639000</v>
      </c>
      <c r="N14" s="2">
        <v>670950</v>
      </c>
      <c r="O14" s="2">
        <v>-404800</v>
      </c>
      <c r="P14" s="2">
        <v>-368000</v>
      </c>
      <c r="Q14" s="2">
        <v>-117600</v>
      </c>
      <c r="R14" s="2">
        <v>-123200</v>
      </c>
      <c r="S14" s="2">
        <v>-298200</v>
      </c>
      <c r="T14" s="2">
        <v>-134400</v>
      </c>
      <c r="U14" s="2">
        <v>-721952</v>
      </c>
      <c r="V14" s="2">
        <v>-689136</v>
      </c>
      <c r="W14" s="2">
        <v>-134400</v>
      </c>
      <c r="X14" s="2">
        <v>128800</v>
      </c>
      <c r="Y14" s="2">
        <v>106400</v>
      </c>
      <c r="Z14" s="2">
        <v>123200</v>
      </c>
      <c r="AA14" s="2">
        <v>91056</v>
      </c>
      <c r="AB14" s="2">
        <v>86720</v>
      </c>
      <c r="AC14" s="2">
        <v>99728</v>
      </c>
      <c r="AD14" s="2">
        <v>95040</v>
      </c>
      <c r="AE14" s="2">
        <v>86400</v>
      </c>
      <c r="AF14" s="2">
        <v>-186912</v>
      </c>
      <c r="AG14" s="2">
        <v>56112</v>
      </c>
      <c r="AH14" s="2">
        <v>59136</v>
      </c>
      <c r="AI14" s="2">
        <v>90720</v>
      </c>
      <c r="AJ14" s="2">
        <v>90720</v>
      </c>
      <c r="AK14" s="2">
        <v>90720</v>
      </c>
      <c r="AL14" s="2">
        <v>99360</v>
      </c>
      <c r="AM14" s="2">
        <v>23856</v>
      </c>
      <c r="AN14" s="2">
        <v>22720</v>
      </c>
      <c r="AO14" s="2">
        <v>26128</v>
      </c>
      <c r="AP14" s="2">
        <v>23520</v>
      </c>
      <c r="AQ14" s="2">
        <v>23520</v>
      </c>
      <c r="AR14" s="2">
        <v>6688</v>
      </c>
      <c r="AS14" s="2">
        <v>21440</v>
      </c>
      <c r="AT14" s="2">
        <v>25024</v>
      </c>
      <c r="AU14" s="2">
        <v>23520</v>
      </c>
      <c r="AV14" s="2">
        <v>23520</v>
      </c>
      <c r="AW14" s="2">
        <v>23520</v>
      </c>
      <c r="AX14" s="2">
        <v>23520</v>
      </c>
      <c r="AY14" s="2">
        <v>-54096</v>
      </c>
      <c r="AZ14" s="2">
        <v>-51520</v>
      </c>
      <c r="BA14" s="2">
        <v>-60720</v>
      </c>
      <c r="BB14" s="2">
        <v>-52800</v>
      </c>
      <c r="BC14" s="2">
        <v>-54912</v>
      </c>
      <c r="BD14" s="2">
        <v>-53504</v>
      </c>
      <c r="BE14" s="2">
        <v>-46720</v>
      </c>
      <c r="BF14" s="2">
        <v>-52992</v>
      </c>
      <c r="BG14" s="2">
        <v>-50560</v>
      </c>
      <c r="BH14" s="2">
        <v>-55968</v>
      </c>
      <c r="BI14" s="2">
        <v>-53760</v>
      </c>
      <c r="BJ14" s="2">
        <v>-50880</v>
      </c>
      <c r="BK14" s="2">
        <v>-21472</v>
      </c>
      <c r="BL14" s="2">
        <v>-19520</v>
      </c>
      <c r="BM14" s="2">
        <v>-22880</v>
      </c>
      <c r="BN14" s="2">
        <v>-21840</v>
      </c>
      <c r="BO14" s="2">
        <v>-19712</v>
      </c>
      <c r="BP14" s="2">
        <v>-17472</v>
      </c>
      <c r="BQ14" s="2">
        <v>-15456</v>
      </c>
      <c r="BR14" s="2">
        <v>-16192</v>
      </c>
      <c r="BS14" s="2">
        <v>-17632</v>
      </c>
      <c r="BT14" s="2">
        <v>-21712</v>
      </c>
      <c r="BU14" s="2">
        <v>-20160</v>
      </c>
      <c r="BV14" s="2">
        <v>-18880</v>
      </c>
      <c r="BW14" s="2">
        <v>-3872</v>
      </c>
      <c r="BX14" s="2">
        <v>-3696</v>
      </c>
      <c r="BY14" s="2">
        <v>-5040</v>
      </c>
      <c r="BZ14" s="2">
        <v>-5280</v>
      </c>
      <c r="CA14" s="2">
        <v>-2016</v>
      </c>
      <c r="CB14">
        <v>-672</v>
      </c>
      <c r="CC14" s="2">
        <v>1408</v>
      </c>
      <c r="CD14" s="2">
        <v>2016</v>
      </c>
      <c r="CE14" s="2">
        <v>6720</v>
      </c>
      <c r="CF14" s="2">
        <v>7360</v>
      </c>
      <c r="CG14" s="2">
        <v>6080</v>
      </c>
      <c r="CH14" s="2">
        <v>7040</v>
      </c>
      <c r="CI14" s="2">
        <v>-67872</v>
      </c>
      <c r="CJ14" s="2">
        <v>-64640</v>
      </c>
      <c r="CK14" s="2">
        <v>-71104</v>
      </c>
      <c r="CL14" s="2">
        <v>-71456</v>
      </c>
      <c r="CM14" s="2">
        <v>-64960</v>
      </c>
      <c r="CN14" s="2">
        <v>-71808</v>
      </c>
      <c r="CO14" s="2">
        <v>-73600</v>
      </c>
      <c r="CP14" s="2">
        <v>-67200</v>
      </c>
      <c r="CQ14" s="2">
        <v>-67200</v>
      </c>
      <c r="CR14" s="2">
        <v>-70400</v>
      </c>
      <c r="CS14" s="2">
        <v>-64000</v>
      </c>
      <c r="CT14" s="2">
        <v>-70400</v>
      </c>
      <c r="CU14" s="2">
        <v>-16000</v>
      </c>
      <c r="CV14" s="2">
        <v>-16000</v>
      </c>
      <c r="CW14" s="2">
        <v>-18400</v>
      </c>
      <c r="CX14" s="2">
        <v>-17600</v>
      </c>
      <c r="CY14" s="2">
        <v>-16000</v>
      </c>
      <c r="CZ14" s="2">
        <v>-17600</v>
      </c>
      <c r="DA14" s="2">
        <v>-16800</v>
      </c>
      <c r="DB14" s="2">
        <v>-17600</v>
      </c>
      <c r="DC14" s="2">
        <v>-16800</v>
      </c>
      <c r="DD14" s="2">
        <v>-16800</v>
      </c>
      <c r="DE14" s="2">
        <v>-16800</v>
      </c>
      <c r="DF14" s="2">
        <v>-18400</v>
      </c>
      <c r="DG14" s="2">
        <v>-2160088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G10"/>
  <sheetViews>
    <sheetView workbookViewId="0"/>
  </sheetViews>
  <sheetFormatPr defaultRowHeight="12.75" x14ac:dyDescent="0.2"/>
  <sheetData>
    <row r="1" spans="1:111" x14ac:dyDescent="0.2">
      <c r="B1" s="1">
        <v>37226</v>
      </c>
      <c r="C1" s="1">
        <v>37257</v>
      </c>
      <c r="D1" s="1">
        <v>37288</v>
      </c>
      <c r="E1" s="1">
        <v>37316</v>
      </c>
      <c r="F1" s="1">
        <v>37347</v>
      </c>
      <c r="G1" s="1">
        <v>37377</v>
      </c>
      <c r="H1" s="1">
        <v>37408</v>
      </c>
      <c r="I1" s="1">
        <v>37438</v>
      </c>
      <c r="J1" s="1">
        <v>37469</v>
      </c>
      <c r="K1" s="1">
        <v>37500</v>
      </c>
      <c r="L1" s="1">
        <v>37530</v>
      </c>
      <c r="M1" s="1">
        <v>37561</v>
      </c>
      <c r="N1" s="1">
        <v>37591</v>
      </c>
      <c r="O1" s="1">
        <v>37622</v>
      </c>
      <c r="P1" s="1">
        <v>37653</v>
      </c>
      <c r="Q1" s="1">
        <v>37681</v>
      </c>
      <c r="R1" s="1">
        <v>37712</v>
      </c>
      <c r="S1" s="1">
        <v>37742</v>
      </c>
      <c r="T1" s="1">
        <v>37773</v>
      </c>
      <c r="U1" s="1">
        <v>37803</v>
      </c>
      <c r="V1" s="1">
        <v>37834</v>
      </c>
      <c r="W1" s="1">
        <v>37865</v>
      </c>
      <c r="X1" s="1">
        <v>37895</v>
      </c>
      <c r="Y1" s="1">
        <v>37926</v>
      </c>
      <c r="Z1" s="1">
        <v>37956</v>
      </c>
      <c r="AA1" s="1">
        <v>37987</v>
      </c>
      <c r="AB1" s="1">
        <v>38018</v>
      </c>
      <c r="AC1" s="1">
        <v>38047</v>
      </c>
      <c r="AD1" s="1">
        <v>38078</v>
      </c>
      <c r="AE1" s="1">
        <v>38108</v>
      </c>
      <c r="AF1" s="1">
        <v>38139</v>
      </c>
      <c r="AG1" s="1">
        <v>38169</v>
      </c>
      <c r="AH1" s="1">
        <v>38200</v>
      </c>
      <c r="AI1" s="1">
        <v>38231</v>
      </c>
      <c r="AJ1" s="1">
        <v>38261</v>
      </c>
      <c r="AK1" s="1">
        <v>38292</v>
      </c>
      <c r="AL1" s="1">
        <v>38322</v>
      </c>
      <c r="AM1" s="1">
        <v>38353</v>
      </c>
      <c r="AN1" s="1">
        <v>38384</v>
      </c>
      <c r="AO1" s="1">
        <v>38412</v>
      </c>
      <c r="AP1" s="1">
        <v>38443</v>
      </c>
      <c r="AQ1" s="1">
        <v>38473</v>
      </c>
      <c r="AR1" s="1">
        <v>38504</v>
      </c>
      <c r="AS1" s="1">
        <v>38534</v>
      </c>
      <c r="AT1" s="1">
        <v>38565</v>
      </c>
      <c r="AU1" s="1">
        <v>38596</v>
      </c>
      <c r="AV1" s="1">
        <v>38626</v>
      </c>
      <c r="AW1" s="1">
        <v>38657</v>
      </c>
      <c r="AX1" s="1">
        <v>38687</v>
      </c>
      <c r="AY1" s="1">
        <v>38718</v>
      </c>
      <c r="AZ1" s="1">
        <v>38749</v>
      </c>
      <c r="BA1" s="1">
        <v>38777</v>
      </c>
      <c r="BB1" s="1">
        <v>38808</v>
      </c>
      <c r="BC1" s="1">
        <v>38838</v>
      </c>
      <c r="BD1" s="1">
        <v>38869</v>
      </c>
      <c r="BE1" s="1">
        <v>38899</v>
      </c>
      <c r="BF1" s="1">
        <v>38930</v>
      </c>
      <c r="BG1" s="1">
        <v>38961</v>
      </c>
      <c r="BH1" s="1">
        <v>38991</v>
      </c>
      <c r="BI1" s="1">
        <v>39022</v>
      </c>
      <c r="BJ1" s="1">
        <v>39052</v>
      </c>
      <c r="BK1" s="1">
        <v>39083</v>
      </c>
      <c r="BL1" s="1">
        <v>39114</v>
      </c>
      <c r="BM1" s="1">
        <v>39142</v>
      </c>
      <c r="BN1" s="1">
        <v>39173</v>
      </c>
      <c r="BO1" s="1">
        <v>39203</v>
      </c>
      <c r="BP1" s="1">
        <v>39234</v>
      </c>
      <c r="BQ1" s="1">
        <v>39264</v>
      </c>
      <c r="BR1" s="1">
        <v>39295</v>
      </c>
      <c r="BS1" s="1">
        <v>39326</v>
      </c>
      <c r="BT1" s="1">
        <v>39356</v>
      </c>
      <c r="BU1" s="1">
        <v>39387</v>
      </c>
      <c r="BV1" s="1">
        <v>39417</v>
      </c>
      <c r="BW1" s="1">
        <v>39448</v>
      </c>
      <c r="BX1" s="1">
        <v>39479</v>
      </c>
      <c r="BY1" s="1">
        <v>39508</v>
      </c>
      <c r="BZ1" s="1">
        <v>39539</v>
      </c>
      <c r="CA1" s="1">
        <v>39569</v>
      </c>
      <c r="CB1" s="1">
        <v>39600</v>
      </c>
      <c r="CC1" s="1">
        <v>39630</v>
      </c>
      <c r="CD1" s="1">
        <v>39661</v>
      </c>
      <c r="CE1" s="1">
        <v>39692</v>
      </c>
      <c r="CF1" s="1">
        <v>39722</v>
      </c>
      <c r="CG1" s="1">
        <v>39753</v>
      </c>
      <c r="CH1" s="1">
        <v>39783</v>
      </c>
      <c r="CI1" s="1">
        <v>39814</v>
      </c>
      <c r="CJ1" s="1">
        <v>39845</v>
      </c>
      <c r="CK1" s="1">
        <v>39873</v>
      </c>
      <c r="CL1" s="1">
        <v>39904</v>
      </c>
      <c r="CM1" s="1">
        <v>39934</v>
      </c>
      <c r="CN1" s="1">
        <v>39965</v>
      </c>
      <c r="CO1" s="1">
        <v>39995</v>
      </c>
      <c r="CP1" s="1">
        <v>40026</v>
      </c>
      <c r="CQ1" s="1">
        <v>40057</v>
      </c>
      <c r="CR1" s="1">
        <v>40087</v>
      </c>
      <c r="CS1" s="1">
        <v>40118</v>
      </c>
      <c r="CT1" s="1">
        <v>40148</v>
      </c>
      <c r="CU1" s="1">
        <v>40179</v>
      </c>
      <c r="CV1" s="1">
        <v>40210</v>
      </c>
      <c r="CW1" s="1">
        <v>40238</v>
      </c>
      <c r="CX1" s="1">
        <v>40269</v>
      </c>
      <c r="CY1" s="1">
        <v>40299</v>
      </c>
      <c r="CZ1" s="1">
        <v>40330</v>
      </c>
      <c r="DA1" s="1">
        <v>40360</v>
      </c>
      <c r="DB1" s="1">
        <v>40391</v>
      </c>
      <c r="DC1" s="1">
        <v>40422</v>
      </c>
      <c r="DD1" s="1">
        <v>40452</v>
      </c>
      <c r="DE1" s="1">
        <v>40483</v>
      </c>
      <c r="DF1" s="1">
        <v>40513</v>
      </c>
    </row>
    <row r="2" spans="1:111" x14ac:dyDescent="0.2">
      <c r="A2" t="s">
        <v>0</v>
      </c>
      <c r="B2" t="s">
        <v>25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  <c r="AE2" t="s">
        <v>25</v>
      </c>
      <c r="AF2" t="s">
        <v>25</v>
      </c>
      <c r="AG2" t="s">
        <v>25</v>
      </c>
      <c r="AH2" t="s">
        <v>25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 t="s">
        <v>25</v>
      </c>
      <c r="BX2" t="s">
        <v>25</v>
      </c>
      <c r="BY2" t="s">
        <v>25</v>
      </c>
      <c r="BZ2" t="s">
        <v>25</v>
      </c>
      <c r="CA2" t="s">
        <v>25</v>
      </c>
      <c r="CB2" t="s">
        <v>25</v>
      </c>
      <c r="CC2" t="s">
        <v>25</v>
      </c>
      <c r="CD2" t="s">
        <v>25</v>
      </c>
      <c r="CE2" t="s">
        <v>25</v>
      </c>
      <c r="CF2" t="s">
        <v>25</v>
      </c>
      <c r="CG2" t="s">
        <v>25</v>
      </c>
      <c r="CH2" t="s">
        <v>25</v>
      </c>
      <c r="CI2" t="s">
        <v>25</v>
      </c>
      <c r="CJ2" t="s">
        <v>25</v>
      </c>
      <c r="CK2" t="s">
        <v>25</v>
      </c>
      <c r="CL2" t="s">
        <v>25</v>
      </c>
      <c r="CM2" t="s">
        <v>25</v>
      </c>
      <c r="CN2" t="s">
        <v>25</v>
      </c>
      <c r="CO2" t="s">
        <v>25</v>
      </c>
      <c r="CP2" t="s">
        <v>25</v>
      </c>
      <c r="CQ2" t="s">
        <v>25</v>
      </c>
      <c r="CR2" t="s">
        <v>25</v>
      </c>
      <c r="CS2" t="s">
        <v>25</v>
      </c>
      <c r="CT2" t="s">
        <v>25</v>
      </c>
      <c r="CU2" t="s">
        <v>25</v>
      </c>
      <c r="CV2" t="s">
        <v>25</v>
      </c>
      <c r="CW2" t="s">
        <v>25</v>
      </c>
      <c r="CX2" t="s">
        <v>25</v>
      </c>
      <c r="CY2" t="s">
        <v>25</v>
      </c>
      <c r="CZ2" t="s">
        <v>25</v>
      </c>
      <c r="DA2" t="s">
        <v>25</v>
      </c>
      <c r="DB2" t="s">
        <v>25</v>
      </c>
      <c r="DC2" t="s">
        <v>25</v>
      </c>
      <c r="DD2" t="s">
        <v>25</v>
      </c>
      <c r="DE2" t="s">
        <v>25</v>
      </c>
      <c r="DF2" t="s">
        <v>25</v>
      </c>
      <c r="DG2" t="s">
        <v>2</v>
      </c>
    </row>
    <row r="3" spans="1:111" x14ac:dyDescent="0.2">
      <c r="A3" t="s">
        <v>3</v>
      </c>
      <c r="B3" s="2">
        <v>29600</v>
      </c>
      <c r="C3" s="2">
        <v>-97624</v>
      </c>
      <c r="D3" s="2">
        <v>-87584</v>
      </c>
      <c r="E3" s="2">
        <v>-81816</v>
      </c>
      <c r="F3" s="2">
        <v>-72639</v>
      </c>
      <c r="G3" s="2">
        <v>-58424</v>
      </c>
      <c r="H3" s="2">
        <v>-20400</v>
      </c>
      <c r="I3" s="2">
        <v>-19224</v>
      </c>
      <c r="J3" s="2">
        <v>-19224</v>
      </c>
      <c r="K3" s="2">
        <v>-60400</v>
      </c>
      <c r="L3" s="2">
        <v>-54409</v>
      </c>
      <c r="M3" s="2">
        <v>-59400</v>
      </c>
      <c r="N3" s="2">
        <v>-60366</v>
      </c>
      <c r="O3" s="2">
        <v>-97624</v>
      </c>
      <c r="P3" s="2">
        <v>-87584</v>
      </c>
      <c r="Q3" s="2">
        <v>-102216</v>
      </c>
      <c r="R3" s="2">
        <v>-90989</v>
      </c>
      <c r="S3" s="2">
        <v>-106416</v>
      </c>
      <c r="T3" s="2">
        <v>-95808</v>
      </c>
      <c r="U3" s="2">
        <v>-97624</v>
      </c>
      <c r="V3" s="2">
        <v>-102216</v>
      </c>
      <c r="W3" s="2">
        <v>-95808</v>
      </c>
      <c r="X3" s="2">
        <v>-93259</v>
      </c>
      <c r="Y3" s="2">
        <v>-104992</v>
      </c>
      <c r="Z3" s="2">
        <v>-97624</v>
      </c>
      <c r="AA3" s="2">
        <v>50184</v>
      </c>
      <c r="AB3" s="2">
        <v>46248</v>
      </c>
      <c r="AC3" s="2">
        <v>46248</v>
      </c>
      <c r="AD3" s="2">
        <v>45141</v>
      </c>
      <c r="AE3" s="2">
        <v>52152</v>
      </c>
      <c r="AF3" s="2">
        <v>45264</v>
      </c>
      <c r="AG3" s="2">
        <v>50184</v>
      </c>
      <c r="AH3" s="2">
        <v>48216</v>
      </c>
      <c r="AI3" s="2">
        <v>47232</v>
      </c>
      <c r="AJ3" s="2">
        <v>50307</v>
      </c>
      <c r="AK3" s="2">
        <v>47232</v>
      </c>
      <c r="AL3" s="2">
        <v>46248</v>
      </c>
      <c r="AM3" s="2">
        <v>70584</v>
      </c>
      <c r="AN3" s="2">
        <v>60896</v>
      </c>
      <c r="AO3" s="2">
        <v>65048</v>
      </c>
      <c r="AP3" s="2">
        <v>66259</v>
      </c>
      <c r="AQ3" s="2">
        <v>70584</v>
      </c>
      <c r="AR3" s="2">
        <v>63664</v>
      </c>
      <c r="AS3" s="2">
        <v>73352</v>
      </c>
      <c r="AT3" s="2">
        <v>65048</v>
      </c>
      <c r="AU3" s="2">
        <v>66432</v>
      </c>
      <c r="AV3" s="2">
        <v>70757</v>
      </c>
      <c r="AW3" s="2">
        <v>66432</v>
      </c>
      <c r="AX3" s="2">
        <v>70584</v>
      </c>
      <c r="AY3" s="2">
        <v>29784</v>
      </c>
      <c r="AZ3" s="2">
        <v>25696</v>
      </c>
      <c r="BA3" s="2">
        <v>27448</v>
      </c>
      <c r="BB3" s="2">
        <v>29127</v>
      </c>
      <c r="BC3" s="2">
        <v>28616</v>
      </c>
      <c r="BD3" s="2">
        <v>26864</v>
      </c>
      <c r="BE3" s="2">
        <v>30952</v>
      </c>
      <c r="BF3" s="2">
        <v>27448</v>
      </c>
      <c r="BG3" s="2">
        <v>29200</v>
      </c>
      <c r="BH3" s="2">
        <v>28689</v>
      </c>
      <c r="BI3" s="2">
        <v>28032</v>
      </c>
      <c r="BJ3" s="2">
        <v>30952</v>
      </c>
      <c r="BK3" s="2">
        <v>9016</v>
      </c>
      <c r="BL3" s="2">
        <v>8096</v>
      </c>
      <c r="BM3" s="2">
        <v>9016</v>
      </c>
      <c r="BN3" s="2">
        <v>8809</v>
      </c>
      <c r="BO3" s="2">
        <v>9016</v>
      </c>
      <c r="BP3" s="2">
        <v>8832</v>
      </c>
      <c r="BQ3" s="2">
        <v>9384</v>
      </c>
      <c r="BR3" s="2">
        <v>8648</v>
      </c>
      <c r="BS3" s="2">
        <v>9568</v>
      </c>
      <c r="BT3" s="2">
        <v>8671</v>
      </c>
      <c r="BU3" s="2">
        <v>8832</v>
      </c>
      <c r="BV3" s="2">
        <v>9752</v>
      </c>
      <c r="BW3" s="2">
        <v>-10584</v>
      </c>
      <c r="BX3" s="2">
        <v>-9720</v>
      </c>
      <c r="BY3" s="2">
        <v>-11016</v>
      </c>
      <c r="BZ3" s="2">
        <v>-9909</v>
      </c>
      <c r="CA3" s="2">
        <v>-11016</v>
      </c>
      <c r="CB3" s="2">
        <v>-10368</v>
      </c>
      <c r="CC3" s="2">
        <v>-10584</v>
      </c>
      <c r="CD3" s="2">
        <v>-11016</v>
      </c>
      <c r="CE3" s="2">
        <v>-10368</v>
      </c>
      <c r="CF3" s="2">
        <v>-10179</v>
      </c>
      <c r="CG3" s="2">
        <v>-11232</v>
      </c>
      <c r="CH3" s="2">
        <v>-10584</v>
      </c>
      <c r="DG3" s="2">
        <v>-125902</v>
      </c>
    </row>
    <row r="4" spans="1:111" x14ac:dyDescent="0.2">
      <c r="A4" t="s">
        <v>35</v>
      </c>
      <c r="B4" s="2">
        <v>18000</v>
      </c>
      <c r="O4" s="2">
        <v>-9800</v>
      </c>
      <c r="P4" s="2">
        <v>-8800</v>
      </c>
      <c r="Q4" s="2">
        <v>-10200</v>
      </c>
      <c r="R4" s="2">
        <v>-9175</v>
      </c>
      <c r="S4" s="2">
        <v>-10200</v>
      </c>
      <c r="T4" s="2">
        <v>-9600</v>
      </c>
      <c r="U4" s="2">
        <v>-9800</v>
      </c>
      <c r="V4" s="2">
        <v>-10200</v>
      </c>
      <c r="W4" s="2">
        <v>-9600</v>
      </c>
      <c r="X4" s="2">
        <v>-9425</v>
      </c>
      <c r="Y4" s="2">
        <v>-10400</v>
      </c>
      <c r="Z4" s="2">
        <v>-9800</v>
      </c>
      <c r="DG4" s="2">
        <v>-99000</v>
      </c>
    </row>
    <row r="5" spans="1:111" x14ac:dyDescent="0.2">
      <c r="A5" t="s">
        <v>26</v>
      </c>
      <c r="C5" s="2">
        <v>10584</v>
      </c>
      <c r="D5" s="2">
        <v>9504</v>
      </c>
      <c r="E5" s="2">
        <v>11016</v>
      </c>
      <c r="F5" s="2">
        <v>9909</v>
      </c>
      <c r="G5" s="2">
        <v>10584</v>
      </c>
      <c r="H5" s="2">
        <v>10800</v>
      </c>
      <c r="I5" s="2">
        <v>10584</v>
      </c>
      <c r="J5" s="2">
        <v>10584</v>
      </c>
      <c r="K5" s="2">
        <v>10800</v>
      </c>
      <c r="L5" s="2">
        <v>10179</v>
      </c>
      <c r="M5" s="2">
        <v>10800</v>
      </c>
      <c r="N5" s="2">
        <v>11016</v>
      </c>
      <c r="O5" s="2">
        <v>10584</v>
      </c>
      <c r="P5" s="2">
        <v>9504</v>
      </c>
      <c r="Q5" s="2">
        <v>11016</v>
      </c>
      <c r="R5" s="2">
        <v>9909</v>
      </c>
      <c r="S5" s="2">
        <v>11016</v>
      </c>
      <c r="T5" s="2">
        <v>10368</v>
      </c>
      <c r="U5" s="2">
        <v>10584</v>
      </c>
      <c r="V5" s="2">
        <v>11016</v>
      </c>
      <c r="W5" s="2">
        <v>10368</v>
      </c>
      <c r="X5" s="2">
        <v>10179</v>
      </c>
      <c r="Y5" s="2">
        <v>11232</v>
      </c>
      <c r="Z5" s="2">
        <v>10584</v>
      </c>
      <c r="DG5" s="2">
        <v>252720</v>
      </c>
    </row>
    <row r="6" spans="1:111" x14ac:dyDescent="0.2">
      <c r="A6" t="s">
        <v>6</v>
      </c>
      <c r="B6" s="2">
        <v>54000</v>
      </c>
      <c r="C6" s="2">
        <v>-58800</v>
      </c>
      <c r="D6" s="2">
        <v>-52800</v>
      </c>
      <c r="E6" s="2">
        <v>-40800</v>
      </c>
      <c r="F6" s="2">
        <v>-36700</v>
      </c>
      <c r="G6" s="2">
        <v>-39200</v>
      </c>
      <c r="H6" s="2">
        <v>-40000</v>
      </c>
      <c r="I6" s="2">
        <v>19600</v>
      </c>
      <c r="J6" s="2">
        <v>19600</v>
      </c>
      <c r="K6" s="2">
        <v>-40000</v>
      </c>
      <c r="L6" s="2">
        <v>-37700</v>
      </c>
      <c r="M6" s="2">
        <v>-40000</v>
      </c>
      <c r="N6" s="2">
        <v>-40800</v>
      </c>
      <c r="O6" s="2">
        <v>-19600</v>
      </c>
      <c r="P6" s="2">
        <v>-17600</v>
      </c>
      <c r="Q6" s="2">
        <v>-20400</v>
      </c>
      <c r="R6" s="2">
        <v>-18350</v>
      </c>
      <c r="S6" s="2">
        <v>-20400</v>
      </c>
      <c r="T6" s="2">
        <v>-19200</v>
      </c>
      <c r="U6" s="2">
        <v>-19600</v>
      </c>
      <c r="V6" s="2">
        <v>-20400</v>
      </c>
      <c r="W6" s="2">
        <v>-19200</v>
      </c>
      <c r="X6" s="2">
        <v>-18850</v>
      </c>
      <c r="Y6" s="2">
        <v>-20800</v>
      </c>
      <c r="Z6" s="2">
        <v>-19600</v>
      </c>
      <c r="AY6" s="2">
        <v>-30600</v>
      </c>
      <c r="AZ6" s="2">
        <v>-25696</v>
      </c>
      <c r="BA6" s="2">
        <v>-28200</v>
      </c>
      <c r="BB6" s="2">
        <v>-29550</v>
      </c>
      <c r="BC6" s="2">
        <v>-25480</v>
      </c>
      <c r="BD6" s="2">
        <v>-22816</v>
      </c>
      <c r="BE6" s="2">
        <v>-25016</v>
      </c>
      <c r="BF6" s="2">
        <v>-22184</v>
      </c>
      <c r="BG6" s="2">
        <v>-26000</v>
      </c>
      <c r="BH6" s="2">
        <v>-25922</v>
      </c>
      <c r="BI6" s="2">
        <v>-28416</v>
      </c>
      <c r="BJ6" s="2">
        <v>-30952</v>
      </c>
      <c r="BK6" s="2">
        <v>-29400</v>
      </c>
      <c r="BL6" s="2">
        <v>-25696</v>
      </c>
      <c r="BM6" s="2">
        <v>-29400</v>
      </c>
      <c r="BN6" s="2">
        <v>-28366</v>
      </c>
      <c r="BO6" s="2">
        <v>-25480</v>
      </c>
      <c r="BP6" s="2">
        <v>-23808</v>
      </c>
      <c r="BQ6" s="2">
        <v>-24072</v>
      </c>
      <c r="BR6" s="2">
        <v>-22184</v>
      </c>
      <c r="BS6" s="2">
        <v>-27040</v>
      </c>
      <c r="BT6" s="2">
        <v>-24866</v>
      </c>
      <c r="BU6" s="2">
        <v>-28416</v>
      </c>
      <c r="BV6" s="2">
        <v>-30952</v>
      </c>
      <c r="BW6" s="2">
        <v>-29400</v>
      </c>
      <c r="BX6" s="2">
        <v>-26280</v>
      </c>
      <c r="BY6" s="2">
        <v>-30600</v>
      </c>
      <c r="BZ6" s="2">
        <v>-27182</v>
      </c>
      <c r="CA6" s="2">
        <v>-26520</v>
      </c>
      <c r="CB6" s="2">
        <v>-23808</v>
      </c>
      <c r="CC6" s="2">
        <v>-23128</v>
      </c>
      <c r="CD6" s="2">
        <v>-24072</v>
      </c>
      <c r="CE6" s="2">
        <v>-19200</v>
      </c>
      <c r="CF6" s="2">
        <v>-18850</v>
      </c>
      <c r="CG6" s="2">
        <v>-20800</v>
      </c>
      <c r="CH6" s="2">
        <v>-19600</v>
      </c>
      <c r="CI6" s="2">
        <v>-20400</v>
      </c>
      <c r="CJ6" s="2">
        <v>-17600</v>
      </c>
      <c r="CK6" s="2">
        <v>-19600</v>
      </c>
      <c r="CL6" s="2">
        <v>-18350</v>
      </c>
      <c r="CM6" s="2">
        <v>-21200</v>
      </c>
      <c r="CN6" s="2">
        <v>-18400</v>
      </c>
      <c r="CO6" s="2">
        <v>-18800</v>
      </c>
      <c r="CP6" s="2">
        <v>-20400</v>
      </c>
      <c r="CQ6" s="2">
        <v>-19200</v>
      </c>
      <c r="CR6" s="2">
        <v>-19650</v>
      </c>
      <c r="CS6" s="2">
        <v>-20000</v>
      </c>
      <c r="CT6" s="2">
        <v>-19600</v>
      </c>
      <c r="CU6" s="2">
        <v>-21200</v>
      </c>
      <c r="CV6" s="2">
        <v>-17600</v>
      </c>
      <c r="CW6" s="2">
        <v>-18800</v>
      </c>
      <c r="CX6" s="2">
        <v>-18350</v>
      </c>
      <c r="CY6" s="2">
        <v>-21200</v>
      </c>
      <c r="CZ6" s="2">
        <v>-18400</v>
      </c>
      <c r="DA6" s="2">
        <v>-20400</v>
      </c>
      <c r="DB6" s="2">
        <v>-19600</v>
      </c>
      <c r="DC6" s="2">
        <v>-19200</v>
      </c>
      <c r="DD6" s="2">
        <v>-20450</v>
      </c>
      <c r="DE6" s="2">
        <v>-19200</v>
      </c>
      <c r="DF6" s="2">
        <v>-18800</v>
      </c>
      <c r="DG6" s="2">
        <v>-1963952</v>
      </c>
    </row>
    <row r="7" spans="1:111" x14ac:dyDescent="0.2">
      <c r="A7" t="s">
        <v>7</v>
      </c>
      <c r="C7" s="2">
        <v>19600</v>
      </c>
      <c r="D7" s="2">
        <v>17600</v>
      </c>
      <c r="E7" s="2">
        <v>20400</v>
      </c>
      <c r="F7" s="2">
        <v>18350</v>
      </c>
      <c r="G7" s="2">
        <v>19600</v>
      </c>
      <c r="H7" s="2">
        <v>20000</v>
      </c>
      <c r="I7" s="2">
        <v>19600</v>
      </c>
      <c r="J7" s="2">
        <v>19600</v>
      </c>
      <c r="K7" s="2">
        <v>20000</v>
      </c>
      <c r="L7" s="2">
        <v>18850</v>
      </c>
      <c r="M7" s="2">
        <v>20000</v>
      </c>
      <c r="N7" s="2">
        <v>20400</v>
      </c>
      <c r="O7" s="2">
        <v>-39200</v>
      </c>
      <c r="P7" s="2">
        <v>-35200</v>
      </c>
      <c r="Q7" s="2">
        <v>-40800</v>
      </c>
      <c r="R7" s="2">
        <v>-36700</v>
      </c>
      <c r="S7" s="2">
        <v>-40800</v>
      </c>
      <c r="T7" s="2">
        <v>-38400</v>
      </c>
      <c r="U7" s="2">
        <v>-39200</v>
      </c>
      <c r="V7" s="2">
        <v>-40800</v>
      </c>
      <c r="W7" s="2">
        <v>-38400</v>
      </c>
      <c r="X7" s="2">
        <v>-37700</v>
      </c>
      <c r="Y7" s="2">
        <v>-41600</v>
      </c>
      <c r="Z7" s="2">
        <v>-39200</v>
      </c>
      <c r="BW7" s="2">
        <v>-19600</v>
      </c>
      <c r="BX7" s="2">
        <v>-18000</v>
      </c>
      <c r="BY7" s="2">
        <v>-20400</v>
      </c>
      <c r="BZ7" s="2">
        <v>-18350</v>
      </c>
      <c r="CA7" s="2">
        <v>-20400</v>
      </c>
      <c r="CB7" s="2">
        <v>-19200</v>
      </c>
      <c r="CC7" s="2">
        <v>-19600</v>
      </c>
      <c r="CD7" s="2">
        <v>-20400</v>
      </c>
      <c r="CE7" s="2">
        <v>-19200</v>
      </c>
      <c r="CF7" s="2">
        <v>-18850</v>
      </c>
      <c r="CG7" s="2">
        <v>-20800</v>
      </c>
      <c r="CH7" s="2">
        <v>-19600</v>
      </c>
      <c r="DG7" s="2">
        <v>-468400</v>
      </c>
    </row>
    <row r="8" spans="1:111" x14ac:dyDescent="0.2">
      <c r="A8" t="s">
        <v>9</v>
      </c>
      <c r="C8" s="2">
        <v>-39200</v>
      </c>
      <c r="D8" s="2">
        <v>-35200</v>
      </c>
      <c r="E8" s="2">
        <v>-40800</v>
      </c>
      <c r="F8" s="2">
        <v>-36700</v>
      </c>
      <c r="G8" s="2">
        <v>-39200</v>
      </c>
      <c r="H8" s="2">
        <v>-40000</v>
      </c>
      <c r="I8" s="2">
        <v>-39200</v>
      </c>
      <c r="J8" s="2">
        <v>-39200</v>
      </c>
      <c r="K8" s="2">
        <v>-40000</v>
      </c>
      <c r="L8" s="2">
        <v>-37700</v>
      </c>
      <c r="M8" s="2">
        <v>-40000</v>
      </c>
      <c r="N8" s="2">
        <v>-40800</v>
      </c>
      <c r="DG8" s="2">
        <v>-468000</v>
      </c>
    </row>
    <row r="9" spans="1:111" x14ac:dyDescent="0.2">
      <c r="A9" t="s">
        <v>14</v>
      </c>
      <c r="B9" s="2">
        <v>-18000</v>
      </c>
      <c r="E9" s="2">
        <v>-20400</v>
      </c>
      <c r="F9" s="2">
        <v>-18350</v>
      </c>
      <c r="I9" s="2">
        <v>-19600</v>
      </c>
      <c r="J9" s="2">
        <v>-19600</v>
      </c>
      <c r="O9" s="2">
        <v>19600</v>
      </c>
      <c r="P9" s="2">
        <v>17600</v>
      </c>
      <c r="Q9" s="2">
        <v>20400</v>
      </c>
      <c r="R9" s="2">
        <v>18350</v>
      </c>
      <c r="S9" s="2">
        <v>20400</v>
      </c>
      <c r="T9" s="2">
        <v>19200</v>
      </c>
      <c r="U9" s="2">
        <v>19600</v>
      </c>
      <c r="V9" s="2">
        <v>20400</v>
      </c>
      <c r="W9" s="2">
        <v>19200</v>
      </c>
      <c r="X9" s="2">
        <v>18850</v>
      </c>
      <c r="Y9" s="2">
        <v>20800</v>
      </c>
      <c r="Z9" s="2">
        <v>19600</v>
      </c>
      <c r="AA9" s="2">
        <v>-40800</v>
      </c>
      <c r="AB9" s="2">
        <v>-37600</v>
      </c>
      <c r="AC9" s="2">
        <v>-37600</v>
      </c>
      <c r="AD9" s="2">
        <v>-36700</v>
      </c>
      <c r="AE9" s="2">
        <v>-42400</v>
      </c>
      <c r="AF9" s="2">
        <v>-36800</v>
      </c>
      <c r="AG9" s="2">
        <v>-40800</v>
      </c>
      <c r="AH9" s="2">
        <v>-39200</v>
      </c>
      <c r="AI9" s="2">
        <v>-38400</v>
      </c>
      <c r="AJ9" s="2">
        <v>-40900</v>
      </c>
      <c r="AK9" s="2">
        <v>-38400</v>
      </c>
      <c r="AL9" s="2">
        <v>-37600</v>
      </c>
      <c r="DG9" s="2">
        <v>-329150</v>
      </c>
    </row>
    <row r="10" spans="1:111" x14ac:dyDescent="0.2">
      <c r="A10" t="s">
        <v>15</v>
      </c>
      <c r="B10" s="2">
        <v>83600</v>
      </c>
      <c r="C10" s="2">
        <v>-165440</v>
      </c>
      <c r="D10" s="2">
        <v>-148480</v>
      </c>
      <c r="E10" s="2">
        <v>-152400</v>
      </c>
      <c r="F10" s="2">
        <v>-136130</v>
      </c>
      <c r="G10" s="2">
        <v>-106640</v>
      </c>
      <c r="H10" s="2">
        <v>-69600</v>
      </c>
      <c r="I10" s="2">
        <v>-28240</v>
      </c>
      <c r="J10" s="2">
        <v>-28240</v>
      </c>
      <c r="K10" s="2">
        <v>-109600</v>
      </c>
      <c r="L10" s="2">
        <v>-100780</v>
      </c>
      <c r="M10" s="2">
        <v>-108600</v>
      </c>
      <c r="N10" s="2">
        <v>-110550</v>
      </c>
      <c r="O10" s="2">
        <v>-136040</v>
      </c>
      <c r="P10" s="2">
        <v>-122080</v>
      </c>
      <c r="Q10" s="2">
        <v>-142200</v>
      </c>
      <c r="R10" s="2">
        <v>-126955</v>
      </c>
      <c r="S10" s="2">
        <v>-146400</v>
      </c>
      <c r="T10" s="2">
        <v>-133440</v>
      </c>
      <c r="U10" s="2">
        <v>-136040</v>
      </c>
      <c r="V10" s="2">
        <v>-142200</v>
      </c>
      <c r="W10" s="2">
        <v>-133440</v>
      </c>
      <c r="X10" s="2">
        <v>-130205</v>
      </c>
      <c r="Y10" s="2">
        <v>-145760</v>
      </c>
      <c r="Z10" s="2">
        <v>-136040</v>
      </c>
      <c r="AA10" s="2">
        <v>9384</v>
      </c>
      <c r="AB10" s="2">
        <v>8648</v>
      </c>
      <c r="AC10" s="2">
        <v>8648</v>
      </c>
      <c r="AD10" s="2">
        <v>8441</v>
      </c>
      <c r="AE10" s="2">
        <v>9752</v>
      </c>
      <c r="AF10" s="2">
        <v>8464</v>
      </c>
      <c r="AG10" s="2">
        <v>9384</v>
      </c>
      <c r="AH10" s="2">
        <v>9016</v>
      </c>
      <c r="AI10" s="2">
        <v>8832</v>
      </c>
      <c r="AJ10" s="2">
        <v>9407</v>
      </c>
      <c r="AK10" s="2">
        <v>8832</v>
      </c>
      <c r="AL10" s="2">
        <v>8648</v>
      </c>
      <c r="AM10" s="2">
        <v>70584</v>
      </c>
      <c r="AN10" s="2">
        <v>60896</v>
      </c>
      <c r="AO10" s="2">
        <v>65048</v>
      </c>
      <c r="AP10" s="2">
        <v>66259</v>
      </c>
      <c r="AQ10" s="2">
        <v>70584</v>
      </c>
      <c r="AR10" s="2">
        <v>63664</v>
      </c>
      <c r="AS10" s="2">
        <v>73352</v>
      </c>
      <c r="AT10" s="2">
        <v>65048</v>
      </c>
      <c r="AU10" s="2">
        <v>66432</v>
      </c>
      <c r="AV10" s="2">
        <v>70757</v>
      </c>
      <c r="AW10" s="2">
        <v>66432</v>
      </c>
      <c r="AX10" s="2">
        <v>70584</v>
      </c>
      <c r="AY10">
        <v>-816</v>
      </c>
      <c r="BA10">
        <v>-752</v>
      </c>
      <c r="BB10">
        <v>-423</v>
      </c>
      <c r="BC10" s="2">
        <v>3136</v>
      </c>
      <c r="BD10" s="2">
        <v>4048</v>
      </c>
      <c r="BE10" s="2">
        <v>5936</v>
      </c>
      <c r="BF10" s="2">
        <v>5264</v>
      </c>
      <c r="BG10" s="2">
        <v>3200</v>
      </c>
      <c r="BH10" s="2">
        <v>2767</v>
      </c>
      <c r="BI10">
        <v>-384</v>
      </c>
      <c r="BK10" s="2">
        <v>-20384</v>
      </c>
      <c r="BL10" s="2">
        <v>-17600</v>
      </c>
      <c r="BM10" s="2">
        <v>-20384</v>
      </c>
      <c r="BN10" s="2">
        <v>-19557</v>
      </c>
      <c r="BO10" s="2">
        <v>-16464</v>
      </c>
      <c r="BP10" s="2">
        <v>-14976</v>
      </c>
      <c r="BQ10" s="2">
        <v>-14688</v>
      </c>
      <c r="BR10" s="2">
        <v>-13536</v>
      </c>
      <c r="BS10" s="2">
        <v>-17472</v>
      </c>
      <c r="BT10" s="2">
        <v>-16195</v>
      </c>
      <c r="BU10" s="2">
        <v>-19584</v>
      </c>
      <c r="BV10" s="2">
        <v>-21200</v>
      </c>
      <c r="BW10" s="2">
        <v>-59584</v>
      </c>
      <c r="BX10" s="2">
        <v>-54000</v>
      </c>
      <c r="BY10" s="2">
        <v>-62016</v>
      </c>
      <c r="BZ10" s="2">
        <v>-55441</v>
      </c>
      <c r="CA10" s="2">
        <v>-57936</v>
      </c>
      <c r="CB10" s="2">
        <v>-53376</v>
      </c>
      <c r="CC10" s="2">
        <v>-53312</v>
      </c>
      <c r="CD10" s="2">
        <v>-55488</v>
      </c>
      <c r="CE10" s="2">
        <v>-48768</v>
      </c>
      <c r="CF10" s="2">
        <v>-47879</v>
      </c>
      <c r="CG10" s="2">
        <v>-52832</v>
      </c>
      <c r="CH10" s="2">
        <v>-49784</v>
      </c>
      <c r="CI10" s="2">
        <v>-20400</v>
      </c>
      <c r="CJ10" s="2">
        <v>-17600</v>
      </c>
      <c r="CK10" s="2">
        <v>-19600</v>
      </c>
      <c r="CL10" s="2">
        <v>-18350</v>
      </c>
      <c r="CM10" s="2">
        <v>-21200</v>
      </c>
      <c r="CN10" s="2">
        <v>-18400</v>
      </c>
      <c r="CO10" s="2">
        <v>-18800</v>
      </c>
      <c r="CP10" s="2">
        <v>-20400</v>
      </c>
      <c r="CQ10" s="2">
        <v>-19200</v>
      </c>
      <c r="CR10" s="2">
        <v>-19650</v>
      </c>
      <c r="CS10" s="2">
        <v>-20000</v>
      </c>
      <c r="CT10" s="2">
        <v>-19600</v>
      </c>
      <c r="CU10" s="2">
        <v>-21200</v>
      </c>
      <c r="CV10" s="2">
        <v>-17600</v>
      </c>
      <c r="CW10" s="2">
        <v>-18800</v>
      </c>
      <c r="CX10" s="2">
        <v>-18350</v>
      </c>
      <c r="CY10" s="2">
        <v>-21200</v>
      </c>
      <c r="CZ10" s="2">
        <v>-18400</v>
      </c>
      <c r="DA10" s="2">
        <v>-20400</v>
      </c>
      <c r="DB10" s="2">
        <v>-19600</v>
      </c>
      <c r="DC10" s="2">
        <v>-19200</v>
      </c>
      <c r="DD10" s="2">
        <v>-20450</v>
      </c>
      <c r="DE10" s="2">
        <v>-19200</v>
      </c>
      <c r="DF10" s="2">
        <v>-18800</v>
      </c>
      <c r="DG10" s="2">
        <v>-3201684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G14"/>
  <sheetViews>
    <sheetView workbookViewId="0"/>
  </sheetViews>
  <sheetFormatPr defaultRowHeight="12.75" x14ac:dyDescent="0.2"/>
  <sheetData>
    <row r="1" spans="1:111" x14ac:dyDescent="0.2">
      <c r="B1" s="1">
        <v>37226</v>
      </c>
      <c r="C1" s="1">
        <v>37257</v>
      </c>
      <c r="D1" s="1">
        <v>37288</v>
      </c>
      <c r="E1" s="1">
        <v>37316</v>
      </c>
      <c r="F1" s="1">
        <v>37347</v>
      </c>
      <c r="G1" s="1">
        <v>37377</v>
      </c>
      <c r="H1" s="1">
        <v>37408</v>
      </c>
      <c r="I1" s="1">
        <v>37438</v>
      </c>
      <c r="J1" s="1">
        <v>37469</v>
      </c>
      <c r="K1" s="1">
        <v>37500</v>
      </c>
      <c r="L1" s="1">
        <v>37530</v>
      </c>
      <c r="M1" s="1">
        <v>37561</v>
      </c>
      <c r="N1" s="1">
        <v>37591</v>
      </c>
      <c r="O1" s="1">
        <v>37622</v>
      </c>
      <c r="P1" s="1">
        <v>37653</v>
      </c>
      <c r="Q1" s="1">
        <v>37681</v>
      </c>
      <c r="R1" s="1">
        <v>37712</v>
      </c>
      <c r="S1" s="1">
        <v>37742</v>
      </c>
      <c r="T1" s="1">
        <v>37773</v>
      </c>
      <c r="U1" s="1">
        <v>37803</v>
      </c>
      <c r="V1" s="1">
        <v>37834</v>
      </c>
      <c r="W1" s="1">
        <v>37865</v>
      </c>
      <c r="X1" s="1">
        <v>37895</v>
      </c>
      <c r="Y1" s="1">
        <v>37926</v>
      </c>
      <c r="Z1" s="1">
        <v>37956</v>
      </c>
      <c r="AA1" s="1">
        <v>37987</v>
      </c>
      <c r="AB1" s="1">
        <v>38018</v>
      </c>
      <c r="AC1" s="1">
        <v>38047</v>
      </c>
      <c r="AD1" s="1">
        <v>38078</v>
      </c>
      <c r="AE1" s="1">
        <v>38108</v>
      </c>
      <c r="AF1" s="1">
        <v>38139</v>
      </c>
      <c r="AG1" s="1">
        <v>38169</v>
      </c>
      <c r="AH1" s="1">
        <v>38200</v>
      </c>
      <c r="AI1" s="1">
        <v>38231</v>
      </c>
      <c r="AJ1" s="1">
        <v>38261</v>
      </c>
      <c r="AK1" s="1">
        <v>38292</v>
      </c>
      <c r="AL1" s="1">
        <v>38322</v>
      </c>
      <c r="AM1" s="1">
        <v>38353</v>
      </c>
      <c r="AN1" s="1">
        <v>38384</v>
      </c>
      <c r="AO1" s="1">
        <v>38412</v>
      </c>
      <c r="AP1" s="1">
        <v>38443</v>
      </c>
      <c r="AQ1" s="1">
        <v>38473</v>
      </c>
      <c r="AR1" s="1">
        <v>38504</v>
      </c>
      <c r="AS1" s="1">
        <v>38534</v>
      </c>
      <c r="AT1" s="1">
        <v>38565</v>
      </c>
      <c r="AU1" s="1">
        <v>38596</v>
      </c>
      <c r="AV1" s="1">
        <v>38626</v>
      </c>
      <c r="AW1" s="1">
        <v>38657</v>
      </c>
      <c r="AX1" s="1">
        <v>38687</v>
      </c>
      <c r="AY1" s="1">
        <v>38718</v>
      </c>
      <c r="AZ1" s="1">
        <v>38749</v>
      </c>
      <c r="BA1" s="1">
        <v>38777</v>
      </c>
      <c r="BB1" s="1">
        <v>38808</v>
      </c>
      <c r="BC1" s="1">
        <v>38838</v>
      </c>
      <c r="BD1" s="1">
        <v>38869</v>
      </c>
      <c r="BE1" s="1">
        <v>38899</v>
      </c>
      <c r="BF1" s="1">
        <v>38930</v>
      </c>
      <c r="BG1" s="1">
        <v>38961</v>
      </c>
      <c r="BH1" s="1">
        <v>38991</v>
      </c>
      <c r="BI1" s="1">
        <v>39022</v>
      </c>
      <c r="BJ1" s="1">
        <v>39052</v>
      </c>
      <c r="BK1" s="1">
        <v>39083</v>
      </c>
      <c r="BL1" s="1">
        <v>39114</v>
      </c>
      <c r="BM1" s="1">
        <v>39142</v>
      </c>
      <c r="BN1" s="1">
        <v>39173</v>
      </c>
      <c r="BO1" s="1">
        <v>39203</v>
      </c>
      <c r="BP1" s="1">
        <v>39234</v>
      </c>
      <c r="BQ1" s="1">
        <v>39264</v>
      </c>
      <c r="BR1" s="1">
        <v>39295</v>
      </c>
      <c r="BS1" s="1">
        <v>39326</v>
      </c>
      <c r="BT1" s="1">
        <v>39356</v>
      </c>
      <c r="BU1" s="1">
        <v>39387</v>
      </c>
      <c r="BV1" s="1">
        <v>39417</v>
      </c>
      <c r="BW1" s="1">
        <v>39448</v>
      </c>
      <c r="BX1" s="1">
        <v>39479</v>
      </c>
      <c r="BY1" s="1">
        <v>39508</v>
      </c>
      <c r="BZ1" s="1">
        <v>39539</v>
      </c>
      <c r="CA1" s="1">
        <v>39569</v>
      </c>
      <c r="CB1" s="1">
        <v>39600</v>
      </c>
      <c r="CC1" s="1">
        <v>39630</v>
      </c>
      <c r="CD1" s="1">
        <v>39661</v>
      </c>
      <c r="CE1" s="1">
        <v>39692</v>
      </c>
      <c r="CF1" s="1">
        <v>39722</v>
      </c>
      <c r="CG1" s="1">
        <v>39753</v>
      </c>
      <c r="CH1" s="1">
        <v>39783</v>
      </c>
      <c r="CI1" s="1">
        <v>39814</v>
      </c>
      <c r="CJ1" s="1">
        <v>39845</v>
      </c>
      <c r="CK1" s="1">
        <v>39873</v>
      </c>
      <c r="CL1" s="1">
        <v>39904</v>
      </c>
      <c r="CM1" s="1">
        <v>39934</v>
      </c>
      <c r="CN1" s="1">
        <v>39965</v>
      </c>
      <c r="CO1" s="1">
        <v>39995</v>
      </c>
      <c r="CP1" s="1">
        <v>40026</v>
      </c>
      <c r="CQ1" s="1">
        <v>40057</v>
      </c>
      <c r="CR1" s="1">
        <v>40087</v>
      </c>
      <c r="CS1" s="1">
        <v>40118</v>
      </c>
      <c r="CT1" s="1">
        <v>40148</v>
      </c>
      <c r="CU1" s="1">
        <v>40179</v>
      </c>
      <c r="CV1" s="1">
        <v>40210</v>
      </c>
      <c r="CW1" s="1">
        <v>40238</v>
      </c>
      <c r="CX1" s="1">
        <v>40269</v>
      </c>
      <c r="CY1" s="1">
        <v>40299</v>
      </c>
      <c r="CZ1" s="1">
        <v>40330</v>
      </c>
      <c r="DA1" s="1">
        <v>40360</v>
      </c>
      <c r="DB1" s="1">
        <v>40391</v>
      </c>
      <c r="DC1" s="1">
        <v>40422</v>
      </c>
      <c r="DD1" s="1">
        <v>40452</v>
      </c>
      <c r="DE1" s="1">
        <v>40483</v>
      </c>
      <c r="DF1" s="1">
        <v>40513</v>
      </c>
    </row>
    <row r="2" spans="1:111" x14ac:dyDescent="0.2">
      <c r="A2" t="s">
        <v>0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  <c r="AC2" t="s">
        <v>23</v>
      </c>
      <c r="AD2" t="s">
        <v>23</v>
      </c>
      <c r="AE2" t="s">
        <v>23</v>
      </c>
      <c r="AF2" t="s">
        <v>23</v>
      </c>
      <c r="AG2" t="s">
        <v>23</v>
      </c>
      <c r="AH2" t="s">
        <v>23</v>
      </c>
      <c r="AI2" t="s">
        <v>23</v>
      </c>
      <c r="AJ2" t="s">
        <v>23</v>
      </c>
      <c r="AK2" t="s">
        <v>23</v>
      </c>
      <c r="AL2" t="s">
        <v>23</v>
      </c>
      <c r="AM2" t="s">
        <v>23</v>
      </c>
      <c r="AN2" t="s">
        <v>23</v>
      </c>
      <c r="AO2" t="s">
        <v>23</v>
      </c>
      <c r="AP2" t="s">
        <v>23</v>
      </c>
      <c r="AQ2" t="s">
        <v>23</v>
      </c>
      <c r="AR2" t="s">
        <v>23</v>
      </c>
      <c r="AS2" t="s">
        <v>23</v>
      </c>
      <c r="AT2" t="s">
        <v>23</v>
      </c>
      <c r="AU2" t="s">
        <v>23</v>
      </c>
      <c r="AV2" t="s">
        <v>23</v>
      </c>
      <c r="AW2" t="s">
        <v>23</v>
      </c>
      <c r="AX2" t="s">
        <v>23</v>
      </c>
      <c r="AY2" t="s">
        <v>23</v>
      </c>
      <c r="AZ2" t="s">
        <v>23</v>
      </c>
      <c r="BA2" t="s">
        <v>23</v>
      </c>
      <c r="BB2" t="s">
        <v>23</v>
      </c>
      <c r="BC2" t="s">
        <v>23</v>
      </c>
      <c r="BD2" t="s">
        <v>23</v>
      </c>
      <c r="BE2" t="s">
        <v>23</v>
      </c>
      <c r="BF2" t="s">
        <v>23</v>
      </c>
      <c r="BG2" t="s">
        <v>23</v>
      </c>
      <c r="BH2" t="s">
        <v>23</v>
      </c>
      <c r="BI2" t="s">
        <v>23</v>
      </c>
      <c r="BJ2" t="s">
        <v>23</v>
      </c>
      <c r="BK2" t="s">
        <v>23</v>
      </c>
      <c r="BL2" t="s">
        <v>23</v>
      </c>
      <c r="BM2" t="s">
        <v>23</v>
      </c>
      <c r="BN2" t="s">
        <v>23</v>
      </c>
      <c r="BO2" t="s">
        <v>23</v>
      </c>
      <c r="BP2" t="s">
        <v>23</v>
      </c>
      <c r="BQ2" t="s">
        <v>23</v>
      </c>
      <c r="BR2" t="s">
        <v>23</v>
      </c>
      <c r="BS2" t="s">
        <v>23</v>
      </c>
      <c r="BT2" t="s">
        <v>23</v>
      </c>
      <c r="BU2" t="s">
        <v>23</v>
      </c>
      <c r="BV2" t="s">
        <v>23</v>
      </c>
      <c r="BW2" t="s">
        <v>23</v>
      </c>
      <c r="BX2" t="s">
        <v>23</v>
      </c>
      <c r="BY2" t="s">
        <v>23</v>
      </c>
      <c r="BZ2" t="s">
        <v>23</v>
      </c>
      <c r="CA2" t="s">
        <v>23</v>
      </c>
      <c r="CB2" t="s">
        <v>23</v>
      </c>
      <c r="CC2" t="s">
        <v>23</v>
      </c>
      <c r="CD2" t="s">
        <v>23</v>
      </c>
      <c r="CE2" t="s">
        <v>23</v>
      </c>
      <c r="CF2" t="s">
        <v>23</v>
      </c>
      <c r="CG2" t="s">
        <v>23</v>
      </c>
      <c r="CH2" t="s">
        <v>23</v>
      </c>
      <c r="CI2" t="s">
        <v>23</v>
      </c>
      <c r="CJ2" t="s">
        <v>23</v>
      </c>
      <c r="CK2" t="s">
        <v>23</v>
      </c>
      <c r="CL2" t="s">
        <v>23</v>
      </c>
      <c r="CM2" t="s">
        <v>23</v>
      </c>
      <c r="CN2" t="s">
        <v>23</v>
      </c>
      <c r="CO2" t="s">
        <v>23</v>
      </c>
      <c r="CP2" t="s">
        <v>23</v>
      </c>
      <c r="CQ2" t="s">
        <v>23</v>
      </c>
      <c r="CR2" t="s">
        <v>23</v>
      </c>
      <c r="CS2" t="s">
        <v>23</v>
      </c>
      <c r="CT2" t="s">
        <v>23</v>
      </c>
      <c r="CU2" t="s">
        <v>23</v>
      </c>
      <c r="CV2" t="s">
        <v>23</v>
      </c>
      <c r="CW2" t="s">
        <v>23</v>
      </c>
      <c r="CX2" t="s">
        <v>23</v>
      </c>
      <c r="CY2" t="s">
        <v>23</v>
      </c>
      <c r="CZ2" t="s">
        <v>23</v>
      </c>
      <c r="DA2" t="s">
        <v>23</v>
      </c>
      <c r="DB2" t="s">
        <v>23</v>
      </c>
      <c r="DC2" t="s">
        <v>23</v>
      </c>
      <c r="DD2" t="s">
        <v>23</v>
      </c>
      <c r="DE2" t="s">
        <v>23</v>
      </c>
      <c r="DF2" t="s">
        <v>23</v>
      </c>
      <c r="DG2" t="s">
        <v>2</v>
      </c>
    </row>
    <row r="3" spans="1:111" x14ac:dyDescent="0.2">
      <c r="A3" t="s">
        <v>3</v>
      </c>
      <c r="B3" s="2">
        <v>431520</v>
      </c>
      <c r="C3" s="3">
        <v>-835443.36</v>
      </c>
      <c r="D3" s="3">
        <v>-760592.84</v>
      </c>
      <c r="E3" s="3">
        <v>-761874.83</v>
      </c>
      <c r="F3" s="3">
        <v>-797941.23</v>
      </c>
      <c r="G3" s="2">
        <v>-626664</v>
      </c>
      <c r="H3" s="3">
        <v>-766805.53</v>
      </c>
      <c r="I3" s="2">
        <v>-523616</v>
      </c>
      <c r="J3" s="3">
        <v>-530169.72</v>
      </c>
      <c r="K3" s="3">
        <v>-683178.33</v>
      </c>
      <c r="L3" s="2">
        <v>-226834</v>
      </c>
      <c r="M3" s="3">
        <v>-196728.45</v>
      </c>
      <c r="N3" s="3">
        <v>-205959.56</v>
      </c>
      <c r="O3" s="3">
        <v>-196947.37</v>
      </c>
      <c r="P3" s="3">
        <v>-178521.43</v>
      </c>
      <c r="Q3" s="3">
        <v>-154441.88</v>
      </c>
      <c r="R3" s="3">
        <v>-161251.29999999999</v>
      </c>
      <c r="S3" s="3">
        <v>-245805.15</v>
      </c>
      <c r="T3" s="3">
        <v>-184853.1</v>
      </c>
      <c r="U3" s="3">
        <v>-296314.23</v>
      </c>
      <c r="V3" s="3">
        <v>-289740.79999999999</v>
      </c>
      <c r="W3" s="3">
        <v>-119379.74</v>
      </c>
      <c r="X3" s="3">
        <v>-43865.16</v>
      </c>
      <c r="Y3" s="3">
        <v>-36089.589999999997</v>
      </c>
      <c r="Z3" s="2">
        <v>-41610</v>
      </c>
      <c r="AA3" s="3">
        <v>7161.8</v>
      </c>
      <c r="AB3" s="3">
        <v>6792.66</v>
      </c>
      <c r="AC3" s="3">
        <v>7777.14</v>
      </c>
      <c r="AD3" s="3">
        <v>7406.86</v>
      </c>
      <c r="AE3" s="3">
        <v>6703.08</v>
      </c>
      <c r="AF3" s="3">
        <v>-168204.36</v>
      </c>
      <c r="AG3" s="3">
        <v>-38514.46</v>
      </c>
      <c r="AH3" s="3">
        <v>-40161.07</v>
      </c>
      <c r="AI3" s="3">
        <v>6911.39</v>
      </c>
      <c r="AJ3" s="3">
        <v>6878.86</v>
      </c>
      <c r="AK3" s="3">
        <v>6847.22</v>
      </c>
      <c r="AL3" s="3">
        <v>7463.48</v>
      </c>
      <c r="AM3" s="3">
        <v>-22703.279999999999</v>
      </c>
      <c r="AN3" s="3">
        <v>-21527.599999999999</v>
      </c>
      <c r="AO3" s="3">
        <v>-24637.47</v>
      </c>
      <c r="AP3" s="3">
        <v>-22389.59</v>
      </c>
      <c r="AQ3" s="3">
        <v>-22280.54</v>
      </c>
      <c r="AR3" s="2">
        <v>-38317</v>
      </c>
      <c r="AS3" s="2">
        <v>-21016</v>
      </c>
      <c r="AT3" s="2">
        <v>-24049</v>
      </c>
      <c r="AU3" s="3">
        <v>-21853.11</v>
      </c>
      <c r="AV3" s="3">
        <v>-21744.92</v>
      </c>
      <c r="AW3" s="3">
        <v>-21641.21</v>
      </c>
      <c r="AX3" s="3">
        <v>-21537.42</v>
      </c>
      <c r="AY3" s="3">
        <v>6402.69</v>
      </c>
      <c r="AZ3" s="3">
        <v>6071.41</v>
      </c>
      <c r="BA3" s="3">
        <v>6948.42</v>
      </c>
      <c r="BB3" s="3">
        <v>6013.65</v>
      </c>
      <c r="BC3" s="3">
        <v>6582.57</v>
      </c>
      <c r="BD3" s="3">
        <v>6551.08</v>
      </c>
      <c r="BE3" s="3">
        <v>5925.85</v>
      </c>
      <c r="BF3" s="3">
        <v>6780.5</v>
      </c>
      <c r="BG3" s="3">
        <v>5867.2</v>
      </c>
      <c r="BH3" s="2">
        <v>6421</v>
      </c>
      <c r="BI3" s="3">
        <v>6099.7</v>
      </c>
      <c r="BJ3" s="2">
        <v>5781</v>
      </c>
      <c r="BK3" s="2">
        <v>47599</v>
      </c>
      <c r="BL3" s="3">
        <v>43080.639999999999</v>
      </c>
      <c r="BM3" s="3">
        <v>47155.62</v>
      </c>
      <c r="BN3" s="3">
        <v>44796.7</v>
      </c>
      <c r="BO3" s="3">
        <v>46696.43</v>
      </c>
      <c r="BP3" s="3">
        <v>44358.07</v>
      </c>
      <c r="BQ3" s="3">
        <v>44134.93</v>
      </c>
      <c r="BR3" s="3">
        <v>48093.73</v>
      </c>
      <c r="BS3" s="2">
        <v>39534</v>
      </c>
      <c r="BT3" s="3">
        <v>47612.2</v>
      </c>
      <c r="BU3" s="3">
        <v>43255.65</v>
      </c>
      <c r="BV3" s="3">
        <v>40982.86</v>
      </c>
      <c r="BW3" s="3">
        <v>31885.279999999999</v>
      </c>
      <c r="BX3" s="3">
        <v>30287.119999999999</v>
      </c>
      <c r="BY3" s="2">
        <v>30128</v>
      </c>
      <c r="BZ3" s="3">
        <v>31401.33</v>
      </c>
      <c r="CA3" s="3">
        <v>29814.85</v>
      </c>
      <c r="CB3" s="3">
        <v>29660.84</v>
      </c>
      <c r="CC3" s="3">
        <v>30906.54</v>
      </c>
      <c r="CD3" s="3">
        <v>29342.58</v>
      </c>
      <c r="CE3" s="3">
        <v>29188.62</v>
      </c>
      <c r="CF3" s="3">
        <v>31794.28</v>
      </c>
      <c r="CG3" s="3">
        <v>26131.47</v>
      </c>
      <c r="CH3" s="3">
        <v>30104.14</v>
      </c>
      <c r="CI3" s="3">
        <v>-11622.29</v>
      </c>
      <c r="CJ3" s="3">
        <v>-11018.24</v>
      </c>
      <c r="CK3" s="3">
        <v>-12058.54</v>
      </c>
      <c r="CL3" s="3">
        <v>-11999.1</v>
      </c>
      <c r="CM3" s="3">
        <v>-10852.53</v>
      </c>
      <c r="CN3" s="3">
        <v>-11878.55</v>
      </c>
      <c r="CO3" s="3">
        <v>-12354.61</v>
      </c>
      <c r="CP3" s="3">
        <v>-11222.08</v>
      </c>
      <c r="CQ3" s="3">
        <v>-11165.85</v>
      </c>
      <c r="CR3" s="3">
        <v>-11636.8</v>
      </c>
      <c r="CS3" s="3">
        <v>-10525.56</v>
      </c>
      <c r="CT3" s="3">
        <v>-11517.58</v>
      </c>
      <c r="CU3" s="3">
        <v>10415.61</v>
      </c>
      <c r="CV3" s="3">
        <v>10366.11</v>
      </c>
      <c r="CW3" s="3">
        <v>11858.11</v>
      </c>
      <c r="CX3" s="3">
        <v>11284.43</v>
      </c>
      <c r="CY3" s="3">
        <v>10204.09</v>
      </c>
      <c r="CZ3" s="3">
        <v>11166.62</v>
      </c>
      <c r="DA3" s="3">
        <v>10602.09</v>
      </c>
      <c r="DB3" s="3">
        <v>11047.4</v>
      </c>
      <c r="DC3" s="3">
        <v>10490.35</v>
      </c>
      <c r="DD3" s="3">
        <v>10433.76</v>
      </c>
      <c r="DE3" s="3">
        <v>10379.11</v>
      </c>
      <c r="DF3" s="3">
        <v>11305.89</v>
      </c>
      <c r="DG3" s="3">
        <v>-7934650.2199999997</v>
      </c>
    </row>
    <row r="4" spans="1:111" x14ac:dyDescent="0.2">
      <c r="A4" t="s">
        <v>35</v>
      </c>
      <c r="F4" s="3">
        <v>52321.19</v>
      </c>
      <c r="L4" s="3">
        <v>-35995.120000000003</v>
      </c>
      <c r="M4" s="3">
        <v>-31217.42</v>
      </c>
      <c r="N4" s="3">
        <v>-32682.5</v>
      </c>
      <c r="O4" s="3">
        <v>51199.49</v>
      </c>
      <c r="P4" s="3">
        <v>46409.38</v>
      </c>
      <c r="Q4" s="3">
        <v>97133.26</v>
      </c>
      <c r="R4" s="3">
        <v>101415.91</v>
      </c>
      <c r="S4" s="3">
        <v>-16076.2</v>
      </c>
      <c r="T4" s="3">
        <v>-16018.47</v>
      </c>
      <c r="U4" s="2">
        <v>-16717</v>
      </c>
      <c r="V4" s="3">
        <v>-15894.35</v>
      </c>
      <c r="W4" s="3">
        <v>-15832.86</v>
      </c>
      <c r="X4" s="3">
        <v>51809.25</v>
      </c>
      <c r="Y4" s="3">
        <v>42625.51</v>
      </c>
      <c r="Z4" s="3">
        <v>49145.62</v>
      </c>
      <c r="AA4">
        <v>-624</v>
      </c>
      <c r="AB4">
        <v>-591.92999999999995</v>
      </c>
      <c r="AC4">
        <v>-677.52</v>
      </c>
      <c r="AD4">
        <v>-967.94</v>
      </c>
      <c r="AE4">
        <v>-876</v>
      </c>
      <c r="AF4" s="3">
        <v>-81072.28</v>
      </c>
      <c r="AG4" s="3">
        <v>-31845.84</v>
      </c>
      <c r="AH4" s="3">
        <v>-32890.080000000002</v>
      </c>
      <c r="AI4">
        <v>-903.25</v>
      </c>
      <c r="AJ4">
        <v>-899.3</v>
      </c>
      <c r="AK4">
        <v>-894.9</v>
      </c>
      <c r="AL4">
        <v>-975.46</v>
      </c>
      <c r="AM4" s="3">
        <v>36265.07</v>
      </c>
      <c r="AN4" s="3">
        <v>34387.1</v>
      </c>
      <c r="AO4" s="3">
        <v>39354.67</v>
      </c>
      <c r="AP4" s="3">
        <v>35472.49</v>
      </c>
      <c r="AQ4" s="3">
        <v>35299.86</v>
      </c>
      <c r="AR4" s="3">
        <v>36504.43</v>
      </c>
      <c r="AS4" s="2">
        <v>32749</v>
      </c>
      <c r="AT4" s="2">
        <v>37789</v>
      </c>
      <c r="AU4" s="3">
        <v>34622.65</v>
      </c>
      <c r="AV4" s="3">
        <v>34451.22</v>
      </c>
      <c r="AW4" s="3">
        <v>34286.93</v>
      </c>
      <c r="AX4" s="3">
        <v>34122.81</v>
      </c>
      <c r="AY4" s="3">
        <v>34239.339999999997</v>
      </c>
      <c r="AZ4" s="3">
        <v>32467.8</v>
      </c>
      <c r="BA4" s="3">
        <v>37157.74</v>
      </c>
      <c r="BB4" s="3">
        <v>31896.66</v>
      </c>
      <c r="BC4" s="3">
        <v>34914.480000000003</v>
      </c>
      <c r="BD4" s="3">
        <v>34462.53</v>
      </c>
      <c r="BE4" s="3">
        <v>30914.76</v>
      </c>
      <c r="BF4" s="2">
        <v>35669</v>
      </c>
      <c r="BG4" s="3">
        <v>31119.91</v>
      </c>
      <c r="BH4" s="3">
        <v>34057.42</v>
      </c>
      <c r="BI4" s="3">
        <v>32353.32</v>
      </c>
      <c r="BJ4" s="3">
        <v>30663.16</v>
      </c>
      <c r="BK4" s="3">
        <v>6327.07</v>
      </c>
      <c r="BL4" s="3">
        <v>5726.46</v>
      </c>
      <c r="BM4" s="2">
        <v>6268</v>
      </c>
      <c r="BN4" s="3">
        <v>5695.07</v>
      </c>
      <c r="BO4" s="3">
        <v>5936.58</v>
      </c>
      <c r="BP4" s="3">
        <v>5382.68</v>
      </c>
      <c r="BQ4" s="3">
        <v>5099.6000000000004</v>
      </c>
      <c r="BR4" s="3">
        <v>5836.14</v>
      </c>
      <c r="BS4" s="3">
        <v>5025.75</v>
      </c>
      <c r="BT4" s="2">
        <v>6053</v>
      </c>
      <c r="BU4" s="3">
        <v>5499.09</v>
      </c>
      <c r="BV4" s="3">
        <v>5210.26</v>
      </c>
      <c r="BW4" s="3">
        <v>5961.15</v>
      </c>
      <c r="BX4" s="3">
        <v>5662.36</v>
      </c>
      <c r="BY4" s="3">
        <v>5632.61</v>
      </c>
      <c r="BZ4" s="3">
        <v>5614.79</v>
      </c>
      <c r="CA4" s="2">
        <v>5331</v>
      </c>
      <c r="CB4" s="2">
        <v>5062</v>
      </c>
      <c r="CC4" s="3">
        <v>5022.6099999999997</v>
      </c>
      <c r="CD4" s="3">
        <v>5007.71</v>
      </c>
      <c r="CE4" s="3">
        <v>5219.1000000000004</v>
      </c>
      <c r="CF4" s="2">
        <v>5685</v>
      </c>
      <c r="CG4" s="3">
        <v>4672.34</v>
      </c>
      <c r="CH4" s="2">
        <v>5383</v>
      </c>
      <c r="CI4">
        <v>-466</v>
      </c>
      <c r="CJ4">
        <v>-441.74</v>
      </c>
      <c r="CK4">
        <v>-483.37</v>
      </c>
      <c r="CL4">
        <v>-721.49</v>
      </c>
      <c r="CM4">
        <v>-652.77</v>
      </c>
      <c r="CN4">
        <v>-952.34</v>
      </c>
      <c r="DG4" s="3">
        <v>1112224.27</v>
      </c>
    </row>
    <row r="5" spans="1:111" x14ac:dyDescent="0.2">
      <c r="A5" t="s">
        <v>26</v>
      </c>
      <c r="C5" s="3">
        <v>9462.6200000000008</v>
      </c>
      <c r="D5" s="3">
        <v>8590.15</v>
      </c>
      <c r="E5" s="3">
        <v>9004.92</v>
      </c>
      <c r="F5" s="3">
        <v>9417.81</v>
      </c>
      <c r="G5" s="3">
        <v>9400.7199999999993</v>
      </c>
      <c r="H5" s="3">
        <v>8529.76</v>
      </c>
      <c r="I5" s="3">
        <v>9015.8700000000008</v>
      </c>
      <c r="J5" s="3">
        <v>8995.74</v>
      </c>
      <c r="K5" s="3">
        <v>8472.84</v>
      </c>
      <c r="L5" s="3">
        <v>9718.68</v>
      </c>
      <c r="M5" s="3">
        <v>8428.7000000000007</v>
      </c>
      <c r="N5" s="3">
        <v>8824.27</v>
      </c>
      <c r="O5" s="3">
        <v>9215.91</v>
      </c>
      <c r="P5" s="3">
        <v>8353.69</v>
      </c>
      <c r="Q5" s="2">
        <v>8742</v>
      </c>
      <c r="R5" s="3">
        <v>9127.43</v>
      </c>
      <c r="S5" s="3">
        <v>8681.15</v>
      </c>
      <c r="T5" s="2">
        <v>8650</v>
      </c>
      <c r="U5" s="3">
        <v>8692.27</v>
      </c>
      <c r="V5" s="3">
        <v>8264.57</v>
      </c>
      <c r="W5" s="3">
        <v>8549.74</v>
      </c>
      <c r="X5" s="3">
        <v>9325.66</v>
      </c>
      <c r="Y5" s="3">
        <v>7672.59</v>
      </c>
      <c r="Z5" s="3">
        <v>8846.2099999999991</v>
      </c>
      <c r="AG5">
        <v>-303.89999999999998</v>
      </c>
      <c r="AH5">
        <v>-316.8</v>
      </c>
      <c r="AS5">
        <v>-273.58999999999997</v>
      </c>
      <c r="AT5">
        <v>-312.92</v>
      </c>
      <c r="BE5">
        <v>-258.19</v>
      </c>
      <c r="BF5">
        <v>-295.38</v>
      </c>
      <c r="BQ5">
        <v>-255.66</v>
      </c>
      <c r="BR5">
        <v>-278.45</v>
      </c>
      <c r="CC5">
        <v>-251.84</v>
      </c>
      <c r="CD5">
        <v>-239.06</v>
      </c>
      <c r="DG5" s="3">
        <v>209197.51</v>
      </c>
    </row>
    <row r="6" spans="1:111" x14ac:dyDescent="0.2">
      <c r="A6" t="s">
        <v>6</v>
      </c>
      <c r="B6" s="3">
        <v>56647.22</v>
      </c>
      <c r="C6" s="3">
        <v>-339953.33</v>
      </c>
      <c r="D6" s="3">
        <v>-292701.45</v>
      </c>
      <c r="E6" s="3">
        <v>-23346.09</v>
      </c>
      <c r="F6" s="3">
        <v>-24416.560000000001</v>
      </c>
      <c r="G6" s="3">
        <v>-24372.240000000002</v>
      </c>
      <c r="H6" s="3">
        <v>31591.69</v>
      </c>
      <c r="I6" s="3">
        <v>-104032.83</v>
      </c>
      <c r="J6" s="3">
        <v>-103800.26</v>
      </c>
      <c r="K6" s="3">
        <v>156904.44</v>
      </c>
      <c r="L6" s="3">
        <v>89987.79</v>
      </c>
      <c r="M6" s="3">
        <v>78043.56</v>
      </c>
      <c r="N6" s="3">
        <v>81706.240000000005</v>
      </c>
      <c r="O6" s="3">
        <v>-324263.43</v>
      </c>
      <c r="P6" s="3">
        <v>-293926.09999999998</v>
      </c>
      <c r="Q6" s="3">
        <v>-242833.15</v>
      </c>
      <c r="R6" s="3">
        <v>-253539.78</v>
      </c>
      <c r="S6" s="3">
        <v>-241143.06</v>
      </c>
      <c r="T6" s="2">
        <v>-240277</v>
      </c>
      <c r="U6" s="2">
        <v>-384490</v>
      </c>
      <c r="V6" s="2">
        <v>-365570</v>
      </c>
      <c r="W6" s="3">
        <v>-205827.14</v>
      </c>
      <c r="X6" s="2">
        <v>-207237</v>
      </c>
      <c r="Y6" s="2">
        <v>-170502</v>
      </c>
      <c r="Z6" s="3">
        <v>-196582.49</v>
      </c>
      <c r="AM6" s="3">
        <v>-14742.39</v>
      </c>
      <c r="AN6" s="2">
        <v>-13979</v>
      </c>
      <c r="AO6" s="3">
        <v>-15998.36</v>
      </c>
      <c r="AP6" s="3">
        <v>-14538.69</v>
      </c>
      <c r="AQ6" s="3">
        <v>-14467.88</v>
      </c>
      <c r="AR6" s="3">
        <v>-15085.42</v>
      </c>
      <c r="AS6" s="3">
        <v>-13646.76</v>
      </c>
      <c r="AT6" s="3">
        <v>-15616.26</v>
      </c>
      <c r="AU6" s="3">
        <v>-14190.33</v>
      </c>
      <c r="AV6" s="3">
        <v>-14120.08</v>
      </c>
      <c r="AW6" s="3">
        <v>-14052.73</v>
      </c>
      <c r="AX6" s="3">
        <v>-13985.34</v>
      </c>
      <c r="AY6" s="3">
        <v>-78520.37</v>
      </c>
      <c r="AZ6" s="3">
        <v>-74457.88</v>
      </c>
      <c r="BA6" s="3">
        <v>-86424.3</v>
      </c>
      <c r="BB6" s="3">
        <v>-74538.69</v>
      </c>
      <c r="BC6" s="3">
        <v>-79006.27</v>
      </c>
      <c r="BD6" s="3">
        <v>-77198.36</v>
      </c>
      <c r="BE6" s="3">
        <v>-67767.820000000007</v>
      </c>
      <c r="BF6" s="3">
        <v>-77245.62</v>
      </c>
      <c r="BG6" s="2">
        <v>-70933</v>
      </c>
      <c r="BH6" s="2">
        <v>-77907</v>
      </c>
      <c r="BI6" s="3">
        <v>-74273.570000000007</v>
      </c>
      <c r="BJ6" s="3">
        <v>-70140.09</v>
      </c>
      <c r="BK6" s="3">
        <v>-63850.3</v>
      </c>
      <c r="BL6" s="3">
        <v>-57789.3</v>
      </c>
      <c r="BM6" s="3">
        <v>-64349.81</v>
      </c>
      <c r="BN6" s="3">
        <v>-60869.9</v>
      </c>
      <c r="BO6" s="2">
        <v>-61017</v>
      </c>
      <c r="BP6" s="3">
        <v>-56675.11</v>
      </c>
      <c r="BQ6" s="3">
        <v>-54346.57</v>
      </c>
      <c r="BR6" s="3">
        <v>-58941.14</v>
      </c>
      <c r="BS6" s="3">
        <v>-52118.47</v>
      </c>
      <c r="BT6" s="3">
        <v>-63041.46</v>
      </c>
      <c r="BU6" s="3">
        <v>-57523.77</v>
      </c>
      <c r="BV6" s="3">
        <v>-54262.81</v>
      </c>
      <c r="BW6" s="3">
        <v>-34236.53</v>
      </c>
      <c r="BX6" s="3">
        <v>-32520.61</v>
      </c>
      <c r="BY6" s="3">
        <v>-33331.800000000003</v>
      </c>
      <c r="BZ6" s="3">
        <v>-34484.769999999997</v>
      </c>
      <c r="CA6" s="3">
        <v>-30557.24</v>
      </c>
      <c r="CB6" s="3">
        <v>-29189.07</v>
      </c>
      <c r="CC6" s="3">
        <v>-28401.21</v>
      </c>
      <c r="CD6" s="3">
        <v>-26724.46</v>
      </c>
      <c r="CE6" s="3">
        <v>-23730.58</v>
      </c>
      <c r="CF6" s="2">
        <v>-25849</v>
      </c>
      <c r="CG6" s="3">
        <v>-21245.1</v>
      </c>
      <c r="CH6" s="3">
        <v>-24474.91</v>
      </c>
      <c r="CI6" s="3">
        <v>-34866.870000000003</v>
      </c>
      <c r="CJ6" s="3">
        <v>-33054.730000000003</v>
      </c>
      <c r="CK6" s="3">
        <v>-36175.620000000003</v>
      </c>
      <c r="CL6" s="3">
        <v>-35997.300000000003</v>
      </c>
      <c r="CM6" s="3">
        <v>-32557.599999999999</v>
      </c>
      <c r="CN6" s="3">
        <v>-35635.660000000003</v>
      </c>
      <c r="CO6" s="3">
        <v>-37063.83</v>
      </c>
      <c r="CP6" s="3">
        <v>-33666.25</v>
      </c>
      <c r="CQ6" s="3">
        <v>-33497.550000000003</v>
      </c>
      <c r="CR6" s="3">
        <v>-34910.400000000001</v>
      </c>
      <c r="CS6" s="3">
        <v>-31576.67</v>
      </c>
      <c r="CT6" s="3">
        <v>-34552.75</v>
      </c>
      <c r="CU6" s="3">
        <v>-20831.23</v>
      </c>
      <c r="CV6" s="3">
        <v>-20732.22</v>
      </c>
      <c r="CW6" s="3">
        <v>-23716.23</v>
      </c>
      <c r="CX6" s="3">
        <v>-22568.86</v>
      </c>
      <c r="CY6" s="3">
        <v>-20408.18</v>
      </c>
      <c r="CZ6" s="3">
        <v>-22333.25</v>
      </c>
      <c r="DA6" s="3">
        <v>-21204.17</v>
      </c>
      <c r="DB6" s="3">
        <v>-22094.799999999999</v>
      </c>
      <c r="DC6" s="3">
        <v>-20980.71</v>
      </c>
      <c r="DD6" s="3">
        <v>-20867.52</v>
      </c>
      <c r="DE6" s="3">
        <v>-20758.23</v>
      </c>
      <c r="DF6" s="3">
        <v>-22611.79</v>
      </c>
      <c r="DG6" s="3">
        <v>-6348962.4699999997</v>
      </c>
    </row>
    <row r="7" spans="1:111" x14ac:dyDescent="0.2">
      <c r="A7" t="s">
        <v>7</v>
      </c>
      <c r="B7" s="3">
        <v>14361.27</v>
      </c>
      <c r="C7" s="2">
        <v>-192757</v>
      </c>
      <c r="D7" s="3">
        <v>-159076.88</v>
      </c>
      <c r="E7" s="3">
        <v>-50027.34</v>
      </c>
      <c r="F7" s="3">
        <v>-52321.19</v>
      </c>
      <c r="G7" s="3">
        <v>-34817.49</v>
      </c>
      <c r="H7" s="3">
        <v>-63183.38</v>
      </c>
      <c r="I7" s="3">
        <v>-104032.83</v>
      </c>
      <c r="J7" s="3">
        <v>-103800.26</v>
      </c>
      <c r="K7" s="3">
        <v>15690.44</v>
      </c>
      <c r="O7" s="3">
        <v>-17066.5</v>
      </c>
      <c r="P7" s="3">
        <v>-15469.79</v>
      </c>
      <c r="Q7" s="3">
        <v>-16188.88</v>
      </c>
      <c r="R7" s="3">
        <v>-16902.650000000001</v>
      </c>
      <c r="S7" s="3">
        <v>-32152.41</v>
      </c>
      <c r="T7" s="3">
        <v>16018.47</v>
      </c>
      <c r="U7" s="2">
        <v>16717</v>
      </c>
      <c r="V7" s="3">
        <v>15894.35</v>
      </c>
      <c r="W7" s="3">
        <v>-15832.86</v>
      </c>
      <c r="X7" s="3">
        <v>34539.5</v>
      </c>
      <c r="Y7" s="2">
        <v>28417</v>
      </c>
      <c r="Z7" s="3">
        <v>32763.75</v>
      </c>
      <c r="AA7" s="3">
        <v>31138.25</v>
      </c>
      <c r="AB7" s="3">
        <v>29533.32</v>
      </c>
      <c r="AC7" s="3">
        <v>33813.65</v>
      </c>
      <c r="AD7" s="3">
        <v>32203.75</v>
      </c>
      <c r="AE7" s="3">
        <v>29143.81</v>
      </c>
      <c r="AF7" s="3">
        <v>31917.34</v>
      </c>
      <c r="AG7" s="3">
        <v>30326.35</v>
      </c>
      <c r="AH7" s="3">
        <v>31622.89</v>
      </c>
      <c r="AI7" s="3">
        <v>30049.53</v>
      </c>
      <c r="AJ7" s="3">
        <v>29908.080000000002</v>
      </c>
      <c r="AK7" s="3">
        <v>29770.51</v>
      </c>
      <c r="AL7" s="3">
        <v>32449.89</v>
      </c>
      <c r="AM7" s="3">
        <v>7371.19</v>
      </c>
      <c r="AN7" s="3">
        <v>6989.48</v>
      </c>
      <c r="AO7" s="3">
        <v>7999.18</v>
      </c>
      <c r="AP7" s="3">
        <v>7269.35</v>
      </c>
      <c r="AQ7" s="3">
        <v>7233.94</v>
      </c>
      <c r="AR7" s="3">
        <v>7542.71</v>
      </c>
      <c r="AS7" s="3">
        <v>6823.38</v>
      </c>
      <c r="AT7" s="3">
        <v>7808.13</v>
      </c>
      <c r="AU7" s="3">
        <v>7095.17</v>
      </c>
      <c r="AV7" s="2">
        <v>7060</v>
      </c>
      <c r="AW7" s="3">
        <v>7026.37</v>
      </c>
      <c r="AX7" s="3">
        <v>6992.67</v>
      </c>
      <c r="AY7" s="3">
        <v>-6959.44</v>
      </c>
      <c r="AZ7" s="3">
        <v>-6599.36</v>
      </c>
      <c r="BA7" s="3">
        <v>-7552.64</v>
      </c>
      <c r="BB7" s="3">
        <v>-6536.58</v>
      </c>
      <c r="BC7" s="2">
        <v>-7155</v>
      </c>
      <c r="BD7" s="3">
        <v>-7120.74</v>
      </c>
      <c r="BE7" s="3">
        <v>-6441.14</v>
      </c>
      <c r="BF7" s="3">
        <v>-7370.1</v>
      </c>
      <c r="BG7" s="3">
        <v>-6377.39</v>
      </c>
      <c r="BH7" s="3">
        <v>-6979.35</v>
      </c>
      <c r="BI7" s="3">
        <v>-6630.11</v>
      </c>
      <c r="BJ7" s="3">
        <v>-6283.73</v>
      </c>
      <c r="BK7" s="3">
        <v>-6878.47</v>
      </c>
      <c r="BL7" s="3">
        <v>-6225.53</v>
      </c>
      <c r="BM7" s="3">
        <v>-6814.4</v>
      </c>
      <c r="BN7" s="3">
        <v>-6473.51</v>
      </c>
      <c r="BO7" s="2">
        <v>-6748</v>
      </c>
      <c r="BP7" s="3">
        <v>-6410.13</v>
      </c>
      <c r="BQ7" s="3">
        <v>-6377.88</v>
      </c>
      <c r="BR7" s="2">
        <v>-6950</v>
      </c>
      <c r="BS7" s="2">
        <v>-5713</v>
      </c>
      <c r="BT7" s="3">
        <v>-6880.38</v>
      </c>
      <c r="BU7" s="3">
        <v>-6250.82</v>
      </c>
      <c r="BV7" s="3">
        <v>-5922.38</v>
      </c>
      <c r="BW7" s="3">
        <v>-6480.75</v>
      </c>
      <c r="BX7" s="3">
        <v>-6155.92</v>
      </c>
      <c r="BY7" s="3">
        <v>-6123.58</v>
      </c>
      <c r="BZ7" s="3">
        <v>-6382.38</v>
      </c>
      <c r="CA7" s="3">
        <v>-6059.93</v>
      </c>
      <c r="CB7" s="3">
        <v>-6028.63</v>
      </c>
      <c r="CC7" s="3">
        <v>-6281.82</v>
      </c>
      <c r="CD7" s="3">
        <v>-5963.94</v>
      </c>
      <c r="CE7" s="3">
        <v>-5932.65</v>
      </c>
      <c r="CF7" s="3">
        <v>-6462.25</v>
      </c>
      <c r="CG7" s="3">
        <v>-5311.27</v>
      </c>
      <c r="CH7" s="3">
        <v>-6118.73</v>
      </c>
      <c r="DG7" s="3">
        <v>-473090.69</v>
      </c>
    </row>
    <row r="8" spans="1:111" x14ac:dyDescent="0.2">
      <c r="A8" t="s">
        <v>9</v>
      </c>
      <c r="B8" s="3">
        <v>71806.33</v>
      </c>
      <c r="C8" s="3">
        <v>350467.35</v>
      </c>
      <c r="D8" s="3">
        <v>318153.75</v>
      </c>
      <c r="I8" s="3">
        <v>17338.810000000001</v>
      </c>
      <c r="J8" s="2">
        <v>17300</v>
      </c>
      <c r="L8" s="3">
        <v>179975.58</v>
      </c>
      <c r="M8" s="3">
        <v>156087.12</v>
      </c>
      <c r="N8" s="3">
        <v>163412.49</v>
      </c>
      <c r="O8" s="3">
        <v>-17066.5</v>
      </c>
      <c r="P8" s="3">
        <v>-15469.79</v>
      </c>
      <c r="Q8" s="3">
        <v>-16188.88</v>
      </c>
      <c r="R8" s="3">
        <v>-16902.650000000001</v>
      </c>
      <c r="S8" s="3">
        <v>-16076.2</v>
      </c>
      <c r="T8" s="3">
        <v>-32036.93</v>
      </c>
      <c r="U8" s="3">
        <v>-33433.919999999998</v>
      </c>
      <c r="V8" s="3">
        <v>-31788.7</v>
      </c>
      <c r="W8" s="3">
        <v>-15832.86</v>
      </c>
      <c r="X8" s="3">
        <v>-17269.75</v>
      </c>
      <c r="Y8" s="3">
        <v>-14208.5</v>
      </c>
      <c r="Z8" s="3">
        <v>-16381.87</v>
      </c>
      <c r="DG8" s="3">
        <v>1031884.92</v>
      </c>
    </row>
    <row r="9" spans="1:111" x14ac:dyDescent="0.2">
      <c r="A9" t="s">
        <v>113</v>
      </c>
      <c r="C9" s="3">
        <v>17523.37</v>
      </c>
      <c r="D9" s="3">
        <v>15907.69</v>
      </c>
      <c r="E9" s="3">
        <v>-33351.56</v>
      </c>
      <c r="F9" s="3">
        <v>-34880.79</v>
      </c>
      <c r="I9" s="3">
        <v>-17338.810000000001</v>
      </c>
      <c r="J9" s="2">
        <v>-17300</v>
      </c>
      <c r="DG9" s="3">
        <v>-69440.149999999994</v>
      </c>
    </row>
    <row r="10" spans="1:111" x14ac:dyDescent="0.2">
      <c r="A10" t="s">
        <v>10</v>
      </c>
      <c r="B10" s="2">
        <v>143708</v>
      </c>
      <c r="C10" s="3">
        <v>368247.39</v>
      </c>
      <c r="D10" s="3">
        <v>334276.52</v>
      </c>
      <c r="E10" s="3">
        <v>83448.61</v>
      </c>
      <c r="F10" s="2">
        <v>87266</v>
      </c>
      <c r="G10" s="3">
        <v>52266.91</v>
      </c>
      <c r="H10" s="3">
        <v>47425.15</v>
      </c>
      <c r="I10" s="3">
        <v>225606.39999999999</v>
      </c>
      <c r="J10" s="3">
        <v>225083.7</v>
      </c>
      <c r="K10" s="3">
        <v>47120.55</v>
      </c>
      <c r="L10" s="3">
        <v>216207.46</v>
      </c>
      <c r="M10" s="3">
        <v>187540.37</v>
      </c>
      <c r="N10" s="3">
        <v>196322.64</v>
      </c>
      <c r="DG10" s="3">
        <v>2214519.7200000002</v>
      </c>
    </row>
    <row r="11" spans="1:111" x14ac:dyDescent="0.2">
      <c r="A11" t="s">
        <v>121</v>
      </c>
      <c r="B11" s="2">
        <v>143708</v>
      </c>
      <c r="C11" s="3">
        <v>350711.8</v>
      </c>
      <c r="D11" s="3">
        <v>318358.59000000003</v>
      </c>
      <c r="E11" s="3">
        <v>83448.61</v>
      </c>
      <c r="F11" s="2">
        <v>87266</v>
      </c>
      <c r="G11" s="3">
        <v>87111.52</v>
      </c>
      <c r="H11" s="3">
        <v>158083.82</v>
      </c>
      <c r="I11" s="3">
        <v>954488.61</v>
      </c>
      <c r="J11" s="3">
        <v>952277.18</v>
      </c>
      <c r="K11" s="3">
        <v>78534.25</v>
      </c>
      <c r="L11" s="3">
        <v>180172.88</v>
      </c>
      <c r="M11" s="3">
        <v>156283.64000000001</v>
      </c>
      <c r="N11" s="3">
        <v>163602.20000000001</v>
      </c>
      <c r="O11" s="3">
        <v>85444.79</v>
      </c>
      <c r="P11" s="3">
        <v>77454.94</v>
      </c>
      <c r="Q11" s="3">
        <v>81059.53</v>
      </c>
      <c r="R11" s="3">
        <v>84638.26</v>
      </c>
      <c r="S11" s="3">
        <v>80513.27</v>
      </c>
      <c r="T11" s="3">
        <v>80208.56</v>
      </c>
      <c r="U11" s="3">
        <v>50232.480000000003</v>
      </c>
      <c r="V11" s="3">
        <v>47756.2</v>
      </c>
      <c r="W11" s="3">
        <v>79297.72</v>
      </c>
      <c r="X11" s="3">
        <v>86498.73</v>
      </c>
      <c r="Y11" s="3">
        <v>71187.360000000001</v>
      </c>
      <c r="Z11" s="3">
        <v>82045.38</v>
      </c>
      <c r="AA11" s="3">
        <v>-15600.07</v>
      </c>
      <c r="AB11" s="3">
        <v>-14798.16</v>
      </c>
      <c r="AC11" s="3">
        <v>-16938.080000000002</v>
      </c>
      <c r="AD11" s="3">
        <v>-16132.3</v>
      </c>
      <c r="AE11" s="3">
        <v>-14599.63</v>
      </c>
      <c r="AF11" s="3">
        <v>-15986.8</v>
      </c>
      <c r="AG11" s="2">
        <v>-15195</v>
      </c>
      <c r="AH11" s="3">
        <v>-15839.95</v>
      </c>
      <c r="AI11" s="3">
        <v>-15054.16</v>
      </c>
      <c r="AJ11" s="3">
        <v>-14988.37</v>
      </c>
      <c r="AK11" s="2">
        <v>-14915</v>
      </c>
      <c r="AL11" s="3">
        <v>-16257.62</v>
      </c>
      <c r="DG11" s="3">
        <v>4434079.21</v>
      </c>
    </row>
    <row r="12" spans="1:111" x14ac:dyDescent="0.2">
      <c r="A12" t="s">
        <v>78</v>
      </c>
      <c r="B12" s="3">
        <v>14361.27</v>
      </c>
      <c r="E12" s="3">
        <v>50027.34</v>
      </c>
      <c r="F12" s="3">
        <v>52321.19</v>
      </c>
      <c r="G12" s="3">
        <v>121861.22</v>
      </c>
      <c r="H12" s="3">
        <v>78979.22</v>
      </c>
      <c r="I12" s="3">
        <v>121371.64</v>
      </c>
      <c r="J12" s="3">
        <v>121100.3</v>
      </c>
      <c r="K12" s="3">
        <v>15690.44</v>
      </c>
      <c r="L12" s="3">
        <v>305958.48</v>
      </c>
      <c r="M12" s="3">
        <v>265348.11</v>
      </c>
      <c r="N12" s="3">
        <v>277801.23</v>
      </c>
      <c r="O12" s="3">
        <v>17066.5</v>
      </c>
      <c r="P12" s="3">
        <v>15469.79</v>
      </c>
      <c r="Q12" s="3">
        <v>16188.88</v>
      </c>
      <c r="R12" s="3">
        <v>16902.650000000001</v>
      </c>
      <c r="S12" s="3">
        <v>16076.2</v>
      </c>
      <c r="T12" s="3">
        <v>32036.93</v>
      </c>
      <c r="U12" s="3">
        <v>33433.919999999998</v>
      </c>
      <c r="V12" s="3">
        <v>31788.7</v>
      </c>
      <c r="W12" s="3">
        <v>31665.71</v>
      </c>
      <c r="X12" s="3">
        <v>34539.5</v>
      </c>
      <c r="Y12" s="2">
        <v>28417</v>
      </c>
      <c r="Z12" s="3">
        <v>32763.75</v>
      </c>
      <c r="DG12" s="2">
        <v>1731170</v>
      </c>
    </row>
    <row r="13" spans="1:111" x14ac:dyDescent="0.2">
      <c r="A13" t="s">
        <v>14</v>
      </c>
      <c r="B13" s="3">
        <v>28741.599999999999</v>
      </c>
      <c r="C13" s="2">
        <v>403233</v>
      </c>
      <c r="D13" s="3">
        <v>366040.69</v>
      </c>
      <c r="E13" s="3">
        <v>50055.22</v>
      </c>
      <c r="F13" s="3">
        <v>52346.82</v>
      </c>
      <c r="G13" s="3">
        <v>17408.75</v>
      </c>
      <c r="H13" s="3">
        <v>15795.84</v>
      </c>
      <c r="I13" s="3">
        <v>-242743.28</v>
      </c>
      <c r="J13" s="3">
        <v>-242200.6</v>
      </c>
      <c r="K13" s="3">
        <v>-15690.44</v>
      </c>
      <c r="Q13" s="3">
        <v>113322.14</v>
      </c>
      <c r="R13" s="3">
        <v>118318.56</v>
      </c>
      <c r="S13" s="2">
        <v>160762</v>
      </c>
      <c r="T13" s="3">
        <v>208240.06</v>
      </c>
      <c r="U13" s="3">
        <v>-50150.87</v>
      </c>
      <c r="V13" s="2">
        <v>-47683</v>
      </c>
      <c r="W13" s="3">
        <v>126662.86</v>
      </c>
      <c r="X13" s="3">
        <v>172697.49</v>
      </c>
      <c r="Y13" s="2">
        <v>142085</v>
      </c>
      <c r="Z13" s="3">
        <v>163818.74</v>
      </c>
      <c r="AA13" s="3">
        <v>62276.5</v>
      </c>
      <c r="AB13" s="3">
        <v>59066.65</v>
      </c>
      <c r="AC13" s="3">
        <v>67627.3</v>
      </c>
      <c r="AD13" s="3">
        <v>64407.51</v>
      </c>
      <c r="AE13" s="3">
        <v>58287.63</v>
      </c>
      <c r="AF13" s="3">
        <v>63834.67</v>
      </c>
      <c r="AG13" s="3">
        <v>106142.21</v>
      </c>
      <c r="AH13" s="3">
        <v>110680.1</v>
      </c>
      <c r="AI13" s="3">
        <v>60099.06</v>
      </c>
      <c r="AJ13" s="3">
        <v>59816.15</v>
      </c>
      <c r="AK13" s="2">
        <v>59541</v>
      </c>
      <c r="AL13" s="3">
        <v>64899.79</v>
      </c>
      <c r="AM13" s="3">
        <v>14742.39</v>
      </c>
      <c r="AN13" s="2">
        <v>13979</v>
      </c>
      <c r="AO13" s="3">
        <v>15998.36</v>
      </c>
      <c r="AP13" s="3">
        <v>14538.69</v>
      </c>
      <c r="AQ13" s="3">
        <v>14467.88</v>
      </c>
      <c r="AR13" s="3">
        <v>15085.42</v>
      </c>
      <c r="AS13" s="3">
        <v>13646.76</v>
      </c>
      <c r="AT13" s="3">
        <v>15616.26</v>
      </c>
      <c r="AU13" s="3">
        <v>14190.33</v>
      </c>
      <c r="AV13" s="3">
        <v>14120.08</v>
      </c>
      <c r="AW13" s="3">
        <v>14052.73</v>
      </c>
      <c r="AX13" s="3">
        <v>13985.34</v>
      </c>
      <c r="DG13" s="3">
        <v>2552162.38</v>
      </c>
    </row>
    <row r="14" spans="1:111" x14ac:dyDescent="0.2">
      <c r="A14" t="s">
        <v>15</v>
      </c>
      <c r="B14" s="3">
        <v>904853.63</v>
      </c>
      <c r="C14" s="3">
        <v>131491.79999999999</v>
      </c>
      <c r="D14" s="3">
        <v>148956.22</v>
      </c>
      <c r="E14" s="3">
        <v>-592615.13</v>
      </c>
      <c r="F14" s="3">
        <v>-568620.66</v>
      </c>
      <c r="G14" s="3">
        <v>-397804.65</v>
      </c>
      <c r="H14" s="3">
        <v>-489583.42</v>
      </c>
      <c r="I14" s="3">
        <v>336057.57</v>
      </c>
      <c r="J14" s="3">
        <v>327486.09000000003</v>
      </c>
      <c r="K14" s="3">
        <v>-376455.81</v>
      </c>
      <c r="L14" s="3">
        <v>719191.81</v>
      </c>
      <c r="M14" s="3">
        <v>623785.64</v>
      </c>
      <c r="N14" s="2">
        <v>653027</v>
      </c>
      <c r="O14" s="3">
        <v>-392417.11</v>
      </c>
      <c r="P14" s="3">
        <v>-355699.31</v>
      </c>
      <c r="Q14" s="2">
        <v>-113207</v>
      </c>
      <c r="R14" s="3">
        <v>-118193.56</v>
      </c>
      <c r="S14" s="3">
        <v>-285220.36</v>
      </c>
      <c r="T14" s="3">
        <v>-128031.51</v>
      </c>
      <c r="U14" s="3">
        <v>-672030.38</v>
      </c>
      <c r="V14" s="3">
        <v>-646973.06999999995</v>
      </c>
      <c r="W14" s="3">
        <v>-126529.43</v>
      </c>
      <c r="X14" s="3">
        <v>121038.23</v>
      </c>
      <c r="Y14" s="3">
        <v>99604.37</v>
      </c>
      <c r="Z14" s="3">
        <v>114809.13</v>
      </c>
      <c r="AA14" s="3">
        <v>84352.47</v>
      </c>
      <c r="AB14" s="3">
        <v>80002.55</v>
      </c>
      <c r="AC14" s="3">
        <v>91602.48</v>
      </c>
      <c r="AD14" s="3">
        <v>86917.88</v>
      </c>
      <c r="AE14" s="3">
        <v>78658.91</v>
      </c>
      <c r="AF14" s="3">
        <v>-169511.43</v>
      </c>
      <c r="AG14" s="3">
        <v>50609.39</v>
      </c>
      <c r="AH14" s="3">
        <v>53095.09</v>
      </c>
      <c r="AI14" s="3">
        <v>81102.570000000007</v>
      </c>
      <c r="AJ14" s="3">
        <v>80715.41</v>
      </c>
      <c r="AK14" s="3">
        <v>80348.820000000007</v>
      </c>
      <c r="AL14" s="3">
        <v>87580.07</v>
      </c>
      <c r="AM14" s="2">
        <v>20933</v>
      </c>
      <c r="AN14" s="2">
        <v>19849</v>
      </c>
      <c r="AO14" s="3">
        <v>22716.38</v>
      </c>
      <c r="AP14" s="3">
        <v>20352.25</v>
      </c>
      <c r="AQ14" s="3">
        <v>20253.259999999998</v>
      </c>
      <c r="AR14" s="3">
        <v>5730.18</v>
      </c>
      <c r="AS14" s="3">
        <v>18282.740000000002</v>
      </c>
      <c r="AT14" s="3">
        <v>21235.119999999999</v>
      </c>
      <c r="AU14" s="3">
        <v>19864.7</v>
      </c>
      <c r="AV14" s="3">
        <v>19766.34</v>
      </c>
      <c r="AW14" s="3">
        <v>19672.09</v>
      </c>
      <c r="AX14" s="3">
        <v>19578.060000000001</v>
      </c>
      <c r="AY14" s="3">
        <v>-44837.78</v>
      </c>
      <c r="AZ14" s="2">
        <v>-42518</v>
      </c>
      <c r="BA14" s="3">
        <v>-49870.77</v>
      </c>
      <c r="BB14" s="2">
        <v>-43165</v>
      </c>
      <c r="BC14" s="3">
        <v>-44664.19</v>
      </c>
      <c r="BD14" s="3">
        <v>-43305.49</v>
      </c>
      <c r="BE14" s="3">
        <v>-37626.54</v>
      </c>
      <c r="BF14" s="3">
        <v>-42461.61</v>
      </c>
      <c r="BG14" s="3">
        <v>-40323.300000000003</v>
      </c>
      <c r="BH14" s="3">
        <v>-44407.88</v>
      </c>
      <c r="BI14" s="3">
        <v>-42450.65</v>
      </c>
      <c r="BJ14" s="3">
        <v>-39979.629999999997</v>
      </c>
      <c r="BK14" s="3">
        <v>-16802.66</v>
      </c>
      <c r="BL14" s="3">
        <v>-15207.73</v>
      </c>
      <c r="BM14" s="3">
        <v>-17740.560000000001</v>
      </c>
      <c r="BN14" s="3">
        <v>-16851.64</v>
      </c>
      <c r="BO14" s="2">
        <v>-15132</v>
      </c>
      <c r="BP14" s="3">
        <v>-13344.5</v>
      </c>
      <c r="BQ14" s="3">
        <v>-11745.58</v>
      </c>
      <c r="BR14" s="3">
        <v>-12239.68</v>
      </c>
      <c r="BS14" s="3">
        <v>-13271.71</v>
      </c>
      <c r="BT14" s="3">
        <v>-16256.68</v>
      </c>
      <c r="BU14" s="3">
        <v>-15019.85</v>
      </c>
      <c r="BV14" s="3">
        <v>-13992.07</v>
      </c>
      <c r="BW14" s="3">
        <v>-2870.85</v>
      </c>
      <c r="BX14" s="2">
        <v>-2727</v>
      </c>
      <c r="BY14" s="3">
        <v>-3694.76</v>
      </c>
      <c r="BZ14" s="2">
        <v>-3851</v>
      </c>
      <c r="CA14" s="3">
        <v>-1471.33</v>
      </c>
      <c r="CB14">
        <v>-494.81</v>
      </c>
      <c r="CC14">
        <v>994.29</v>
      </c>
      <c r="CD14" s="3">
        <v>1422.83</v>
      </c>
      <c r="CE14" s="3">
        <v>4744.49</v>
      </c>
      <c r="CF14" s="2">
        <v>5168</v>
      </c>
      <c r="CG14" s="3">
        <v>4247.43</v>
      </c>
      <c r="CH14" s="3">
        <v>4893.55</v>
      </c>
      <c r="CI14" s="3">
        <v>-46955.11</v>
      </c>
      <c r="CJ14" s="3">
        <v>-44514.720000000001</v>
      </c>
      <c r="CK14" s="3">
        <v>-48717.54</v>
      </c>
      <c r="CL14" s="3">
        <v>-48717.89</v>
      </c>
      <c r="CM14" s="3">
        <v>-44062.9</v>
      </c>
      <c r="CN14" s="3">
        <v>-48466.54</v>
      </c>
      <c r="CO14" s="3">
        <v>-49418.44</v>
      </c>
      <c r="CP14" s="3">
        <v>-44888.33</v>
      </c>
      <c r="CQ14" s="3">
        <v>-44663.4</v>
      </c>
      <c r="CR14" s="3">
        <v>-46547.199999999997</v>
      </c>
      <c r="CS14" s="3">
        <v>-42102.22</v>
      </c>
      <c r="CT14" s="3">
        <v>-46070.33</v>
      </c>
      <c r="CU14" s="3">
        <v>-10415.61</v>
      </c>
      <c r="CV14" s="3">
        <v>-10366.11</v>
      </c>
      <c r="CW14" s="3">
        <v>-11858.11</v>
      </c>
      <c r="CX14" s="3">
        <v>-11284.43</v>
      </c>
      <c r="CY14" s="3">
        <v>-10204.09</v>
      </c>
      <c r="CZ14" s="3">
        <v>-11166.62</v>
      </c>
      <c r="DA14" s="3">
        <v>-10602.09</v>
      </c>
      <c r="DB14" s="3">
        <v>-11047.4</v>
      </c>
      <c r="DC14" s="3">
        <v>-10490.35</v>
      </c>
      <c r="DD14" s="3">
        <v>-10433.76</v>
      </c>
      <c r="DE14" s="3">
        <v>-10379.11</v>
      </c>
      <c r="DF14" s="3">
        <v>-11305.89</v>
      </c>
      <c r="DG14" s="3">
        <v>-1540905.53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J18"/>
  <sheetViews>
    <sheetView workbookViewId="0">
      <selection activeCell="E7" sqref="E7"/>
    </sheetView>
  </sheetViews>
  <sheetFormatPr defaultRowHeight="12.75" x14ac:dyDescent="0.2"/>
  <cols>
    <col min="1" max="1" width="19.28515625" bestFit="1" customWidth="1"/>
    <col min="2" max="2" width="12.7109375" customWidth="1"/>
    <col min="3" max="3" width="12.7109375" bestFit="1" customWidth="1"/>
    <col min="4" max="4" width="13.42578125" bestFit="1" customWidth="1"/>
    <col min="5" max="19" width="12.28515625" bestFit="1" customWidth="1"/>
    <col min="20" max="22" width="10.7109375" bestFit="1" customWidth="1"/>
    <col min="23" max="23" width="12.42578125" customWidth="1"/>
    <col min="24" max="27" width="10.7109375" bestFit="1" customWidth="1"/>
    <col min="28" max="28" width="12.28515625" customWidth="1"/>
    <col min="29" max="29" width="10.140625" bestFit="1" customWidth="1"/>
    <col min="30" max="33" width="10.7109375" bestFit="1" customWidth="1"/>
    <col min="34" max="34" width="10.140625" bestFit="1" customWidth="1"/>
    <col min="35" max="36" width="10.7109375" bestFit="1" customWidth="1"/>
    <col min="37" max="37" width="10.140625" bestFit="1" customWidth="1"/>
    <col min="38" max="43" width="10.7109375" bestFit="1" customWidth="1"/>
    <col min="44" max="115" width="10.140625" bestFit="1" customWidth="1"/>
    <col min="116" max="116" width="13.42578125" bestFit="1" customWidth="1"/>
    <col min="117" max="117" width="5" bestFit="1" customWidth="1"/>
    <col min="118" max="118" width="12.7109375" bestFit="1" customWidth="1"/>
  </cols>
  <sheetData>
    <row r="1" spans="1:111" x14ac:dyDescent="0.2">
      <c r="B1" s="1">
        <v>37226</v>
      </c>
      <c r="C1" s="1">
        <v>37257</v>
      </c>
      <c r="D1" s="1">
        <v>37288</v>
      </c>
      <c r="E1" s="1">
        <v>37316</v>
      </c>
      <c r="F1" s="1">
        <v>37347</v>
      </c>
      <c r="G1" s="1">
        <v>37377</v>
      </c>
      <c r="H1" s="1">
        <v>37408</v>
      </c>
      <c r="I1" s="1">
        <v>37438</v>
      </c>
      <c r="J1" s="1">
        <v>37469</v>
      </c>
      <c r="K1" s="1">
        <v>37500</v>
      </c>
      <c r="L1" s="1">
        <v>37530</v>
      </c>
      <c r="M1" s="1">
        <v>37561</v>
      </c>
      <c r="N1" s="1">
        <v>37591</v>
      </c>
      <c r="O1" s="1">
        <v>37622</v>
      </c>
      <c r="P1" s="1">
        <v>37653</v>
      </c>
      <c r="Q1" s="1">
        <v>37681</v>
      </c>
      <c r="R1" s="1">
        <v>37712</v>
      </c>
      <c r="S1" s="1">
        <v>37742</v>
      </c>
      <c r="T1" s="1">
        <v>37773</v>
      </c>
      <c r="U1" s="1">
        <v>37803</v>
      </c>
      <c r="V1" s="1">
        <v>37834</v>
      </c>
      <c r="W1" s="1">
        <v>37865</v>
      </c>
      <c r="X1" s="1">
        <v>37895</v>
      </c>
      <c r="Y1" s="1">
        <v>37926</v>
      </c>
      <c r="Z1" s="1">
        <v>37956</v>
      </c>
      <c r="AA1" s="1">
        <v>37987</v>
      </c>
      <c r="AB1" s="1">
        <v>38018</v>
      </c>
      <c r="AC1" s="1">
        <v>38047</v>
      </c>
      <c r="AD1" s="1">
        <v>38078</v>
      </c>
      <c r="AE1" s="1">
        <v>38108</v>
      </c>
      <c r="AF1" s="1">
        <v>38139</v>
      </c>
      <c r="AG1" s="1">
        <v>38169</v>
      </c>
      <c r="AH1" s="1">
        <v>38200</v>
      </c>
      <c r="AI1" s="1">
        <v>38231</v>
      </c>
      <c r="AJ1" s="1">
        <v>38261</v>
      </c>
      <c r="AK1" s="1">
        <v>38292</v>
      </c>
      <c r="AL1" s="1">
        <v>38322</v>
      </c>
      <c r="AM1" s="1">
        <v>38353</v>
      </c>
      <c r="AN1" s="1">
        <v>38384</v>
      </c>
      <c r="AO1" s="1">
        <v>38412</v>
      </c>
      <c r="AP1" s="1">
        <v>38443</v>
      </c>
      <c r="AQ1" s="1">
        <v>38473</v>
      </c>
      <c r="AR1" s="1">
        <v>38504</v>
      </c>
      <c r="AS1" s="1">
        <v>38534</v>
      </c>
      <c r="AT1" s="1">
        <v>38565</v>
      </c>
      <c r="AU1" s="1">
        <v>38596</v>
      </c>
      <c r="AV1" s="1">
        <v>38626</v>
      </c>
      <c r="AW1" s="1">
        <v>38657</v>
      </c>
      <c r="AX1" s="1">
        <v>38687</v>
      </c>
      <c r="AY1" s="1">
        <v>38718</v>
      </c>
      <c r="AZ1" s="1">
        <v>38749</v>
      </c>
      <c r="BA1" s="1">
        <v>38777</v>
      </c>
      <c r="BB1" s="1">
        <v>38808</v>
      </c>
      <c r="BC1" s="1">
        <v>38838</v>
      </c>
      <c r="BD1" s="1">
        <v>38869</v>
      </c>
      <c r="BE1" s="1">
        <v>38899</v>
      </c>
      <c r="BF1" s="1">
        <v>38930</v>
      </c>
      <c r="BG1" s="1">
        <v>38961</v>
      </c>
      <c r="BH1" s="1">
        <v>38991</v>
      </c>
      <c r="BI1" s="1">
        <v>39022</v>
      </c>
      <c r="BJ1" s="1">
        <v>39052</v>
      </c>
      <c r="BK1" s="1">
        <v>39083</v>
      </c>
      <c r="BL1" s="1">
        <v>39114</v>
      </c>
      <c r="BM1" s="1">
        <v>39142</v>
      </c>
      <c r="BN1" s="1">
        <v>39173</v>
      </c>
      <c r="BO1" s="1">
        <v>39203</v>
      </c>
      <c r="BP1" s="1">
        <v>39234</v>
      </c>
      <c r="BQ1" s="1">
        <v>39264</v>
      </c>
      <c r="BR1" s="1">
        <v>39295</v>
      </c>
      <c r="BS1" s="1">
        <v>39326</v>
      </c>
      <c r="BT1" s="1">
        <v>39356</v>
      </c>
      <c r="BU1" s="1">
        <v>39387</v>
      </c>
      <c r="BV1" s="1">
        <v>39417</v>
      </c>
      <c r="BW1" s="1">
        <v>39448</v>
      </c>
      <c r="BX1" s="1">
        <v>39479</v>
      </c>
      <c r="BY1" s="1">
        <v>39508</v>
      </c>
      <c r="BZ1" s="1">
        <v>39539</v>
      </c>
      <c r="CA1" s="1">
        <v>39569</v>
      </c>
      <c r="CB1" s="1">
        <v>39600</v>
      </c>
      <c r="CC1" s="1">
        <v>39630</v>
      </c>
      <c r="CD1" s="1">
        <v>39661</v>
      </c>
      <c r="CE1" s="1">
        <v>39692</v>
      </c>
      <c r="CF1" s="1">
        <v>39722</v>
      </c>
      <c r="CG1" s="1">
        <v>39753</v>
      </c>
      <c r="CH1" s="1">
        <v>39783</v>
      </c>
      <c r="CI1" s="1">
        <v>39814</v>
      </c>
      <c r="CJ1" s="1">
        <v>39845</v>
      </c>
      <c r="CK1" s="1">
        <v>39873</v>
      </c>
      <c r="CL1" s="1">
        <v>39904</v>
      </c>
      <c r="CM1" s="1">
        <v>39934</v>
      </c>
      <c r="CN1" s="1">
        <v>39965</v>
      </c>
      <c r="CO1" s="1">
        <v>39995</v>
      </c>
      <c r="CP1" s="1">
        <v>40026</v>
      </c>
      <c r="CQ1" s="1">
        <v>40057</v>
      </c>
      <c r="CR1" s="1">
        <v>40087</v>
      </c>
      <c r="CS1" s="1">
        <v>40118</v>
      </c>
      <c r="CT1" s="1">
        <v>40148</v>
      </c>
      <c r="CU1" s="1">
        <v>40179</v>
      </c>
      <c r="CV1" s="1">
        <v>40210</v>
      </c>
      <c r="CW1" s="1">
        <v>40238</v>
      </c>
      <c r="CX1" s="1">
        <v>40269</v>
      </c>
      <c r="CY1" s="1">
        <v>40299</v>
      </c>
      <c r="CZ1" s="1">
        <v>40330</v>
      </c>
      <c r="DA1" s="1">
        <v>40360</v>
      </c>
      <c r="DB1" s="1">
        <v>40391</v>
      </c>
      <c r="DC1" s="1">
        <v>40422</v>
      </c>
      <c r="DD1" s="1">
        <v>40452</v>
      </c>
      <c r="DE1" s="1">
        <v>40483</v>
      </c>
      <c r="DF1" s="1">
        <v>40513</v>
      </c>
    </row>
    <row r="2" spans="1:111" x14ac:dyDescent="0.2">
      <c r="A2" t="s">
        <v>16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  <c r="AC2" t="s">
        <v>23</v>
      </c>
      <c r="AD2" t="s">
        <v>23</v>
      </c>
      <c r="AE2" t="s">
        <v>23</v>
      </c>
      <c r="AF2" t="s">
        <v>23</v>
      </c>
      <c r="AG2" t="s">
        <v>23</v>
      </c>
      <c r="AH2" t="s">
        <v>23</v>
      </c>
      <c r="AI2" t="s">
        <v>23</v>
      </c>
      <c r="AJ2" t="s">
        <v>23</v>
      </c>
      <c r="AK2" t="s">
        <v>23</v>
      </c>
      <c r="AL2" t="s">
        <v>23</v>
      </c>
      <c r="AM2" t="s">
        <v>23</v>
      </c>
      <c r="AN2" t="s">
        <v>23</v>
      </c>
      <c r="AO2" t="s">
        <v>23</v>
      </c>
      <c r="AP2" t="s">
        <v>23</v>
      </c>
      <c r="AQ2" t="s">
        <v>23</v>
      </c>
      <c r="AR2" t="s">
        <v>23</v>
      </c>
      <c r="AS2" t="s">
        <v>23</v>
      </c>
      <c r="AT2" t="s">
        <v>23</v>
      </c>
      <c r="AU2" t="s">
        <v>23</v>
      </c>
      <c r="AV2" t="s">
        <v>23</v>
      </c>
      <c r="AW2" t="s">
        <v>23</v>
      </c>
      <c r="AX2" t="s">
        <v>23</v>
      </c>
      <c r="AY2" t="s">
        <v>23</v>
      </c>
      <c r="AZ2" t="s">
        <v>23</v>
      </c>
      <c r="BA2" t="s">
        <v>23</v>
      </c>
      <c r="BB2" t="s">
        <v>23</v>
      </c>
      <c r="BC2" t="s">
        <v>23</v>
      </c>
      <c r="BD2" t="s">
        <v>23</v>
      </c>
      <c r="BE2" t="s">
        <v>23</v>
      </c>
      <c r="BF2" t="s">
        <v>23</v>
      </c>
      <c r="BG2" t="s">
        <v>23</v>
      </c>
      <c r="BH2" t="s">
        <v>23</v>
      </c>
      <c r="BI2" t="s">
        <v>23</v>
      </c>
      <c r="BJ2" t="s">
        <v>23</v>
      </c>
      <c r="BK2" t="s">
        <v>23</v>
      </c>
      <c r="BL2" t="s">
        <v>23</v>
      </c>
      <c r="BM2" t="s">
        <v>23</v>
      </c>
      <c r="BN2" t="s">
        <v>23</v>
      </c>
      <c r="BO2" t="s">
        <v>23</v>
      </c>
      <c r="BP2" t="s">
        <v>23</v>
      </c>
      <c r="BQ2" t="s">
        <v>23</v>
      </c>
      <c r="BR2" t="s">
        <v>23</v>
      </c>
      <c r="BS2" t="s">
        <v>23</v>
      </c>
      <c r="BT2" t="s">
        <v>23</v>
      </c>
      <c r="BU2" t="s">
        <v>23</v>
      </c>
      <c r="BV2" t="s">
        <v>23</v>
      </c>
      <c r="BW2" t="s">
        <v>23</v>
      </c>
      <c r="BX2" t="s">
        <v>23</v>
      </c>
      <c r="BY2" t="s">
        <v>23</v>
      </c>
      <c r="BZ2" t="s">
        <v>23</v>
      </c>
      <c r="CA2" t="s">
        <v>23</v>
      </c>
      <c r="CB2" t="s">
        <v>23</v>
      </c>
      <c r="CC2" t="s">
        <v>23</v>
      </c>
      <c r="CD2" t="s">
        <v>23</v>
      </c>
      <c r="CE2" t="s">
        <v>23</v>
      </c>
      <c r="CF2" t="s">
        <v>23</v>
      </c>
      <c r="CG2" t="s">
        <v>23</v>
      </c>
      <c r="CH2" t="s">
        <v>23</v>
      </c>
      <c r="CI2" t="s">
        <v>23</v>
      </c>
      <c r="CJ2" t="s">
        <v>23</v>
      </c>
      <c r="CK2" t="s">
        <v>23</v>
      </c>
      <c r="CL2" t="s">
        <v>23</v>
      </c>
      <c r="CM2" t="s">
        <v>23</v>
      </c>
      <c r="CN2" t="s">
        <v>23</v>
      </c>
      <c r="CO2" t="s">
        <v>23</v>
      </c>
      <c r="CP2" t="s">
        <v>23</v>
      </c>
      <c r="CQ2" t="s">
        <v>23</v>
      </c>
      <c r="CR2" t="s">
        <v>23</v>
      </c>
      <c r="CS2" t="s">
        <v>23</v>
      </c>
      <c r="CT2" t="s">
        <v>23</v>
      </c>
      <c r="CU2" t="s">
        <v>23</v>
      </c>
      <c r="CV2" t="s">
        <v>23</v>
      </c>
      <c r="CW2" t="s">
        <v>23</v>
      </c>
      <c r="CX2" t="s">
        <v>23</v>
      </c>
      <c r="CY2" t="s">
        <v>23</v>
      </c>
      <c r="CZ2" t="s">
        <v>23</v>
      </c>
      <c r="DA2" t="s">
        <v>23</v>
      </c>
      <c r="DB2" t="s">
        <v>23</v>
      </c>
      <c r="DC2" t="s">
        <v>23</v>
      </c>
      <c r="DD2" t="s">
        <v>23</v>
      </c>
      <c r="DE2" t="s">
        <v>23</v>
      </c>
      <c r="DF2" t="s">
        <v>23</v>
      </c>
      <c r="DG2" t="s">
        <v>2</v>
      </c>
    </row>
    <row r="3" spans="1:111" x14ac:dyDescent="0.2">
      <c r="A3" t="s">
        <v>163</v>
      </c>
      <c r="F3" s="3">
        <v>-46201.5</v>
      </c>
      <c r="G3" s="3">
        <v>-46123.65</v>
      </c>
      <c r="H3" s="3">
        <v>-46042.37</v>
      </c>
      <c r="I3" s="3">
        <v>-38299.089999999997</v>
      </c>
      <c r="J3" s="3">
        <v>-38219.370000000003</v>
      </c>
      <c r="K3" s="3">
        <v>-38136.400000000001</v>
      </c>
      <c r="L3" s="3">
        <v>-38050.44</v>
      </c>
      <c r="M3" s="3">
        <v>-37953.870000000003</v>
      </c>
      <c r="N3" s="3">
        <v>-37856.19</v>
      </c>
      <c r="O3" s="3">
        <v>15099.38</v>
      </c>
      <c r="P3" s="3">
        <v>15053.11</v>
      </c>
      <c r="Q3" s="3">
        <v>15009.55</v>
      </c>
      <c r="R3" s="3">
        <v>14959.46</v>
      </c>
      <c r="S3" s="3">
        <v>14909.42</v>
      </c>
      <c r="T3" s="3">
        <v>14855.81</v>
      </c>
      <c r="U3" s="3">
        <v>14802.36</v>
      </c>
      <c r="V3" s="3">
        <v>14745.71</v>
      </c>
      <c r="W3" s="3">
        <v>14687.24</v>
      </c>
      <c r="X3" s="3">
        <v>14629.74</v>
      </c>
      <c r="Y3" s="3">
        <v>14569.66</v>
      </c>
      <c r="Z3" s="2">
        <v>14510</v>
      </c>
      <c r="AA3" s="3">
        <v>14447.49</v>
      </c>
      <c r="AB3" s="3">
        <v>14384.24</v>
      </c>
      <c r="AC3" s="3">
        <v>14323.78</v>
      </c>
      <c r="AD3" s="3">
        <v>14259.28</v>
      </c>
      <c r="AE3" s="3">
        <v>14197.23</v>
      </c>
      <c r="AF3" s="2">
        <v>14132</v>
      </c>
      <c r="AG3" s="3">
        <v>14068.68</v>
      </c>
      <c r="AH3" s="3">
        <v>14003.33</v>
      </c>
      <c r="AI3" s="2">
        <v>13937</v>
      </c>
      <c r="AJ3" s="3">
        <v>13872.89</v>
      </c>
      <c r="AK3" s="3">
        <v>13806.78</v>
      </c>
      <c r="AL3" s="2">
        <v>13742</v>
      </c>
      <c r="DG3" s="3">
        <v>-19876.78</v>
      </c>
    </row>
    <row r="4" spans="1:111" x14ac:dyDescent="0.2">
      <c r="A4" t="s">
        <v>160</v>
      </c>
      <c r="C4" s="3">
        <v>15474.28</v>
      </c>
      <c r="D4" s="3">
        <v>15447.42</v>
      </c>
      <c r="E4" s="3">
        <v>15423.88</v>
      </c>
      <c r="F4" s="3">
        <v>-23100.75</v>
      </c>
      <c r="G4" s="3">
        <v>-23061.83</v>
      </c>
      <c r="H4" s="3">
        <v>-23021.19</v>
      </c>
      <c r="I4" s="3">
        <v>-30639.27</v>
      </c>
      <c r="J4" s="3">
        <v>-30575.5</v>
      </c>
      <c r="K4" s="3">
        <v>-30509.119999999999</v>
      </c>
      <c r="L4" s="3">
        <v>60880.7</v>
      </c>
      <c r="M4" s="3">
        <v>60726.2</v>
      </c>
      <c r="N4" s="3">
        <v>60569.91</v>
      </c>
      <c r="O4" s="3">
        <v>150993.84</v>
      </c>
      <c r="P4" s="3">
        <v>150531.12</v>
      </c>
      <c r="Q4" s="3">
        <v>150095.51</v>
      </c>
      <c r="R4" s="3">
        <v>149594.6</v>
      </c>
      <c r="S4" s="3">
        <v>149094.21</v>
      </c>
      <c r="T4" s="3">
        <v>148558.07</v>
      </c>
      <c r="U4" s="3">
        <v>148023.64000000001</v>
      </c>
      <c r="V4" s="3">
        <v>147457.06</v>
      </c>
      <c r="W4" s="3">
        <v>146872.44</v>
      </c>
      <c r="X4" s="3">
        <v>146297.41</v>
      </c>
      <c r="Y4" s="3">
        <v>145696.57</v>
      </c>
      <c r="Z4" s="2">
        <v>145100</v>
      </c>
      <c r="DG4" s="3">
        <v>1845929.23</v>
      </c>
    </row>
    <row r="5" spans="1:111" x14ac:dyDescent="0.2">
      <c r="A5" t="s">
        <v>17</v>
      </c>
      <c r="B5" s="2">
        <v>4657500</v>
      </c>
      <c r="DG5" s="2">
        <v>4657500</v>
      </c>
    </row>
    <row r="6" spans="1:111" x14ac:dyDescent="0.2">
      <c r="A6" t="s">
        <v>18</v>
      </c>
      <c r="B6" s="2">
        <v>-2970000</v>
      </c>
      <c r="DG6" s="2">
        <v>-2970000</v>
      </c>
    </row>
    <row r="7" spans="1:111" x14ac:dyDescent="0.2">
      <c r="A7" t="s">
        <v>15</v>
      </c>
      <c r="B7" s="2">
        <v>1687500</v>
      </c>
      <c r="C7" s="3">
        <v>15474.28</v>
      </c>
      <c r="D7" s="3">
        <v>15447.42</v>
      </c>
      <c r="E7" s="3">
        <v>15423.88</v>
      </c>
      <c r="F7" s="3">
        <v>-69302.259999999995</v>
      </c>
      <c r="G7" s="3">
        <v>-69185.48</v>
      </c>
      <c r="H7" s="3">
        <v>-69063.56</v>
      </c>
      <c r="I7" s="3">
        <v>-68938.36</v>
      </c>
      <c r="J7" s="3">
        <v>-68794.87</v>
      </c>
      <c r="K7" s="3">
        <v>-68645.53</v>
      </c>
      <c r="L7" s="3">
        <v>22830.26</v>
      </c>
      <c r="M7" s="3">
        <v>22772.32</v>
      </c>
      <c r="N7" s="3">
        <v>22713.72</v>
      </c>
      <c r="O7" s="3">
        <v>166093.23000000001</v>
      </c>
      <c r="P7" s="3">
        <v>165584.23000000001</v>
      </c>
      <c r="Q7" s="3">
        <v>165105.07</v>
      </c>
      <c r="R7" s="3">
        <v>164554.06</v>
      </c>
      <c r="S7" s="3">
        <v>164003.63</v>
      </c>
      <c r="T7" s="3">
        <v>163413.87</v>
      </c>
      <c r="U7" s="2">
        <v>162826</v>
      </c>
      <c r="V7" s="3">
        <v>162202.76999999999</v>
      </c>
      <c r="W7" s="3">
        <v>161559.69</v>
      </c>
      <c r="X7" s="3">
        <v>160927.15</v>
      </c>
      <c r="Y7" s="3">
        <v>160266.23000000001</v>
      </c>
      <c r="Z7" s="2">
        <v>159610</v>
      </c>
      <c r="AA7" s="3">
        <v>14447.49</v>
      </c>
      <c r="AB7" s="3">
        <v>14384.24</v>
      </c>
      <c r="AC7" s="3">
        <v>14323.78</v>
      </c>
      <c r="AD7" s="3">
        <v>14259.28</v>
      </c>
      <c r="AE7" s="3">
        <v>14197.23</v>
      </c>
      <c r="AF7" s="2">
        <v>14132</v>
      </c>
      <c r="AG7" s="3">
        <v>14068.68</v>
      </c>
      <c r="AH7" s="3">
        <v>14003.33</v>
      </c>
      <c r="AI7" s="2">
        <v>13937</v>
      </c>
      <c r="AJ7" s="3">
        <v>13872.89</v>
      </c>
      <c r="AK7" s="3">
        <v>13806.78</v>
      </c>
      <c r="AL7" s="2">
        <v>13742</v>
      </c>
      <c r="DG7" s="3">
        <v>3513552.45</v>
      </c>
    </row>
    <row r="17" spans="1:114" x14ac:dyDescent="0.2">
      <c r="B17">
        <f>YEAR(B1)</f>
        <v>2001</v>
      </c>
      <c r="C17">
        <f t="shared" ref="C17:BN17" si="0">YEAR(C1)</f>
        <v>2002</v>
      </c>
      <c r="D17">
        <f t="shared" si="0"/>
        <v>2002</v>
      </c>
      <c r="E17">
        <f t="shared" si="0"/>
        <v>2002</v>
      </c>
      <c r="F17">
        <f t="shared" si="0"/>
        <v>2002</v>
      </c>
      <c r="G17">
        <f t="shared" si="0"/>
        <v>2002</v>
      </c>
      <c r="H17">
        <f t="shared" si="0"/>
        <v>2002</v>
      </c>
      <c r="I17">
        <f t="shared" si="0"/>
        <v>2002</v>
      </c>
      <c r="J17">
        <f t="shared" si="0"/>
        <v>2002</v>
      </c>
      <c r="K17">
        <f t="shared" si="0"/>
        <v>2002</v>
      </c>
      <c r="L17">
        <f t="shared" si="0"/>
        <v>2002</v>
      </c>
      <c r="M17">
        <f t="shared" si="0"/>
        <v>2002</v>
      </c>
      <c r="N17">
        <f t="shared" si="0"/>
        <v>2002</v>
      </c>
      <c r="O17">
        <f t="shared" si="0"/>
        <v>2003</v>
      </c>
      <c r="P17">
        <f t="shared" si="0"/>
        <v>2003</v>
      </c>
      <c r="Q17">
        <f t="shared" si="0"/>
        <v>2003</v>
      </c>
      <c r="R17">
        <f t="shared" si="0"/>
        <v>2003</v>
      </c>
      <c r="S17">
        <f t="shared" si="0"/>
        <v>2003</v>
      </c>
      <c r="T17">
        <f t="shared" si="0"/>
        <v>2003</v>
      </c>
      <c r="U17">
        <f t="shared" si="0"/>
        <v>2003</v>
      </c>
      <c r="V17">
        <f t="shared" si="0"/>
        <v>2003</v>
      </c>
      <c r="W17">
        <f t="shared" si="0"/>
        <v>2003</v>
      </c>
      <c r="X17">
        <f t="shared" si="0"/>
        <v>2003</v>
      </c>
      <c r="Y17">
        <f t="shared" si="0"/>
        <v>2003</v>
      </c>
      <c r="Z17">
        <f t="shared" si="0"/>
        <v>2003</v>
      </c>
      <c r="AA17">
        <f t="shared" si="0"/>
        <v>2004</v>
      </c>
      <c r="AB17">
        <f t="shared" si="0"/>
        <v>2004</v>
      </c>
      <c r="AC17">
        <f t="shared" si="0"/>
        <v>2004</v>
      </c>
      <c r="AD17">
        <f t="shared" si="0"/>
        <v>2004</v>
      </c>
      <c r="AE17">
        <f t="shared" si="0"/>
        <v>2004</v>
      </c>
      <c r="AF17">
        <f t="shared" si="0"/>
        <v>2004</v>
      </c>
      <c r="AG17">
        <f t="shared" si="0"/>
        <v>2004</v>
      </c>
      <c r="AH17">
        <f t="shared" si="0"/>
        <v>2004</v>
      </c>
      <c r="AI17">
        <f t="shared" si="0"/>
        <v>2004</v>
      </c>
      <c r="AJ17">
        <f t="shared" si="0"/>
        <v>2004</v>
      </c>
      <c r="AK17">
        <f t="shared" si="0"/>
        <v>2004</v>
      </c>
      <c r="AL17">
        <f t="shared" si="0"/>
        <v>2004</v>
      </c>
      <c r="AM17">
        <f t="shared" si="0"/>
        <v>2005</v>
      </c>
      <c r="AN17">
        <f t="shared" si="0"/>
        <v>2005</v>
      </c>
      <c r="AO17">
        <f t="shared" si="0"/>
        <v>2005</v>
      </c>
      <c r="AP17">
        <f t="shared" si="0"/>
        <v>2005</v>
      </c>
      <c r="AQ17">
        <f t="shared" si="0"/>
        <v>2005</v>
      </c>
      <c r="AR17">
        <f t="shared" si="0"/>
        <v>2005</v>
      </c>
      <c r="AS17">
        <f t="shared" si="0"/>
        <v>2005</v>
      </c>
      <c r="AT17">
        <f t="shared" si="0"/>
        <v>2005</v>
      </c>
      <c r="AU17">
        <f t="shared" si="0"/>
        <v>2005</v>
      </c>
      <c r="AV17">
        <f t="shared" si="0"/>
        <v>2005</v>
      </c>
      <c r="AW17">
        <f t="shared" si="0"/>
        <v>2005</v>
      </c>
      <c r="AX17">
        <f t="shared" si="0"/>
        <v>2005</v>
      </c>
      <c r="AY17">
        <f t="shared" si="0"/>
        <v>2006</v>
      </c>
      <c r="AZ17">
        <f t="shared" si="0"/>
        <v>2006</v>
      </c>
      <c r="BA17">
        <f t="shared" si="0"/>
        <v>2006</v>
      </c>
      <c r="BB17">
        <f t="shared" si="0"/>
        <v>2006</v>
      </c>
      <c r="BC17">
        <f t="shared" si="0"/>
        <v>2006</v>
      </c>
      <c r="BD17">
        <f t="shared" si="0"/>
        <v>2006</v>
      </c>
      <c r="BE17">
        <f t="shared" si="0"/>
        <v>2006</v>
      </c>
      <c r="BF17">
        <f t="shared" si="0"/>
        <v>2006</v>
      </c>
      <c r="BG17">
        <f t="shared" si="0"/>
        <v>2006</v>
      </c>
      <c r="BH17">
        <f t="shared" si="0"/>
        <v>2006</v>
      </c>
      <c r="BI17">
        <f t="shared" si="0"/>
        <v>2006</v>
      </c>
      <c r="BJ17">
        <f t="shared" si="0"/>
        <v>2006</v>
      </c>
      <c r="BK17">
        <f t="shared" si="0"/>
        <v>2007</v>
      </c>
      <c r="BL17">
        <f t="shared" si="0"/>
        <v>2007</v>
      </c>
      <c r="BM17">
        <f t="shared" si="0"/>
        <v>2007</v>
      </c>
      <c r="BN17">
        <f t="shared" si="0"/>
        <v>2007</v>
      </c>
      <c r="BO17">
        <f t="shared" ref="BO17:DJ17" si="1">YEAR(BO1)</f>
        <v>2007</v>
      </c>
      <c r="BP17">
        <f t="shared" si="1"/>
        <v>2007</v>
      </c>
      <c r="BQ17">
        <f t="shared" si="1"/>
        <v>2007</v>
      </c>
      <c r="BR17">
        <f t="shared" si="1"/>
        <v>2007</v>
      </c>
      <c r="BS17">
        <f t="shared" si="1"/>
        <v>2007</v>
      </c>
      <c r="BT17">
        <f t="shared" si="1"/>
        <v>2007</v>
      </c>
      <c r="BU17">
        <f t="shared" si="1"/>
        <v>2007</v>
      </c>
      <c r="BV17">
        <f t="shared" si="1"/>
        <v>2007</v>
      </c>
      <c r="BW17">
        <f t="shared" si="1"/>
        <v>2008</v>
      </c>
      <c r="BX17">
        <f t="shared" si="1"/>
        <v>2008</v>
      </c>
      <c r="BY17">
        <f t="shared" si="1"/>
        <v>2008</v>
      </c>
      <c r="BZ17">
        <f t="shared" si="1"/>
        <v>2008</v>
      </c>
      <c r="CA17">
        <f t="shared" si="1"/>
        <v>2008</v>
      </c>
      <c r="CB17">
        <f t="shared" si="1"/>
        <v>2008</v>
      </c>
      <c r="CC17">
        <f t="shared" si="1"/>
        <v>2008</v>
      </c>
      <c r="CD17">
        <f t="shared" si="1"/>
        <v>2008</v>
      </c>
      <c r="CE17">
        <f t="shared" si="1"/>
        <v>2008</v>
      </c>
      <c r="CF17">
        <f t="shared" si="1"/>
        <v>2008</v>
      </c>
      <c r="CG17">
        <f t="shared" si="1"/>
        <v>2008</v>
      </c>
      <c r="CH17">
        <f t="shared" si="1"/>
        <v>2008</v>
      </c>
      <c r="CI17">
        <f t="shared" si="1"/>
        <v>2009</v>
      </c>
      <c r="CJ17">
        <f t="shared" si="1"/>
        <v>2009</v>
      </c>
      <c r="CK17">
        <f t="shared" si="1"/>
        <v>2009</v>
      </c>
      <c r="CL17">
        <f t="shared" si="1"/>
        <v>2009</v>
      </c>
      <c r="CM17">
        <f t="shared" si="1"/>
        <v>2009</v>
      </c>
      <c r="CN17">
        <f t="shared" si="1"/>
        <v>2009</v>
      </c>
      <c r="CO17">
        <f t="shared" si="1"/>
        <v>2009</v>
      </c>
      <c r="CP17">
        <f t="shared" si="1"/>
        <v>2009</v>
      </c>
      <c r="CQ17">
        <f t="shared" si="1"/>
        <v>2009</v>
      </c>
      <c r="CR17">
        <f t="shared" si="1"/>
        <v>2009</v>
      </c>
      <c r="CS17">
        <f t="shared" si="1"/>
        <v>2009</v>
      </c>
      <c r="CT17">
        <f t="shared" si="1"/>
        <v>2009</v>
      </c>
      <c r="CU17">
        <f t="shared" si="1"/>
        <v>2010</v>
      </c>
      <c r="CV17">
        <f t="shared" si="1"/>
        <v>2010</v>
      </c>
      <c r="CW17">
        <f t="shared" si="1"/>
        <v>2010</v>
      </c>
      <c r="CX17">
        <f t="shared" si="1"/>
        <v>2010</v>
      </c>
      <c r="CY17">
        <f t="shared" si="1"/>
        <v>2010</v>
      </c>
      <c r="CZ17">
        <f t="shared" si="1"/>
        <v>2010</v>
      </c>
      <c r="DA17">
        <f t="shared" si="1"/>
        <v>2010</v>
      </c>
      <c r="DB17">
        <f t="shared" si="1"/>
        <v>2010</v>
      </c>
      <c r="DC17">
        <f t="shared" si="1"/>
        <v>2010</v>
      </c>
      <c r="DD17">
        <f t="shared" si="1"/>
        <v>2010</v>
      </c>
      <c r="DE17">
        <f t="shared" si="1"/>
        <v>2010</v>
      </c>
      <c r="DF17">
        <f t="shared" si="1"/>
        <v>2010</v>
      </c>
      <c r="DG17">
        <f t="shared" si="1"/>
        <v>1900</v>
      </c>
      <c r="DH17">
        <f t="shared" si="1"/>
        <v>1900</v>
      </c>
      <c r="DI17">
        <f t="shared" si="1"/>
        <v>1900</v>
      </c>
      <c r="DJ17">
        <f t="shared" si="1"/>
        <v>1900</v>
      </c>
    </row>
    <row r="18" spans="1:114" x14ac:dyDescent="0.2">
      <c r="A18" t="s">
        <v>18</v>
      </c>
      <c r="B18">
        <f>VLOOKUP("PWR-MW-GAS-MTM",$A1:$BA16,2,FALSE)/10000</f>
        <v>-297</v>
      </c>
      <c r="C18">
        <f>VLOOKUP("PWR-MW-GAS-MTM",$A1:$BA16,3,FALSE)/10000</f>
        <v>0</v>
      </c>
      <c r="D18">
        <f>VLOOKUP("PWR-MW-GAS-MTM",$A1:$BA16,4,FALSE)/10000</f>
        <v>0</v>
      </c>
      <c r="E18">
        <f>VLOOKUP("PWR-MW-GAS-MTM",$A1:$BA16,5,FALSE)/10000</f>
        <v>0</v>
      </c>
      <c r="F18">
        <f>VLOOKUP("PWR-MW-GAS-MTM",$A1:$BA16,6,FALSE)/10000</f>
        <v>0</v>
      </c>
      <c r="G18">
        <f>VLOOKUP("PWR-MW-GAS-MTM",$A1:$BA16,7,FALSE)/10000</f>
        <v>0</v>
      </c>
      <c r="H18">
        <f>VLOOKUP("PWR-MW-GAS-MTM",$A1:$BA16,8,FALSE)/10000</f>
        <v>0</v>
      </c>
      <c r="I18">
        <f>VLOOKUP("PWR-MW-GAS-MTM",$A1:$BA16,9,FALSE)/10000</f>
        <v>0</v>
      </c>
      <c r="J18">
        <f>VLOOKUP("PWR-MW-GAS-MTM",$A1:$BA16,10,FALSE)/10000</f>
        <v>0</v>
      </c>
      <c r="K18">
        <f>VLOOKUP("PWR-MW-GAS-MTM",$A1:$BA16,11,FALSE)/10000</f>
        <v>0</v>
      </c>
      <c r="L18">
        <f>VLOOKUP("PWR-MW-GAS-MTM",$A1:$BA16,12,FALSE)/10000</f>
        <v>0</v>
      </c>
      <c r="M18">
        <f>VLOOKUP("PWR-MW-GAS-MTM",$A1:$BA16,13,FALSE)/10000</f>
        <v>0</v>
      </c>
      <c r="N18">
        <f>VLOOKUP("PWR-MW-GAS-MTM",$A1:$BA16,14,FALSE)/10000</f>
        <v>0</v>
      </c>
      <c r="O18">
        <f>VLOOKUP("PWR-MW-GAS-MTM",$A1:$BA16,15,FALSE)/10000</f>
        <v>0</v>
      </c>
      <c r="P18">
        <f>VLOOKUP("PWR-MW-GAS-MTM",$A1:$BA16,16,FALSE)/10000</f>
        <v>0</v>
      </c>
      <c r="Q18">
        <f>VLOOKUP("PWR-MW-GAS-MTM",$A1:$BA16,17,FALSE)/10000</f>
        <v>0</v>
      </c>
      <c r="R18">
        <f>VLOOKUP("PWR-MW-GAS-MTM",$A1:$BA16,18,FALSE)/10000</f>
        <v>0</v>
      </c>
      <c r="S18">
        <f>VLOOKUP("PWR-MW-GAS-MTM",$A1:$BA16,19,FALSE)/10000</f>
        <v>0</v>
      </c>
      <c r="T18">
        <f>VLOOKUP("PWR-MW-GAS-MTM",$A1:$BA16,20,FALSE)/10000</f>
        <v>0</v>
      </c>
      <c r="U18">
        <f>VLOOKUP("PWR-MW-GAS-MTM",$A1:$BA16,21,FALSE)/10000</f>
        <v>0</v>
      </c>
      <c r="V18">
        <f>VLOOKUP("PWR-MW-GAS-MTM",$A1:$BA16,22,FALSE)/10000</f>
        <v>0</v>
      </c>
      <c r="W18">
        <f>VLOOKUP("PWR-MW-GAS-MTM",$A1:$BA16,23,FALSE)/10000</f>
        <v>0</v>
      </c>
      <c r="X18">
        <f>VLOOKUP("PWR-MW-GAS-MTM",$A1:$BA16,24,FALSE)/10000</f>
        <v>0</v>
      </c>
      <c r="Y18">
        <f>VLOOKUP("PWR-MW-GAS-MTM",$A1:$BA16,25,FALSE)/10000</f>
        <v>0</v>
      </c>
      <c r="Z18">
        <f>VLOOKUP("PWR-MW-GAS-MTM",$A1:$BA16,26,FALSE)/10000</f>
        <v>0</v>
      </c>
      <c r="AA18">
        <f>VLOOKUP("PWR-MW-GAS-MTM",$A1:$BA16,27,FALSE)/10000</f>
        <v>0</v>
      </c>
      <c r="AB18">
        <f>VLOOKUP("PWR-MW-GAS-MTM",$A1:$BA16,28,FALSE)/10000</f>
        <v>0</v>
      </c>
      <c r="AC18">
        <f>VLOOKUP("PWR-MW-GAS-MTM",$A1:$BA16,29,FALSE)/10000</f>
        <v>0</v>
      </c>
      <c r="DJ18">
        <f>DJ6/10000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U247"/>
  <sheetViews>
    <sheetView zoomScale="75" workbookViewId="0">
      <selection activeCell="F18" sqref="F18"/>
    </sheetView>
  </sheetViews>
  <sheetFormatPr defaultRowHeight="12.75" x14ac:dyDescent="0.2"/>
  <sheetData>
    <row r="1" spans="1:21" s="5" customFormat="1" x14ac:dyDescent="0.2">
      <c r="A1" s="5" t="s">
        <v>42</v>
      </c>
      <c r="E1" s="13" t="str">
        <f>'Filter-new'!E1</f>
        <v>CINERGY</v>
      </c>
      <c r="F1" s="13" t="str">
        <f>'Filter-new'!F1</f>
        <v>AMEREN</v>
      </c>
      <c r="G1" s="13" t="str">
        <f>'Filter-new'!G1</f>
        <v>ERCOT</v>
      </c>
      <c r="H1" s="13" t="str">
        <f>'Filter-new'!H1</f>
        <v>INTO COMED</v>
      </c>
      <c r="I1" s="13" t="str">
        <f>'Filter-new'!I1</f>
        <v>INTO TVA</v>
      </c>
      <c r="J1" s="13" t="str">
        <f>'Filter-new'!J1</f>
        <v>MAPP</v>
      </c>
      <c r="K1" s="13" t="str">
        <f>'Filter-new'!K1</f>
        <v>NEPOOL</v>
      </c>
      <c r="L1" s="13" t="str">
        <f>'Filter-new'!L1</f>
        <v>INTO AEP</v>
      </c>
      <c r="M1" s="13" t="str">
        <f>'Filter-new'!M1</f>
        <v>NY Zone A</v>
      </c>
      <c r="N1" s="13" t="s">
        <v>124</v>
      </c>
      <c r="O1" s="13" t="str">
        <f>'Filter-new'!O1</f>
        <v>SOCO</v>
      </c>
      <c r="P1" s="13" t="str">
        <f>'Filter-new'!P1</f>
        <v>NSP</v>
      </c>
      <c r="Q1" s="13" t="str">
        <f>'Filter-new'!Q1</f>
        <v>ENTERGY</v>
      </c>
      <c r="R1" s="13" t="str">
        <f>'Filter-new'!R1</f>
        <v>WESTERN HUB</v>
      </c>
      <c r="S1" s="5">
        <f>'Filter-new'!S1</f>
        <v>0</v>
      </c>
      <c r="T1" s="5">
        <f>'Filter-new'!T1</f>
        <v>0</v>
      </c>
    </row>
    <row r="2" spans="1:21" s="5" customFormat="1" x14ac:dyDescent="0.2">
      <c r="A2"/>
      <c r="B2"/>
      <c r="C2" s="1"/>
      <c r="D2"/>
      <c r="E2" s="16">
        <v>13</v>
      </c>
      <c r="F2" s="16">
        <v>16</v>
      </c>
      <c r="G2" s="16">
        <v>28</v>
      </c>
      <c r="H2" s="16">
        <v>14</v>
      </c>
      <c r="I2" s="16">
        <v>15</v>
      </c>
      <c r="J2" s="16">
        <v>16</v>
      </c>
      <c r="K2" s="16">
        <v>2</v>
      </c>
      <c r="L2" s="16">
        <v>18</v>
      </c>
      <c r="M2" s="16">
        <v>10</v>
      </c>
      <c r="N2" s="16">
        <v>11</v>
      </c>
      <c r="O2" s="16">
        <v>21</v>
      </c>
      <c r="P2" s="16">
        <v>17</v>
      </c>
      <c r="Q2" s="16">
        <v>22</v>
      </c>
      <c r="R2" s="16">
        <v>6</v>
      </c>
      <c r="S2" s="11">
        <v>26</v>
      </c>
      <c r="T2" s="11">
        <v>27</v>
      </c>
    </row>
    <row r="3" spans="1:21" s="5" customFormat="1" x14ac:dyDescent="0.2">
      <c r="A3"/>
      <c r="B3"/>
      <c r="C3" s="1"/>
      <c r="D3"/>
      <c r="E3" s="7" t="str">
        <f>E1</f>
        <v>CINERGY</v>
      </c>
      <c r="F3" s="7" t="str">
        <f t="shared" ref="F3:T3" si="0">F1</f>
        <v>AMEREN</v>
      </c>
      <c r="G3" s="7" t="str">
        <f t="shared" si="0"/>
        <v>ERCOT</v>
      </c>
      <c r="H3" s="7" t="str">
        <f t="shared" si="0"/>
        <v>INTO COMED</v>
      </c>
      <c r="I3" s="7" t="str">
        <f t="shared" si="0"/>
        <v>INTO TVA</v>
      </c>
      <c r="J3" s="7" t="str">
        <f t="shared" si="0"/>
        <v>MAPP</v>
      </c>
      <c r="K3" s="7" t="str">
        <f t="shared" si="0"/>
        <v>NEPOOL</v>
      </c>
      <c r="L3" s="7" t="str">
        <f t="shared" si="0"/>
        <v>INTO AEP</v>
      </c>
      <c r="M3" s="7" t="str">
        <f t="shared" si="0"/>
        <v>NY Zone A</v>
      </c>
      <c r="N3" s="7" t="str">
        <f t="shared" si="0"/>
        <v>NY Zone G</v>
      </c>
      <c r="O3" s="7" t="str">
        <f t="shared" si="0"/>
        <v>SOCO</v>
      </c>
      <c r="P3" s="7" t="str">
        <f t="shared" si="0"/>
        <v>NSP</v>
      </c>
      <c r="Q3" s="7" t="str">
        <f t="shared" si="0"/>
        <v>ENTERGY</v>
      </c>
      <c r="R3" s="7" t="str">
        <f t="shared" si="0"/>
        <v>WESTERN HUB</v>
      </c>
      <c r="S3" s="7">
        <f t="shared" si="0"/>
        <v>0</v>
      </c>
      <c r="T3" s="7">
        <f t="shared" si="0"/>
        <v>0</v>
      </c>
    </row>
    <row r="4" spans="1:21" x14ac:dyDescent="0.2">
      <c r="C4" s="1">
        <v>36892</v>
      </c>
      <c r="E4" s="17" t="e">
        <f>VLOOKUP($C4,[1]Peak_Forward!$A$5:$AG$128,'price-new'!E$2,FALSE)</f>
        <v>#N/A</v>
      </c>
      <c r="F4" s="17" t="e">
        <f>VLOOKUP($C4,[1]Peak_Forward!$A$5:$AG$128,'price-new'!F$2,FALSE)</f>
        <v>#N/A</v>
      </c>
      <c r="G4" s="17" t="e">
        <f>VLOOKUP($C4,[1]Peak_Forward!$A$5:$AG$128,'price-new'!G$2,FALSE)</f>
        <v>#N/A</v>
      </c>
      <c r="H4" s="17" t="e">
        <f>VLOOKUP($C4,[1]Peak_Forward!$A$5:$AG$128,'price-new'!H$2,FALSE)</f>
        <v>#N/A</v>
      </c>
      <c r="I4" s="17" t="e">
        <f>VLOOKUP($C4,[1]Peak_Forward!$A$5:$AG$128,'price-new'!I$2,FALSE)</f>
        <v>#N/A</v>
      </c>
      <c r="J4" s="17" t="e">
        <f>VLOOKUP($C4,[1]Peak_Forward!$A$5:$AG$128,'price-new'!J$2,FALSE)</f>
        <v>#N/A</v>
      </c>
      <c r="K4" s="17" t="e">
        <f>VLOOKUP($C4,[1]Peak_Forward!$A$5:$AG$128,'price-new'!K$2,FALSE)</f>
        <v>#N/A</v>
      </c>
      <c r="L4" s="17" t="e">
        <f>VLOOKUP($C4,[1]Peak_Forward!$A$5:$AG$128,'price-new'!L$2,FALSE)</f>
        <v>#N/A</v>
      </c>
      <c r="M4" s="17" t="e">
        <f>VLOOKUP($C4,[1]Peak_Forward!$A$5:$AG$128,'price-new'!M$2,FALSE)</f>
        <v>#N/A</v>
      </c>
      <c r="N4" s="17" t="e">
        <f>VLOOKUP($C4,[1]Peak_Forward!$A$5:$AG$128,'price-new'!N$2,FALSE)</f>
        <v>#N/A</v>
      </c>
      <c r="O4" s="17" t="e">
        <f>VLOOKUP($C4,[1]Peak_Forward!$A$5:$AG$128,'price-new'!O$2,FALSE)</f>
        <v>#N/A</v>
      </c>
      <c r="P4" s="17" t="e">
        <f>VLOOKUP($C4,[1]Peak_Forward!$A$5:$AG$128,'price-new'!P$2,FALSE)</f>
        <v>#N/A</v>
      </c>
      <c r="Q4" s="17" t="e">
        <f>VLOOKUP($C4,[1]Peak_Forward!$A$5:$AG$128,'price-new'!Q$2,FALSE)</f>
        <v>#N/A</v>
      </c>
      <c r="R4" s="17" t="e">
        <f>VLOOKUP($C4,[1]Peak_Forward!$A$5:$AG$128,'price-new'!R$2,FALSE)</f>
        <v>#N/A</v>
      </c>
      <c r="S4" s="6" t="e">
        <f>VLOOKUP($C4,[1]Peak_Forward!$A$5:$AG$128,'price-new'!S$2,FALSE)</f>
        <v>#N/A</v>
      </c>
      <c r="T4" s="6" t="e">
        <f>VLOOKUP($C4,[1]Peak_Forward!$A$5:$AG$128,'price-new'!T$2,FALSE)</f>
        <v>#N/A</v>
      </c>
      <c r="U4" s="6"/>
    </row>
    <row r="5" spans="1:21" x14ac:dyDescent="0.2">
      <c r="C5" s="1">
        <v>36923</v>
      </c>
      <c r="E5" s="17" t="e">
        <f>VLOOKUP($C5,[1]Peak_Forward!$A$5:$AG$128,'price-new'!E$2,FALSE)</f>
        <v>#N/A</v>
      </c>
      <c r="F5" s="17" t="e">
        <f>VLOOKUP($C5,[1]Peak_Forward!$A$5:$AG$128,'price-new'!F$2,FALSE)</f>
        <v>#N/A</v>
      </c>
      <c r="G5" s="17" t="e">
        <f>VLOOKUP($C5,[1]Peak_Forward!$A$5:$AG$128,'price-new'!G$2,FALSE)</f>
        <v>#N/A</v>
      </c>
      <c r="H5" s="17" t="e">
        <f>VLOOKUP($C5,[1]Peak_Forward!$A$5:$AG$128,'price-new'!H$2,FALSE)</f>
        <v>#N/A</v>
      </c>
      <c r="I5" s="17" t="e">
        <f>VLOOKUP($C5,[1]Peak_Forward!$A$5:$AG$128,'price-new'!I$2,FALSE)</f>
        <v>#N/A</v>
      </c>
      <c r="J5" s="17" t="e">
        <f>VLOOKUP($C5,[1]Peak_Forward!$A$5:$AG$128,'price-new'!J$2,FALSE)</f>
        <v>#N/A</v>
      </c>
      <c r="K5" s="17" t="e">
        <f>VLOOKUP($C5,[1]Peak_Forward!$A$5:$AG$128,'price-new'!K$2,FALSE)</f>
        <v>#N/A</v>
      </c>
      <c r="L5" s="17" t="e">
        <f>VLOOKUP($C5,[1]Peak_Forward!$A$5:$AG$128,'price-new'!L$2,FALSE)</f>
        <v>#N/A</v>
      </c>
      <c r="M5" s="17" t="e">
        <f>VLOOKUP($C5,[1]Peak_Forward!$A$5:$AG$128,'price-new'!M$2,FALSE)</f>
        <v>#N/A</v>
      </c>
      <c r="N5" s="17" t="e">
        <f>VLOOKUP($C5,[1]Peak_Forward!$A$5:$AG$128,'price-new'!N$2,FALSE)</f>
        <v>#N/A</v>
      </c>
      <c r="O5" s="17" t="e">
        <f>VLOOKUP($C5,[1]Peak_Forward!$A$5:$AG$128,'price-new'!O$2,FALSE)</f>
        <v>#N/A</v>
      </c>
      <c r="P5" s="17" t="e">
        <f>VLOOKUP($C5,[1]Peak_Forward!$A$5:$AG$128,'price-new'!P$2,FALSE)</f>
        <v>#N/A</v>
      </c>
      <c r="Q5" s="17" t="e">
        <f>VLOOKUP($C5,[1]Peak_Forward!$A$5:$AG$128,'price-new'!Q$2,FALSE)</f>
        <v>#N/A</v>
      </c>
      <c r="R5" s="17" t="e">
        <f>VLOOKUP($C5,[1]Peak_Forward!$A$5:$AG$128,'price-new'!R$2,FALSE)</f>
        <v>#N/A</v>
      </c>
      <c r="S5" s="6" t="e">
        <f>VLOOKUP($C5,[1]Peak_Forward!$A$5:$AG$128,'price-new'!S$2,FALSE)</f>
        <v>#N/A</v>
      </c>
      <c r="T5" s="6" t="e">
        <f>VLOOKUP($C5,[1]Peak_Forward!$A$5:$AG$128,'price-new'!T$2,FALSE)</f>
        <v>#N/A</v>
      </c>
      <c r="U5" s="6"/>
    </row>
    <row r="6" spans="1:21" x14ac:dyDescent="0.2">
      <c r="C6" s="1">
        <v>36951</v>
      </c>
      <c r="E6" s="17" t="e">
        <f>VLOOKUP($C6,[1]Peak_Forward!$A$5:$AG$128,'price-new'!E$2,FALSE)</f>
        <v>#N/A</v>
      </c>
      <c r="F6" s="17" t="e">
        <f>VLOOKUP($C6,[1]Peak_Forward!$A$5:$AG$128,'price-new'!F$2,FALSE)</f>
        <v>#N/A</v>
      </c>
      <c r="G6" s="17" t="e">
        <f>VLOOKUP($C6,[1]Peak_Forward!$A$5:$AG$128,'price-new'!G$2,FALSE)</f>
        <v>#N/A</v>
      </c>
      <c r="H6" s="17" t="e">
        <f>VLOOKUP($C6,[1]Peak_Forward!$A$5:$AG$128,'price-new'!H$2,FALSE)</f>
        <v>#N/A</v>
      </c>
      <c r="I6" s="17" t="e">
        <f>VLOOKUP($C6,[1]Peak_Forward!$A$5:$AG$128,'price-new'!I$2,FALSE)</f>
        <v>#N/A</v>
      </c>
      <c r="J6" s="17" t="e">
        <f>VLOOKUP($C6,[1]Peak_Forward!$A$5:$AG$128,'price-new'!J$2,FALSE)</f>
        <v>#N/A</v>
      </c>
      <c r="K6" s="17" t="e">
        <f>VLOOKUP($C6,[1]Peak_Forward!$A$5:$AG$128,'price-new'!K$2,FALSE)</f>
        <v>#N/A</v>
      </c>
      <c r="L6" s="17" t="e">
        <f>VLOOKUP($C6,[1]Peak_Forward!$A$5:$AG$128,'price-new'!L$2,FALSE)</f>
        <v>#N/A</v>
      </c>
      <c r="M6" s="17" t="e">
        <f>VLOOKUP($C6,[1]Peak_Forward!$A$5:$AG$128,'price-new'!M$2,FALSE)</f>
        <v>#N/A</v>
      </c>
      <c r="N6" s="17" t="e">
        <f>VLOOKUP($C6,[1]Peak_Forward!$A$5:$AG$128,'price-new'!N$2,FALSE)</f>
        <v>#N/A</v>
      </c>
      <c r="O6" s="17" t="e">
        <f>VLOOKUP($C6,[1]Peak_Forward!$A$5:$AG$128,'price-new'!O$2,FALSE)</f>
        <v>#N/A</v>
      </c>
      <c r="P6" s="17" t="e">
        <f>VLOOKUP($C6,[1]Peak_Forward!$A$5:$AG$128,'price-new'!P$2,FALSE)</f>
        <v>#N/A</v>
      </c>
      <c r="Q6" s="17" t="e">
        <f>VLOOKUP($C6,[1]Peak_Forward!$A$5:$AG$128,'price-new'!Q$2,FALSE)</f>
        <v>#N/A</v>
      </c>
      <c r="R6" s="17" t="e">
        <f>VLOOKUP($C6,[1]Peak_Forward!$A$5:$AG$128,'price-new'!R$2,FALSE)</f>
        <v>#N/A</v>
      </c>
      <c r="S6" s="6" t="e">
        <f>VLOOKUP($C6,[1]Peak_Forward!$A$5:$AG$128,'price-new'!S$2,FALSE)</f>
        <v>#N/A</v>
      </c>
      <c r="T6" s="6" t="e">
        <f>VLOOKUP($C6,[1]Peak_Forward!$A$5:$AG$128,'price-new'!T$2,FALSE)</f>
        <v>#N/A</v>
      </c>
      <c r="U6" s="6"/>
    </row>
    <row r="7" spans="1:21" x14ac:dyDescent="0.2">
      <c r="C7" s="1">
        <v>36982</v>
      </c>
      <c r="E7" s="17" t="e">
        <f>VLOOKUP($C7,[1]Peak_Forward!$A$5:$AG$128,'price-new'!E$2,FALSE)</f>
        <v>#N/A</v>
      </c>
      <c r="F7" s="17" t="e">
        <f>VLOOKUP($C7,[1]Peak_Forward!$A$5:$AG$128,'price-new'!F$2,FALSE)</f>
        <v>#N/A</v>
      </c>
      <c r="G7" s="17" t="e">
        <f>VLOOKUP($C7,[1]Peak_Forward!$A$5:$AG$128,'price-new'!G$2,FALSE)</f>
        <v>#N/A</v>
      </c>
      <c r="H7" s="17" t="e">
        <f>VLOOKUP($C7,[1]Peak_Forward!$A$5:$AG$128,'price-new'!H$2,FALSE)</f>
        <v>#N/A</v>
      </c>
      <c r="I7" s="17" t="e">
        <f>VLOOKUP($C7,[1]Peak_Forward!$A$5:$AG$128,'price-new'!I$2,FALSE)</f>
        <v>#N/A</v>
      </c>
      <c r="J7" s="17" t="e">
        <f>VLOOKUP($C7,[1]Peak_Forward!$A$5:$AG$128,'price-new'!J$2,FALSE)</f>
        <v>#N/A</v>
      </c>
      <c r="K7" s="17" t="e">
        <f>VLOOKUP($C7,[1]Peak_Forward!$A$5:$AG$128,'price-new'!K$2,FALSE)</f>
        <v>#N/A</v>
      </c>
      <c r="L7" s="17" t="e">
        <f>VLOOKUP($C7,[1]Peak_Forward!$A$5:$AG$128,'price-new'!L$2,FALSE)</f>
        <v>#N/A</v>
      </c>
      <c r="M7" s="17" t="e">
        <f>VLOOKUP($C7,[1]Peak_Forward!$A$5:$AG$128,'price-new'!M$2,FALSE)</f>
        <v>#N/A</v>
      </c>
      <c r="N7" s="17" t="e">
        <f>VLOOKUP($C7,[1]Peak_Forward!$A$5:$AG$128,'price-new'!N$2,FALSE)</f>
        <v>#N/A</v>
      </c>
      <c r="O7" s="17" t="e">
        <f>VLOOKUP($C7,[1]Peak_Forward!$A$5:$AG$128,'price-new'!O$2,FALSE)</f>
        <v>#N/A</v>
      </c>
      <c r="P7" s="17" t="e">
        <f>VLOOKUP($C7,[1]Peak_Forward!$A$5:$AG$128,'price-new'!P$2,FALSE)</f>
        <v>#N/A</v>
      </c>
      <c r="Q7" s="17" t="e">
        <f>VLOOKUP($C7,[1]Peak_Forward!$A$5:$AG$128,'price-new'!Q$2,FALSE)</f>
        <v>#N/A</v>
      </c>
      <c r="R7" s="17" t="e">
        <f>VLOOKUP($C7,[1]Peak_Forward!$A$5:$AG$128,'price-new'!R$2,FALSE)</f>
        <v>#N/A</v>
      </c>
      <c r="S7" s="6" t="e">
        <f>VLOOKUP($C7,[1]Peak_Forward!$A$5:$AG$128,'price-new'!S$2,FALSE)</f>
        <v>#N/A</v>
      </c>
      <c r="T7" s="6" t="e">
        <f>VLOOKUP($C7,[1]Peak_Forward!$A$5:$AG$128,'price-new'!T$2,FALSE)</f>
        <v>#N/A</v>
      </c>
      <c r="U7" s="6"/>
    </row>
    <row r="8" spans="1:21" x14ac:dyDescent="0.2">
      <c r="C8" s="1">
        <v>37012</v>
      </c>
      <c r="E8" s="17" t="e">
        <f>VLOOKUP($C8,[1]Peak_Forward!$A$5:$AG$128,'price-new'!E$2,FALSE)</f>
        <v>#N/A</v>
      </c>
      <c r="F8" s="17" t="e">
        <f>VLOOKUP($C8,[1]Peak_Forward!$A$5:$AG$128,'price-new'!F$2,FALSE)</f>
        <v>#N/A</v>
      </c>
      <c r="G8" s="17" t="e">
        <f>VLOOKUP($C8,[1]Peak_Forward!$A$5:$AG$128,'price-new'!G$2,FALSE)</f>
        <v>#N/A</v>
      </c>
      <c r="H8" s="17" t="e">
        <f>VLOOKUP($C8,[1]Peak_Forward!$A$5:$AG$128,'price-new'!H$2,FALSE)</f>
        <v>#N/A</v>
      </c>
      <c r="I8" s="17" t="e">
        <f>VLOOKUP($C8,[1]Peak_Forward!$A$5:$AG$128,'price-new'!I$2,FALSE)</f>
        <v>#N/A</v>
      </c>
      <c r="J8" s="17" t="e">
        <f>VLOOKUP($C8,[1]Peak_Forward!$A$5:$AG$128,'price-new'!J$2,FALSE)</f>
        <v>#N/A</v>
      </c>
      <c r="K8" s="17" t="e">
        <f>VLOOKUP($C8,[1]Peak_Forward!$A$5:$AG$128,'price-new'!K$2,FALSE)</f>
        <v>#N/A</v>
      </c>
      <c r="L8" s="17" t="e">
        <f>VLOOKUP($C8,[1]Peak_Forward!$A$5:$AG$128,'price-new'!L$2,FALSE)</f>
        <v>#N/A</v>
      </c>
      <c r="M8" s="17" t="e">
        <f>VLOOKUP($C8,[1]Peak_Forward!$A$5:$AG$128,'price-new'!M$2,FALSE)</f>
        <v>#N/A</v>
      </c>
      <c r="N8" s="17" t="e">
        <f>VLOOKUP($C8,[1]Peak_Forward!$A$5:$AG$128,'price-new'!N$2,FALSE)</f>
        <v>#N/A</v>
      </c>
      <c r="O8" s="17" t="e">
        <f>VLOOKUP($C8,[1]Peak_Forward!$A$5:$AG$128,'price-new'!O$2,FALSE)</f>
        <v>#N/A</v>
      </c>
      <c r="P8" s="17" t="e">
        <f>VLOOKUP($C8,[1]Peak_Forward!$A$5:$AG$128,'price-new'!P$2,FALSE)</f>
        <v>#N/A</v>
      </c>
      <c r="Q8" s="17" t="e">
        <f>VLOOKUP($C8,[1]Peak_Forward!$A$5:$AG$128,'price-new'!Q$2,FALSE)</f>
        <v>#N/A</v>
      </c>
      <c r="R8" s="17" t="e">
        <f>VLOOKUP($C8,[1]Peak_Forward!$A$5:$AG$128,'price-new'!R$2,FALSE)</f>
        <v>#N/A</v>
      </c>
      <c r="S8" s="6" t="e">
        <f>VLOOKUP($C8,[1]Peak_Forward!$A$5:$AG$128,'price-new'!S$2,FALSE)</f>
        <v>#N/A</v>
      </c>
      <c r="T8" s="6" t="e">
        <f>VLOOKUP($C8,[1]Peak_Forward!$A$5:$AG$128,'price-new'!T$2,FALSE)</f>
        <v>#N/A</v>
      </c>
      <c r="U8" s="6"/>
    </row>
    <row r="9" spans="1:21" x14ac:dyDescent="0.2">
      <c r="C9" s="1">
        <v>37043</v>
      </c>
      <c r="E9" s="17">
        <v>35</v>
      </c>
      <c r="F9" s="17">
        <v>35</v>
      </c>
      <c r="G9" s="17">
        <v>35</v>
      </c>
      <c r="H9" s="17">
        <v>35</v>
      </c>
      <c r="I9" s="17">
        <v>35</v>
      </c>
      <c r="J9" s="17">
        <v>35</v>
      </c>
      <c r="K9" s="17">
        <v>35</v>
      </c>
      <c r="L9" s="17">
        <v>35</v>
      </c>
      <c r="M9" s="17">
        <v>35</v>
      </c>
      <c r="N9" s="17" t="e">
        <f>VLOOKUP($C9,[1]Peak_Forward!$A$5:$AG$128,'price-new'!N$2,FALSE)</f>
        <v>#N/A</v>
      </c>
      <c r="O9" s="17">
        <v>35</v>
      </c>
      <c r="P9" s="17">
        <v>35</v>
      </c>
      <c r="Q9" s="17">
        <v>35</v>
      </c>
      <c r="R9" s="17">
        <v>35</v>
      </c>
      <c r="S9" s="6">
        <v>35</v>
      </c>
      <c r="T9" s="6">
        <v>35</v>
      </c>
      <c r="U9" s="6"/>
    </row>
    <row r="10" spans="1:21" x14ac:dyDescent="0.2">
      <c r="C10" s="1">
        <v>37073</v>
      </c>
      <c r="E10" s="17">
        <f>Output!N128</f>
        <v>22.350000000000005</v>
      </c>
      <c r="F10" s="17">
        <f>Output!AD128</f>
        <v>22.25</v>
      </c>
      <c r="G10" s="17">
        <f>VLOOKUP($C10,[1]Peak_Forward!$A$5:$AG$128,'price-new'!G$2,FALSE)</f>
        <v>38.4285697937012</v>
      </c>
      <c r="H10" s="17">
        <f>Output!T128</f>
        <v>22.1</v>
      </c>
      <c r="I10" s="17">
        <f>VLOOKUP($C10,[1]Peak_Forward!$A$5:$AG$128,'price-new'!I$2,FALSE)</f>
        <v>44.595237731933601</v>
      </c>
      <c r="J10" s="17">
        <f>VLOOKUP($C10,[1]Peak_Forward!$A$5:$AG$128,'price-new'!J$2,FALSE)</f>
        <v>43.665635371132502</v>
      </c>
      <c r="K10" s="17">
        <f>VLOOKUP($C10,[1]Peak_Forward!$A$5:$AG$128,'price-new'!K$2,FALSE)</f>
        <v>50.607143402099602</v>
      </c>
      <c r="L10" s="17">
        <f>VLOOKUP($C10,[1]Peak_Forward!$A$5:$AG$128,'price-new'!L$2,FALSE)</f>
        <v>78.445251464843807</v>
      </c>
      <c r="M10" s="17">
        <f>VLOOKUP($C10,[1]Peak_Forward!$A$5:$AG$128,'price-new'!M$2,FALSE)</f>
        <v>46.464286804199197</v>
      </c>
      <c r="N10" s="17">
        <f>VLOOKUP($C10,[1]Peak_Forward!$A$5:$AG$128,'price-new'!N$2,FALSE)</f>
        <v>71.595237731933594</v>
      </c>
      <c r="O10" s="17">
        <f>VLOOKUP($C10,[1]Peak_Forward!$A$5:$AG$128,'price-new'!O$2,FALSE)</f>
        <v>55.583332061767599</v>
      </c>
      <c r="P10" s="17">
        <f>VLOOKUP($C10,[1]Peak_Forward!$A$5:$AG$128,'price-new'!P$2,FALSE)</f>
        <v>42.570159912109403</v>
      </c>
      <c r="Q10" s="17">
        <f>VLOOKUP($C10,[1]Peak_Forward!$A$5:$AG$128,'price-new'!Q$2,FALSE)</f>
        <v>53.702381134033203</v>
      </c>
      <c r="R10" s="17">
        <f>VLOOKUP($C10,[1]Peak_Forward!$A$5:$AG$128,'price-new'!R$2,FALSE)</f>
        <v>50.353805541992202</v>
      </c>
      <c r="S10" s="6">
        <f>VLOOKUP($C10,[1]Peak_Forward!$A$5:$AG$128,'price-new'!S$2,FALSE)</f>
        <v>60.583332061767599</v>
      </c>
      <c r="T10" s="6">
        <f>VLOOKUP($C10,[1]Peak_Forward!$A$5:$AG$128,'price-new'!T$2,FALSE)</f>
        <v>63.083332061767599</v>
      </c>
      <c r="U10" s="6"/>
    </row>
    <row r="11" spans="1:21" x14ac:dyDescent="0.2">
      <c r="C11" s="1">
        <v>37104</v>
      </c>
      <c r="E11" s="17">
        <f>Output!N129</f>
        <v>5.5875000000000004</v>
      </c>
      <c r="F11" s="17">
        <f>Output!AD129</f>
        <v>0</v>
      </c>
      <c r="G11" s="17">
        <f>VLOOKUP($C11,[1]Peak_Forward!$A$5:$AG$128,'price-new'!G$2,FALSE)</f>
        <v>60.739131927490199</v>
      </c>
      <c r="H11" s="17">
        <f>Output!T129</f>
        <v>5.5250000000000004</v>
      </c>
      <c r="I11" s="17">
        <f>VLOOKUP($C11,[1]Peak_Forward!$A$5:$AG$128,'price-new'!I$2,FALSE)</f>
        <v>50.086956024169901</v>
      </c>
      <c r="J11" s="17">
        <f>VLOOKUP($C11,[1]Peak_Forward!$A$5:$AG$128,'price-new'!J$2,FALSE)</f>
        <v>53.967391967773402</v>
      </c>
      <c r="K11" s="17">
        <f>VLOOKUP($C11,[1]Peak_Forward!$A$5:$AG$128,'price-new'!K$2,FALSE)</f>
        <v>65.760871887207003</v>
      </c>
      <c r="L11" s="17">
        <f>VLOOKUP($C11,[1]Peak_Forward!$A$5:$AG$128,'price-new'!L$2,FALSE)</f>
        <v>62.532608032226598</v>
      </c>
      <c r="M11" s="17">
        <f>VLOOKUP($C11,[1]Peak_Forward!$A$5:$AG$128,'price-new'!M$2,FALSE)</f>
        <v>47.630435943603501</v>
      </c>
      <c r="N11" s="17">
        <f>VLOOKUP($C11,[1]Peak_Forward!$A$5:$AG$128,'price-new'!N$2,FALSE)</f>
        <v>61.343044281005902</v>
      </c>
      <c r="O11" s="17">
        <f>VLOOKUP($C11,[1]Peak_Forward!$A$5:$AG$128,'price-new'!O$2,FALSE)</f>
        <v>49.728260040283203</v>
      </c>
      <c r="P11" s="17">
        <f>VLOOKUP($C11,[1]Peak_Forward!$A$5:$AG$128,'price-new'!P$2,FALSE)</f>
        <v>50.493488311767599</v>
      </c>
      <c r="Q11" s="17">
        <f>VLOOKUP($C11,[1]Peak_Forward!$A$5:$AG$128,'price-new'!Q$2,FALSE)</f>
        <v>50.358695983886697</v>
      </c>
      <c r="R11" s="17">
        <f>VLOOKUP($C11,[1]Peak_Forward!$A$5:$AG$128,'price-new'!R$2,FALSE)</f>
        <v>52.665218353271499</v>
      </c>
      <c r="S11" s="6">
        <f>VLOOKUP($C11,[1]Peak_Forward!$A$5:$AG$128,'price-new'!S$2,FALSE)</f>
        <v>54.728260040283203</v>
      </c>
      <c r="T11" s="6">
        <f>VLOOKUP($C11,[1]Peak_Forward!$A$5:$AG$128,'price-new'!T$2,FALSE)</f>
        <v>57.228260040283203</v>
      </c>
      <c r="U11" s="6"/>
    </row>
    <row r="12" spans="1:21" x14ac:dyDescent="0.2">
      <c r="C12" s="1">
        <v>37135</v>
      </c>
      <c r="E12" s="17">
        <f>VLOOKUP($C12,[1]Peak_Forward!$A$5:$AG$128,'price-new'!E$2,FALSE)</f>
        <v>28.7234210968018</v>
      </c>
      <c r="F12" s="17">
        <f>VLOOKUP($C12,[1]Peak_Forward!$A$5:$AG$128,'price-new'!F$2,FALSE)</f>
        <v>30.7234210968018</v>
      </c>
      <c r="G12" s="17">
        <f>VLOOKUP($C12,[1]Peak_Forward!$A$5:$AG$128,'price-new'!G$2,FALSE)</f>
        <v>25.618421554565401</v>
      </c>
      <c r="H12" s="17">
        <f>VLOOKUP($C12,[1]Peak_Forward!$A$5:$AG$128,'price-new'!H$2,FALSE)</f>
        <v>27.197626113891602</v>
      </c>
      <c r="I12" s="17">
        <f>VLOOKUP($C12,[1]Peak_Forward!$A$5:$AG$128,'price-new'!I$2,FALSE)</f>
        <v>27.921056747436499</v>
      </c>
      <c r="J12" s="17">
        <f>VLOOKUP($C12,[1]Peak_Forward!$A$5:$AG$128,'price-new'!J$2,FALSE)</f>
        <v>30.7234210968018</v>
      </c>
      <c r="K12" s="17">
        <f>VLOOKUP($C12,[1]Peak_Forward!$A$5:$AG$128,'price-new'!K$2,FALSE)</f>
        <v>40.434211730957003</v>
      </c>
      <c r="L12" s="17">
        <f>VLOOKUP($C12,[1]Peak_Forward!$A$5:$AG$128,'price-new'!L$2,FALSE)</f>
        <v>27.5</v>
      </c>
      <c r="M12" s="17">
        <f>VLOOKUP($C12,[1]Peak_Forward!$A$5:$AG$128,'price-new'!M$2,FALSE)</f>
        <v>35.736843109130902</v>
      </c>
      <c r="N12" s="17">
        <f>VLOOKUP($C12,[1]Peak_Forward!$A$5:$AG$128,'price-new'!N$2,FALSE)</f>
        <v>41.789474487304702</v>
      </c>
      <c r="O12" s="17">
        <f>VLOOKUP($C12,[1]Peak_Forward!$A$5:$AG$128,'price-new'!O$2,FALSE)</f>
        <v>30.973688125610401</v>
      </c>
      <c r="P12" s="17">
        <f>VLOOKUP($C12,[1]Peak_Forward!$A$5:$AG$128,'price-new'!P$2,FALSE)</f>
        <v>29.7107830047607</v>
      </c>
      <c r="Q12" s="17">
        <f>VLOOKUP($C12,[1]Peak_Forward!$A$5:$AG$128,'price-new'!Q$2,FALSE)</f>
        <v>27</v>
      </c>
      <c r="R12" s="17">
        <f>VLOOKUP($C12,[1]Peak_Forward!$A$5:$AG$128,'price-new'!R$2,FALSE)</f>
        <v>34.771579742431598</v>
      </c>
      <c r="S12" s="6">
        <f>VLOOKUP($C12,[1]Peak_Forward!$A$5:$AG$128,'price-new'!S$2,FALSE)</f>
        <v>32.973686218261697</v>
      </c>
      <c r="T12" s="6">
        <f>VLOOKUP($C12,[1]Peak_Forward!$A$5:$AG$128,'price-new'!T$2,FALSE)</f>
        <v>34.973686218261697</v>
      </c>
      <c r="U12" s="6"/>
    </row>
    <row r="13" spans="1:21" x14ac:dyDescent="0.2">
      <c r="C13" s="1">
        <v>37165</v>
      </c>
      <c r="E13" s="17">
        <f>VLOOKUP($C13,[1]Peak_Forward!$A$5:$AG$128,'price-new'!E$2,FALSE)</f>
        <v>19.973474502563501</v>
      </c>
      <c r="F13" s="17">
        <f>VLOOKUP($C13,[1]Peak_Forward!$A$5:$AG$128,'price-new'!F$2,FALSE)</f>
        <v>19.973474502563501</v>
      </c>
      <c r="G13" s="17">
        <f>VLOOKUP($C13,[1]Peak_Forward!$A$5:$AG$128,'price-new'!G$2,FALSE)</f>
        <v>18.869556427001999</v>
      </c>
      <c r="H13" s="17">
        <f>VLOOKUP($C13,[1]Peak_Forward!$A$5:$AG$128,'price-new'!H$2,FALSE)</f>
        <v>19.635217666626001</v>
      </c>
      <c r="I13" s="17">
        <f>VLOOKUP($C13,[1]Peak_Forward!$A$5:$AG$128,'price-new'!I$2,FALSE)</f>
        <v>18.9763374328613</v>
      </c>
      <c r="J13" s="17">
        <f>VLOOKUP($C13,[1]Peak_Forward!$A$5:$AG$128,'price-new'!J$2,FALSE)</f>
        <v>19.973474502563501</v>
      </c>
      <c r="K13" s="17">
        <f>VLOOKUP($C13,[1]Peak_Forward!$A$5:$AG$128,'price-new'!K$2,FALSE)</f>
        <v>36.380428314208999</v>
      </c>
      <c r="L13" s="17">
        <f>VLOOKUP($C13,[1]Peak_Forward!$A$5:$AG$128,'price-new'!L$2,FALSE)</f>
        <v>22.840183258056602</v>
      </c>
      <c r="M13" s="17">
        <f>VLOOKUP($C13,[1]Peak_Forward!$A$5:$AG$128,'price-new'!M$2,FALSE)</f>
        <v>29.973913192748999</v>
      </c>
      <c r="N13" s="17">
        <f>VLOOKUP($C13,[1]Peak_Forward!$A$5:$AG$128,'price-new'!N$2,FALSE)</f>
        <v>33.793479919433601</v>
      </c>
      <c r="O13" s="17">
        <f>VLOOKUP($C13,[1]Peak_Forward!$A$5:$AG$128,'price-new'!O$2,FALSE)</f>
        <v>24.500001907348601</v>
      </c>
      <c r="P13" s="17">
        <f>VLOOKUP($C13,[1]Peak_Forward!$A$5:$AG$128,'price-new'!P$2,FALSE)</f>
        <v>19.620872497558601</v>
      </c>
      <c r="Q13" s="17">
        <f>VLOOKUP($C13,[1]Peak_Forward!$A$5:$AG$128,'price-new'!Q$2,FALSE)</f>
        <v>18.749998092651399</v>
      </c>
      <c r="R13" s="17">
        <f>VLOOKUP($C13,[1]Peak_Forward!$A$5:$AG$128,'price-new'!R$2,FALSE)</f>
        <v>25.9608764648438</v>
      </c>
      <c r="S13" s="6">
        <f>VLOOKUP($C13,[1]Peak_Forward!$A$5:$AG$128,'price-new'!S$2,FALSE)</f>
        <v>27.000001907348601</v>
      </c>
      <c r="T13" s="6">
        <f>VLOOKUP($C13,[1]Peak_Forward!$A$5:$AG$128,'price-new'!T$2,FALSE)</f>
        <v>27.500001907348601</v>
      </c>
      <c r="U13" s="6"/>
    </row>
    <row r="14" spans="1:21" x14ac:dyDescent="0.2">
      <c r="C14" s="1">
        <v>37196</v>
      </c>
      <c r="E14" s="17">
        <f>VLOOKUP($C14,[1]Peak_Forward!$A$5:$AG$128,'price-new'!E$2,FALSE)</f>
        <v>0</v>
      </c>
      <c r="F14" s="17">
        <f>VLOOKUP($C14,[1]Peak_Forward!$A$5:$AG$128,'price-new'!F$2,FALSE)</f>
        <v>0</v>
      </c>
      <c r="G14" s="17">
        <f>VLOOKUP($C14,[1]Peak_Forward!$A$5:$AG$128,'price-new'!G$2,FALSE)</f>
        <v>0</v>
      </c>
      <c r="H14" s="17">
        <f>VLOOKUP($C14,[1]Peak_Forward!$A$5:$AG$128,'price-new'!H$2,FALSE)</f>
        <v>0</v>
      </c>
      <c r="I14" s="17">
        <f>VLOOKUP($C14,[1]Peak_Forward!$A$5:$AG$128,'price-new'!I$2,FALSE)</f>
        <v>0</v>
      </c>
      <c r="J14" s="17">
        <f>VLOOKUP($C14,[1]Peak_Forward!$A$5:$AG$128,'price-new'!J$2,FALSE)</f>
        <v>0</v>
      </c>
      <c r="K14" s="17">
        <f>VLOOKUP($C14,[1]Peak_Forward!$A$5:$AG$128,'price-new'!K$2,FALSE)</f>
        <v>0</v>
      </c>
      <c r="L14" s="17">
        <f>VLOOKUP($C14,[1]Peak_Forward!$A$5:$AG$128,'price-new'!L$2,FALSE)</f>
        <v>0</v>
      </c>
      <c r="M14" s="17">
        <f>VLOOKUP($C14,[1]Peak_Forward!$A$5:$AG$128,'price-new'!M$2,FALSE)</f>
        <v>0</v>
      </c>
      <c r="N14" s="17">
        <f>VLOOKUP($C14,[1]Peak_Forward!$A$5:$AG$128,'price-new'!N$2,FALSE)</f>
        <v>0</v>
      </c>
      <c r="O14" s="17">
        <f>VLOOKUP($C14,[1]Peak_Forward!$A$5:$AG$128,'price-new'!O$2,FALSE)</f>
        <v>0</v>
      </c>
      <c r="P14" s="17">
        <f>VLOOKUP($C14,[1]Peak_Forward!$A$5:$AG$128,'price-new'!P$2,FALSE)</f>
        <v>0</v>
      </c>
      <c r="Q14" s="17">
        <f>VLOOKUP($C14,[1]Peak_Forward!$A$5:$AG$128,'price-new'!Q$2,FALSE)</f>
        <v>0</v>
      </c>
      <c r="R14" s="17">
        <f>VLOOKUP($C14,[1]Peak_Forward!$A$5:$AG$128,'price-new'!R$2,FALSE)</f>
        <v>0</v>
      </c>
      <c r="S14" s="6">
        <f>VLOOKUP($C14,[1]Peak_Forward!$A$5:$AG$128,'price-new'!S$2,FALSE)</f>
        <v>0</v>
      </c>
      <c r="T14" s="6">
        <f>VLOOKUP($C14,[1]Peak_Forward!$A$5:$AG$128,'price-new'!T$2,FALSE)</f>
        <v>0</v>
      </c>
      <c r="U14" s="6"/>
    </row>
    <row r="15" spans="1:21" x14ac:dyDescent="0.2">
      <c r="C15" s="1">
        <v>37226</v>
      </c>
      <c r="E15" s="17">
        <f>VLOOKUP($C15,[1]Peak_Forward!$A$5:$AG$128,'price-new'!E$2,FALSE)</f>
        <v>22.191666666666674</v>
      </c>
      <c r="F15" s="17">
        <f>VLOOKUP($C15,[1]Peak_Forward!$A$5:$AG$128,'price-new'!F$2,FALSE)</f>
        <v>22.191666666666674</v>
      </c>
      <c r="G15" s="17">
        <f>VLOOKUP($C15,[1]Peak_Forward!$A$5:$AG$128,'price-new'!G$2,FALSE)</f>
        <v>19.75</v>
      </c>
      <c r="H15" s="17">
        <f>VLOOKUP($C15,[1]Peak_Forward!$A$5:$AG$128,'price-new'!H$2,FALSE)</f>
        <v>21.911111111111115</v>
      </c>
      <c r="I15" s="17">
        <f>VLOOKUP($C15,[1]Peak_Forward!$A$5:$AG$128,'price-new'!I$2,FALSE)</f>
        <v>22.041666666666668</v>
      </c>
      <c r="J15" s="17">
        <f>VLOOKUP($C15,[1]Peak_Forward!$A$5:$AG$128,'price-new'!J$2,FALSE)</f>
        <v>22.191666666666674</v>
      </c>
      <c r="K15" s="17">
        <f>VLOOKUP($C15,[1]Peak_Forward!$A$5:$AG$128,'price-new'!K$2,FALSE)</f>
        <v>29.763888888888889</v>
      </c>
      <c r="L15" s="17">
        <f>VLOOKUP($C15,[1]Peak_Forward!$A$5:$AG$128,'price-new'!L$2,FALSE)</f>
        <v>22.041666666666661</v>
      </c>
      <c r="M15" s="17">
        <f>VLOOKUP($C15,[1]Peak_Forward!$A$5:$AG$128,'price-new'!M$2,FALSE)</f>
        <v>26.216666666666658</v>
      </c>
      <c r="N15" s="17">
        <f>VLOOKUP($C15,[1]Peak_Forward!$A$5:$AG$128,'price-new'!N$2,FALSE)</f>
        <v>32.5</v>
      </c>
      <c r="O15" s="17">
        <f>VLOOKUP($C15,[1]Peak_Forward!$A$5:$AG$128,'price-new'!O$2,FALSE)</f>
        <v>21.708333333333332</v>
      </c>
      <c r="P15" s="17">
        <f>VLOOKUP($C15,[1]Peak_Forward!$A$5:$AG$128,'price-new'!P$2,FALSE)</f>
        <v>23.091666666666665</v>
      </c>
      <c r="Q15" s="17">
        <f>VLOOKUP($C15,[1]Peak_Forward!$A$5:$AG$128,'price-new'!Q$2,FALSE)</f>
        <v>19.180555555555557</v>
      </c>
      <c r="R15" s="17">
        <f>VLOOKUP($C15,[1]Peak_Forward!$A$5:$AG$128,'price-new'!R$2,FALSE)</f>
        <v>23.361111111111111</v>
      </c>
      <c r="S15" s="6">
        <f>VLOOKUP($C15,[1]Peak_Forward!$A$5:$AG$128,'price-new'!S$2,FALSE)</f>
        <v>24.708333333333332</v>
      </c>
      <c r="T15" s="6">
        <f>VLOOKUP($C15,[1]Peak_Forward!$A$5:$AG$128,'price-new'!T$2,FALSE)</f>
        <v>24.458333333333332</v>
      </c>
      <c r="U15" s="6"/>
    </row>
    <row r="16" spans="1:21" x14ac:dyDescent="0.2">
      <c r="C16" s="1">
        <v>37257</v>
      </c>
      <c r="E16" s="17">
        <f>VLOOKUP($C16,[1]Peak_Forward!$A$5:$AG$128,'price-new'!E$2,FALSE)</f>
        <v>25.605688095092798</v>
      </c>
      <c r="F16" s="17">
        <f>VLOOKUP($C16,[1]Peak_Forward!$A$5:$AG$128,'price-new'!F$2,FALSE)</f>
        <v>25.605688095092798</v>
      </c>
      <c r="G16" s="17">
        <f>VLOOKUP($C16,[1]Peak_Forward!$A$5:$AG$128,'price-new'!G$2,FALSE)</f>
        <v>22.163732528686499</v>
      </c>
      <c r="H16" s="17">
        <f>VLOOKUP($C16,[1]Peak_Forward!$A$5:$AG$128,'price-new'!H$2,FALSE)</f>
        <v>22.875682830810501</v>
      </c>
      <c r="I16" s="17">
        <f>VLOOKUP($C16,[1]Peak_Forward!$A$5:$AG$128,'price-new'!I$2,FALSE)</f>
        <v>25.141141891479499</v>
      </c>
      <c r="J16" s="17">
        <f>VLOOKUP($C16,[1]Peak_Forward!$A$5:$AG$128,'price-new'!J$2,FALSE)</f>
        <v>25.605688095092798</v>
      </c>
      <c r="K16" s="17">
        <f>VLOOKUP($C16,[1]Peak_Forward!$A$5:$AG$128,'price-new'!K$2,FALSE)</f>
        <v>36.7501831054688</v>
      </c>
      <c r="L16" s="17">
        <f>VLOOKUP($C16,[1]Peak_Forward!$A$5:$AG$128,'price-new'!L$2,FALSE)</f>
        <v>26.146593093872099</v>
      </c>
      <c r="M16" s="17">
        <f>VLOOKUP($C16,[1]Peak_Forward!$A$5:$AG$128,'price-new'!M$2,FALSE)</f>
        <v>29.25</v>
      </c>
      <c r="N16" s="17">
        <f>VLOOKUP($C16,[1]Peak_Forward!$A$5:$AG$128,'price-new'!N$2,FALSE)</f>
        <v>36.5</v>
      </c>
      <c r="O16" s="17">
        <f>VLOOKUP($C16,[1]Peak_Forward!$A$5:$AG$128,'price-new'!O$2,FALSE)</f>
        <v>27.5</v>
      </c>
      <c r="P16" s="17">
        <f>VLOOKUP($C16,[1]Peak_Forward!$A$5:$AG$128,'price-new'!P$2,FALSE)</f>
        <v>26.505681991577099</v>
      </c>
      <c r="Q16" s="17">
        <f>VLOOKUP($C16,[1]Peak_Forward!$A$5:$AG$128,'price-new'!Q$2,FALSE)</f>
        <v>22.5</v>
      </c>
      <c r="R16" s="17">
        <f>VLOOKUP($C16,[1]Peak_Forward!$A$5:$AG$128,'price-new'!R$2,FALSE)</f>
        <v>28.5</v>
      </c>
      <c r="S16" s="6">
        <f>VLOOKUP($C16,[1]Peak_Forward!$A$5:$AG$128,'price-new'!S$2,FALSE)</f>
        <v>30.5</v>
      </c>
      <c r="T16" s="6">
        <f>VLOOKUP($C16,[1]Peak_Forward!$A$5:$AG$128,'price-new'!T$2,FALSE)</f>
        <v>30.25</v>
      </c>
      <c r="U16" s="6"/>
    </row>
    <row r="17" spans="3:21" x14ac:dyDescent="0.2">
      <c r="C17" s="1">
        <v>37288</v>
      </c>
      <c r="E17" s="17">
        <f>VLOOKUP($C17,[1]Peak_Forward!$A$5:$AG$128,'price-new'!E$2,FALSE)</f>
        <v>25.95</v>
      </c>
      <c r="F17" s="17">
        <f>VLOOKUP($C17,[1]Peak_Forward!$A$5:$AG$128,'price-new'!F$2,FALSE)</f>
        <v>26</v>
      </c>
      <c r="G17" s="17">
        <f>VLOOKUP($C17,[1]Peak_Forward!$A$5:$AG$128,'price-new'!G$2,FALSE)</f>
        <v>21.67</v>
      </c>
      <c r="H17" s="17">
        <f>VLOOKUP($C17,[1]Peak_Forward!$A$5:$AG$128,'price-new'!H$2,FALSE)</f>
        <v>23.22</v>
      </c>
      <c r="I17" s="17">
        <f>VLOOKUP($C17,[1]Peak_Forward!$A$5:$AG$128,'price-new'!I$2,FALSE)</f>
        <v>25.57</v>
      </c>
      <c r="J17" s="17">
        <f>VLOOKUP($C17,[1]Peak_Forward!$A$5:$AG$128,'price-new'!J$2,FALSE)</f>
        <v>26</v>
      </c>
      <c r="K17" s="17">
        <f>VLOOKUP($C17,[1]Peak_Forward!$A$5:$AG$128,'price-new'!K$2,FALSE)</f>
        <v>36.75</v>
      </c>
      <c r="L17" s="17">
        <f>VLOOKUP($C17,[1]Peak_Forward!$A$5:$AG$128,'price-new'!L$2,FALSE)</f>
        <v>29.68</v>
      </c>
      <c r="M17" s="17">
        <f>VLOOKUP($C17,[1]Peak_Forward!$A$5:$AG$128,'price-new'!M$2,FALSE)</f>
        <v>29.25</v>
      </c>
      <c r="N17" s="17">
        <f>VLOOKUP($C17,[1]Peak_Forward!$A$5:$AG$128,'price-new'!N$2,FALSE)</f>
        <v>36.5</v>
      </c>
      <c r="O17" s="17">
        <f>VLOOKUP($C17,[1]Peak_Forward!$A$5:$AG$128,'price-new'!O$2,FALSE)</f>
        <v>27.5</v>
      </c>
      <c r="P17" s="17">
        <f>VLOOKUP($C17,[1]Peak_Forward!$A$5:$AG$128,'price-new'!P$2,FALSE)</f>
        <v>29.45</v>
      </c>
      <c r="Q17" s="17">
        <f>VLOOKUP($C17,[1]Peak_Forward!$A$5:$AG$128,'price-new'!Q$2,FALSE)</f>
        <v>22.5</v>
      </c>
      <c r="R17" s="17">
        <f>VLOOKUP($C17,[1]Peak_Forward!$A$5:$AG$128,'price-new'!R$2,FALSE)</f>
        <v>28.5</v>
      </c>
      <c r="S17" s="6">
        <f>VLOOKUP($C17,[1]Peak_Forward!$A$5:$AG$128,'price-new'!S$2,FALSE)</f>
        <v>30.5</v>
      </c>
      <c r="T17" s="6">
        <f>VLOOKUP($C17,[1]Peak_Forward!$A$5:$AG$128,'price-new'!T$2,FALSE)</f>
        <v>30.25</v>
      </c>
      <c r="U17" s="6"/>
    </row>
    <row r="18" spans="3:21" x14ac:dyDescent="0.2">
      <c r="C18" s="1">
        <v>37316</v>
      </c>
      <c r="E18" s="17">
        <f>VLOOKUP($C18,[1]Peak_Forward!$A$5:$AG$128,'price-new'!E$2,FALSE)</f>
        <v>24.58</v>
      </c>
      <c r="F18" s="17">
        <f>VLOOKUP($C18,[1]Peak_Forward!$A$5:$AG$128,'price-new'!F$2,FALSE)</f>
        <v>24.83</v>
      </c>
      <c r="G18" s="17">
        <f>VLOOKUP($C18,[1]Peak_Forward!$A$5:$AG$128,'price-new'!G$2,FALSE)</f>
        <v>23</v>
      </c>
      <c r="H18" s="17">
        <f>VLOOKUP($C18,[1]Peak_Forward!$A$5:$AG$128,'price-new'!H$2,FALSE)</f>
        <v>23.08</v>
      </c>
      <c r="I18" s="17">
        <f>VLOOKUP($C18,[1]Peak_Forward!$A$5:$AG$128,'price-new'!I$2,FALSE)</f>
        <v>23.98</v>
      </c>
      <c r="J18" s="17">
        <f>VLOOKUP($C18,[1]Peak_Forward!$A$5:$AG$128,'price-new'!J$2,FALSE)</f>
        <v>24.83</v>
      </c>
      <c r="K18" s="17">
        <f>VLOOKUP($C18,[1]Peak_Forward!$A$5:$AG$128,'price-new'!K$2,FALSE)</f>
        <v>33</v>
      </c>
      <c r="L18" s="17">
        <f>VLOOKUP($C18,[1]Peak_Forward!$A$5:$AG$128,'price-new'!L$2,FALSE)</f>
        <v>28.68</v>
      </c>
      <c r="M18" s="17">
        <f>VLOOKUP($C18,[1]Peak_Forward!$A$5:$AG$128,'price-new'!M$2,FALSE)</f>
        <v>27</v>
      </c>
      <c r="N18" s="17">
        <f>VLOOKUP($C18,[1]Peak_Forward!$A$5:$AG$128,'price-new'!N$2,FALSE)</f>
        <v>35</v>
      </c>
      <c r="O18" s="17">
        <f>VLOOKUP($C18,[1]Peak_Forward!$A$5:$AG$128,'price-new'!O$2,FALSE)</f>
        <v>25.8</v>
      </c>
      <c r="P18" s="17">
        <f>VLOOKUP($C18,[1]Peak_Forward!$A$5:$AG$128,'price-new'!P$2,FALSE)</f>
        <v>25.33</v>
      </c>
      <c r="Q18" s="17">
        <f>VLOOKUP($C18,[1]Peak_Forward!$A$5:$AG$128,'price-new'!Q$2,FALSE)</f>
        <v>22</v>
      </c>
      <c r="R18" s="17">
        <f>VLOOKUP($C18,[1]Peak_Forward!$A$5:$AG$128,'price-new'!R$2,FALSE)</f>
        <v>26.9</v>
      </c>
      <c r="S18" s="6">
        <f>VLOOKUP($C18,[1]Peak_Forward!$A$5:$AG$128,'price-new'!S$2,FALSE)</f>
        <v>28.8</v>
      </c>
      <c r="T18" s="6">
        <f>VLOOKUP($C18,[1]Peak_Forward!$A$5:$AG$128,'price-new'!T$2,FALSE)</f>
        <v>28.55</v>
      </c>
      <c r="U18" s="6"/>
    </row>
    <row r="19" spans="3:21" x14ac:dyDescent="0.2">
      <c r="C19" s="1">
        <v>37347</v>
      </c>
      <c r="E19" s="17">
        <f>VLOOKUP($C19,[1]Peak_Forward!$A$5:$AG$128,'price-new'!E$2,FALSE)</f>
        <v>25.03</v>
      </c>
      <c r="F19" s="17">
        <f>VLOOKUP($C19,[1]Peak_Forward!$A$5:$AG$128,'price-new'!F$2,FALSE)</f>
        <v>25.28</v>
      </c>
      <c r="G19" s="17">
        <f>VLOOKUP($C19,[1]Peak_Forward!$A$5:$AG$128,'price-new'!G$2,FALSE)</f>
        <v>22.6</v>
      </c>
      <c r="H19" s="17">
        <f>VLOOKUP($C19,[1]Peak_Forward!$A$5:$AG$128,'price-new'!H$2,FALSE)</f>
        <v>23.53</v>
      </c>
      <c r="I19" s="17">
        <f>VLOOKUP($C19,[1]Peak_Forward!$A$5:$AG$128,'price-new'!I$2,FALSE)</f>
        <v>24.43</v>
      </c>
      <c r="J19" s="17">
        <f>VLOOKUP($C19,[1]Peak_Forward!$A$5:$AG$128,'price-new'!J$2,FALSE)</f>
        <v>25.28</v>
      </c>
      <c r="K19" s="17">
        <f>VLOOKUP($C19,[1]Peak_Forward!$A$5:$AG$128,'price-new'!K$2,FALSE)</f>
        <v>33</v>
      </c>
      <c r="L19" s="17">
        <f>VLOOKUP($C19,[1]Peak_Forward!$A$5:$AG$128,'price-new'!L$2,FALSE)</f>
        <v>29.13</v>
      </c>
      <c r="M19" s="17">
        <f>VLOOKUP($C19,[1]Peak_Forward!$A$5:$AG$128,'price-new'!M$2,FALSE)</f>
        <v>27</v>
      </c>
      <c r="N19" s="17">
        <f>VLOOKUP($C19,[1]Peak_Forward!$A$5:$AG$128,'price-new'!N$2,FALSE)</f>
        <v>35</v>
      </c>
      <c r="O19" s="17">
        <f>VLOOKUP($C19,[1]Peak_Forward!$A$5:$AG$128,'price-new'!O$2,FALSE)</f>
        <v>25.8</v>
      </c>
      <c r="P19" s="17">
        <f>VLOOKUP($C19,[1]Peak_Forward!$A$5:$AG$128,'price-new'!P$2,FALSE)</f>
        <v>25.78</v>
      </c>
      <c r="Q19" s="17">
        <f>VLOOKUP($C19,[1]Peak_Forward!$A$5:$AG$128,'price-new'!Q$2,FALSE)</f>
        <v>22</v>
      </c>
      <c r="R19" s="17">
        <f>VLOOKUP($C19,[1]Peak_Forward!$A$5:$AG$128,'price-new'!R$2,FALSE)</f>
        <v>26.9</v>
      </c>
      <c r="S19" s="6">
        <f>VLOOKUP($C19,[1]Peak_Forward!$A$5:$AG$128,'price-new'!S$2,FALSE)</f>
        <v>28.8</v>
      </c>
      <c r="T19" s="6">
        <f>VLOOKUP($C19,[1]Peak_Forward!$A$5:$AG$128,'price-new'!T$2,FALSE)</f>
        <v>28.55</v>
      </c>
      <c r="U19" s="6"/>
    </row>
    <row r="20" spans="3:21" x14ac:dyDescent="0.2">
      <c r="C20" s="1">
        <v>37377</v>
      </c>
      <c r="E20" s="17">
        <f>VLOOKUP($C20,[1]Peak_Forward!$A$5:$AG$128,'price-new'!E$2,FALSE)</f>
        <v>27.15</v>
      </c>
      <c r="F20" s="17">
        <f>VLOOKUP($C20,[1]Peak_Forward!$A$5:$AG$128,'price-new'!F$2,FALSE)</f>
        <v>27.4</v>
      </c>
      <c r="G20" s="17">
        <f>VLOOKUP($C20,[1]Peak_Forward!$A$5:$AG$128,'price-new'!G$2,FALSE)</f>
        <v>25.995000000000001</v>
      </c>
      <c r="H20" s="17">
        <f>VLOOKUP($C20,[1]Peak_Forward!$A$5:$AG$128,'price-new'!H$2,FALSE)</f>
        <v>24.52</v>
      </c>
      <c r="I20" s="17">
        <f>VLOOKUP($C20,[1]Peak_Forward!$A$5:$AG$128,'price-new'!I$2,FALSE)</f>
        <v>26.51</v>
      </c>
      <c r="J20" s="17">
        <f>VLOOKUP($C20,[1]Peak_Forward!$A$5:$AG$128,'price-new'!J$2,FALSE)</f>
        <v>27.4</v>
      </c>
      <c r="K20" s="17">
        <f>VLOOKUP($C20,[1]Peak_Forward!$A$5:$AG$128,'price-new'!K$2,FALSE)</f>
        <v>33.75</v>
      </c>
      <c r="L20" s="17">
        <f>VLOOKUP($C20,[1]Peak_Forward!$A$5:$AG$128,'price-new'!L$2,FALSE)</f>
        <v>30.65</v>
      </c>
      <c r="M20" s="17">
        <f>VLOOKUP($C20,[1]Peak_Forward!$A$5:$AG$128,'price-new'!M$2,FALSE)</f>
        <v>29</v>
      </c>
      <c r="N20" s="17">
        <f>VLOOKUP($C20,[1]Peak_Forward!$A$5:$AG$128,'price-new'!N$2,FALSE)</f>
        <v>36.25</v>
      </c>
      <c r="O20" s="17">
        <f>VLOOKUP($C20,[1]Peak_Forward!$A$5:$AG$128,'price-new'!O$2,FALSE)</f>
        <v>27.8</v>
      </c>
      <c r="P20" s="17">
        <f>VLOOKUP($C20,[1]Peak_Forward!$A$5:$AG$128,'price-new'!P$2,FALSE)</f>
        <v>26.9</v>
      </c>
      <c r="Q20" s="17">
        <f>VLOOKUP($C20,[1]Peak_Forward!$A$5:$AG$128,'price-new'!Q$2,FALSE)</f>
        <v>25</v>
      </c>
      <c r="R20" s="17">
        <f>VLOOKUP($C20,[1]Peak_Forward!$A$5:$AG$128,'price-new'!R$2,FALSE)</f>
        <v>30</v>
      </c>
      <c r="S20" s="6">
        <f>VLOOKUP($C20,[1]Peak_Forward!$A$5:$AG$128,'price-new'!S$2,FALSE)</f>
        <v>30.8</v>
      </c>
      <c r="T20" s="6">
        <f>VLOOKUP($C20,[1]Peak_Forward!$A$5:$AG$128,'price-new'!T$2,FALSE)</f>
        <v>31.55</v>
      </c>
      <c r="U20" s="6"/>
    </row>
    <row r="21" spans="3:21" x14ac:dyDescent="0.2">
      <c r="C21" s="1">
        <v>37408</v>
      </c>
      <c r="E21" s="17">
        <f>VLOOKUP($C21,[1]Peak_Forward!$A$5:$AG$128,'price-new'!E$2,FALSE)</f>
        <v>36</v>
      </c>
      <c r="F21" s="17">
        <f>VLOOKUP($C21,[1]Peak_Forward!$A$5:$AG$128,'price-new'!F$2,FALSE)</f>
        <v>36.049999999999997</v>
      </c>
      <c r="G21" s="17">
        <f>VLOOKUP($C21,[1]Peak_Forward!$A$5:$AG$128,'price-new'!G$2,FALSE)</f>
        <v>28</v>
      </c>
      <c r="H21" s="17">
        <f>VLOOKUP($C21,[1]Peak_Forward!$A$5:$AG$128,'price-new'!H$2,FALSE)</f>
        <v>33.119999999999997</v>
      </c>
      <c r="I21" s="17">
        <f>VLOOKUP($C21,[1]Peak_Forward!$A$5:$AG$128,'price-new'!I$2,FALSE)</f>
        <v>34.31</v>
      </c>
      <c r="J21" s="17">
        <f>VLOOKUP($C21,[1]Peak_Forward!$A$5:$AG$128,'price-new'!J$2,FALSE)</f>
        <v>36.049999999999997</v>
      </c>
      <c r="K21" s="17">
        <f>VLOOKUP($C21,[1]Peak_Forward!$A$5:$AG$128,'price-new'!K$2,FALSE)</f>
        <v>40.75</v>
      </c>
      <c r="L21" s="17">
        <f>VLOOKUP($C21,[1]Peak_Forward!$A$5:$AG$128,'price-new'!L$2,FALSE)</f>
        <v>40.5</v>
      </c>
      <c r="M21" s="17">
        <f>VLOOKUP($C21,[1]Peak_Forward!$A$5:$AG$128,'price-new'!M$2,FALSE)</f>
        <v>39.5</v>
      </c>
      <c r="N21" s="17">
        <f>VLOOKUP($C21,[1]Peak_Forward!$A$5:$AG$128,'price-new'!N$2,FALSE)</f>
        <v>43.5</v>
      </c>
      <c r="O21" s="17">
        <f>VLOOKUP($C21,[1]Peak_Forward!$A$5:$AG$128,'price-new'!O$2,FALSE)</f>
        <v>36.5</v>
      </c>
      <c r="P21" s="17">
        <f>VLOOKUP($C21,[1]Peak_Forward!$A$5:$AG$128,'price-new'!P$2,FALSE)</f>
        <v>38.630000000000003</v>
      </c>
      <c r="Q21" s="17">
        <f>VLOOKUP($C21,[1]Peak_Forward!$A$5:$AG$128,'price-new'!Q$2,FALSE)</f>
        <v>32.5</v>
      </c>
      <c r="R21" s="17">
        <f>VLOOKUP($C21,[1]Peak_Forward!$A$5:$AG$128,'price-new'!R$2,FALSE)</f>
        <v>39.75</v>
      </c>
      <c r="S21" s="6">
        <f>VLOOKUP($C21,[1]Peak_Forward!$A$5:$AG$128,'price-new'!S$2,FALSE)</f>
        <v>39.75</v>
      </c>
      <c r="T21" s="6">
        <f>VLOOKUP($C21,[1]Peak_Forward!$A$5:$AG$128,'price-new'!T$2,FALSE)</f>
        <v>42.25</v>
      </c>
      <c r="U21" s="6"/>
    </row>
    <row r="22" spans="3:21" x14ac:dyDescent="0.2">
      <c r="C22" s="1">
        <v>37438</v>
      </c>
      <c r="E22" s="17">
        <f>VLOOKUP($C22,[1]Peak_Forward!$A$5:$AG$128,'price-new'!E$2,FALSE)</f>
        <v>46.125</v>
      </c>
      <c r="F22" s="17">
        <f>VLOOKUP($C22,[1]Peak_Forward!$A$5:$AG$128,'price-new'!F$2,FALSE)</f>
        <v>46.125</v>
      </c>
      <c r="G22" s="17">
        <f>VLOOKUP($C22,[1]Peak_Forward!$A$5:$AG$128,'price-new'!G$2,FALSE)</f>
        <v>36.25</v>
      </c>
      <c r="H22" s="17">
        <f>VLOOKUP($C22,[1]Peak_Forward!$A$5:$AG$128,'price-new'!H$2,FALSE)</f>
        <v>42.75</v>
      </c>
      <c r="I22" s="17">
        <f>VLOOKUP($C22,[1]Peak_Forward!$A$5:$AG$128,'price-new'!I$2,FALSE)</f>
        <v>45.024999999999999</v>
      </c>
      <c r="J22" s="17">
        <f>VLOOKUP($C22,[1]Peak_Forward!$A$5:$AG$128,'price-new'!J$2,FALSE)</f>
        <v>46.125</v>
      </c>
      <c r="K22" s="17">
        <f>VLOOKUP($C22,[1]Peak_Forward!$A$5:$AG$128,'price-new'!K$2,FALSE)</f>
        <v>51.75</v>
      </c>
      <c r="L22" s="17">
        <f>VLOOKUP($C22,[1]Peak_Forward!$A$5:$AG$128,'price-new'!L$2,FALSE)</f>
        <v>55.125</v>
      </c>
      <c r="M22" s="17">
        <f>VLOOKUP($C22,[1]Peak_Forward!$A$5:$AG$128,'price-new'!M$2,FALSE)</f>
        <v>48.5</v>
      </c>
      <c r="N22" s="17">
        <f>VLOOKUP($C22,[1]Peak_Forward!$A$5:$AG$128,'price-new'!N$2,FALSE)</f>
        <v>61.75</v>
      </c>
      <c r="O22" s="17">
        <f>VLOOKUP($C22,[1]Peak_Forward!$A$5:$AG$128,'price-new'!O$2,FALSE)</f>
        <v>48.5</v>
      </c>
      <c r="P22" s="17">
        <f>VLOOKUP($C22,[1]Peak_Forward!$A$5:$AG$128,'price-new'!P$2,FALSE)</f>
        <v>50.375</v>
      </c>
      <c r="Q22" s="17">
        <f>VLOOKUP($C22,[1]Peak_Forward!$A$5:$AG$128,'price-new'!Q$2,FALSE)</f>
        <v>41.003999999999998</v>
      </c>
      <c r="R22" s="17">
        <f>VLOOKUP($C22,[1]Peak_Forward!$A$5:$AG$128,'price-new'!R$2,FALSE)</f>
        <v>52</v>
      </c>
      <c r="S22" s="6">
        <f>VLOOKUP($C22,[1]Peak_Forward!$A$5:$AG$128,'price-new'!S$2,FALSE)</f>
        <v>51.75</v>
      </c>
      <c r="T22" s="6">
        <f>VLOOKUP($C22,[1]Peak_Forward!$A$5:$AG$128,'price-new'!T$2,FALSE)</f>
        <v>54.25</v>
      </c>
      <c r="U22" s="6"/>
    </row>
    <row r="23" spans="3:21" x14ac:dyDescent="0.2">
      <c r="C23" s="1">
        <v>37469</v>
      </c>
      <c r="E23" s="17">
        <f>VLOOKUP($C23,[1]Peak_Forward!$A$5:$AG$128,'price-new'!E$2,FALSE)</f>
        <v>46.125</v>
      </c>
      <c r="F23" s="17">
        <f>VLOOKUP($C23,[1]Peak_Forward!$A$5:$AG$128,'price-new'!F$2,FALSE)</f>
        <v>46.125</v>
      </c>
      <c r="G23" s="17">
        <f>VLOOKUP($C23,[1]Peak_Forward!$A$5:$AG$128,'price-new'!G$2,FALSE)</f>
        <v>36.25</v>
      </c>
      <c r="H23" s="17">
        <f>VLOOKUP($C23,[1]Peak_Forward!$A$5:$AG$128,'price-new'!H$2,FALSE)</f>
        <v>42.75</v>
      </c>
      <c r="I23" s="17">
        <f>VLOOKUP($C23,[1]Peak_Forward!$A$5:$AG$128,'price-new'!I$2,FALSE)</f>
        <v>45.024999999999999</v>
      </c>
      <c r="J23" s="17">
        <f>VLOOKUP($C23,[1]Peak_Forward!$A$5:$AG$128,'price-new'!J$2,FALSE)</f>
        <v>46.125</v>
      </c>
      <c r="K23" s="17">
        <f>VLOOKUP($C23,[1]Peak_Forward!$A$5:$AG$128,'price-new'!K$2,FALSE)</f>
        <v>51.75</v>
      </c>
      <c r="L23" s="17">
        <f>VLOOKUP($C23,[1]Peak_Forward!$A$5:$AG$128,'price-new'!L$2,FALSE)</f>
        <v>55.125</v>
      </c>
      <c r="M23" s="17">
        <f>VLOOKUP($C23,[1]Peak_Forward!$A$5:$AG$128,'price-new'!M$2,FALSE)</f>
        <v>48.5</v>
      </c>
      <c r="N23" s="17">
        <f>VLOOKUP($C23,[1]Peak_Forward!$A$5:$AG$128,'price-new'!N$2,FALSE)</f>
        <v>61.75</v>
      </c>
      <c r="O23" s="17">
        <f>VLOOKUP($C23,[1]Peak_Forward!$A$5:$AG$128,'price-new'!O$2,FALSE)</f>
        <v>48.5</v>
      </c>
      <c r="P23" s="17">
        <f>VLOOKUP($C23,[1]Peak_Forward!$A$5:$AG$128,'price-new'!P$2,FALSE)</f>
        <v>50.375</v>
      </c>
      <c r="Q23" s="17">
        <f>VLOOKUP($C23,[1]Peak_Forward!$A$5:$AG$128,'price-new'!Q$2,FALSE)</f>
        <v>41</v>
      </c>
      <c r="R23" s="17">
        <f>VLOOKUP($C23,[1]Peak_Forward!$A$5:$AG$128,'price-new'!R$2,FALSE)</f>
        <v>52</v>
      </c>
      <c r="S23" s="6">
        <f>VLOOKUP($C23,[1]Peak_Forward!$A$5:$AG$128,'price-new'!S$2,FALSE)</f>
        <v>51.75</v>
      </c>
      <c r="T23" s="6">
        <f>VLOOKUP($C23,[1]Peak_Forward!$A$5:$AG$128,'price-new'!T$2,FALSE)</f>
        <v>54.25</v>
      </c>
      <c r="U23" s="6"/>
    </row>
    <row r="24" spans="3:21" x14ac:dyDescent="0.2">
      <c r="C24" s="1">
        <v>37500</v>
      </c>
      <c r="E24" s="17">
        <f>VLOOKUP($C24,[1]Peak_Forward!$A$5:$AG$128,'price-new'!E$2,FALSE)</f>
        <v>25.15</v>
      </c>
      <c r="F24" s="17">
        <f>VLOOKUP($C24,[1]Peak_Forward!$A$5:$AG$128,'price-new'!F$2,FALSE)</f>
        <v>25.2</v>
      </c>
      <c r="G24" s="17">
        <f>VLOOKUP($C24,[1]Peak_Forward!$A$5:$AG$128,'price-new'!G$2,FALSE)</f>
        <v>27</v>
      </c>
      <c r="H24" s="17">
        <f>VLOOKUP($C24,[1]Peak_Forward!$A$5:$AG$128,'price-new'!H$2,FALSE)</f>
        <v>23.274999999999999</v>
      </c>
      <c r="I24" s="17">
        <f>VLOOKUP($C24,[1]Peak_Forward!$A$5:$AG$128,'price-new'!I$2,FALSE)</f>
        <v>24.46</v>
      </c>
      <c r="J24" s="17">
        <f>VLOOKUP($C24,[1]Peak_Forward!$A$5:$AG$128,'price-new'!J$2,FALSE)</f>
        <v>25.2</v>
      </c>
      <c r="K24" s="17">
        <f>VLOOKUP($C24,[1]Peak_Forward!$A$5:$AG$128,'price-new'!K$2,FALSE)</f>
        <v>33</v>
      </c>
      <c r="L24" s="17">
        <f>VLOOKUP($C24,[1]Peak_Forward!$A$5:$AG$128,'price-new'!L$2,FALSE)</f>
        <v>27.3</v>
      </c>
      <c r="M24" s="17">
        <f>VLOOKUP($C24,[1]Peak_Forward!$A$5:$AG$128,'price-new'!M$2,FALSE)</f>
        <v>27.25</v>
      </c>
      <c r="N24" s="17">
        <f>VLOOKUP($C24,[1]Peak_Forward!$A$5:$AG$128,'price-new'!N$2,FALSE)</f>
        <v>34.5</v>
      </c>
      <c r="O24" s="17">
        <f>VLOOKUP($C24,[1]Peak_Forward!$A$5:$AG$128,'price-new'!O$2,FALSE)</f>
        <v>26.85</v>
      </c>
      <c r="P24" s="17">
        <f>VLOOKUP($C24,[1]Peak_Forward!$A$5:$AG$128,'price-new'!P$2,FALSE)</f>
        <v>25.15</v>
      </c>
      <c r="Q24" s="17">
        <f>VLOOKUP($C24,[1]Peak_Forward!$A$5:$AG$128,'price-new'!Q$2,FALSE)</f>
        <v>23.1</v>
      </c>
      <c r="R24" s="17">
        <f>VLOOKUP($C24,[1]Peak_Forward!$A$5:$AG$128,'price-new'!R$2,FALSE)</f>
        <v>27</v>
      </c>
      <c r="S24" s="6">
        <f>VLOOKUP($C24,[1]Peak_Forward!$A$5:$AG$128,'price-new'!S$2,FALSE)</f>
        <v>29.85</v>
      </c>
      <c r="T24" s="6">
        <f>VLOOKUP($C24,[1]Peak_Forward!$A$5:$AG$128,'price-new'!T$2,FALSE)</f>
        <v>32.1</v>
      </c>
      <c r="U24" s="6"/>
    </row>
    <row r="25" spans="3:21" x14ac:dyDescent="0.2">
      <c r="C25" s="1">
        <v>37530</v>
      </c>
      <c r="E25" s="17">
        <f>VLOOKUP($C25,[1]Peak_Forward!$A$5:$AG$128,'price-new'!E$2,FALSE)</f>
        <v>25</v>
      </c>
      <c r="F25" s="17">
        <f>VLOOKUP($C25,[1]Peak_Forward!$A$5:$AG$128,'price-new'!F$2,FALSE)</f>
        <v>25.25</v>
      </c>
      <c r="G25" s="17">
        <f>VLOOKUP($C25,[1]Peak_Forward!$A$5:$AG$128,'price-new'!G$2,FALSE)</f>
        <v>26.53</v>
      </c>
      <c r="H25" s="17">
        <f>VLOOKUP($C25,[1]Peak_Forward!$A$5:$AG$128,'price-new'!H$2,FALSE)</f>
        <v>23.125</v>
      </c>
      <c r="I25" s="17">
        <f>VLOOKUP($C25,[1]Peak_Forward!$A$5:$AG$128,'price-new'!I$2,FALSE)</f>
        <v>24.06</v>
      </c>
      <c r="J25" s="17">
        <f>VLOOKUP($C25,[1]Peak_Forward!$A$5:$AG$128,'price-new'!J$2,FALSE)</f>
        <v>25.25</v>
      </c>
      <c r="K25" s="17">
        <f>VLOOKUP($C25,[1]Peak_Forward!$A$5:$AG$128,'price-new'!K$2,FALSE)</f>
        <v>33</v>
      </c>
      <c r="L25" s="17">
        <f>VLOOKUP($C25,[1]Peak_Forward!$A$5:$AG$128,'price-new'!L$2,FALSE)</f>
        <v>26.95</v>
      </c>
      <c r="M25" s="17">
        <f>VLOOKUP($C25,[1]Peak_Forward!$A$5:$AG$128,'price-new'!M$2,FALSE)</f>
        <v>27.25</v>
      </c>
      <c r="N25" s="17">
        <f>VLOOKUP($C25,[1]Peak_Forward!$A$5:$AG$128,'price-new'!N$2,FALSE)</f>
        <v>34.5</v>
      </c>
      <c r="O25" s="17">
        <f>VLOOKUP($C25,[1]Peak_Forward!$A$5:$AG$128,'price-new'!O$2,FALSE)</f>
        <v>26.25</v>
      </c>
      <c r="P25" s="17">
        <f>VLOOKUP($C25,[1]Peak_Forward!$A$5:$AG$128,'price-new'!P$2,FALSE)</f>
        <v>25.75</v>
      </c>
      <c r="Q25" s="17">
        <f>VLOOKUP($C25,[1]Peak_Forward!$A$5:$AG$128,'price-new'!Q$2,FALSE)</f>
        <v>23.85</v>
      </c>
      <c r="R25" s="17">
        <f>VLOOKUP($C25,[1]Peak_Forward!$A$5:$AG$128,'price-new'!R$2,FALSE)</f>
        <v>26.75</v>
      </c>
      <c r="S25" s="6">
        <f>VLOOKUP($C25,[1]Peak_Forward!$A$5:$AG$128,'price-new'!S$2,FALSE)</f>
        <v>29.25</v>
      </c>
      <c r="T25" s="6">
        <f>VLOOKUP($C25,[1]Peak_Forward!$A$5:$AG$128,'price-new'!T$2,FALSE)</f>
        <v>29</v>
      </c>
      <c r="U25" s="6"/>
    </row>
    <row r="26" spans="3:21" x14ac:dyDescent="0.2">
      <c r="C26" s="1">
        <v>37561</v>
      </c>
      <c r="E26" s="17">
        <f>VLOOKUP($C26,[1]Peak_Forward!$A$5:$AG$128,'price-new'!E$2,FALSE)</f>
        <v>25.2</v>
      </c>
      <c r="F26" s="17">
        <f>VLOOKUP($C26,[1]Peak_Forward!$A$5:$AG$128,'price-new'!F$2,FALSE)</f>
        <v>25.45</v>
      </c>
      <c r="G26" s="17">
        <f>VLOOKUP($C26,[1]Peak_Forward!$A$5:$AG$128,'price-new'!G$2,FALSE)</f>
        <v>25.53</v>
      </c>
      <c r="H26" s="17">
        <f>VLOOKUP($C26,[1]Peak_Forward!$A$5:$AG$128,'price-new'!H$2,FALSE)</f>
        <v>23.324999999999999</v>
      </c>
      <c r="I26" s="17">
        <f>VLOOKUP($C26,[1]Peak_Forward!$A$5:$AG$128,'price-new'!I$2,FALSE)</f>
        <v>24.26</v>
      </c>
      <c r="J26" s="17">
        <f>VLOOKUP($C26,[1]Peak_Forward!$A$5:$AG$128,'price-new'!J$2,FALSE)</f>
        <v>25.45</v>
      </c>
      <c r="K26" s="17">
        <f>VLOOKUP($C26,[1]Peak_Forward!$A$5:$AG$128,'price-new'!K$2,FALSE)</f>
        <v>33</v>
      </c>
      <c r="L26" s="17">
        <f>VLOOKUP($C26,[1]Peak_Forward!$A$5:$AG$128,'price-new'!L$2,FALSE)</f>
        <v>27.15</v>
      </c>
      <c r="M26" s="17">
        <f>VLOOKUP($C26,[1]Peak_Forward!$A$5:$AG$128,'price-new'!M$2,FALSE)</f>
        <v>27.25</v>
      </c>
      <c r="N26" s="17">
        <f>VLOOKUP($C26,[1]Peak_Forward!$A$5:$AG$128,'price-new'!N$2,FALSE)</f>
        <v>34.5</v>
      </c>
      <c r="O26" s="17">
        <f>VLOOKUP($C26,[1]Peak_Forward!$A$5:$AG$128,'price-new'!O$2,FALSE)</f>
        <v>26.25</v>
      </c>
      <c r="P26" s="17">
        <f>VLOOKUP($C26,[1]Peak_Forward!$A$5:$AG$128,'price-new'!P$2,FALSE)</f>
        <v>25.95</v>
      </c>
      <c r="Q26" s="17">
        <f>VLOOKUP($C26,[1]Peak_Forward!$A$5:$AG$128,'price-new'!Q$2,FALSE)</f>
        <v>23.85</v>
      </c>
      <c r="R26" s="17">
        <f>VLOOKUP($C26,[1]Peak_Forward!$A$5:$AG$128,'price-new'!R$2,FALSE)</f>
        <v>26.75</v>
      </c>
      <c r="S26" s="6">
        <f>VLOOKUP($C26,[1]Peak_Forward!$A$5:$AG$128,'price-new'!S$2,FALSE)</f>
        <v>29.25</v>
      </c>
      <c r="T26" s="6">
        <f>VLOOKUP($C26,[1]Peak_Forward!$A$5:$AG$128,'price-new'!T$2,FALSE)</f>
        <v>29</v>
      </c>
      <c r="U26" s="6"/>
    </row>
    <row r="27" spans="3:21" x14ac:dyDescent="0.2">
      <c r="C27" s="1">
        <v>37591</v>
      </c>
      <c r="E27" s="17">
        <f>VLOOKUP($C27,[1]Peak_Forward!$A$5:$AG$128,'price-new'!E$2,FALSE)</f>
        <v>25.4</v>
      </c>
      <c r="F27" s="17">
        <f>VLOOKUP($C27,[1]Peak_Forward!$A$5:$AG$128,'price-new'!F$2,FALSE)</f>
        <v>25.65</v>
      </c>
      <c r="G27" s="17">
        <f>VLOOKUP($C27,[1]Peak_Forward!$A$5:$AG$128,'price-new'!G$2,FALSE)</f>
        <v>25.93</v>
      </c>
      <c r="H27" s="17">
        <f>VLOOKUP($C27,[1]Peak_Forward!$A$5:$AG$128,'price-new'!H$2,FALSE)</f>
        <v>23.524999999999999</v>
      </c>
      <c r="I27" s="17">
        <f>VLOOKUP($C27,[1]Peak_Forward!$A$5:$AG$128,'price-new'!I$2,FALSE)</f>
        <v>24.46</v>
      </c>
      <c r="J27" s="17">
        <f>VLOOKUP($C27,[1]Peak_Forward!$A$5:$AG$128,'price-new'!J$2,FALSE)</f>
        <v>25.65</v>
      </c>
      <c r="K27" s="17">
        <f>VLOOKUP($C27,[1]Peak_Forward!$A$5:$AG$128,'price-new'!K$2,FALSE)</f>
        <v>33</v>
      </c>
      <c r="L27" s="17">
        <f>VLOOKUP($C27,[1]Peak_Forward!$A$5:$AG$128,'price-new'!L$2,FALSE)</f>
        <v>27.35</v>
      </c>
      <c r="M27" s="17">
        <f>VLOOKUP($C27,[1]Peak_Forward!$A$5:$AG$128,'price-new'!M$2,FALSE)</f>
        <v>27.25</v>
      </c>
      <c r="N27" s="17">
        <f>VLOOKUP($C27,[1]Peak_Forward!$A$5:$AG$128,'price-new'!N$2,FALSE)</f>
        <v>34.5</v>
      </c>
      <c r="O27" s="17">
        <f>VLOOKUP($C27,[1]Peak_Forward!$A$5:$AG$128,'price-new'!O$2,FALSE)</f>
        <v>26.25</v>
      </c>
      <c r="P27" s="17">
        <f>VLOOKUP($C27,[1]Peak_Forward!$A$5:$AG$128,'price-new'!P$2,FALSE)</f>
        <v>26.15</v>
      </c>
      <c r="Q27" s="17">
        <f>VLOOKUP($C27,[1]Peak_Forward!$A$5:$AG$128,'price-new'!Q$2,FALSE)</f>
        <v>23.85</v>
      </c>
      <c r="R27" s="17">
        <f>VLOOKUP($C27,[1]Peak_Forward!$A$5:$AG$128,'price-new'!R$2,FALSE)</f>
        <v>26.75</v>
      </c>
      <c r="S27" s="6">
        <f>VLOOKUP($C27,[1]Peak_Forward!$A$5:$AG$128,'price-new'!S$2,FALSE)</f>
        <v>29.25</v>
      </c>
      <c r="T27" s="6">
        <f>VLOOKUP($C27,[1]Peak_Forward!$A$5:$AG$128,'price-new'!T$2,FALSE)</f>
        <v>29</v>
      </c>
      <c r="U27" s="6"/>
    </row>
    <row r="28" spans="3:21" x14ac:dyDescent="0.2">
      <c r="C28" s="1">
        <v>37622</v>
      </c>
      <c r="E28" s="17">
        <f>VLOOKUP($C28,[1]Peak_Forward!$A$5:$AG$128,'price-new'!E$2,FALSE)</f>
        <v>28.48</v>
      </c>
      <c r="F28" s="17">
        <f>VLOOKUP($C28,[1]Peak_Forward!$A$5:$AG$128,'price-new'!F$2,FALSE)</f>
        <v>28.98</v>
      </c>
      <c r="G28" s="17">
        <f>VLOOKUP($C28,[1]Peak_Forward!$A$5:$AG$128,'price-new'!G$2,FALSE)</f>
        <v>28.37</v>
      </c>
      <c r="H28" s="17">
        <f>VLOOKUP($C28,[1]Peak_Forward!$A$5:$AG$128,'price-new'!H$2,FALSE)</f>
        <v>26.03</v>
      </c>
      <c r="I28" s="17">
        <f>VLOOKUP($C28,[1]Peak_Forward!$A$5:$AG$128,'price-new'!I$2,FALSE)</f>
        <v>27.98</v>
      </c>
      <c r="J28" s="17">
        <f>VLOOKUP($C28,[1]Peak_Forward!$A$5:$AG$128,'price-new'!J$2,FALSE)</f>
        <v>28.98</v>
      </c>
      <c r="K28" s="17">
        <f>VLOOKUP($C28,[1]Peak_Forward!$A$5:$AG$128,'price-new'!K$2,FALSE)</f>
        <v>37.75</v>
      </c>
      <c r="L28" s="17">
        <f>VLOOKUP($C28,[1]Peak_Forward!$A$5:$AG$128,'price-new'!L$2,FALSE)</f>
        <v>31.71</v>
      </c>
      <c r="M28" s="17">
        <f>VLOOKUP($C28,[1]Peak_Forward!$A$5:$AG$128,'price-new'!M$2,FALSE)</f>
        <v>30.75</v>
      </c>
      <c r="N28" s="17">
        <f>VLOOKUP($C28,[1]Peak_Forward!$A$5:$AG$128,'price-new'!N$2,FALSE)</f>
        <v>38.5</v>
      </c>
      <c r="O28" s="17">
        <f>VLOOKUP($C28,[1]Peak_Forward!$A$5:$AG$128,'price-new'!O$2,FALSE)</f>
        <v>28.35</v>
      </c>
      <c r="P28" s="17">
        <f>VLOOKUP($C28,[1]Peak_Forward!$A$5:$AG$128,'price-new'!P$2,FALSE)</f>
        <v>29.15</v>
      </c>
      <c r="Q28" s="17">
        <f>VLOOKUP($C28,[1]Peak_Forward!$A$5:$AG$128,'price-new'!Q$2,FALSE)</f>
        <v>26.550999999999998</v>
      </c>
      <c r="R28" s="17">
        <f>VLOOKUP($C28,[1]Peak_Forward!$A$5:$AG$128,'price-new'!R$2,FALSE)</f>
        <v>30.5</v>
      </c>
      <c r="S28" s="6">
        <f>VLOOKUP($C28,[1]Peak_Forward!$A$5:$AG$128,'price-new'!S$2,FALSE)</f>
        <v>30.35</v>
      </c>
      <c r="T28" s="6">
        <f>VLOOKUP($C28,[1]Peak_Forward!$A$5:$AG$128,'price-new'!T$2,FALSE)</f>
        <v>30.6</v>
      </c>
      <c r="U28" s="6"/>
    </row>
    <row r="29" spans="3:21" x14ac:dyDescent="0.2">
      <c r="C29" s="1">
        <v>37653</v>
      </c>
      <c r="E29" s="17">
        <f>VLOOKUP($C29,[1]Peak_Forward!$A$5:$AG$128,'price-new'!E$2,FALSE)</f>
        <v>27.88</v>
      </c>
      <c r="F29" s="17">
        <f>VLOOKUP($C29,[1]Peak_Forward!$A$5:$AG$128,'price-new'!F$2,FALSE)</f>
        <v>28.38</v>
      </c>
      <c r="G29" s="17">
        <f>VLOOKUP($C29,[1]Peak_Forward!$A$5:$AG$128,'price-new'!G$2,FALSE)</f>
        <v>27.22</v>
      </c>
      <c r="H29" s="17">
        <f>VLOOKUP($C29,[1]Peak_Forward!$A$5:$AG$128,'price-new'!H$2,FALSE)</f>
        <v>25.43</v>
      </c>
      <c r="I29" s="17">
        <f>VLOOKUP($C29,[1]Peak_Forward!$A$5:$AG$128,'price-new'!I$2,FALSE)</f>
        <v>27.38</v>
      </c>
      <c r="J29" s="17">
        <f>VLOOKUP($C29,[1]Peak_Forward!$A$5:$AG$128,'price-new'!J$2,FALSE)</f>
        <v>28.38</v>
      </c>
      <c r="K29" s="17">
        <f>VLOOKUP($C29,[1]Peak_Forward!$A$5:$AG$128,'price-new'!K$2,FALSE)</f>
        <v>37.75</v>
      </c>
      <c r="L29" s="17">
        <f>VLOOKUP($C29,[1]Peak_Forward!$A$5:$AG$128,'price-new'!L$2,FALSE)</f>
        <v>31.11</v>
      </c>
      <c r="M29" s="17">
        <f>VLOOKUP($C29,[1]Peak_Forward!$A$5:$AG$128,'price-new'!M$2,FALSE)</f>
        <v>30.75</v>
      </c>
      <c r="N29" s="17">
        <f>VLOOKUP($C29,[1]Peak_Forward!$A$5:$AG$128,'price-new'!N$2,FALSE)</f>
        <v>38.5</v>
      </c>
      <c r="O29" s="17">
        <f>VLOOKUP($C29,[1]Peak_Forward!$A$5:$AG$128,'price-new'!O$2,FALSE)</f>
        <v>28.35</v>
      </c>
      <c r="P29" s="17">
        <f>VLOOKUP($C29,[1]Peak_Forward!$A$5:$AG$128,'price-new'!P$2,FALSE)</f>
        <v>30.3</v>
      </c>
      <c r="Q29" s="17">
        <f>VLOOKUP($C29,[1]Peak_Forward!$A$5:$AG$128,'price-new'!Q$2,FALSE)</f>
        <v>26.550999999999998</v>
      </c>
      <c r="R29" s="17">
        <f>VLOOKUP($C29,[1]Peak_Forward!$A$5:$AG$128,'price-new'!R$2,FALSE)</f>
        <v>30.5</v>
      </c>
      <c r="S29" s="6">
        <f>VLOOKUP($C29,[1]Peak_Forward!$A$5:$AG$128,'price-new'!S$2,FALSE)</f>
        <v>30.35</v>
      </c>
      <c r="T29" s="6">
        <f>VLOOKUP($C29,[1]Peak_Forward!$A$5:$AG$128,'price-new'!T$2,FALSE)</f>
        <v>30.6</v>
      </c>
      <c r="U29" s="6"/>
    </row>
    <row r="30" spans="3:21" x14ac:dyDescent="0.2">
      <c r="C30" s="1">
        <v>37681</v>
      </c>
      <c r="E30" s="17">
        <f>VLOOKUP($C30,[1]Peak_Forward!$A$5:$AG$128,'price-new'!E$2,FALSE)</f>
        <v>27.6</v>
      </c>
      <c r="F30" s="17">
        <f>VLOOKUP($C30,[1]Peak_Forward!$A$5:$AG$128,'price-new'!F$2,FALSE)</f>
        <v>28.35</v>
      </c>
      <c r="G30" s="17">
        <f>VLOOKUP($C30,[1]Peak_Forward!$A$5:$AG$128,'price-new'!G$2,FALSE)</f>
        <v>25.606000000000002</v>
      </c>
      <c r="H30" s="17">
        <f>VLOOKUP($C30,[1]Peak_Forward!$A$5:$AG$128,'price-new'!H$2,FALSE)</f>
        <v>26.35</v>
      </c>
      <c r="I30" s="17">
        <f>VLOOKUP($C30,[1]Peak_Forward!$A$5:$AG$128,'price-new'!I$2,FALSE)</f>
        <v>27.1</v>
      </c>
      <c r="J30" s="17">
        <f>VLOOKUP($C30,[1]Peak_Forward!$A$5:$AG$128,'price-new'!J$2,FALSE)</f>
        <v>28.35</v>
      </c>
      <c r="K30" s="17">
        <f>VLOOKUP($C30,[1]Peak_Forward!$A$5:$AG$128,'price-new'!K$2,FALSE)</f>
        <v>33.5</v>
      </c>
      <c r="L30" s="17">
        <f>VLOOKUP($C30,[1]Peak_Forward!$A$5:$AG$128,'price-new'!L$2,FALSE)</f>
        <v>30.55</v>
      </c>
      <c r="M30" s="17">
        <f>VLOOKUP($C30,[1]Peak_Forward!$A$5:$AG$128,'price-new'!M$2,FALSE)</f>
        <v>28.5</v>
      </c>
      <c r="N30" s="17">
        <f>VLOOKUP($C30,[1]Peak_Forward!$A$5:$AG$128,'price-new'!N$2,FALSE)</f>
        <v>36.5</v>
      </c>
      <c r="O30" s="17">
        <f>VLOOKUP($C30,[1]Peak_Forward!$A$5:$AG$128,'price-new'!O$2,FALSE)</f>
        <v>27.1</v>
      </c>
      <c r="P30" s="17">
        <f>VLOOKUP($C30,[1]Peak_Forward!$A$5:$AG$128,'price-new'!P$2,FALSE)</f>
        <v>29.57</v>
      </c>
      <c r="Q30" s="17">
        <f>VLOOKUP($C30,[1]Peak_Forward!$A$5:$AG$128,'price-new'!Q$2,FALSE)</f>
        <v>25.401</v>
      </c>
      <c r="R30" s="17">
        <f>VLOOKUP($C30,[1]Peak_Forward!$A$5:$AG$128,'price-new'!R$2,FALSE)</f>
        <v>29</v>
      </c>
      <c r="S30" s="6">
        <f>VLOOKUP($C30,[1]Peak_Forward!$A$5:$AG$128,'price-new'!S$2,FALSE)</f>
        <v>29.1</v>
      </c>
      <c r="T30" s="6">
        <f>VLOOKUP($C30,[1]Peak_Forward!$A$5:$AG$128,'price-new'!T$2,FALSE)</f>
        <v>29.35</v>
      </c>
      <c r="U30" s="6"/>
    </row>
    <row r="31" spans="3:21" x14ac:dyDescent="0.2">
      <c r="C31" s="1">
        <v>37712</v>
      </c>
      <c r="E31" s="17">
        <f>VLOOKUP($C31,[1]Peak_Forward!$A$5:$AG$128,'price-new'!E$2,FALSE)</f>
        <v>27.8</v>
      </c>
      <c r="F31" s="17">
        <f>VLOOKUP($C31,[1]Peak_Forward!$A$5:$AG$128,'price-new'!F$2,FALSE)</f>
        <v>28.55</v>
      </c>
      <c r="G31" s="17">
        <f>VLOOKUP($C31,[1]Peak_Forward!$A$5:$AG$128,'price-new'!G$2,FALSE)</f>
        <v>26.39</v>
      </c>
      <c r="H31" s="17">
        <f>VLOOKUP($C31,[1]Peak_Forward!$A$5:$AG$128,'price-new'!H$2,FALSE)</f>
        <v>26.55</v>
      </c>
      <c r="I31" s="17">
        <f>VLOOKUP($C31,[1]Peak_Forward!$A$5:$AG$128,'price-new'!I$2,FALSE)</f>
        <v>27.3</v>
      </c>
      <c r="J31" s="17">
        <f>VLOOKUP($C31,[1]Peak_Forward!$A$5:$AG$128,'price-new'!J$2,FALSE)</f>
        <v>28.55</v>
      </c>
      <c r="K31" s="17">
        <f>VLOOKUP($C31,[1]Peak_Forward!$A$5:$AG$128,'price-new'!K$2,FALSE)</f>
        <v>33.5</v>
      </c>
      <c r="L31" s="17">
        <f>VLOOKUP($C31,[1]Peak_Forward!$A$5:$AG$128,'price-new'!L$2,FALSE)</f>
        <v>30.75</v>
      </c>
      <c r="M31" s="17">
        <f>VLOOKUP($C31,[1]Peak_Forward!$A$5:$AG$128,'price-new'!M$2,FALSE)</f>
        <v>28.5</v>
      </c>
      <c r="N31" s="17">
        <f>VLOOKUP($C31,[1]Peak_Forward!$A$5:$AG$128,'price-new'!N$2,FALSE)</f>
        <v>36.5</v>
      </c>
      <c r="O31" s="17">
        <f>VLOOKUP($C31,[1]Peak_Forward!$A$5:$AG$128,'price-new'!O$2,FALSE)</f>
        <v>27.1</v>
      </c>
      <c r="P31" s="17">
        <f>VLOOKUP($C31,[1]Peak_Forward!$A$5:$AG$128,'price-new'!P$2,FALSE)</f>
        <v>29.82</v>
      </c>
      <c r="Q31" s="17">
        <f>VLOOKUP($C31,[1]Peak_Forward!$A$5:$AG$128,'price-new'!Q$2,FALSE)</f>
        <v>25.401</v>
      </c>
      <c r="R31" s="17">
        <f>VLOOKUP($C31,[1]Peak_Forward!$A$5:$AG$128,'price-new'!R$2,FALSE)</f>
        <v>29</v>
      </c>
      <c r="S31" s="6">
        <f>VLOOKUP($C31,[1]Peak_Forward!$A$5:$AG$128,'price-new'!S$2,FALSE)</f>
        <v>29.1</v>
      </c>
      <c r="T31" s="6">
        <f>VLOOKUP($C31,[1]Peak_Forward!$A$5:$AG$128,'price-new'!T$2,FALSE)</f>
        <v>29.35</v>
      </c>
      <c r="U31" s="6"/>
    </row>
    <row r="32" spans="3:21" x14ac:dyDescent="0.2">
      <c r="C32" s="1">
        <v>37742</v>
      </c>
      <c r="E32" s="17">
        <f>VLOOKUP($C32,[1]Peak_Forward!$A$5:$AG$128,'price-new'!E$2,FALSE)</f>
        <v>28.274999999999999</v>
      </c>
      <c r="F32" s="17">
        <f>VLOOKUP($C32,[1]Peak_Forward!$A$5:$AG$128,'price-new'!F$2,FALSE)</f>
        <v>29.274999999999999</v>
      </c>
      <c r="G32" s="17">
        <f>VLOOKUP($C32,[1]Peak_Forward!$A$5:$AG$128,'price-new'!G$2,FALSE)</f>
        <v>28.65</v>
      </c>
      <c r="H32" s="17">
        <f>VLOOKUP($C32,[1]Peak_Forward!$A$5:$AG$128,'price-new'!H$2,FALSE)</f>
        <v>25.524999999999999</v>
      </c>
      <c r="I32" s="17">
        <f>VLOOKUP($C32,[1]Peak_Forward!$A$5:$AG$128,'price-new'!I$2,FALSE)</f>
        <v>27.274999999999999</v>
      </c>
      <c r="J32" s="17">
        <f>VLOOKUP($C32,[1]Peak_Forward!$A$5:$AG$128,'price-new'!J$2,FALSE)</f>
        <v>29.274999999999999</v>
      </c>
      <c r="K32" s="17">
        <f>VLOOKUP($C32,[1]Peak_Forward!$A$5:$AG$128,'price-new'!K$2,FALSE)</f>
        <v>34</v>
      </c>
      <c r="L32" s="17">
        <f>VLOOKUP($C32,[1]Peak_Forward!$A$5:$AG$128,'price-new'!L$2,FALSE)</f>
        <v>33.024999999999999</v>
      </c>
      <c r="M32" s="17">
        <f>VLOOKUP($C32,[1]Peak_Forward!$A$5:$AG$128,'price-new'!M$2,FALSE)</f>
        <v>30</v>
      </c>
      <c r="N32" s="17">
        <f>VLOOKUP($C32,[1]Peak_Forward!$A$5:$AG$128,'price-new'!N$2,FALSE)</f>
        <v>37</v>
      </c>
      <c r="O32" s="17">
        <f>VLOOKUP($C32,[1]Peak_Forward!$A$5:$AG$128,'price-new'!O$2,FALSE)</f>
        <v>29.25</v>
      </c>
      <c r="P32" s="17">
        <f>VLOOKUP($C32,[1]Peak_Forward!$A$5:$AG$128,'price-new'!P$2,FALSE)</f>
        <v>28.774999999999999</v>
      </c>
      <c r="Q32" s="17">
        <f>VLOOKUP($C32,[1]Peak_Forward!$A$5:$AG$128,'price-new'!Q$2,FALSE)</f>
        <v>26.850999999999999</v>
      </c>
      <c r="R32" s="17">
        <f>VLOOKUP($C32,[1]Peak_Forward!$A$5:$AG$128,'price-new'!R$2,FALSE)</f>
        <v>30.25</v>
      </c>
      <c r="S32" s="6">
        <f>VLOOKUP($C32,[1]Peak_Forward!$A$5:$AG$128,'price-new'!S$2,FALSE)</f>
        <v>31.75</v>
      </c>
      <c r="T32" s="6">
        <f>VLOOKUP($C32,[1]Peak_Forward!$A$5:$AG$128,'price-new'!T$2,FALSE)</f>
        <v>32.5</v>
      </c>
      <c r="U32" s="6"/>
    </row>
    <row r="33" spans="3:21" x14ac:dyDescent="0.2">
      <c r="C33" s="1">
        <v>37773</v>
      </c>
      <c r="E33" s="17">
        <f>VLOOKUP($C33,[1]Peak_Forward!$A$5:$AG$128,'price-new'!E$2,FALSE)</f>
        <v>36.295000000000002</v>
      </c>
      <c r="F33" s="17">
        <f>VLOOKUP($C33,[1]Peak_Forward!$A$5:$AG$128,'price-new'!F$2,FALSE)</f>
        <v>37.795000000000002</v>
      </c>
      <c r="G33" s="17">
        <f>VLOOKUP($C33,[1]Peak_Forward!$A$5:$AG$128,'price-new'!G$2,FALSE)</f>
        <v>32.200000000000003</v>
      </c>
      <c r="H33" s="17">
        <f>VLOOKUP($C33,[1]Peak_Forward!$A$5:$AG$128,'price-new'!H$2,FALSE)</f>
        <v>34.145000000000003</v>
      </c>
      <c r="I33" s="17">
        <f>VLOOKUP($C33,[1]Peak_Forward!$A$5:$AG$128,'price-new'!I$2,FALSE)</f>
        <v>35.045000000000002</v>
      </c>
      <c r="J33" s="17">
        <f>VLOOKUP($C33,[1]Peak_Forward!$A$5:$AG$128,'price-new'!J$2,FALSE)</f>
        <v>37.795000000000002</v>
      </c>
      <c r="K33" s="17">
        <f>VLOOKUP($C33,[1]Peak_Forward!$A$5:$AG$128,'price-new'!K$2,FALSE)</f>
        <v>37.75</v>
      </c>
      <c r="L33" s="17">
        <f>VLOOKUP($C33,[1]Peak_Forward!$A$5:$AG$128,'price-new'!L$2,FALSE)</f>
        <v>40.174999999999997</v>
      </c>
      <c r="M33" s="17">
        <f>VLOOKUP($C33,[1]Peak_Forward!$A$5:$AG$128,'price-new'!M$2,FALSE)</f>
        <v>39</v>
      </c>
      <c r="N33" s="17">
        <f>VLOOKUP($C33,[1]Peak_Forward!$A$5:$AG$128,'price-new'!N$2,FALSE)</f>
        <v>45</v>
      </c>
      <c r="O33" s="17">
        <f>VLOOKUP($C33,[1]Peak_Forward!$A$5:$AG$128,'price-new'!O$2,FALSE)</f>
        <v>36.6</v>
      </c>
      <c r="P33" s="17">
        <f>VLOOKUP($C33,[1]Peak_Forward!$A$5:$AG$128,'price-new'!P$2,FALSE)</f>
        <v>35.295000000000002</v>
      </c>
      <c r="Q33" s="17">
        <f>VLOOKUP($C33,[1]Peak_Forward!$A$5:$AG$128,'price-new'!Q$2,FALSE)</f>
        <v>35.801000000000002</v>
      </c>
      <c r="R33" s="17">
        <f>VLOOKUP($C33,[1]Peak_Forward!$A$5:$AG$128,'price-new'!R$2,FALSE)</f>
        <v>40.25</v>
      </c>
      <c r="S33" s="6">
        <f>VLOOKUP($C33,[1]Peak_Forward!$A$5:$AG$128,'price-new'!S$2,FALSE)</f>
        <v>39.35</v>
      </c>
      <c r="T33" s="6">
        <f>VLOOKUP($C33,[1]Peak_Forward!$A$5:$AG$128,'price-new'!T$2,FALSE)</f>
        <v>41.85</v>
      </c>
      <c r="U33" s="6"/>
    </row>
    <row r="34" spans="3:21" x14ac:dyDescent="0.2">
      <c r="C34" s="1">
        <v>37803</v>
      </c>
      <c r="E34" s="17">
        <f>VLOOKUP($C34,[1]Peak_Forward!$A$5:$AG$128,'price-new'!E$2,FALSE)</f>
        <v>46.93</v>
      </c>
      <c r="F34" s="17">
        <f>VLOOKUP($C34,[1]Peak_Forward!$A$5:$AG$128,'price-new'!F$2,FALSE)</f>
        <v>49.43</v>
      </c>
      <c r="G34" s="17">
        <f>VLOOKUP($C34,[1]Peak_Forward!$A$5:$AG$128,'price-new'!G$2,FALSE)</f>
        <v>41.05</v>
      </c>
      <c r="H34" s="17">
        <f>VLOOKUP($C34,[1]Peak_Forward!$A$5:$AG$128,'price-new'!H$2,FALSE)</f>
        <v>44.33</v>
      </c>
      <c r="I34" s="17">
        <f>VLOOKUP($C34,[1]Peak_Forward!$A$5:$AG$128,'price-new'!I$2,FALSE)</f>
        <v>46.18</v>
      </c>
      <c r="J34" s="17">
        <f>VLOOKUP($C34,[1]Peak_Forward!$A$5:$AG$128,'price-new'!J$2,FALSE)</f>
        <v>49.43</v>
      </c>
      <c r="K34" s="17">
        <f>VLOOKUP($C34,[1]Peak_Forward!$A$5:$AG$128,'price-new'!K$2,FALSE)</f>
        <v>46.75</v>
      </c>
      <c r="L34" s="17">
        <f>VLOOKUP($C34,[1]Peak_Forward!$A$5:$AG$128,'price-new'!L$2,FALSE)</f>
        <v>50.93</v>
      </c>
      <c r="M34" s="17">
        <f>VLOOKUP($C34,[1]Peak_Forward!$A$5:$AG$128,'price-new'!M$2,FALSE)</f>
        <v>50.5</v>
      </c>
      <c r="N34" s="17">
        <f>VLOOKUP($C34,[1]Peak_Forward!$A$5:$AG$128,'price-new'!N$2,FALSE)</f>
        <v>65</v>
      </c>
      <c r="O34" s="17">
        <f>VLOOKUP($C34,[1]Peak_Forward!$A$5:$AG$128,'price-new'!O$2,FALSE)</f>
        <v>45</v>
      </c>
      <c r="P34" s="17">
        <f>VLOOKUP($C34,[1]Peak_Forward!$A$5:$AG$128,'price-new'!P$2,FALSE)</f>
        <v>45.93</v>
      </c>
      <c r="Q34" s="17">
        <f>VLOOKUP($C34,[1]Peak_Forward!$A$5:$AG$128,'price-new'!Q$2,FALSE)</f>
        <v>39.600999999999999</v>
      </c>
      <c r="R34" s="17">
        <f>VLOOKUP($C34,[1]Peak_Forward!$A$5:$AG$128,'price-new'!R$2,FALSE)</f>
        <v>50</v>
      </c>
      <c r="S34" s="6">
        <f>VLOOKUP($C34,[1]Peak_Forward!$A$5:$AG$128,'price-new'!S$2,FALSE)</f>
        <v>47.75</v>
      </c>
      <c r="T34" s="6">
        <f>VLOOKUP($C34,[1]Peak_Forward!$A$5:$AG$128,'price-new'!T$2,FALSE)</f>
        <v>50.25</v>
      </c>
      <c r="U34" s="6"/>
    </row>
    <row r="35" spans="3:21" x14ac:dyDescent="0.2">
      <c r="C35" s="1">
        <v>37834</v>
      </c>
      <c r="E35" s="17">
        <f>VLOOKUP($C35,[1]Peak_Forward!$A$5:$AG$128,'price-new'!E$2,FALSE)</f>
        <v>47.02</v>
      </c>
      <c r="F35" s="17">
        <f>VLOOKUP($C35,[1]Peak_Forward!$A$5:$AG$128,'price-new'!F$2,FALSE)</f>
        <v>49.52</v>
      </c>
      <c r="G35" s="17">
        <f>VLOOKUP($C35,[1]Peak_Forward!$A$5:$AG$128,'price-new'!G$2,FALSE)</f>
        <v>40.65</v>
      </c>
      <c r="H35" s="17">
        <f>VLOOKUP($C35,[1]Peak_Forward!$A$5:$AG$128,'price-new'!H$2,FALSE)</f>
        <v>44.42</v>
      </c>
      <c r="I35" s="17">
        <f>VLOOKUP($C35,[1]Peak_Forward!$A$5:$AG$128,'price-new'!I$2,FALSE)</f>
        <v>46.27</v>
      </c>
      <c r="J35" s="17">
        <f>VLOOKUP($C35,[1]Peak_Forward!$A$5:$AG$128,'price-new'!J$2,FALSE)</f>
        <v>49.52</v>
      </c>
      <c r="K35" s="17">
        <f>VLOOKUP($C35,[1]Peak_Forward!$A$5:$AG$128,'price-new'!K$2,FALSE)</f>
        <v>46.75</v>
      </c>
      <c r="L35" s="17">
        <f>VLOOKUP($C35,[1]Peak_Forward!$A$5:$AG$128,'price-new'!L$2,FALSE)</f>
        <v>51.02</v>
      </c>
      <c r="M35" s="17">
        <f>VLOOKUP($C35,[1]Peak_Forward!$A$5:$AG$128,'price-new'!M$2,FALSE)</f>
        <v>50.5</v>
      </c>
      <c r="N35" s="17">
        <f>VLOOKUP($C35,[1]Peak_Forward!$A$5:$AG$128,'price-new'!N$2,FALSE)</f>
        <v>65</v>
      </c>
      <c r="O35" s="17">
        <f>VLOOKUP($C35,[1]Peak_Forward!$A$5:$AG$128,'price-new'!O$2,FALSE)</f>
        <v>45</v>
      </c>
      <c r="P35" s="17">
        <f>VLOOKUP($C35,[1]Peak_Forward!$A$5:$AG$128,'price-new'!P$2,FALSE)</f>
        <v>46.02</v>
      </c>
      <c r="Q35" s="17">
        <f>VLOOKUP($C35,[1]Peak_Forward!$A$5:$AG$128,'price-new'!Q$2,FALSE)</f>
        <v>39.600999999999999</v>
      </c>
      <c r="R35" s="17">
        <f>VLOOKUP($C35,[1]Peak_Forward!$A$5:$AG$128,'price-new'!R$2,FALSE)</f>
        <v>50</v>
      </c>
      <c r="S35" s="6">
        <f>VLOOKUP($C35,[1]Peak_Forward!$A$5:$AG$128,'price-new'!S$2,FALSE)</f>
        <v>47.75</v>
      </c>
      <c r="T35" s="6">
        <f>VLOOKUP($C35,[1]Peak_Forward!$A$5:$AG$128,'price-new'!T$2,FALSE)</f>
        <v>50.25</v>
      </c>
      <c r="U35" s="6"/>
    </row>
    <row r="36" spans="3:21" x14ac:dyDescent="0.2">
      <c r="C36" s="1">
        <v>37865</v>
      </c>
      <c r="E36" s="17">
        <f>VLOOKUP($C36,[1]Peak_Forward!$A$5:$AG$128,'price-new'!E$2,FALSE)</f>
        <v>26.4</v>
      </c>
      <c r="F36" s="17">
        <f>VLOOKUP($C36,[1]Peak_Forward!$A$5:$AG$128,'price-new'!F$2,FALSE)</f>
        <v>27.9</v>
      </c>
      <c r="G36" s="17">
        <f>VLOOKUP($C36,[1]Peak_Forward!$A$5:$AG$128,'price-new'!G$2,FALSE)</f>
        <v>29.4</v>
      </c>
      <c r="H36" s="17">
        <f>VLOOKUP($C36,[1]Peak_Forward!$A$5:$AG$128,'price-new'!H$2,FALSE)</f>
        <v>25.25</v>
      </c>
      <c r="I36" s="17">
        <f>VLOOKUP($C36,[1]Peak_Forward!$A$5:$AG$128,'price-new'!I$2,FALSE)</f>
        <v>25.9</v>
      </c>
      <c r="J36" s="17">
        <f>VLOOKUP($C36,[1]Peak_Forward!$A$5:$AG$128,'price-new'!J$2,FALSE)</f>
        <v>27.9</v>
      </c>
      <c r="K36" s="17">
        <f>VLOOKUP($C36,[1]Peak_Forward!$A$5:$AG$128,'price-new'!K$2,FALSE)</f>
        <v>33</v>
      </c>
      <c r="L36" s="17">
        <f>VLOOKUP($C36,[1]Peak_Forward!$A$5:$AG$128,'price-new'!L$2,FALSE)</f>
        <v>27.32</v>
      </c>
      <c r="M36" s="17">
        <f>VLOOKUP($C36,[1]Peak_Forward!$A$5:$AG$128,'price-new'!M$2,FALSE)</f>
        <v>28.5</v>
      </c>
      <c r="N36" s="17">
        <f>VLOOKUP($C36,[1]Peak_Forward!$A$5:$AG$128,'price-new'!N$2,FALSE)</f>
        <v>36.5</v>
      </c>
      <c r="O36" s="17">
        <f>VLOOKUP($C36,[1]Peak_Forward!$A$5:$AG$128,'price-new'!O$2,FALSE)</f>
        <v>27.45</v>
      </c>
      <c r="P36" s="17">
        <f>VLOOKUP($C36,[1]Peak_Forward!$A$5:$AG$128,'price-new'!P$2,FALSE)</f>
        <v>26.4</v>
      </c>
      <c r="Q36" s="17">
        <f>VLOOKUP($C36,[1]Peak_Forward!$A$5:$AG$128,'price-new'!Q$2,FALSE)</f>
        <v>25.151</v>
      </c>
      <c r="R36" s="17">
        <f>VLOOKUP($C36,[1]Peak_Forward!$A$5:$AG$128,'price-new'!R$2,FALSE)</f>
        <v>28.75</v>
      </c>
      <c r="S36" s="6">
        <f>VLOOKUP($C36,[1]Peak_Forward!$A$5:$AG$128,'price-new'!S$2,FALSE)</f>
        <v>29.7</v>
      </c>
      <c r="T36" s="6">
        <f>VLOOKUP($C36,[1]Peak_Forward!$A$5:$AG$128,'price-new'!T$2,FALSE)</f>
        <v>31.7</v>
      </c>
      <c r="U36" s="6"/>
    </row>
    <row r="37" spans="3:21" x14ac:dyDescent="0.2">
      <c r="C37" s="1">
        <v>37895</v>
      </c>
      <c r="E37" s="17">
        <f>VLOOKUP($C37,[1]Peak_Forward!$A$5:$AG$128,'price-new'!E$2,FALSE)</f>
        <v>27.15</v>
      </c>
      <c r="F37" s="17">
        <f>VLOOKUP($C37,[1]Peak_Forward!$A$5:$AG$128,'price-new'!F$2,FALSE)</f>
        <v>27.15</v>
      </c>
      <c r="G37" s="17">
        <f>VLOOKUP($C37,[1]Peak_Forward!$A$5:$AG$128,'price-new'!G$2,FALSE)</f>
        <v>28.07</v>
      </c>
      <c r="H37" s="17">
        <f>VLOOKUP($C37,[1]Peak_Forward!$A$5:$AG$128,'price-new'!H$2,FALSE)</f>
        <v>26.1</v>
      </c>
      <c r="I37" s="17">
        <f>VLOOKUP($C37,[1]Peak_Forward!$A$5:$AG$128,'price-new'!I$2,FALSE)</f>
        <v>26.4</v>
      </c>
      <c r="J37" s="17">
        <f>VLOOKUP($C37,[1]Peak_Forward!$A$5:$AG$128,'price-new'!J$2,FALSE)</f>
        <v>27.15</v>
      </c>
      <c r="K37" s="17">
        <f>VLOOKUP($C37,[1]Peak_Forward!$A$5:$AG$128,'price-new'!K$2,FALSE)</f>
        <v>34.25</v>
      </c>
      <c r="L37" s="17">
        <f>VLOOKUP($C37,[1]Peak_Forward!$A$5:$AG$128,'price-new'!L$2,FALSE)</f>
        <v>28.23</v>
      </c>
      <c r="M37" s="17">
        <f>VLOOKUP($C37,[1]Peak_Forward!$A$5:$AG$128,'price-new'!M$2,FALSE)</f>
        <v>28.5</v>
      </c>
      <c r="N37" s="17">
        <f>VLOOKUP($C37,[1]Peak_Forward!$A$5:$AG$128,'price-new'!N$2,FALSE)</f>
        <v>36.5</v>
      </c>
      <c r="O37" s="17">
        <f>VLOOKUP($C37,[1]Peak_Forward!$A$5:$AG$128,'price-new'!O$2,FALSE)</f>
        <v>27.3</v>
      </c>
      <c r="P37" s="17">
        <f>VLOOKUP($C37,[1]Peak_Forward!$A$5:$AG$128,'price-new'!P$2,FALSE)</f>
        <v>26.34</v>
      </c>
      <c r="Q37" s="17">
        <f>VLOOKUP($C37,[1]Peak_Forward!$A$5:$AG$128,'price-new'!Q$2,FALSE)</f>
        <v>26.251000000000001</v>
      </c>
      <c r="R37" s="17">
        <f>VLOOKUP($C37,[1]Peak_Forward!$A$5:$AG$128,'price-new'!R$2,FALSE)</f>
        <v>28.75</v>
      </c>
      <c r="S37" s="6">
        <f>VLOOKUP($C37,[1]Peak_Forward!$A$5:$AG$128,'price-new'!S$2,FALSE)</f>
        <v>29.3</v>
      </c>
      <c r="T37" s="6">
        <f>VLOOKUP($C37,[1]Peak_Forward!$A$5:$AG$128,'price-new'!T$2,FALSE)</f>
        <v>29.55</v>
      </c>
      <c r="U37" s="6"/>
    </row>
    <row r="38" spans="3:21" x14ac:dyDescent="0.2">
      <c r="C38" s="1">
        <v>37926</v>
      </c>
      <c r="E38" s="17">
        <f>VLOOKUP($C38,[1]Peak_Forward!$A$5:$AG$128,'price-new'!E$2,FALSE)</f>
        <v>27.25</v>
      </c>
      <c r="F38" s="17">
        <f>VLOOKUP($C38,[1]Peak_Forward!$A$5:$AG$128,'price-new'!F$2,FALSE)</f>
        <v>27.25</v>
      </c>
      <c r="G38" s="17">
        <f>VLOOKUP($C38,[1]Peak_Forward!$A$5:$AG$128,'price-new'!G$2,FALSE)</f>
        <v>27.07</v>
      </c>
      <c r="H38" s="17">
        <f>VLOOKUP($C38,[1]Peak_Forward!$A$5:$AG$128,'price-new'!H$2,FALSE)</f>
        <v>26.2</v>
      </c>
      <c r="I38" s="17">
        <f>VLOOKUP($C38,[1]Peak_Forward!$A$5:$AG$128,'price-new'!I$2,FALSE)</f>
        <v>26.5</v>
      </c>
      <c r="J38" s="17">
        <f>VLOOKUP($C38,[1]Peak_Forward!$A$5:$AG$128,'price-new'!J$2,FALSE)</f>
        <v>27.25</v>
      </c>
      <c r="K38" s="17">
        <f>VLOOKUP($C38,[1]Peak_Forward!$A$5:$AG$128,'price-new'!K$2,FALSE)</f>
        <v>34.25</v>
      </c>
      <c r="L38" s="17">
        <f>VLOOKUP($C38,[1]Peak_Forward!$A$5:$AG$128,'price-new'!L$2,FALSE)</f>
        <v>28.32</v>
      </c>
      <c r="M38" s="17">
        <f>VLOOKUP($C38,[1]Peak_Forward!$A$5:$AG$128,'price-new'!M$2,FALSE)</f>
        <v>28.5</v>
      </c>
      <c r="N38" s="17">
        <f>VLOOKUP($C38,[1]Peak_Forward!$A$5:$AG$128,'price-new'!N$2,FALSE)</f>
        <v>36.5</v>
      </c>
      <c r="O38" s="17">
        <f>VLOOKUP($C38,[1]Peak_Forward!$A$5:$AG$128,'price-new'!O$2,FALSE)</f>
        <v>27.3</v>
      </c>
      <c r="P38" s="17">
        <f>VLOOKUP($C38,[1]Peak_Forward!$A$5:$AG$128,'price-new'!P$2,FALSE)</f>
        <v>29.84</v>
      </c>
      <c r="Q38" s="17">
        <f>VLOOKUP($C38,[1]Peak_Forward!$A$5:$AG$128,'price-new'!Q$2,FALSE)</f>
        <v>26.251000000000001</v>
      </c>
      <c r="R38" s="17">
        <f>VLOOKUP($C38,[1]Peak_Forward!$A$5:$AG$128,'price-new'!R$2,FALSE)</f>
        <v>28.75</v>
      </c>
      <c r="S38" s="6">
        <f>VLOOKUP($C38,[1]Peak_Forward!$A$5:$AG$128,'price-new'!S$2,FALSE)</f>
        <v>29.3</v>
      </c>
      <c r="T38" s="6">
        <f>VLOOKUP($C38,[1]Peak_Forward!$A$5:$AG$128,'price-new'!T$2,FALSE)</f>
        <v>29.55</v>
      </c>
      <c r="U38" s="6"/>
    </row>
    <row r="39" spans="3:21" x14ac:dyDescent="0.2">
      <c r="C39" s="1">
        <v>37956</v>
      </c>
      <c r="E39" s="17">
        <f>VLOOKUP($C39,[1]Peak_Forward!$A$5:$AG$128,'price-new'!E$2,FALSE)</f>
        <v>27.35</v>
      </c>
      <c r="F39" s="17">
        <f>VLOOKUP($C39,[1]Peak_Forward!$A$5:$AG$128,'price-new'!F$2,FALSE)</f>
        <v>27.35</v>
      </c>
      <c r="G39" s="17">
        <f>VLOOKUP($C39,[1]Peak_Forward!$A$5:$AG$128,'price-new'!G$2,FALSE)</f>
        <v>27.97</v>
      </c>
      <c r="H39" s="17">
        <f>VLOOKUP($C39,[1]Peak_Forward!$A$5:$AG$128,'price-new'!H$2,FALSE)</f>
        <v>26.3</v>
      </c>
      <c r="I39" s="17">
        <f>VLOOKUP($C39,[1]Peak_Forward!$A$5:$AG$128,'price-new'!I$2,FALSE)</f>
        <v>26.6</v>
      </c>
      <c r="J39" s="17">
        <f>VLOOKUP($C39,[1]Peak_Forward!$A$5:$AG$128,'price-new'!J$2,FALSE)</f>
        <v>27.35</v>
      </c>
      <c r="K39" s="17">
        <f>VLOOKUP($C39,[1]Peak_Forward!$A$5:$AG$128,'price-new'!K$2,FALSE)</f>
        <v>34.25</v>
      </c>
      <c r="L39" s="17">
        <f>VLOOKUP($C39,[1]Peak_Forward!$A$5:$AG$128,'price-new'!L$2,FALSE)</f>
        <v>28.42</v>
      </c>
      <c r="M39" s="17">
        <f>VLOOKUP($C39,[1]Peak_Forward!$A$5:$AG$128,'price-new'!M$2,FALSE)</f>
        <v>28.5</v>
      </c>
      <c r="N39" s="17">
        <f>VLOOKUP($C39,[1]Peak_Forward!$A$5:$AG$128,'price-new'!N$2,FALSE)</f>
        <v>36.5</v>
      </c>
      <c r="O39" s="17">
        <f>VLOOKUP($C39,[1]Peak_Forward!$A$5:$AG$128,'price-new'!O$2,FALSE)</f>
        <v>27.3</v>
      </c>
      <c r="P39" s="17">
        <f>VLOOKUP($C39,[1]Peak_Forward!$A$5:$AG$128,'price-new'!P$2,FALSE)</f>
        <v>30.34</v>
      </c>
      <c r="Q39" s="17">
        <f>VLOOKUP($C39,[1]Peak_Forward!$A$5:$AG$128,'price-new'!Q$2,FALSE)</f>
        <v>26.251000000000001</v>
      </c>
      <c r="R39" s="17">
        <f>VLOOKUP($C39,[1]Peak_Forward!$A$5:$AG$128,'price-new'!R$2,FALSE)</f>
        <v>28.75</v>
      </c>
      <c r="S39" s="6">
        <f>VLOOKUP($C39,[1]Peak_Forward!$A$5:$AG$128,'price-new'!S$2,FALSE)</f>
        <v>29.3</v>
      </c>
      <c r="T39" s="6">
        <f>VLOOKUP($C39,[1]Peak_Forward!$A$5:$AG$128,'price-new'!T$2,FALSE)</f>
        <v>29.55</v>
      </c>
      <c r="U39" s="6"/>
    </row>
    <row r="40" spans="3:21" x14ac:dyDescent="0.2">
      <c r="C40" s="1">
        <v>37987</v>
      </c>
      <c r="E40" s="17">
        <f>VLOOKUP($C40,[1]Peak_Forward!$A$5:$AG$128,'price-new'!E$2,FALSE)</f>
        <v>28.87</v>
      </c>
      <c r="F40" s="17">
        <f>VLOOKUP($C40,[1]Peak_Forward!$A$5:$AG$128,'price-new'!F$2,FALSE)</f>
        <v>29.37</v>
      </c>
      <c r="G40" s="17">
        <f>VLOOKUP($C40,[1]Peak_Forward!$A$5:$AG$128,'price-new'!G$2,FALSE)</f>
        <v>28.11</v>
      </c>
      <c r="H40" s="17">
        <f>VLOOKUP($C40,[1]Peak_Forward!$A$5:$AG$128,'price-new'!H$2,FALSE)</f>
        <v>27.32</v>
      </c>
      <c r="I40" s="17">
        <f>VLOOKUP($C40,[1]Peak_Forward!$A$5:$AG$128,'price-new'!I$2,FALSE)</f>
        <v>28.37</v>
      </c>
      <c r="J40" s="17">
        <f>VLOOKUP($C40,[1]Peak_Forward!$A$5:$AG$128,'price-new'!J$2,FALSE)</f>
        <v>29.37</v>
      </c>
      <c r="K40" s="17">
        <f>VLOOKUP($C40,[1]Peak_Forward!$A$5:$AG$128,'price-new'!K$2,FALSE)</f>
        <v>40</v>
      </c>
      <c r="L40" s="17">
        <f>VLOOKUP($C40,[1]Peak_Forward!$A$5:$AG$128,'price-new'!L$2,FALSE)</f>
        <v>31.69</v>
      </c>
      <c r="M40" s="17">
        <f>VLOOKUP($C40,[1]Peak_Forward!$A$5:$AG$128,'price-new'!M$2,FALSE)</f>
        <v>31.5</v>
      </c>
      <c r="N40" s="17">
        <f>VLOOKUP($C40,[1]Peak_Forward!$A$5:$AG$128,'price-new'!N$2,FALSE)</f>
        <v>40</v>
      </c>
      <c r="O40" s="17">
        <f>VLOOKUP($C40,[1]Peak_Forward!$A$5:$AG$128,'price-new'!O$2,FALSE)</f>
        <v>30.1</v>
      </c>
      <c r="P40" s="17">
        <f>VLOOKUP($C40,[1]Peak_Forward!$A$5:$AG$128,'price-new'!P$2,FALSE)</f>
        <v>31.82</v>
      </c>
      <c r="Q40" s="17">
        <f>VLOOKUP($C40,[1]Peak_Forward!$A$5:$AG$128,'price-new'!Q$2,FALSE)</f>
        <v>28.812000000000001</v>
      </c>
      <c r="R40" s="17">
        <f>VLOOKUP($C40,[1]Peak_Forward!$A$5:$AG$128,'price-new'!R$2,FALSE)</f>
        <v>31</v>
      </c>
      <c r="S40" s="6">
        <f>VLOOKUP($C40,[1]Peak_Forward!$A$5:$AG$128,'price-new'!S$2,FALSE)</f>
        <v>32.1</v>
      </c>
      <c r="T40" s="6">
        <f>VLOOKUP($C40,[1]Peak_Forward!$A$5:$AG$128,'price-new'!T$2,FALSE)</f>
        <v>32.35</v>
      </c>
      <c r="U40" s="6"/>
    </row>
    <row r="41" spans="3:21" x14ac:dyDescent="0.2">
      <c r="C41" s="1">
        <v>38018</v>
      </c>
      <c r="E41" s="17">
        <f>VLOOKUP($C41,[1]Peak_Forward!$A$5:$AG$128,'price-new'!E$2,FALSE)</f>
        <v>28.52</v>
      </c>
      <c r="F41" s="17">
        <f>VLOOKUP($C41,[1]Peak_Forward!$A$5:$AG$128,'price-new'!F$2,FALSE)</f>
        <v>29.02</v>
      </c>
      <c r="G41" s="17">
        <f>VLOOKUP($C41,[1]Peak_Forward!$A$5:$AG$128,'price-new'!G$2,FALSE)</f>
        <v>27.36</v>
      </c>
      <c r="H41" s="17">
        <f>VLOOKUP($C41,[1]Peak_Forward!$A$5:$AG$128,'price-new'!H$2,FALSE)</f>
        <v>26.97</v>
      </c>
      <c r="I41" s="17">
        <f>VLOOKUP($C41,[1]Peak_Forward!$A$5:$AG$128,'price-new'!I$2,FALSE)</f>
        <v>28.02</v>
      </c>
      <c r="J41" s="17">
        <f>VLOOKUP($C41,[1]Peak_Forward!$A$5:$AG$128,'price-new'!J$2,FALSE)</f>
        <v>29.02</v>
      </c>
      <c r="K41" s="17">
        <f>VLOOKUP($C41,[1]Peak_Forward!$A$5:$AG$128,'price-new'!K$2,FALSE)</f>
        <v>40</v>
      </c>
      <c r="L41" s="17">
        <f>VLOOKUP($C41,[1]Peak_Forward!$A$5:$AG$128,'price-new'!L$2,FALSE)</f>
        <v>31.34</v>
      </c>
      <c r="M41" s="17">
        <f>VLOOKUP($C41,[1]Peak_Forward!$A$5:$AG$128,'price-new'!M$2,FALSE)</f>
        <v>31.5</v>
      </c>
      <c r="N41" s="17">
        <f>VLOOKUP($C41,[1]Peak_Forward!$A$5:$AG$128,'price-new'!N$2,FALSE)</f>
        <v>40</v>
      </c>
      <c r="O41" s="17">
        <f>VLOOKUP($C41,[1]Peak_Forward!$A$5:$AG$128,'price-new'!O$2,FALSE)</f>
        <v>30.1</v>
      </c>
      <c r="P41" s="17">
        <f>VLOOKUP($C41,[1]Peak_Forward!$A$5:$AG$128,'price-new'!P$2,FALSE)</f>
        <v>32.97</v>
      </c>
      <c r="Q41" s="17">
        <f>VLOOKUP($C41,[1]Peak_Forward!$A$5:$AG$128,'price-new'!Q$2,FALSE)</f>
        <v>29.986999999999998</v>
      </c>
      <c r="R41" s="17">
        <f>VLOOKUP($C41,[1]Peak_Forward!$A$5:$AG$128,'price-new'!R$2,FALSE)</f>
        <v>31</v>
      </c>
      <c r="S41" s="6">
        <f>VLOOKUP($C41,[1]Peak_Forward!$A$5:$AG$128,'price-new'!S$2,FALSE)</f>
        <v>32.1</v>
      </c>
      <c r="T41" s="6">
        <f>VLOOKUP($C41,[1]Peak_Forward!$A$5:$AG$128,'price-new'!T$2,FALSE)</f>
        <v>32.35</v>
      </c>
      <c r="U41" s="6"/>
    </row>
    <row r="42" spans="3:21" x14ac:dyDescent="0.2">
      <c r="C42" s="1">
        <v>38047</v>
      </c>
      <c r="E42" s="17">
        <f>VLOOKUP($C42,[1]Peak_Forward!$A$5:$AG$128,'price-new'!E$2,FALSE)</f>
        <v>28.23</v>
      </c>
      <c r="F42" s="17">
        <f>VLOOKUP($C42,[1]Peak_Forward!$A$5:$AG$128,'price-new'!F$2,FALSE)</f>
        <v>28.98</v>
      </c>
      <c r="G42" s="17">
        <f>VLOOKUP($C42,[1]Peak_Forward!$A$5:$AG$128,'price-new'!G$2,FALSE)</f>
        <v>25.795999999999999</v>
      </c>
      <c r="H42" s="17">
        <f>VLOOKUP($C42,[1]Peak_Forward!$A$5:$AG$128,'price-new'!H$2,FALSE)</f>
        <v>26.68</v>
      </c>
      <c r="I42" s="17">
        <f>VLOOKUP($C42,[1]Peak_Forward!$A$5:$AG$128,'price-new'!I$2,FALSE)</f>
        <v>27.73</v>
      </c>
      <c r="J42" s="17">
        <f>VLOOKUP($C42,[1]Peak_Forward!$A$5:$AG$128,'price-new'!J$2,FALSE)</f>
        <v>28.98</v>
      </c>
      <c r="K42" s="17">
        <f>VLOOKUP($C42,[1]Peak_Forward!$A$5:$AG$128,'price-new'!K$2,FALSE)</f>
        <v>33.5</v>
      </c>
      <c r="L42" s="17">
        <f>VLOOKUP($C42,[1]Peak_Forward!$A$5:$AG$128,'price-new'!L$2,FALSE)</f>
        <v>30.78</v>
      </c>
      <c r="M42" s="17">
        <f>VLOOKUP($C42,[1]Peak_Forward!$A$5:$AG$128,'price-new'!M$2,FALSE)</f>
        <v>29.5</v>
      </c>
      <c r="N42" s="17">
        <f>VLOOKUP($C42,[1]Peak_Forward!$A$5:$AG$128,'price-new'!N$2,FALSE)</f>
        <v>37</v>
      </c>
      <c r="O42" s="17">
        <f>VLOOKUP($C42,[1]Peak_Forward!$A$5:$AG$128,'price-new'!O$2,FALSE)</f>
        <v>27.85</v>
      </c>
      <c r="P42" s="17">
        <f>VLOOKUP($C42,[1]Peak_Forward!$A$5:$AG$128,'price-new'!P$2,FALSE)</f>
        <v>30.93</v>
      </c>
      <c r="Q42" s="17">
        <f>VLOOKUP($C42,[1]Peak_Forward!$A$5:$AG$128,'price-new'!Q$2,FALSE)</f>
        <v>25.887</v>
      </c>
      <c r="R42" s="17">
        <f>VLOOKUP($C42,[1]Peak_Forward!$A$5:$AG$128,'price-new'!R$2,FALSE)</f>
        <v>29.25</v>
      </c>
      <c r="S42" s="6">
        <f>VLOOKUP($C42,[1]Peak_Forward!$A$5:$AG$128,'price-new'!S$2,FALSE)</f>
        <v>29.85</v>
      </c>
      <c r="T42" s="6">
        <f>VLOOKUP($C42,[1]Peak_Forward!$A$5:$AG$128,'price-new'!T$2,FALSE)</f>
        <v>30.1</v>
      </c>
      <c r="U42" s="6"/>
    </row>
    <row r="43" spans="3:21" x14ac:dyDescent="0.2">
      <c r="C43" s="1">
        <v>38078</v>
      </c>
      <c r="E43" s="17">
        <f>VLOOKUP($C43,[1]Peak_Forward!$A$5:$AG$128,'price-new'!E$2,FALSE)</f>
        <v>28.67</v>
      </c>
      <c r="F43" s="17">
        <f>VLOOKUP($C43,[1]Peak_Forward!$A$5:$AG$128,'price-new'!F$2,FALSE)</f>
        <v>29.42</v>
      </c>
      <c r="G43" s="17">
        <f>VLOOKUP($C43,[1]Peak_Forward!$A$5:$AG$128,'price-new'!G$2,FALSE)</f>
        <v>26.58</v>
      </c>
      <c r="H43" s="17">
        <f>VLOOKUP($C43,[1]Peak_Forward!$A$5:$AG$128,'price-new'!H$2,FALSE)</f>
        <v>27.12</v>
      </c>
      <c r="I43" s="17">
        <f>VLOOKUP($C43,[1]Peak_Forward!$A$5:$AG$128,'price-new'!I$2,FALSE)</f>
        <v>28.17</v>
      </c>
      <c r="J43" s="17">
        <f>VLOOKUP($C43,[1]Peak_Forward!$A$5:$AG$128,'price-new'!J$2,FALSE)</f>
        <v>29.42</v>
      </c>
      <c r="K43" s="17">
        <f>VLOOKUP($C43,[1]Peak_Forward!$A$5:$AG$128,'price-new'!K$2,FALSE)</f>
        <v>33.5</v>
      </c>
      <c r="L43" s="17">
        <f>VLOOKUP($C43,[1]Peak_Forward!$A$5:$AG$128,'price-new'!L$2,FALSE)</f>
        <v>31.22</v>
      </c>
      <c r="M43" s="17">
        <f>VLOOKUP($C43,[1]Peak_Forward!$A$5:$AG$128,'price-new'!M$2,FALSE)</f>
        <v>29.5</v>
      </c>
      <c r="N43" s="17">
        <f>VLOOKUP($C43,[1]Peak_Forward!$A$5:$AG$128,'price-new'!N$2,FALSE)</f>
        <v>37</v>
      </c>
      <c r="O43" s="17">
        <f>VLOOKUP($C43,[1]Peak_Forward!$A$5:$AG$128,'price-new'!O$2,FALSE)</f>
        <v>27.85</v>
      </c>
      <c r="P43" s="17">
        <f>VLOOKUP($C43,[1]Peak_Forward!$A$5:$AG$128,'price-new'!P$2,FALSE)</f>
        <v>30.92</v>
      </c>
      <c r="Q43" s="17">
        <f>VLOOKUP($C43,[1]Peak_Forward!$A$5:$AG$128,'price-new'!Q$2,FALSE)</f>
        <v>25.887</v>
      </c>
      <c r="R43" s="17">
        <f>VLOOKUP($C43,[1]Peak_Forward!$A$5:$AG$128,'price-new'!R$2,FALSE)</f>
        <v>29.25</v>
      </c>
      <c r="S43" s="6">
        <f>VLOOKUP($C43,[1]Peak_Forward!$A$5:$AG$128,'price-new'!S$2,FALSE)</f>
        <v>29.85</v>
      </c>
      <c r="T43" s="6">
        <f>VLOOKUP($C43,[1]Peak_Forward!$A$5:$AG$128,'price-new'!T$2,FALSE)</f>
        <v>30.1</v>
      </c>
      <c r="U43" s="6"/>
    </row>
    <row r="44" spans="3:21" x14ac:dyDescent="0.2">
      <c r="C44" s="1">
        <v>38108</v>
      </c>
      <c r="E44" s="17">
        <f>VLOOKUP($C44,[1]Peak_Forward!$A$5:$AG$128,'price-new'!E$2,FALSE)</f>
        <v>29.45</v>
      </c>
      <c r="F44" s="17">
        <f>VLOOKUP($C44,[1]Peak_Forward!$A$5:$AG$128,'price-new'!F$2,FALSE)</f>
        <v>30.45</v>
      </c>
      <c r="G44" s="17">
        <f>VLOOKUP($C44,[1]Peak_Forward!$A$5:$AG$128,'price-new'!G$2,FALSE)</f>
        <v>28.54</v>
      </c>
      <c r="H44" s="17">
        <f>VLOOKUP($C44,[1]Peak_Forward!$A$5:$AG$128,'price-new'!H$2,FALSE)</f>
        <v>27.95</v>
      </c>
      <c r="I44" s="17">
        <f>VLOOKUP($C44,[1]Peak_Forward!$A$5:$AG$128,'price-new'!I$2,FALSE)</f>
        <v>28.95</v>
      </c>
      <c r="J44" s="17">
        <f>VLOOKUP($C44,[1]Peak_Forward!$A$5:$AG$128,'price-new'!J$2,FALSE)</f>
        <v>30.45</v>
      </c>
      <c r="K44" s="17">
        <f>VLOOKUP($C44,[1]Peak_Forward!$A$5:$AG$128,'price-new'!K$2,FALSE)</f>
        <v>33</v>
      </c>
      <c r="L44" s="17">
        <f>VLOOKUP($C44,[1]Peak_Forward!$A$5:$AG$128,'price-new'!L$2,FALSE)</f>
        <v>33.79</v>
      </c>
      <c r="M44" s="17">
        <f>VLOOKUP($C44,[1]Peak_Forward!$A$5:$AG$128,'price-new'!M$2,FALSE)</f>
        <v>30.5</v>
      </c>
      <c r="N44" s="17">
        <f>VLOOKUP($C44,[1]Peak_Forward!$A$5:$AG$128,'price-new'!N$2,FALSE)</f>
        <v>38</v>
      </c>
      <c r="O44" s="17">
        <f>VLOOKUP($C44,[1]Peak_Forward!$A$5:$AG$128,'price-new'!O$2,FALSE)</f>
        <v>29.55</v>
      </c>
      <c r="P44" s="17">
        <f>VLOOKUP($C44,[1]Peak_Forward!$A$5:$AG$128,'price-new'!P$2,FALSE)</f>
        <v>26.5</v>
      </c>
      <c r="Q44" s="17">
        <f>VLOOKUP($C44,[1]Peak_Forward!$A$5:$AG$128,'price-new'!Q$2,FALSE)</f>
        <v>28.286999999999999</v>
      </c>
      <c r="R44" s="17">
        <f>VLOOKUP($C44,[1]Peak_Forward!$A$5:$AG$128,'price-new'!R$2,FALSE)</f>
        <v>30.75</v>
      </c>
      <c r="S44" s="6">
        <f>VLOOKUP($C44,[1]Peak_Forward!$A$5:$AG$128,'price-new'!S$2,FALSE)</f>
        <v>32.049999999999997</v>
      </c>
      <c r="T44" s="6">
        <f>VLOOKUP($C44,[1]Peak_Forward!$A$5:$AG$128,'price-new'!T$2,FALSE)</f>
        <v>32.799999999999997</v>
      </c>
      <c r="U44" s="6"/>
    </row>
    <row r="45" spans="3:21" x14ac:dyDescent="0.2">
      <c r="C45" s="1">
        <v>38139</v>
      </c>
      <c r="E45" s="17">
        <f>VLOOKUP($C45,[1]Peak_Forward!$A$5:$AG$128,'price-new'!E$2,FALSE)</f>
        <v>34.71</v>
      </c>
      <c r="F45" s="17">
        <f>VLOOKUP($C45,[1]Peak_Forward!$A$5:$AG$128,'price-new'!F$2,FALSE)</f>
        <v>36.21</v>
      </c>
      <c r="G45" s="17">
        <f>VLOOKUP($C45,[1]Peak_Forward!$A$5:$AG$128,'price-new'!G$2,FALSE)</f>
        <v>32.590000000000003</v>
      </c>
      <c r="H45" s="17">
        <f>VLOOKUP($C45,[1]Peak_Forward!$A$5:$AG$128,'price-new'!H$2,FALSE)</f>
        <v>33.06</v>
      </c>
      <c r="I45" s="17">
        <f>VLOOKUP($C45,[1]Peak_Forward!$A$5:$AG$128,'price-new'!I$2,FALSE)</f>
        <v>34.21</v>
      </c>
      <c r="J45" s="17">
        <f>VLOOKUP($C45,[1]Peak_Forward!$A$5:$AG$128,'price-new'!J$2,FALSE)</f>
        <v>36.21</v>
      </c>
      <c r="K45" s="17">
        <f>VLOOKUP($C45,[1]Peak_Forward!$A$5:$AG$128,'price-new'!K$2,FALSE)</f>
        <v>38</v>
      </c>
      <c r="L45" s="17">
        <f>VLOOKUP($C45,[1]Peak_Forward!$A$5:$AG$128,'price-new'!L$2,FALSE)</f>
        <v>38.19</v>
      </c>
      <c r="M45" s="17">
        <f>VLOOKUP($C45,[1]Peak_Forward!$A$5:$AG$128,'price-new'!M$2,FALSE)</f>
        <v>40</v>
      </c>
      <c r="N45" s="17">
        <f>VLOOKUP($C45,[1]Peak_Forward!$A$5:$AG$128,'price-new'!N$2,FALSE)</f>
        <v>46</v>
      </c>
      <c r="O45" s="17">
        <f>VLOOKUP($C45,[1]Peak_Forward!$A$5:$AG$128,'price-new'!O$2,FALSE)</f>
        <v>36.89</v>
      </c>
      <c r="P45" s="17">
        <f>VLOOKUP($C45,[1]Peak_Forward!$A$5:$AG$128,'price-new'!P$2,FALSE)</f>
        <v>29.46</v>
      </c>
      <c r="Q45" s="17">
        <f>VLOOKUP($C45,[1]Peak_Forward!$A$5:$AG$128,'price-new'!Q$2,FALSE)</f>
        <v>37.472000000000001</v>
      </c>
      <c r="R45" s="17">
        <f>VLOOKUP($C45,[1]Peak_Forward!$A$5:$AG$128,'price-new'!R$2,FALSE)</f>
        <v>40.75</v>
      </c>
      <c r="S45" s="6">
        <f>VLOOKUP($C45,[1]Peak_Forward!$A$5:$AG$128,'price-new'!S$2,FALSE)</f>
        <v>39.64</v>
      </c>
      <c r="T45" s="6">
        <f>VLOOKUP($C45,[1]Peak_Forward!$A$5:$AG$128,'price-new'!T$2,FALSE)</f>
        <v>42.14</v>
      </c>
      <c r="U45" s="6"/>
    </row>
    <row r="46" spans="3:21" x14ac:dyDescent="0.2">
      <c r="C46" s="1">
        <v>38169</v>
      </c>
      <c r="E46" s="17">
        <f>VLOOKUP($C46,[1]Peak_Forward!$A$5:$AG$128,'price-new'!E$2,FALSE)</f>
        <v>45.87</v>
      </c>
      <c r="F46" s="17">
        <f>VLOOKUP($C46,[1]Peak_Forward!$A$5:$AG$128,'price-new'!F$2,FALSE)</f>
        <v>48.37</v>
      </c>
      <c r="G46" s="17">
        <f>VLOOKUP($C46,[1]Peak_Forward!$A$5:$AG$128,'price-new'!G$2,FALSE)</f>
        <v>42.14</v>
      </c>
      <c r="H46" s="17">
        <f>VLOOKUP($C46,[1]Peak_Forward!$A$5:$AG$128,'price-new'!H$2,FALSE)</f>
        <v>43.82</v>
      </c>
      <c r="I46" s="17">
        <f>VLOOKUP($C46,[1]Peak_Forward!$A$5:$AG$128,'price-new'!I$2,FALSE)</f>
        <v>45.37</v>
      </c>
      <c r="J46" s="17">
        <f>VLOOKUP($C46,[1]Peak_Forward!$A$5:$AG$128,'price-new'!J$2,FALSE)</f>
        <v>48.37</v>
      </c>
      <c r="K46" s="17">
        <f>VLOOKUP($C46,[1]Peak_Forward!$A$5:$AG$128,'price-new'!K$2,FALSE)</f>
        <v>46.5</v>
      </c>
      <c r="L46" s="17">
        <f>VLOOKUP($C46,[1]Peak_Forward!$A$5:$AG$128,'price-new'!L$2,FALSE)</f>
        <v>45.62</v>
      </c>
      <c r="M46" s="17">
        <f>VLOOKUP($C46,[1]Peak_Forward!$A$5:$AG$128,'price-new'!M$2,FALSE)</f>
        <v>51.5</v>
      </c>
      <c r="N46" s="17">
        <f>VLOOKUP($C46,[1]Peak_Forward!$A$5:$AG$128,'price-new'!N$2,FALSE)</f>
        <v>67</v>
      </c>
      <c r="O46" s="17">
        <f>VLOOKUP($C46,[1]Peak_Forward!$A$5:$AG$128,'price-new'!O$2,FALSE)</f>
        <v>45.9</v>
      </c>
      <c r="P46" s="17">
        <f>VLOOKUP($C46,[1]Peak_Forward!$A$5:$AG$128,'price-new'!P$2,FALSE)</f>
        <v>39.020000000000003</v>
      </c>
      <c r="Q46" s="17">
        <f>VLOOKUP($C46,[1]Peak_Forward!$A$5:$AG$128,'price-new'!Q$2,FALSE)</f>
        <v>44.715000000000003</v>
      </c>
      <c r="R46" s="17">
        <f>VLOOKUP($C46,[1]Peak_Forward!$A$5:$AG$128,'price-new'!R$2,FALSE)</f>
        <v>50.25</v>
      </c>
      <c r="S46" s="6">
        <f>VLOOKUP($C46,[1]Peak_Forward!$A$5:$AG$128,'price-new'!S$2,FALSE)</f>
        <v>48.65</v>
      </c>
      <c r="T46" s="6">
        <f>VLOOKUP($C46,[1]Peak_Forward!$A$5:$AG$128,'price-new'!T$2,FALSE)</f>
        <v>51.15</v>
      </c>
      <c r="U46" s="6"/>
    </row>
    <row r="47" spans="3:21" x14ac:dyDescent="0.2">
      <c r="C47" s="1">
        <v>38200</v>
      </c>
      <c r="E47" s="17">
        <f>VLOOKUP($C47,[1]Peak_Forward!$A$5:$AG$128,'price-new'!E$2,FALSE)</f>
        <v>44.68</v>
      </c>
      <c r="F47" s="17">
        <f>VLOOKUP($C47,[1]Peak_Forward!$A$5:$AG$128,'price-new'!F$2,FALSE)</f>
        <v>47.18</v>
      </c>
      <c r="G47" s="17">
        <f>VLOOKUP($C47,[1]Peak_Forward!$A$5:$AG$128,'price-new'!G$2,FALSE)</f>
        <v>41.74</v>
      </c>
      <c r="H47" s="17">
        <f>VLOOKUP($C47,[1]Peak_Forward!$A$5:$AG$128,'price-new'!H$2,FALSE)</f>
        <v>42.63</v>
      </c>
      <c r="I47" s="17">
        <f>VLOOKUP($C47,[1]Peak_Forward!$A$5:$AG$128,'price-new'!I$2,FALSE)</f>
        <v>44.18</v>
      </c>
      <c r="J47" s="17">
        <f>VLOOKUP($C47,[1]Peak_Forward!$A$5:$AG$128,'price-new'!J$2,FALSE)</f>
        <v>47.18</v>
      </c>
      <c r="K47" s="17">
        <f>VLOOKUP($C47,[1]Peak_Forward!$A$5:$AG$128,'price-new'!K$2,FALSE)</f>
        <v>46.5</v>
      </c>
      <c r="L47" s="17">
        <f>VLOOKUP($C47,[1]Peak_Forward!$A$5:$AG$128,'price-new'!L$2,FALSE)</f>
        <v>44.93</v>
      </c>
      <c r="M47" s="17">
        <f>VLOOKUP($C47,[1]Peak_Forward!$A$5:$AG$128,'price-new'!M$2,FALSE)</f>
        <v>51.5</v>
      </c>
      <c r="N47" s="17">
        <f>VLOOKUP($C47,[1]Peak_Forward!$A$5:$AG$128,'price-new'!N$2,FALSE)</f>
        <v>67</v>
      </c>
      <c r="O47" s="17">
        <f>VLOOKUP($C47,[1]Peak_Forward!$A$5:$AG$128,'price-new'!O$2,FALSE)</f>
        <v>45.4</v>
      </c>
      <c r="P47" s="17">
        <f>VLOOKUP($C47,[1]Peak_Forward!$A$5:$AG$128,'price-new'!P$2,FALSE)</f>
        <v>37.83</v>
      </c>
      <c r="Q47" s="17">
        <f>VLOOKUP($C47,[1]Peak_Forward!$A$5:$AG$128,'price-new'!Q$2,FALSE)</f>
        <v>44.715000000000003</v>
      </c>
      <c r="R47" s="17">
        <f>VLOOKUP($C47,[1]Peak_Forward!$A$5:$AG$128,'price-new'!R$2,FALSE)</f>
        <v>50.25</v>
      </c>
      <c r="S47" s="6">
        <f>VLOOKUP($C47,[1]Peak_Forward!$A$5:$AG$128,'price-new'!S$2,FALSE)</f>
        <v>48.15</v>
      </c>
      <c r="T47" s="6">
        <f>VLOOKUP($C47,[1]Peak_Forward!$A$5:$AG$128,'price-new'!T$2,FALSE)</f>
        <v>50.65</v>
      </c>
      <c r="U47" s="6"/>
    </row>
    <row r="48" spans="3:21" x14ac:dyDescent="0.2">
      <c r="C48" s="1">
        <v>38231</v>
      </c>
      <c r="E48" s="17">
        <f>VLOOKUP($C48,[1]Peak_Forward!$A$5:$AG$128,'price-new'!E$2,FALSE)</f>
        <v>27.75</v>
      </c>
      <c r="F48" s="17">
        <f>VLOOKUP($C48,[1]Peak_Forward!$A$5:$AG$128,'price-new'!F$2,FALSE)</f>
        <v>29.25</v>
      </c>
      <c r="G48" s="17">
        <f>VLOOKUP($C48,[1]Peak_Forward!$A$5:$AG$128,'price-new'!G$2,FALSE)</f>
        <v>29.49</v>
      </c>
      <c r="H48" s="17">
        <f>VLOOKUP($C48,[1]Peak_Forward!$A$5:$AG$128,'price-new'!H$2,FALSE)</f>
        <v>26.5</v>
      </c>
      <c r="I48" s="17">
        <f>VLOOKUP($C48,[1]Peak_Forward!$A$5:$AG$128,'price-new'!I$2,FALSE)</f>
        <v>27.25</v>
      </c>
      <c r="J48" s="17">
        <f>VLOOKUP($C48,[1]Peak_Forward!$A$5:$AG$128,'price-new'!J$2,FALSE)</f>
        <v>29.25</v>
      </c>
      <c r="K48" s="17">
        <f>VLOOKUP($C48,[1]Peak_Forward!$A$5:$AG$128,'price-new'!K$2,FALSE)</f>
        <v>31.75</v>
      </c>
      <c r="L48" s="17">
        <f>VLOOKUP($C48,[1]Peak_Forward!$A$5:$AG$128,'price-new'!L$2,FALSE)</f>
        <v>28.54</v>
      </c>
      <c r="M48" s="17">
        <f>VLOOKUP($C48,[1]Peak_Forward!$A$5:$AG$128,'price-new'!M$2,FALSE)</f>
        <v>29</v>
      </c>
      <c r="N48" s="17">
        <f>VLOOKUP($C48,[1]Peak_Forward!$A$5:$AG$128,'price-new'!N$2,FALSE)</f>
        <v>37</v>
      </c>
      <c r="O48" s="17">
        <f>VLOOKUP($C48,[1]Peak_Forward!$A$5:$AG$128,'price-new'!O$2,FALSE)</f>
        <v>27.88</v>
      </c>
      <c r="P48" s="17">
        <f>VLOOKUP($C48,[1]Peak_Forward!$A$5:$AG$128,'price-new'!P$2,FALSE)</f>
        <v>24.1</v>
      </c>
      <c r="Q48" s="17">
        <f>VLOOKUP($C48,[1]Peak_Forward!$A$5:$AG$128,'price-new'!Q$2,FALSE)</f>
        <v>24.56</v>
      </c>
      <c r="R48" s="17">
        <f>VLOOKUP($C48,[1]Peak_Forward!$A$5:$AG$128,'price-new'!R$2,FALSE)</f>
        <v>29</v>
      </c>
      <c r="S48" s="6">
        <f>VLOOKUP($C48,[1]Peak_Forward!$A$5:$AG$128,'price-new'!S$2,FALSE)</f>
        <v>30.13</v>
      </c>
      <c r="T48" s="6">
        <f>VLOOKUP($C48,[1]Peak_Forward!$A$5:$AG$128,'price-new'!T$2,FALSE)</f>
        <v>32.130000000000003</v>
      </c>
      <c r="U48" s="6"/>
    </row>
    <row r="49" spans="3:21" x14ac:dyDescent="0.2">
      <c r="C49" s="1">
        <v>38261</v>
      </c>
      <c r="E49" s="17">
        <f>VLOOKUP($C49,[1]Peak_Forward!$A$5:$AG$128,'price-new'!E$2,FALSE)</f>
        <v>27.92</v>
      </c>
      <c r="F49" s="17">
        <f>VLOOKUP($C49,[1]Peak_Forward!$A$5:$AG$128,'price-new'!F$2,FALSE)</f>
        <v>27.92</v>
      </c>
      <c r="G49" s="17">
        <f>VLOOKUP($C49,[1]Peak_Forward!$A$5:$AG$128,'price-new'!G$2,FALSE)</f>
        <v>27.71</v>
      </c>
      <c r="H49" s="17">
        <f>VLOOKUP($C49,[1]Peak_Forward!$A$5:$AG$128,'price-new'!H$2,FALSE)</f>
        <v>26.67</v>
      </c>
      <c r="I49" s="17">
        <f>VLOOKUP($C49,[1]Peak_Forward!$A$5:$AG$128,'price-new'!I$2,FALSE)</f>
        <v>27.42</v>
      </c>
      <c r="J49" s="17">
        <f>VLOOKUP($C49,[1]Peak_Forward!$A$5:$AG$128,'price-new'!J$2,FALSE)</f>
        <v>27.92</v>
      </c>
      <c r="K49" s="17">
        <f>VLOOKUP($C49,[1]Peak_Forward!$A$5:$AG$128,'price-new'!K$2,FALSE)</f>
        <v>31.75</v>
      </c>
      <c r="L49" s="17">
        <f>VLOOKUP($C49,[1]Peak_Forward!$A$5:$AG$128,'price-new'!L$2,FALSE)</f>
        <v>28.59</v>
      </c>
      <c r="M49" s="17">
        <f>VLOOKUP($C49,[1]Peak_Forward!$A$5:$AG$128,'price-new'!M$2,FALSE)</f>
        <v>29</v>
      </c>
      <c r="N49" s="17">
        <f>VLOOKUP($C49,[1]Peak_Forward!$A$5:$AG$128,'price-new'!N$2,FALSE)</f>
        <v>37</v>
      </c>
      <c r="O49" s="17">
        <f>VLOOKUP($C49,[1]Peak_Forward!$A$5:$AG$128,'price-new'!O$2,FALSE)</f>
        <v>28.2</v>
      </c>
      <c r="P49" s="17">
        <f>VLOOKUP($C49,[1]Peak_Forward!$A$5:$AG$128,'price-new'!P$2,FALSE)</f>
        <v>29.61</v>
      </c>
      <c r="Q49" s="17">
        <f>VLOOKUP($C49,[1]Peak_Forward!$A$5:$AG$128,'price-new'!Q$2,FALSE)</f>
        <v>26.108000000000001</v>
      </c>
      <c r="R49" s="17">
        <f>VLOOKUP($C49,[1]Peak_Forward!$A$5:$AG$128,'price-new'!R$2,FALSE)</f>
        <v>29</v>
      </c>
      <c r="S49" s="6">
        <f>VLOOKUP($C49,[1]Peak_Forward!$A$5:$AG$128,'price-new'!S$2,FALSE)</f>
        <v>30.2</v>
      </c>
      <c r="T49" s="6">
        <f>VLOOKUP($C49,[1]Peak_Forward!$A$5:$AG$128,'price-new'!T$2,FALSE)</f>
        <v>30.45</v>
      </c>
      <c r="U49" s="6"/>
    </row>
    <row r="50" spans="3:21" x14ac:dyDescent="0.2">
      <c r="C50" s="1">
        <v>38292</v>
      </c>
      <c r="E50" s="17">
        <f>VLOOKUP($C50,[1]Peak_Forward!$A$5:$AG$128,'price-new'!E$2,FALSE)</f>
        <v>28.26</v>
      </c>
      <c r="F50" s="17">
        <f>VLOOKUP($C50,[1]Peak_Forward!$A$5:$AG$128,'price-new'!F$2,FALSE)</f>
        <v>28.26</v>
      </c>
      <c r="G50" s="17">
        <f>VLOOKUP($C50,[1]Peak_Forward!$A$5:$AG$128,'price-new'!G$2,FALSE)</f>
        <v>26.71</v>
      </c>
      <c r="H50" s="17">
        <f>VLOOKUP($C50,[1]Peak_Forward!$A$5:$AG$128,'price-new'!H$2,FALSE)</f>
        <v>27.01</v>
      </c>
      <c r="I50" s="17">
        <f>VLOOKUP($C50,[1]Peak_Forward!$A$5:$AG$128,'price-new'!I$2,FALSE)</f>
        <v>27.76</v>
      </c>
      <c r="J50" s="17">
        <f>VLOOKUP($C50,[1]Peak_Forward!$A$5:$AG$128,'price-new'!J$2,FALSE)</f>
        <v>28.26</v>
      </c>
      <c r="K50" s="17">
        <f>VLOOKUP($C50,[1]Peak_Forward!$A$5:$AG$128,'price-new'!K$2,FALSE)</f>
        <v>31.75</v>
      </c>
      <c r="L50" s="17">
        <f>VLOOKUP($C50,[1]Peak_Forward!$A$5:$AG$128,'price-new'!L$2,FALSE)</f>
        <v>28.93</v>
      </c>
      <c r="M50" s="17">
        <f>VLOOKUP($C50,[1]Peak_Forward!$A$5:$AG$128,'price-new'!M$2,FALSE)</f>
        <v>29</v>
      </c>
      <c r="N50" s="17">
        <f>VLOOKUP($C50,[1]Peak_Forward!$A$5:$AG$128,'price-new'!N$2,FALSE)</f>
        <v>37</v>
      </c>
      <c r="O50" s="17">
        <f>VLOOKUP($C50,[1]Peak_Forward!$A$5:$AG$128,'price-new'!O$2,FALSE)</f>
        <v>28.2</v>
      </c>
      <c r="P50" s="17">
        <f>VLOOKUP($C50,[1]Peak_Forward!$A$5:$AG$128,'price-new'!P$2,FALSE)</f>
        <v>33.35</v>
      </c>
      <c r="Q50" s="17">
        <f>VLOOKUP($C50,[1]Peak_Forward!$A$5:$AG$128,'price-new'!Q$2,FALSE)</f>
        <v>26.108000000000001</v>
      </c>
      <c r="R50" s="17">
        <f>VLOOKUP($C50,[1]Peak_Forward!$A$5:$AG$128,'price-new'!R$2,FALSE)</f>
        <v>29</v>
      </c>
      <c r="S50" s="6">
        <f>VLOOKUP($C50,[1]Peak_Forward!$A$5:$AG$128,'price-new'!S$2,FALSE)</f>
        <v>30.2</v>
      </c>
      <c r="T50" s="6">
        <f>VLOOKUP($C50,[1]Peak_Forward!$A$5:$AG$128,'price-new'!T$2,FALSE)</f>
        <v>30.44</v>
      </c>
      <c r="U50" s="6"/>
    </row>
    <row r="51" spans="3:21" x14ac:dyDescent="0.2">
      <c r="C51" s="1">
        <v>38322</v>
      </c>
      <c r="E51" s="17">
        <f>VLOOKUP($C51,[1]Peak_Forward!$A$5:$AG$128,'price-new'!E$2,FALSE)</f>
        <v>27.96</v>
      </c>
      <c r="F51" s="17">
        <f>VLOOKUP($C51,[1]Peak_Forward!$A$5:$AG$128,'price-new'!F$2,FALSE)</f>
        <v>27.96</v>
      </c>
      <c r="G51" s="17">
        <f>VLOOKUP($C51,[1]Peak_Forward!$A$5:$AG$128,'price-new'!G$2,FALSE)</f>
        <v>27.61</v>
      </c>
      <c r="H51" s="17">
        <f>VLOOKUP($C51,[1]Peak_Forward!$A$5:$AG$128,'price-new'!H$2,FALSE)</f>
        <v>26.71</v>
      </c>
      <c r="I51" s="17">
        <f>VLOOKUP($C51,[1]Peak_Forward!$A$5:$AG$128,'price-new'!I$2,FALSE)</f>
        <v>27.46</v>
      </c>
      <c r="J51" s="17">
        <f>VLOOKUP($C51,[1]Peak_Forward!$A$5:$AG$128,'price-new'!J$2,FALSE)</f>
        <v>27.96</v>
      </c>
      <c r="K51" s="17">
        <f>VLOOKUP($C51,[1]Peak_Forward!$A$5:$AG$128,'price-new'!K$2,FALSE)</f>
        <v>31.75</v>
      </c>
      <c r="L51" s="17">
        <f>VLOOKUP($C51,[1]Peak_Forward!$A$5:$AG$128,'price-new'!L$2,FALSE)</f>
        <v>28.63</v>
      </c>
      <c r="M51" s="17">
        <f>VLOOKUP($C51,[1]Peak_Forward!$A$5:$AG$128,'price-new'!M$2,FALSE)</f>
        <v>29</v>
      </c>
      <c r="N51" s="17">
        <f>VLOOKUP($C51,[1]Peak_Forward!$A$5:$AG$128,'price-new'!N$2,FALSE)</f>
        <v>37</v>
      </c>
      <c r="O51" s="17">
        <f>VLOOKUP($C51,[1]Peak_Forward!$A$5:$AG$128,'price-new'!O$2,FALSE)</f>
        <v>28.2</v>
      </c>
      <c r="P51" s="17">
        <f>VLOOKUP($C51,[1]Peak_Forward!$A$5:$AG$128,'price-new'!P$2,FALSE)</f>
        <v>33.450000000000003</v>
      </c>
      <c r="Q51" s="17">
        <f>VLOOKUP($C51,[1]Peak_Forward!$A$5:$AG$128,'price-new'!Q$2,FALSE)</f>
        <v>26.358000000000001</v>
      </c>
      <c r="R51" s="17">
        <f>VLOOKUP($C51,[1]Peak_Forward!$A$5:$AG$128,'price-new'!R$2,FALSE)</f>
        <v>29</v>
      </c>
      <c r="S51" s="6">
        <f>VLOOKUP($C51,[1]Peak_Forward!$A$5:$AG$128,'price-new'!S$2,FALSE)</f>
        <v>30.2</v>
      </c>
      <c r="T51" s="6">
        <f>VLOOKUP($C51,[1]Peak_Forward!$A$5:$AG$128,'price-new'!T$2,FALSE)</f>
        <v>30.45</v>
      </c>
      <c r="U51" s="6"/>
    </row>
    <row r="52" spans="3:21" x14ac:dyDescent="0.2">
      <c r="C52" s="1">
        <v>38353</v>
      </c>
      <c r="E52" s="17">
        <f>VLOOKUP($C52,[1]Peak_Forward!$A$5:$AG$128,'price-new'!E$2,FALSE)</f>
        <v>29.96</v>
      </c>
      <c r="F52" s="17">
        <f>VLOOKUP($C52,[1]Peak_Forward!$A$5:$AG$128,'price-new'!F$2,FALSE)</f>
        <v>30.46</v>
      </c>
      <c r="G52" s="17">
        <f>VLOOKUP($C52,[1]Peak_Forward!$A$5:$AG$128,'price-new'!G$2,FALSE)</f>
        <v>28.68</v>
      </c>
      <c r="H52" s="17">
        <f>VLOOKUP($C52,[1]Peak_Forward!$A$5:$AG$128,'price-new'!H$2,FALSE)</f>
        <v>28.41</v>
      </c>
      <c r="I52" s="17">
        <f>VLOOKUP($C52,[1]Peak_Forward!$A$5:$AG$128,'price-new'!I$2,FALSE)</f>
        <v>29.46</v>
      </c>
      <c r="J52" s="17">
        <f>VLOOKUP($C52,[1]Peak_Forward!$A$5:$AG$128,'price-new'!J$2,FALSE)</f>
        <v>30.46</v>
      </c>
      <c r="K52" s="17">
        <f>VLOOKUP($C52,[1]Peak_Forward!$A$5:$AG$128,'price-new'!K$2,FALSE)</f>
        <v>40</v>
      </c>
      <c r="L52" s="17">
        <f>VLOOKUP($C52,[1]Peak_Forward!$A$5:$AG$128,'price-new'!L$2,FALSE)</f>
        <v>33.01</v>
      </c>
      <c r="M52" s="17">
        <f>VLOOKUP($C52,[1]Peak_Forward!$A$5:$AG$128,'price-new'!M$2,FALSE)</f>
        <v>32</v>
      </c>
      <c r="N52" s="17">
        <f>VLOOKUP($C52,[1]Peak_Forward!$A$5:$AG$128,'price-new'!N$2,FALSE)</f>
        <v>41</v>
      </c>
      <c r="O52" s="17">
        <f>VLOOKUP($C52,[1]Peak_Forward!$A$5:$AG$128,'price-new'!O$2,FALSE)</f>
        <v>30.86</v>
      </c>
      <c r="P52" s="17">
        <f>VLOOKUP($C52,[1]Peak_Forward!$A$5:$AG$128,'price-new'!P$2,FALSE)</f>
        <v>33.06</v>
      </c>
      <c r="Q52" s="17">
        <f>VLOOKUP($C52,[1]Peak_Forward!$A$5:$AG$128,'price-new'!Q$2,FALSE)</f>
        <v>28.317</v>
      </c>
      <c r="R52" s="17">
        <f>VLOOKUP($C52,[1]Peak_Forward!$A$5:$AG$128,'price-new'!R$2,FALSE)</f>
        <v>31.25</v>
      </c>
      <c r="S52" s="6">
        <f>VLOOKUP($C52,[1]Peak_Forward!$A$5:$AG$128,'price-new'!S$2,FALSE)</f>
        <v>32.86</v>
      </c>
      <c r="T52" s="6">
        <f>VLOOKUP($C52,[1]Peak_Forward!$A$5:$AG$128,'price-new'!T$2,FALSE)</f>
        <v>33.11</v>
      </c>
      <c r="U52" s="6"/>
    </row>
    <row r="53" spans="3:21" x14ac:dyDescent="0.2">
      <c r="C53" s="1">
        <v>38384</v>
      </c>
      <c r="E53" s="17">
        <f>VLOOKUP($C53,[1]Peak_Forward!$A$5:$AG$128,'price-new'!E$2,FALSE)</f>
        <v>29.06</v>
      </c>
      <c r="F53" s="17">
        <f>VLOOKUP($C53,[1]Peak_Forward!$A$5:$AG$128,'price-new'!F$2,FALSE)</f>
        <v>29.56</v>
      </c>
      <c r="G53" s="17">
        <f>VLOOKUP($C53,[1]Peak_Forward!$A$5:$AG$128,'price-new'!G$2,FALSE)</f>
        <v>27.93</v>
      </c>
      <c r="H53" s="17">
        <f>VLOOKUP($C53,[1]Peak_Forward!$A$5:$AG$128,'price-new'!H$2,FALSE)</f>
        <v>27.51</v>
      </c>
      <c r="I53" s="17">
        <f>VLOOKUP($C53,[1]Peak_Forward!$A$5:$AG$128,'price-new'!I$2,FALSE)</f>
        <v>28.56</v>
      </c>
      <c r="J53" s="17">
        <f>VLOOKUP($C53,[1]Peak_Forward!$A$5:$AG$128,'price-new'!J$2,FALSE)</f>
        <v>29.56</v>
      </c>
      <c r="K53" s="17">
        <f>VLOOKUP($C53,[1]Peak_Forward!$A$5:$AG$128,'price-new'!K$2,FALSE)</f>
        <v>40</v>
      </c>
      <c r="L53" s="17">
        <f>VLOOKUP($C53,[1]Peak_Forward!$A$5:$AG$128,'price-new'!L$2,FALSE)</f>
        <v>32.17</v>
      </c>
      <c r="M53" s="17">
        <f>VLOOKUP($C53,[1]Peak_Forward!$A$5:$AG$128,'price-new'!M$2,FALSE)</f>
        <v>32</v>
      </c>
      <c r="N53" s="17">
        <f>VLOOKUP($C53,[1]Peak_Forward!$A$5:$AG$128,'price-new'!N$2,FALSE)</f>
        <v>41</v>
      </c>
      <c r="O53" s="17">
        <f>VLOOKUP($C53,[1]Peak_Forward!$A$5:$AG$128,'price-new'!O$2,FALSE)</f>
        <v>30.81</v>
      </c>
      <c r="P53" s="17">
        <f>VLOOKUP($C53,[1]Peak_Forward!$A$5:$AG$128,'price-new'!P$2,FALSE)</f>
        <v>33.159999999999997</v>
      </c>
      <c r="Q53" s="17">
        <f>VLOOKUP($C53,[1]Peak_Forward!$A$5:$AG$128,'price-new'!Q$2,FALSE)</f>
        <v>28.315000000000001</v>
      </c>
      <c r="R53" s="17">
        <f>VLOOKUP($C53,[1]Peak_Forward!$A$5:$AG$128,'price-new'!R$2,FALSE)</f>
        <v>31.25</v>
      </c>
      <c r="S53" s="6">
        <f>VLOOKUP($C53,[1]Peak_Forward!$A$5:$AG$128,'price-new'!S$2,FALSE)</f>
        <v>32.81</v>
      </c>
      <c r="T53" s="6">
        <f>VLOOKUP($C53,[1]Peak_Forward!$A$5:$AG$128,'price-new'!T$2,FALSE)</f>
        <v>33.06</v>
      </c>
      <c r="U53" s="6"/>
    </row>
    <row r="54" spans="3:21" x14ac:dyDescent="0.2">
      <c r="C54" s="1">
        <v>38412</v>
      </c>
      <c r="E54" s="17">
        <f>VLOOKUP($C54,[1]Peak_Forward!$A$5:$AG$128,'price-new'!E$2,FALSE)</f>
        <v>26.91</v>
      </c>
      <c r="F54" s="17">
        <f>VLOOKUP($C54,[1]Peak_Forward!$A$5:$AG$128,'price-new'!F$2,FALSE)</f>
        <v>27.66</v>
      </c>
      <c r="G54" s="17">
        <f>VLOOKUP($C54,[1]Peak_Forward!$A$5:$AG$128,'price-new'!G$2,FALSE)</f>
        <v>26.366</v>
      </c>
      <c r="H54" s="17">
        <f>VLOOKUP($C54,[1]Peak_Forward!$A$5:$AG$128,'price-new'!H$2,FALSE)</f>
        <v>25.36</v>
      </c>
      <c r="I54" s="17">
        <f>VLOOKUP($C54,[1]Peak_Forward!$A$5:$AG$128,'price-new'!I$2,FALSE)</f>
        <v>26.41</v>
      </c>
      <c r="J54" s="17">
        <f>VLOOKUP($C54,[1]Peak_Forward!$A$5:$AG$128,'price-new'!J$2,FALSE)</f>
        <v>27.66</v>
      </c>
      <c r="K54" s="17">
        <f>VLOOKUP($C54,[1]Peak_Forward!$A$5:$AG$128,'price-new'!K$2,FALSE)</f>
        <v>33.5</v>
      </c>
      <c r="L54" s="17">
        <f>VLOOKUP($C54,[1]Peak_Forward!$A$5:$AG$128,'price-new'!L$2,FALSE)</f>
        <v>29.74</v>
      </c>
      <c r="M54" s="17">
        <f>VLOOKUP($C54,[1]Peak_Forward!$A$5:$AG$128,'price-new'!M$2,FALSE)</f>
        <v>30</v>
      </c>
      <c r="N54" s="17">
        <f>VLOOKUP($C54,[1]Peak_Forward!$A$5:$AG$128,'price-new'!N$2,FALSE)</f>
        <v>37.5</v>
      </c>
      <c r="O54" s="17">
        <f>VLOOKUP($C54,[1]Peak_Forward!$A$5:$AG$128,'price-new'!O$2,FALSE)</f>
        <v>28.56</v>
      </c>
      <c r="P54" s="17">
        <f>VLOOKUP($C54,[1]Peak_Forward!$A$5:$AG$128,'price-new'!P$2,FALSE)</f>
        <v>29.26</v>
      </c>
      <c r="Q54" s="17">
        <f>VLOOKUP($C54,[1]Peak_Forward!$A$5:$AG$128,'price-new'!Q$2,FALSE)</f>
        <v>28.065000000000001</v>
      </c>
      <c r="R54" s="17">
        <f>VLOOKUP($C54,[1]Peak_Forward!$A$5:$AG$128,'price-new'!R$2,FALSE)</f>
        <v>29.5</v>
      </c>
      <c r="S54" s="6">
        <f>VLOOKUP($C54,[1]Peak_Forward!$A$5:$AG$128,'price-new'!S$2,FALSE)</f>
        <v>30.56</v>
      </c>
      <c r="T54" s="6">
        <f>VLOOKUP($C54,[1]Peak_Forward!$A$5:$AG$128,'price-new'!T$2,FALSE)</f>
        <v>30.81</v>
      </c>
      <c r="U54" s="6"/>
    </row>
    <row r="55" spans="3:21" x14ac:dyDescent="0.2">
      <c r="C55" s="1">
        <v>38443</v>
      </c>
      <c r="E55" s="17">
        <f>VLOOKUP($C55,[1]Peak_Forward!$A$5:$AG$128,'price-new'!E$2,FALSE)</f>
        <v>28.12</v>
      </c>
      <c r="F55" s="17">
        <f>VLOOKUP($C55,[1]Peak_Forward!$A$5:$AG$128,'price-new'!F$2,FALSE)</f>
        <v>28.87</v>
      </c>
      <c r="G55" s="17">
        <f>VLOOKUP($C55,[1]Peak_Forward!$A$5:$AG$128,'price-new'!G$2,FALSE)</f>
        <v>27.15</v>
      </c>
      <c r="H55" s="17">
        <f>VLOOKUP($C55,[1]Peak_Forward!$A$5:$AG$128,'price-new'!H$2,FALSE)</f>
        <v>26.57</v>
      </c>
      <c r="I55" s="17">
        <f>VLOOKUP($C55,[1]Peak_Forward!$A$5:$AG$128,'price-new'!I$2,FALSE)</f>
        <v>27.62</v>
      </c>
      <c r="J55" s="17">
        <f>VLOOKUP($C55,[1]Peak_Forward!$A$5:$AG$128,'price-new'!J$2,FALSE)</f>
        <v>28.87</v>
      </c>
      <c r="K55" s="17">
        <f>VLOOKUP($C55,[1]Peak_Forward!$A$5:$AG$128,'price-new'!K$2,FALSE)</f>
        <v>33.5</v>
      </c>
      <c r="L55" s="17">
        <f>VLOOKUP($C55,[1]Peak_Forward!$A$5:$AG$128,'price-new'!L$2,FALSE)</f>
        <v>30.95</v>
      </c>
      <c r="M55" s="17">
        <f>VLOOKUP($C55,[1]Peak_Forward!$A$5:$AG$128,'price-new'!M$2,FALSE)</f>
        <v>30</v>
      </c>
      <c r="N55" s="17">
        <f>VLOOKUP($C55,[1]Peak_Forward!$A$5:$AG$128,'price-new'!N$2,FALSE)</f>
        <v>37.5</v>
      </c>
      <c r="O55" s="17">
        <f>VLOOKUP($C55,[1]Peak_Forward!$A$5:$AG$128,'price-new'!O$2,FALSE)</f>
        <v>28.56</v>
      </c>
      <c r="P55" s="17">
        <f>VLOOKUP($C55,[1]Peak_Forward!$A$5:$AG$128,'price-new'!P$2,FALSE)</f>
        <v>30.02</v>
      </c>
      <c r="Q55" s="17">
        <f>VLOOKUP($C55,[1]Peak_Forward!$A$5:$AG$128,'price-new'!Q$2,FALSE)</f>
        <v>28.065999999999999</v>
      </c>
      <c r="R55" s="17">
        <f>VLOOKUP($C55,[1]Peak_Forward!$A$5:$AG$128,'price-new'!R$2,FALSE)</f>
        <v>29.5</v>
      </c>
      <c r="S55" s="6">
        <f>VLOOKUP($C55,[1]Peak_Forward!$A$5:$AG$128,'price-new'!S$2,FALSE)</f>
        <v>30.56</v>
      </c>
      <c r="T55" s="6">
        <f>VLOOKUP($C55,[1]Peak_Forward!$A$5:$AG$128,'price-new'!T$2,FALSE)</f>
        <v>30.81</v>
      </c>
      <c r="U55" s="6"/>
    </row>
    <row r="56" spans="3:21" x14ac:dyDescent="0.2">
      <c r="C56" s="1">
        <v>38473</v>
      </c>
      <c r="E56" s="17">
        <f>VLOOKUP($C56,[1]Peak_Forward!$A$5:$AG$128,'price-new'!E$2,FALSE)</f>
        <v>29.76</v>
      </c>
      <c r="F56" s="17">
        <f>VLOOKUP($C56,[1]Peak_Forward!$A$5:$AG$128,'price-new'!F$2,FALSE)</f>
        <v>30.76</v>
      </c>
      <c r="G56" s="17">
        <f>VLOOKUP($C56,[1]Peak_Forward!$A$5:$AG$128,'price-new'!G$2,FALSE)</f>
        <v>29.11</v>
      </c>
      <c r="H56" s="17">
        <f>VLOOKUP($C56,[1]Peak_Forward!$A$5:$AG$128,'price-new'!H$2,FALSE)</f>
        <v>28.26</v>
      </c>
      <c r="I56" s="17">
        <f>VLOOKUP($C56,[1]Peak_Forward!$A$5:$AG$128,'price-new'!I$2,FALSE)</f>
        <v>29.26</v>
      </c>
      <c r="J56" s="17">
        <f>VLOOKUP($C56,[1]Peak_Forward!$A$5:$AG$128,'price-new'!J$2,FALSE)</f>
        <v>30.76</v>
      </c>
      <c r="K56" s="17">
        <f>VLOOKUP($C56,[1]Peak_Forward!$A$5:$AG$128,'price-new'!K$2,FALSE)</f>
        <v>33</v>
      </c>
      <c r="L56" s="17">
        <f>VLOOKUP($C56,[1]Peak_Forward!$A$5:$AG$128,'price-new'!L$2,FALSE)</f>
        <v>34.39</v>
      </c>
      <c r="M56" s="17">
        <f>VLOOKUP($C56,[1]Peak_Forward!$A$5:$AG$128,'price-new'!M$2,FALSE)</f>
        <v>31</v>
      </c>
      <c r="N56" s="17">
        <f>VLOOKUP($C56,[1]Peak_Forward!$A$5:$AG$128,'price-new'!N$2,FALSE)</f>
        <v>38.5</v>
      </c>
      <c r="O56" s="17">
        <f>VLOOKUP($C56,[1]Peak_Forward!$A$5:$AG$128,'price-new'!O$2,FALSE)</f>
        <v>30.26</v>
      </c>
      <c r="P56" s="17">
        <f>VLOOKUP($C56,[1]Peak_Forward!$A$5:$AG$128,'price-new'!P$2,FALSE)</f>
        <v>26.46</v>
      </c>
      <c r="Q56" s="17">
        <f>VLOOKUP($C56,[1]Peak_Forward!$A$5:$AG$128,'price-new'!Q$2,FALSE)</f>
        <v>29.420999999999999</v>
      </c>
      <c r="R56" s="17">
        <f>VLOOKUP($C56,[1]Peak_Forward!$A$5:$AG$128,'price-new'!R$2,FALSE)</f>
        <v>31</v>
      </c>
      <c r="S56" s="6">
        <f>VLOOKUP($C56,[1]Peak_Forward!$A$5:$AG$128,'price-new'!S$2,FALSE)</f>
        <v>32.76</v>
      </c>
      <c r="T56" s="6">
        <f>VLOOKUP($C56,[1]Peak_Forward!$A$5:$AG$128,'price-new'!T$2,FALSE)</f>
        <v>33.51</v>
      </c>
      <c r="U56" s="6"/>
    </row>
    <row r="57" spans="3:21" x14ac:dyDescent="0.2">
      <c r="C57" s="1">
        <v>38504</v>
      </c>
      <c r="E57" s="17">
        <f>VLOOKUP($C57,[1]Peak_Forward!$A$5:$AG$128,'price-new'!E$2,FALSE)</f>
        <v>35.369999999999997</v>
      </c>
      <c r="F57" s="17">
        <f>VLOOKUP($C57,[1]Peak_Forward!$A$5:$AG$128,'price-new'!F$2,FALSE)</f>
        <v>36.869999999999997</v>
      </c>
      <c r="G57" s="17">
        <f>VLOOKUP($C57,[1]Peak_Forward!$A$5:$AG$128,'price-new'!G$2,FALSE)</f>
        <v>33.159999999999997</v>
      </c>
      <c r="H57" s="17">
        <f>VLOOKUP($C57,[1]Peak_Forward!$A$5:$AG$128,'price-new'!H$2,FALSE)</f>
        <v>33.72</v>
      </c>
      <c r="I57" s="17">
        <f>VLOOKUP($C57,[1]Peak_Forward!$A$5:$AG$128,'price-new'!I$2,FALSE)</f>
        <v>34.869999999999997</v>
      </c>
      <c r="J57" s="17">
        <f>VLOOKUP($C57,[1]Peak_Forward!$A$5:$AG$128,'price-new'!J$2,FALSE)</f>
        <v>36.869999999999997</v>
      </c>
      <c r="K57" s="17">
        <f>VLOOKUP($C57,[1]Peak_Forward!$A$5:$AG$128,'price-new'!K$2,FALSE)</f>
        <v>38</v>
      </c>
      <c r="L57" s="17">
        <f>VLOOKUP($C57,[1]Peak_Forward!$A$5:$AG$128,'price-new'!L$2,FALSE)</f>
        <v>38.39</v>
      </c>
      <c r="M57" s="17">
        <f>VLOOKUP($C57,[1]Peak_Forward!$A$5:$AG$128,'price-new'!M$2,FALSE)</f>
        <v>41</v>
      </c>
      <c r="N57" s="17">
        <f>VLOOKUP($C57,[1]Peak_Forward!$A$5:$AG$128,'price-new'!N$2,FALSE)</f>
        <v>47</v>
      </c>
      <c r="O57" s="17">
        <f>VLOOKUP($C57,[1]Peak_Forward!$A$5:$AG$128,'price-new'!O$2,FALSE)</f>
        <v>37.26</v>
      </c>
      <c r="P57" s="17">
        <f>VLOOKUP($C57,[1]Peak_Forward!$A$5:$AG$128,'price-new'!P$2,FALSE)</f>
        <v>30.77</v>
      </c>
      <c r="Q57" s="17">
        <f>VLOOKUP($C57,[1]Peak_Forward!$A$5:$AG$128,'price-new'!Q$2,FALSE)</f>
        <v>36.895000000000003</v>
      </c>
      <c r="R57" s="17">
        <f>VLOOKUP($C57,[1]Peak_Forward!$A$5:$AG$128,'price-new'!R$2,FALSE)</f>
        <v>41</v>
      </c>
      <c r="S57" s="6">
        <f>VLOOKUP($C57,[1]Peak_Forward!$A$5:$AG$128,'price-new'!S$2,FALSE)</f>
        <v>40.01</v>
      </c>
      <c r="T57" s="6">
        <f>VLOOKUP($C57,[1]Peak_Forward!$A$5:$AG$128,'price-new'!T$2,FALSE)</f>
        <v>42.51</v>
      </c>
      <c r="U57" s="6"/>
    </row>
    <row r="58" spans="3:21" x14ac:dyDescent="0.2">
      <c r="C58" s="1">
        <v>38534</v>
      </c>
      <c r="E58" s="17">
        <f>VLOOKUP($C58,[1]Peak_Forward!$A$5:$AG$128,'price-new'!E$2,FALSE)</f>
        <v>45.384999999999998</v>
      </c>
      <c r="F58" s="17">
        <f>VLOOKUP($C58,[1]Peak_Forward!$A$5:$AG$128,'price-new'!F$2,FALSE)</f>
        <v>47.884999999999998</v>
      </c>
      <c r="G58" s="17">
        <f>VLOOKUP($C58,[1]Peak_Forward!$A$5:$AG$128,'price-new'!G$2,FALSE)</f>
        <v>42.71</v>
      </c>
      <c r="H58" s="17">
        <f>VLOOKUP($C58,[1]Peak_Forward!$A$5:$AG$128,'price-new'!H$2,FALSE)</f>
        <v>43.335000000000001</v>
      </c>
      <c r="I58" s="17">
        <f>VLOOKUP($C58,[1]Peak_Forward!$A$5:$AG$128,'price-new'!I$2,FALSE)</f>
        <v>44.884999999999998</v>
      </c>
      <c r="J58" s="17">
        <f>VLOOKUP($C58,[1]Peak_Forward!$A$5:$AG$128,'price-new'!J$2,FALSE)</f>
        <v>47.884999999999998</v>
      </c>
      <c r="K58" s="17">
        <f>VLOOKUP($C58,[1]Peak_Forward!$A$5:$AG$128,'price-new'!K$2,FALSE)</f>
        <v>46.5</v>
      </c>
      <c r="L58" s="17">
        <f>VLOOKUP($C58,[1]Peak_Forward!$A$5:$AG$128,'price-new'!L$2,FALSE)</f>
        <v>44.134999999999998</v>
      </c>
      <c r="M58" s="17">
        <f>VLOOKUP($C58,[1]Peak_Forward!$A$5:$AG$128,'price-new'!M$2,FALSE)</f>
        <v>52</v>
      </c>
      <c r="N58" s="17">
        <f>VLOOKUP($C58,[1]Peak_Forward!$A$5:$AG$128,'price-new'!N$2,FALSE)</f>
        <v>68</v>
      </c>
      <c r="O58" s="17">
        <f>VLOOKUP($C58,[1]Peak_Forward!$A$5:$AG$128,'price-new'!O$2,FALSE)</f>
        <v>45.55</v>
      </c>
      <c r="P58" s="17">
        <f>VLOOKUP($C58,[1]Peak_Forward!$A$5:$AG$128,'price-new'!P$2,FALSE)</f>
        <v>37.685000000000002</v>
      </c>
      <c r="Q58" s="17">
        <f>VLOOKUP($C58,[1]Peak_Forward!$A$5:$AG$128,'price-new'!Q$2,FALSE)</f>
        <v>46.552</v>
      </c>
      <c r="R58" s="17">
        <f>VLOOKUP($C58,[1]Peak_Forward!$A$5:$AG$128,'price-new'!R$2,FALSE)</f>
        <v>50.25</v>
      </c>
      <c r="S58" s="6">
        <f>VLOOKUP($C58,[1]Peak_Forward!$A$5:$AG$128,'price-new'!S$2,FALSE)</f>
        <v>48.3</v>
      </c>
      <c r="T58" s="6">
        <f>VLOOKUP($C58,[1]Peak_Forward!$A$5:$AG$128,'price-new'!T$2,FALSE)</f>
        <v>50.8</v>
      </c>
      <c r="U58" s="6"/>
    </row>
    <row r="59" spans="3:21" x14ac:dyDescent="0.2">
      <c r="C59" s="1">
        <v>38565</v>
      </c>
      <c r="E59" s="17">
        <f>VLOOKUP($C59,[1]Peak_Forward!$A$5:$AG$128,'price-new'!E$2,FALSE)</f>
        <v>44.734999999999999</v>
      </c>
      <c r="F59" s="17">
        <f>VLOOKUP($C59,[1]Peak_Forward!$A$5:$AG$128,'price-new'!F$2,FALSE)</f>
        <v>47.234999999999999</v>
      </c>
      <c r="G59" s="17">
        <f>VLOOKUP($C59,[1]Peak_Forward!$A$5:$AG$128,'price-new'!G$2,FALSE)</f>
        <v>42.31</v>
      </c>
      <c r="H59" s="17">
        <f>VLOOKUP($C59,[1]Peak_Forward!$A$5:$AG$128,'price-new'!H$2,FALSE)</f>
        <v>42.685000000000002</v>
      </c>
      <c r="I59" s="17">
        <f>VLOOKUP($C59,[1]Peak_Forward!$A$5:$AG$128,'price-new'!I$2,FALSE)</f>
        <v>44.234999999999999</v>
      </c>
      <c r="J59" s="17">
        <f>VLOOKUP($C59,[1]Peak_Forward!$A$5:$AG$128,'price-new'!J$2,FALSE)</f>
        <v>47.234999999999999</v>
      </c>
      <c r="K59" s="17">
        <f>VLOOKUP($C59,[1]Peak_Forward!$A$5:$AG$128,'price-new'!K$2,FALSE)</f>
        <v>46.5</v>
      </c>
      <c r="L59" s="17">
        <f>VLOOKUP($C59,[1]Peak_Forward!$A$5:$AG$128,'price-new'!L$2,FALSE)</f>
        <v>44.484999999999999</v>
      </c>
      <c r="M59" s="17">
        <f>VLOOKUP($C59,[1]Peak_Forward!$A$5:$AG$128,'price-new'!M$2,FALSE)</f>
        <v>52</v>
      </c>
      <c r="N59" s="17">
        <f>VLOOKUP($C59,[1]Peak_Forward!$A$5:$AG$128,'price-new'!N$2,FALSE)</f>
        <v>68</v>
      </c>
      <c r="O59" s="17">
        <f>VLOOKUP($C59,[1]Peak_Forward!$A$5:$AG$128,'price-new'!O$2,FALSE)</f>
        <v>44.55</v>
      </c>
      <c r="P59" s="17">
        <f>VLOOKUP($C59,[1]Peak_Forward!$A$5:$AG$128,'price-new'!P$2,FALSE)</f>
        <v>37.034999999999997</v>
      </c>
      <c r="Q59" s="17">
        <f>VLOOKUP($C59,[1]Peak_Forward!$A$5:$AG$128,'price-new'!Q$2,FALSE)</f>
        <v>46.802</v>
      </c>
      <c r="R59" s="17">
        <f>VLOOKUP($C59,[1]Peak_Forward!$A$5:$AG$128,'price-new'!R$2,FALSE)</f>
        <v>50.25</v>
      </c>
      <c r="S59" s="6">
        <f>VLOOKUP($C59,[1]Peak_Forward!$A$5:$AG$128,'price-new'!S$2,FALSE)</f>
        <v>47.3</v>
      </c>
      <c r="T59" s="6">
        <f>VLOOKUP($C59,[1]Peak_Forward!$A$5:$AG$128,'price-new'!T$2,FALSE)</f>
        <v>49.8</v>
      </c>
      <c r="U59" s="6"/>
    </row>
    <row r="60" spans="3:21" x14ac:dyDescent="0.2">
      <c r="C60" s="1">
        <v>38596</v>
      </c>
      <c r="E60" s="17">
        <f>VLOOKUP($C60,[1]Peak_Forward!$A$5:$AG$128,'price-new'!E$2,FALSE)</f>
        <v>28.16</v>
      </c>
      <c r="F60" s="17">
        <f>VLOOKUP($C60,[1]Peak_Forward!$A$5:$AG$128,'price-new'!F$2,FALSE)</f>
        <v>29.66</v>
      </c>
      <c r="G60" s="17">
        <f>VLOOKUP($C60,[1]Peak_Forward!$A$5:$AG$128,'price-new'!G$2,FALSE)</f>
        <v>30.06</v>
      </c>
      <c r="H60" s="17">
        <f>VLOOKUP($C60,[1]Peak_Forward!$A$5:$AG$128,'price-new'!H$2,FALSE)</f>
        <v>26.91</v>
      </c>
      <c r="I60" s="17">
        <f>VLOOKUP($C60,[1]Peak_Forward!$A$5:$AG$128,'price-new'!I$2,FALSE)</f>
        <v>27.66</v>
      </c>
      <c r="J60" s="17">
        <f>VLOOKUP($C60,[1]Peak_Forward!$A$5:$AG$128,'price-new'!J$2,FALSE)</f>
        <v>29.66</v>
      </c>
      <c r="K60" s="17">
        <f>VLOOKUP($C60,[1]Peak_Forward!$A$5:$AG$128,'price-new'!K$2,FALSE)</f>
        <v>31.75</v>
      </c>
      <c r="L60" s="17">
        <f>VLOOKUP($C60,[1]Peak_Forward!$A$5:$AG$128,'price-new'!L$2,FALSE)</f>
        <v>30.2</v>
      </c>
      <c r="M60" s="17">
        <f>VLOOKUP($C60,[1]Peak_Forward!$A$5:$AG$128,'price-new'!M$2,FALSE)</f>
        <v>29.75</v>
      </c>
      <c r="N60" s="17">
        <f>VLOOKUP($C60,[1]Peak_Forward!$A$5:$AG$128,'price-new'!N$2,FALSE)</f>
        <v>37.5</v>
      </c>
      <c r="O60" s="17">
        <f>VLOOKUP($C60,[1]Peak_Forward!$A$5:$AG$128,'price-new'!O$2,FALSE)</f>
        <v>27.62</v>
      </c>
      <c r="P60" s="17">
        <f>VLOOKUP($C60,[1]Peak_Forward!$A$5:$AG$128,'price-new'!P$2,FALSE)</f>
        <v>24.16</v>
      </c>
      <c r="Q60" s="17">
        <f>VLOOKUP($C60,[1]Peak_Forward!$A$5:$AG$128,'price-new'!Q$2,FALSE)</f>
        <v>25.341999999999999</v>
      </c>
      <c r="R60" s="17">
        <f>VLOOKUP($C60,[1]Peak_Forward!$A$5:$AG$128,'price-new'!R$2,FALSE)</f>
        <v>29</v>
      </c>
      <c r="S60" s="6">
        <f>VLOOKUP($C60,[1]Peak_Forward!$A$5:$AG$128,'price-new'!S$2,FALSE)</f>
        <v>29.87</v>
      </c>
      <c r="T60" s="6">
        <f>VLOOKUP($C60,[1]Peak_Forward!$A$5:$AG$128,'price-new'!T$2,FALSE)</f>
        <v>31.87</v>
      </c>
      <c r="U60" s="6"/>
    </row>
    <row r="61" spans="3:21" x14ac:dyDescent="0.2">
      <c r="C61" s="1">
        <v>38626</v>
      </c>
      <c r="E61" s="17">
        <f>VLOOKUP($C61,[1]Peak_Forward!$A$5:$AG$128,'price-new'!E$2,FALSE)</f>
        <v>27.85</v>
      </c>
      <c r="F61" s="17">
        <f>VLOOKUP($C61,[1]Peak_Forward!$A$5:$AG$128,'price-new'!F$2,FALSE)</f>
        <v>27.85</v>
      </c>
      <c r="G61" s="17">
        <f>VLOOKUP($C61,[1]Peak_Forward!$A$5:$AG$128,'price-new'!G$2,FALSE)</f>
        <v>28.28</v>
      </c>
      <c r="H61" s="17">
        <f>VLOOKUP($C61,[1]Peak_Forward!$A$5:$AG$128,'price-new'!H$2,FALSE)</f>
        <v>26.6</v>
      </c>
      <c r="I61" s="17">
        <f>VLOOKUP($C61,[1]Peak_Forward!$A$5:$AG$128,'price-new'!I$2,FALSE)</f>
        <v>27.35</v>
      </c>
      <c r="J61" s="17">
        <f>VLOOKUP($C61,[1]Peak_Forward!$A$5:$AG$128,'price-new'!J$2,FALSE)</f>
        <v>27.85</v>
      </c>
      <c r="K61" s="17">
        <f>VLOOKUP($C61,[1]Peak_Forward!$A$5:$AG$128,'price-new'!K$2,FALSE)</f>
        <v>31.75</v>
      </c>
      <c r="L61" s="17">
        <f>VLOOKUP($C61,[1]Peak_Forward!$A$5:$AG$128,'price-new'!L$2,FALSE)</f>
        <v>28.81</v>
      </c>
      <c r="M61" s="17">
        <f>VLOOKUP($C61,[1]Peak_Forward!$A$5:$AG$128,'price-new'!M$2,FALSE)</f>
        <v>29.75</v>
      </c>
      <c r="N61" s="17">
        <f>VLOOKUP($C61,[1]Peak_Forward!$A$5:$AG$128,'price-new'!N$2,FALSE)</f>
        <v>37.5</v>
      </c>
      <c r="O61" s="17">
        <f>VLOOKUP($C61,[1]Peak_Forward!$A$5:$AG$128,'price-new'!O$2,FALSE)</f>
        <v>29.16</v>
      </c>
      <c r="P61" s="17">
        <f>VLOOKUP($C61,[1]Peak_Forward!$A$5:$AG$128,'price-new'!P$2,FALSE)</f>
        <v>29.19</v>
      </c>
      <c r="Q61" s="17">
        <f>VLOOKUP($C61,[1]Peak_Forward!$A$5:$AG$128,'price-new'!Q$2,FALSE)</f>
        <v>26.792000000000002</v>
      </c>
      <c r="R61" s="17">
        <f>VLOOKUP($C61,[1]Peak_Forward!$A$5:$AG$128,'price-new'!R$2,FALSE)</f>
        <v>29</v>
      </c>
      <c r="S61" s="6">
        <f>VLOOKUP($C61,[1]Peak_Forward!$A$5:$AG$128,'price-new'!S$2,FALSE)</f>
        <v>31.16</v>
      </c>
      <c r="T61" s="6">
        <f>VLOOKUP($C61,[1]Peak_Forward!$A$5:$AG$128,'price-new'!T$2,FALSE)</f>
        <v>31.41</v>
      </c>
      <c r="U61" s="6"/>
    </row>
    <row r="62" spans="3:21" x14ac:dyDescent="0.2">
      <c r="C62" s="1">
        <v>38657</v>
      </c>
      <c r="E62" s="17">
        <f>VLOOKUP($C62,[1]Peak_Forward!$A$5:$AG$128,'price-new'!E$2,FALSE)</f>
        <v>28.96</v>
      </c>
      <c r="F62" s="17">
        <f>VLOOKUP($C62,[1]Peak_Forward!$A$5:$AG$128,'price-new'!F$2,FALSE)</f>
        <v>28.96</v>
      </c>
      <c r="G62" s="17">
        <f>VLOOKUP($C62,[1]Peak_Forward!$A$5:$AG$128,'price-new'!G$2,FALSE)</f>
        <v>27.28</v>
      </c>
      <c r="H62" s="17">
        <f>VLOOKUP($C62,[1]Peak_Forward!$A$5:$AG$128,'price-new'!H$2,FALSE)</f>
        <v>27.71</v>
      </c>
      <c r="I62" s="17">
        <f>VLOOKUP($C62,[1]Peak_Forward!$A$5:$AG$128,'price-new'!I$2,FALSE)</f>
        <v>28.46</v>
      </c>
      <c r="J62" s="17">
        <f>VLOOKUP($C62,[1]Peak_Forward!$A$5:$AG$128,'price-new'!J$2,FALSE)</f>
        <v>28.96</v>
      </c>
      <c r="K62" s="17">
        <f>VLOOKUP($C62,[1]Peak_Forward!$A$5:$AG$128,'price-new'!K$2,FALSE)</f>
        <v>31.75</v>
      </c>
      <c r="L62" s="17">
        <f>VLOOKUP($C62,[1]Peak_Forward!$A$5:$AG$128,'price-new'!L$2,FALSE)</f>
        <v>29.91</v>
      </c>
      <c r="M62" s="17">
        <f>VLOOKUP($C62,[1]Peak_Forward!$A$5:$AG$128,'price-new'!M$2,FALSE)</f>
        <v>29.75</v>
      </c>
      <c r="N62" s="17">
        <f>VLOOKUP($C62,[1]Peak_Forward!$A$5:$AG$128,'price-new'!N$2,FALSE)</f>
        <v>37.5</v>
      </c>
      <c r="O62" s="17">
        <f>VLOOKUP($C62,[1]Peak_Forward!$A$5:$AG$128,'price-new'!O$2,FALSE)</f>
        <v>29.16</v>
      </c>
      <c r="P62" s="17">
        <f>VLOOKUP($C62,[1]Peak_Forward!$A$5:$AG$128,'price-new'!P$2,FALSE)</f>
        <v>33.700000000000003</v>
      </c>
      <c r="Q62" s="17">
        <f>VLOOKUP($C62,[1]Peak_Forward!$A$5:$AG$128,'price-new'!Q$2,FALSE)</f>
        <v>26.891999999999999</v>
      </c>
      <c r="R62" s="17">
        <f>VLOOKUP($C62,[1]Peak_Forward!$A$5:$AG$128,'price-new'!R$2,FALSE)</f>
        <v>29</v>
      </c>
      <c r="S62" s="6">
        <f>VLOOKUP($C62,[1]Peak_Forward!$A$5:$AG$128,'price-new'!S$2,FALSE)</f>
        <v>31.16</v>
      </c>
      <c r="T62" s="6">
        <f>VLOOKUP($C62,[1]Peak_Forward!$A$5:$AG$128,'price-new'!T$2,FALSE)</f>
        <v>31.41</v>
      </c>
      <c r="U62" s="6"/>
    </row>
    <row r="63" spans="3:21" x14ac:dyDescent="0.2">
      <c r="C63" s="1">
        <v>38687</v>
      </c>
      <c r="E63" s="17">
        <f>VLOOKUP($C63,[1]Peak_Forward!$A$5:$AG$128,'price-new'!E$2,FALSE)</f>
        <v>29.48</v>
      </c>
      <c r="F63" s="17">
        <f>VLOOKUP($C63,[1]Peak_Forward!$A$5:$AG$128,'price-new'!F$2,FALSE)</f>
        <v>29.48</v>
      </c>
      <c r="G63" s="17">
        <f>VLOOKUP($C63,[1]Peak_Forward!$A$5:$AG$128,'price-new'!G$2,FALSE)</f>
        <v>28.18</v>
      </c>
      <c r="H63" s="17">
        <f>VLOOKUP($C63,[1]Peak_Forward!$A$5:$AG$128,'price-new'!H$2,FALSE)</f>
        <v>28.23</v>
      </c>
      <c r="I63" s="17">
        <f>VLOOKUP($C63,[1]Peak_Forward!$A$5:$AG$128,'price-new'!I$2,FALSE)</f>
        <v>28.98</v>
      </c>
      <c r="J63" s="17">
        <f>VLOOKUP($C63,[1]Peak_Forward!$A$5:$AG$128,'price-new'!J$2,FALSE)</f>
        <v>29.48</v>
      </c>
      <c r="K63" s="17">
        <f>VLOOKUP($C63,[1]Peak_Forward!$A$5:$AG$128,'price-new'!K$2,FALSE)</f>
        <v>31.75</v>
      </c>
      <c r="L63" s="17">
        <f>VLOOKUP($C63,[1]Peak_Forward!$A$5:$AG$128,'price-new'!L$2,FALSE)</f>
        <v>30.43</v>
      </c>
      <c r="M63" s="17">
        <f>VLOOKUP($C63,[1]Peak_Forward!$A$5:$AG$128,'price-new'!M$2,FALSE)</f>
        <v>29.75</v>
      </c>
      <c r="N63" s="17">
        <f>VLOOKUP($C63,[1]Peak_Forward!$A$5:$AG$128,'price-new'!N$2,FALSE)</f>
        <v>37.5</v>
      </c>
      <c r="O63" s="17">
        <f>VLOOKUP($C63,[1]Peak_Forward!$A$5:$AG$128,'price-new'!O$2,FALSE)</f>
        <v>29.16</v>
      </c>
      <c r="P63" s="17">
        <f>VLOOKUP($C63,[1]Peak_Forward!$A$5:$AG$128,'price-new'!P$2,FALSE)</f>
        <v>34.619999999999997</v>
      </c>
      <c r="Q63" s="17">
        <f>VLOOKUP($C63,[1]Peak_Forward!$A$5:$AG$128,'price-new'!Q$2,FALSE)</f>
        <v>26.992000000000001</v>
      </c>
      <c r="R63" s="17">
        <f>VLOOKUP($C63,[1]Peak_Forward!$A$5:$AG$128,'price-new'!R$2,FALSE)</f>
        <v>29</v>
      </c>
      <c r="S63" s="6">
        <f>VLOOKUP($C63,[1]Peak_Forward!$A$5:$AG$128,'price-new'!S$2,FALSE)</f>
        <v>31.16</v>
      </c>
      <c r="T63" s="6">
        <f>VLOOKUP($C63,[1]Peak_Forward!$A$5:$AG$128,'price-new'!T$2,FALSE)</f>
        <v>31.41</v>
      </c>
      <c r="U63" s="6"/>
    </row>
    <row r="64" spans="3:21" x14ac:dyDescent="0.2">
      <c r="C64" s="1">
        <v>38718</v>
      </c>
      <c r="E64" s="17">
        <f>VLOOKUP($C64,[1]Peak_Forward!$A$5:$AG$128,'price-new'!E$2,FALSE)</f>
        <v>30.81</v>
      </c>
      <c r="F64" s="17">
        <f>VLOOKUP($C64,[1]Peak_Forward!$A$5:$AG$128,'price-new'!F$2,FALSE)</f>
        <v>31.31</v>
      </c>
      <c r="G64" s="17">
        <f>VLOOKUP($C64,[1]Peak_Forward!$A$5:$AG$128,'price-new'!G$2,FALSE)</f>
        <v>30.22</v>
      </c>
      <c r="H64" s="17">
        <f>VLOOKUP($C64,[1]Peak_Forward!$A$5:$AG$128,'price-new'!H$2,FALSE)</f>
        <v>29.26</v>
      </c>
      <c r="I64" s="17">
        <f>VLOOKUP($C64,[1]Peak_Forward!$A$5:$AG$128,'price-new'!I$2,FALSE)</f>
        <v>30.31</v>
      </c>
      <c r="J64" s="17">
        <f>VLOOKUP($C64,[1]Peak_Forward!$A$5:$AG$128,'price-new'!J$2,FALSE)</f>
        <v>31.31</v>
      </c>
      <c r="K64" s="17">
        <f>VLOOKUP($C64,[1]Peak_Forward!$A$5:$AG$128,'price-new'!K$2,FALSE)</f>
        <v>42.55</v>
      </c>
      <c r="L64" s="17">
        <f>VLOOKUP($C64,[1]Peak_Forward!$A$5:$AG$128,'price-new'!L$2,FALSE)</f>
        <v>34</v>
      </c>
      <c r="M64" s="17">
        <f>VLOOKUP($C64,[1]Peak_Forward!$A$5:$AG$128,'price-new'!M$2,FALSE)</f>
        <v>32.5</v>
      </c>
      <c r="N64" s="17">
        <f>VLOOKUP($C64,[1]Peak_Forward!$A$5:$AG$128,'price-new'!N$2,FALSE)</f>
        <v>42</v>
      </c>
      <c r="O64" s="17">
        <f>VLOOKUP($C64,[1]Peak_Forward!$A$5:$AG$128,'price-new'!O$2,FALSE)</f>
        <v>31.62</v>
      </c>
      <c r="P64" s="17">
        <f>VLOOKUP($C64,[1]Peak_Forward!$A$5:$AG$128,'price-new'!P$2,FALSE)</f>
        <v>33.76</v>
      </c>
      <c r="Q64" s="17">
        <f>VLOOKUP($C64,[1]Peak_Forward!$A$5:$AG$128,'price-new'!Q$2,FALSE)</f>
        <v>28.891999999999999</v>
      </c>
      <c r="R64" s="17">
        <f>VLOOKUP($C64,[1]Peak_Forward!$A$5:$AG$128,'price-new'!R$2,FALSE)</f>
        <v>31.75</v>
      </c>
      <c r="S64" s="6">
        <f>VLOOKUP($C64,[1]Peak_Forward!$A$5:$AG$128,'price-new'!S$2,FALSE)</f>
        <v>33.619999999999997</v>
      </c>
      <c r="T64" s="6">
        <f>VLOOKUP($C64,[1]Peak_Forward!$A$5:$AG$128,'price-new'!T$2,FALSE)</f>
        <v>33.869999999999997</v>
      </c>
      <c r="U64" s="6"/>
    </row>
    <row r="65" spans="3:21" x14ac:dyDescent="0.2">
      <c r="C65" s="1">
        <v>38749</v>
      </c>
      <c r="E65" s="17">
        <f>VLOOKUP($C65,[1]Peak_Forward!$A$5:$AG$128,'price-new'!E$2,FALSE)</f>
        <v>29.51</v>
      </c>
      <c r="F65" s="17">
        <f>VLOOKUP($C65,[1]Peak_Forward!$A$5:$AG$128,'price-new'!F$2,FALSE)</f>
        <v>30.01</v>
      </c>
      <c r="G65" s="17">
        <f>VLOOKUP($C65,[1]Peak_Forward!$A$5:$AG$128,'price-new'!G$2,FALSE)</f>
        <v>29.47</v>
      </c>
      <c r="H65" s="17">
        <f>VLOOKUP($C65,[1]Peak_Forward!$A$5:$AG$128,'price-new'!H$2,FALSE)</f>
        <v>27.96</v>
      </c>
      <c r="I65" s="17">
        <f>VLOOKUP($C65,[1]Peak_Forward!$A$5:$AG$128,'price-new'!I$2,FALSE)</f>
        <v>29.01</v>
      </c>
      <c r="J65" s="17">
        <f>VLOOKUP($C65,[1]Peak_Forward!$A$5:$AG$128,'price-new'!J$2,FALSE)</f>
        <v>30.01</v>
      </c>
      <c r="K65" s="17">
        <f>VLOOKUP($C65,[1]Peak_Forward!$A$5:$AG$128,'price-new'!K$2,FALSE)</f>
        <v>42.55</v>
      </c>
      <c r="L65" s="17">
        <f>VLOOKUP($C65,[1]Peak_Forward!$A$5:$AG$128,'price-new'!L$2,FALSE)</f>
        <v>33</v>
      </c>
      <c r="M65" s="17">
        <f>VLOOKUP($C65,[1]Peak_Forward!$A$5:$AG$128,'price-new'!M$2,FALSE)</f>
        <v>32.5</v>
      </c>
      <c r="N65" s="17">
        <f>VLOOKUP($C65,[1]Peak_Forward!$A$5:$AG$128,'price-new'!N$2,FALSE)</f>
        <v>42</v>
      </c>
      <c r="O65" s="17">
        <f>VLOOKUP($C65,[1]Peak_Forward!$A$5:$AG$128,'price-new'!O$2,FALSE)</f>
        <v>30.62</v>
      </c>
      <c r="P65" s="17">
        <f>VLOOKUP($C65,[1]Peak_Forward!$A$5:$AG$128,'price-new'!P$2,FALSE)</f>
        <v>33.46</v>
      </c>
      <c r="Q65" s="17">
        <f>VLOOKUP($C65,[1]Peak_Forward!$A$5:$AG$128,'price-new'!Q$2,FALSE)</f>
        <v>28.645</v>
      </c>
      <c r="R65" s="17">
        <f>VLOOKUP($C65,[1]Peak_Forward!$A$5:$AG$128,'price-new'!R$2,FALSE)</f>
        <v>31.75</v>
      </c>
      <c r="S65" s="6">
        <f>VLOOKUP($C65,[1]Peak_Forward!$A$5:$AG$128,'price-new'!S$2,FALSE)</f>
        <v>32.619999999999997</v>
      </c>
      <c r="T65" s="6">
        <f>VLOOKUP($C65,[1]Peak_Forward!$A$5:$AG$128,'price-new'!T$2,FALSE)</f>
        <v>32.869999999999997</v>
      </c>
      <c r="U65" s="6"/>
    </row>
    <row r="66" spans="3:21" x14ac:dyDescent="0.2">
      <c r="C66" s="1">
        <v>38777</v>
      </c>
      <c r="E66" s="17">
        <f>VLOOKUP($C66,[1]Peak_Forward!$A$5:$AG$128,'price-new'!E$2,FALSE)</f>
        <v>28.45</v>
      </c>
      <c r="F66" s="17">
        <f>VLOOKUP($C66,[1]Peak_Forward!$A$5:$AG$128,'price-new'!F$2,FALSE)</f>
        <v>29.2</v>
      </c>
      <c r="G66" s="17">
        <f>VLOOKUP($C66,[1]Peak_Forward!$A$5:$AG$128,'price-new'!G$2,FALSE)</f>
        <v>27.905999999999999</v>
      </c>
      <c r="H66" s="17">
        <f>VLOOKUP($C66,[1]Peak_Forward!$A$5:$AG$128,'price-new'!H$2,FALSE)</f>
        <v>26.9</v>
      </c>
      <c r="I66" s="17">
        <f>VLOOKUP($C66,[1]Peak_Forward!$A$5:$AG$128,'price-new'!I$2,FALSE)</f>
        <v>27.95</v>
      </c>
      <c r="J66" s="17">
        <f>VLOOKUP($C66,[1]Peak_Forward!$A$5:$AG$128,'price-new'!J$2,FALSE)</f>
        <v>29.2</v>
      </c>
      <c r="K66" s="17">
        <f>VLOOKUP($C66,[1]Peak_Forward!$A$5:$AG$128,'price-new'!K$2,FALSE)</f>
        <v>34.549999999999997</v>
      </c>
      <c r="L66" s="17">
        <f>VLOOKUP($C66,[1]Peak_Forward!$A$5:$AG$128,'price-new'!L$2,FALSE)</f>
        <v>31.66</v>
      </c>
      <c r="M66" s="17">
        <f>VLOOKUP($C66,[1]Peak_Forward!$A$5:$AG$128,'price-new'!M$2,FALSE)</f>
        <v>30.5</v>
      </c>
      <c r="N66" s="17">
        <f>VLOOKUP($C66,[1]Peak_Forward!$A$5:$AG$128,'price-new'!N$2,FALSE)</f>
        <v>38</v>
      </c>
      <c r="O66" s="17">
        <f>VLOOKUP($C66,[1]Peak_Forward!$A$5:$AG$128,'price-new'!O$2,FALSE)</f>
        <v>28.37</v>
      </c>
      <c r="P66" s="17">
        <f>VLOOKUP($C66,[1]Peak_Forward!$A$5:$AG$128,'price-new'!P$2,FALSE)</f>
        <v>30.65</v>
      </c>
      <c r="Q66" s="17">
        <f>VLOOKUP($C66,[1]Peak_Forward!$A$5:$AG$128,'price-new'!Q$2,FALSE)</f>
        <v>28.395</v>
      </c>
      <c r="R66" s="17">
        <f>VLOOKUP($C66,[1]Peak_Forward!$A$5:$AG$128,'price-new'!R$2,FALSE)</f>
        <v>29.75</v>
      </c>
      <c r="S66" s="6">
        <f>VLOOKUP($C66,[1]Peak_Forward!$A$5:$AG$128,'price-new'!S$2,FALSE)</f>
        <v>30.37</v>
      </c>
      <c r="T66" s="6">
        <f>VLOOKUP($C66,[1]Peak_Forward!$A$5:$AG$128,'price-new'!T$2,FALSE)</f>
        <v>30.62</v>
      </c>
      <c r="U66" s="6"/>
    </row>
    <row r="67" spans="3:21" x14ac:dyDescent="0.2">
      <c r="C67" s="1">
        <v>38808</v>
      </c>
      <c r="E67" s="17">
        <f>VLOOKUP($C67,[1]Peak_Forward!$A$5:$AG$128,'price-new'!E$2,FALSE)</f>
        <v>28.4</v>
      </c>
      <c r="F67" s="17">
        <f>VLOOKUP($C67,[1]Peak_Forward!$A$5:$AG$128,'price-new'!F$2,FALSE)</f>
        <v>29.15</v>
      </c>
      <c r="G67" s="17">
        <f>VLOOKUP($C67,[1]Peak_Forward!$A$5:$AG$128,'price-new'!G$2,FALSE)</f>
        <v>28.69</v>
      </c>
      <c r="H67" s="17">
        <f>VLOOKUP($C67,[1]Peak_Forward!$A$5:$AG$128,'price-new'!H$2,FALSE)</f>
        <v>26.85</v>
      </c>
      <c r="I67" s="17">
        <f>VLOOKUP($C67,[1]Peak_Forward!$A$5:$AG$128,'price-new'!I$2,FALSE)</f>
        <v>27.9</v>
      </c>
      <c r="J67" s="17">
        <f>VLOOKUP($C67,[1]Peak_Forward!$A$5:$AG$128,'price-new'!J$2,FALSE)</f>
        <v>29.15</v>
      </c>
      <c r="K67" s="17">
        <f>VLOOKUP($C67,[1]Peak_Forward!$A$5:$AG$128,'price-new'!K$2,FALSE)</f>
        <v>34.799999999999997</v>
      </c>
      <c r="L67" s="17">
        <f>VLOOKUP($C67,[1]Peak_Forward!$A$5:$AG$128,'price-new'!L$2,FALSE)</f>
        <v>31.61</v>
      </c>
      <c r="M67" s="17">
        <f>VLOOKUP($C67,[1]Peak_Forward!$A$5:$AG$128,'price-new'!M$2,FALSE)</f>
        <v>30.5</v>
      </c>
      <c r="N67" s="17">
        <f>VLOOKUP($C67,[1]Peak_Forward!$A$5:$AG$128,'price-new'!N$2,FALSE)</f>
        <v>38</v>
      </c>
      <c r="O67" s="17">
        <f>VLOOKUP($C67,[1]Peak_Forward!$A$5:$AG$128,'price-new'!O$2,FALSE)</f>
        <v>28.37</v>
      </c>
      <c r="P67" s="17">
        <f>VLOOKUP($C67,[1]Peak_Forward!$A$5:$AG$128,'price-new'!P$2,FALSE)</f>
        <v>30.15</v>
      </c>
      <c r="Q67" s="17">
        <f>VLOOKUP($C67,[1]Peak_Forward!$A$5:$AG$128,'price-new'!Q$2,FALSE)</f>
        <v>28.396000000000001</v>
      </c>
      <c r="R67" s="17">
        <f>VLOOKUP($C67,[1]Peak_Forward!$A$5:$AG$128,'price-new'!R$2,FALSE)</f>
        <v>29.75</v>
      </c>
      <c r="S67" s="6">
        <f>VLOOKUP($C67,[1]Peak_Forward!$A$5:$AG$128,'price-new'!S$2,FALSE)</f>
        <v>30.37</v>
      </c>
      <c r="T67" s="6">
        <f>VLOOKUP($C67,[1]Peak_Forward!$A$5:$AG$128,'price-new'!T$2,FALSE)</f>
        <v>30.62</v>
      </c>
      <c r="U67" s="6"/>
    </row>
    <row r="68" spans="3:21" x14ac:dyDescent="0.2">
      <c r="C68" s="1">
        <v>38838</v>
      </c>
      <c r="E68" s="17">
        <f>VLOOKUP($C68,[1]Peak_Forward!$A$5:$AG$128,'price-new'!E$2,FALSE)</f>
        <v>29.265000000000001</v>
      </c>
      <c r="F68" s="17">
        <f>VLOOKUP($C68,[1]Peak_Forward!$A$5:$AG$128,'price-new'!F$2,FALSE)</f>
        <v>30.265000000000001</v>
      </c>
      <c r="G68" s="17">
        <f>VLOOKUP($C68,[1]Peak_Forward!$A$5:$AG$128,'price-new'!G$2,FALSE)</f>
        <v>30.65</v>
      </c>
      <c r="H68" s="17">
        <f>VLOOKUP($C68,[1]Peak_Forward!$A$5:$AG$128,'price-new'!H$2,FALSE)</f>
        <v>27.765000000000001</v>
      </c>
      <c r="I68" s="17">
        <f>VLOOKUP($C68,[1]Peak_Forward!$A$5:$AG$128,'price-new'!I$2,FALSE)</f>
        <v>28.765000000000001</v>
      </c>
      <c r="J68" s="17">
        <f>VLOOKUP($C68,[1]Peak_Forward!$A$5:$AG$128,'price-new'!J$2,FALSE)</f>
        <v>30.265000000000001</v>
      </c>
      <c r="K68" s="17">
        <f>VLOOKUP($C68,[1]Peak_Forward!$A$5:$AG$128,'price-new'!K$2,FALSE)</f>
        <v>34.799999999999997</v>
      </c>
      <c r="L68" s="17">
        <f>VLOOKUP($C68,[1]Peak_Forward!$A$5:$AG$128,'price-new'!L$2,FALSE)</f>
        <v>34.274999999999999</v>
      </c>
      <c r="M68" s="17">
        <f>VLOOKUP($C68,[1]Peak_Forward!$A$5:$AG$128,'price-new'!M$2,FALSE)</f>
        <v>31.25</v>
      </c>
      <c r="N68" s="17">
        <f>VLOOKUP($C68,[1]Peak_Forward!$A$5:$AG$128,'price-new'!N$2,FALSE)</f>
        <v>39.5</v>
      </c>
      <c r="O68" s="17">
        <f>VLOOKUP($C68,[1]Peak_Forward!$A$5:$AG$128,'price-new'!O$2,FALSE)</f>
        <v>30.57</v>
      </c>
      <c r="P68" s="17">
        <f>VLOOKUP($C68,[1]Peak_Forward!$A$5:$AG$128,'price-new'!P$2,FALSE)</f>
        <v>25.815000000000001</v>
      </c>
      <c r="Q68" s="17">
        <f>VLOOKUP($C68,[1]Peak_Forward!$A$5:$AG$128,'price-new'!Q$2,FALSE)</f>
        <v>30.251000000000001</v>
      </c>
      <c r="R68" s="17">
        <f>VLOOKUP($C68,[1]Peak_Forward!$A$5:$AG$128,'price-new'!R$2,FALSE)</f>
        <v>31.5</v>
      </c>
      <c r="S68" s="6">
        <f>VLOOKUP($C68,[1]Peak_Forward!$A$5:$AG$128,'price-new'!S$2,FALSE)</f>
        <v>33.07</v>
      </c>
      <c r="T68" s="6">
        <f>VLOOKUP($C68,[1]Peak_Forward!$A$5:$AG$128,'price-new'!T$2,FALSE)</f>
        <v>33.82</v>
      </c>
      <c r="U68" s="6"/>
    </row>
    <row r="69" spans="3:21" x14ac:dyDescent="0.2">
      <c r="C69" s="1">
        <v>38869</v>
      </c>
      <c r="E69" s="17">
        <f>VLOOKUP($C69,[1]Peak_Forward!$A$5:$AG$128,'price-new'!E$2,FALSE)</f>
        <v>35.43</v>
      </c>
      <c r="F69" s="17">
        <f>VLOOKUP($C69,[1]Peak_Forward!$A$5:$AG$128,'price-new'!F$2,FALSE)</f>
        <v>36.93</v>
      </c>
      <c r="G69" s="17">
        <f>VLOOKUP($C69,[1]Peak_Forward!$A$5:$AG$128,'price-new'!G$2,FALSE)</f>
        <v>34.700000000000003</v>
      </c>
      <c r="H69" s="17">
        <f>VLOOKUP($C69,[1]Peak_Forward!$A$5:$AG$128,'price-new'!H$2,FALSE)</f>
        <v>33.78</v>
      </c>
      <c r="I69" s="17">
        <f>VLOOKUP($C69,[1]Peak_Forward!$A$5:$AG$128,'price-new'!I$2,FALSE)</f>
        <v>34.93</v>
      </c>
      <c r="J69" s="17">
        <f>VLOOKUP($C69,[1]Peak_Forward!$A$5:$AG$128,'price-new'!J$2,FALSE)</f>
        <v>36.93</v>
      </c>
      <c r="K69" s="17">
        <f>VLOOKUP($C69,[1]Peak_Forward!$A$5:$AG$128,'price-new'!K$2,FALSE)</f>
        <v>39.549999999999997</v>
      </c>
      <c r="L69" s="17">
        <f>VLOOKUP($C69,[1]Peak_Forward!$A$5:$AG$128,'price-new'!L$2,FALSE)</f>
        <v>38.72</v>
      </c>
      <c r="M69" s="17">
        <f>VLOOKUP($C69,[1]Peak_Forward!$A$5:$AG$128,'price-new'!M$2,FALSE)</f>
        <v>41.5</v>
      </c>
      <c r="N69" s="17">
        <f>VLOOKUP($C69,[1]Peak_Forward!$A$5:$AG$128,'price-new'!N$2,FALSE)</f>
        <v>48</v>
      </c>
      <c r="O69" s="17">
        <f>VLOOKUP($C69,[1]Peak_Forward!$A$5:$AG$128,'price-new'!O$2,FALSE)</f>
        <v>37.479999999999997</v>
      </c>
      <c r="P69" s="17">
        <f>VLOOKUP($C69,[1]Peak_Forward!$A$5:$AG$128,'price-new'!P$2,FALSE)</f>
        <v>31.43</v>
      </c>
      <c r="Q69" s="17">
        <f>VLOOKUP($C69,[1]Peak_Forward!$A$5:$AG$128,'price-new'!Q$2,FALSE)</f>
        <v>37.634999999999998</v>
      </c>
      <c r="R69" s="17">
        <f>VLOOKUP($C69,[1]Peak_Forward!$A$5:$AG$128,'price-new'!R$2,FALSE)</f>
        <v>41.75</v>
      </c>
      <c r="S69" s="6">
        <f>VLOOKUP($C69,[1]Peak_Forward!$A$5:$AG$128,'price-new'!S$2,FALSE)</f>
        <v>40.229999999999997</v>
      </c>
      <c r="T69" s="6">
        <f>VLOOKUP($C69,[1]Peak_Forward!$A$5:$AG$128,'price-new'!T$2,FALSE)</f>
        <v>42.73</v>
      </c>
      <c r="U69" s="6"/>
    </row>
    <row r="70" spans="3:21" x14ac:dyDescent="0.2">
      <c r="C70" s="1">
        <v>38899</v>
      </c>
      <c r="E70" s="17">
        <f>VLOOKUP($C70,[1]Peak_Forward!$A$5:$AG$128,'price-new'!E$2,FALSE)</f>
        <v>48.545000000000002</v>
      </c>
      <c r="F70" s="17">
        <f>VLOOKUP($C70,[1]Peak_Forward!$A$5:$AG$128,'price-new'!F$2,FALSE)</f>
        <v>51.045000000000002</v>
      </c>
      <c r="G70" s="17">
        <f>VLOOKUP($C70,[1]Peak_Forward!$A$5:$AG$128,'price-new'!G$2,FALSE)</f>
        <v>44.25</v>
      </c>
      <c r="H70" s="17">
        <f>VLOOKUP($C70,[1]Peak_Forward!$A$5:$AG$128,'price-new'!H$2,FALSE)</f>
        <v>46.494999999999997</v>
      </c>
      <c r="I70" s="17">
        <f>VLOOKUP($C70,[1]Peak_Forward!$A$5:$AG$128,'price-new'!I$2,FALSE)</f>
        <v>48.045000000000002</v>
      </c>
      <c r="J70" s="17">
        <f>VLOOKUP($C70,[1]Peak_Forward!$A$5:$AG$128,'price-new'!J$2,FALSE)</f>
        <v>51.045000000000002</v>
      </c>
      <c r="K70" s="17">
        <f>VLOOKUP($C70,[1]Peak_Forward!$A$5:$AG$128,'price-new'!K$2,FALSE)</f>
        <v>46.8</v>
      </c>
      <c r="L70" s="17">
        <f>VLOOKUP($C70,[1]Peak_Forward!$A$5:$AG$128,'price-new'!L$2,FALSE)</f>
        <v>47.045000000000002</v>
      </c>
      <c r="M70" s="17">
        <f>VLOOKUP($C70,[1]Peak_Forward!$A$5:$AG$128,'price-new'!M$2,FALSE)</f>
        <v>52.5</v>
      </c>
      <c r="N70" s="17">
        <f>VLOOKUP($C70,[1]Peak_Forward!$A$5:$AG$128,'price-new'!N$2,FALSE)</f>
        <v>69</v>
      </c>
      <c r="O70" s="17">
        <f>VLOOKUP($C70,[1]Peak_Forward!$A$5:$AG$128,'price-new'!O$2,FALSE)</f>
        <v>47.3</v>
      </c>
      <c r="P70" s="17">
        <f>VLOOKUP($C70,[1]Peak_Forward!$A$5:$AG$128,'price-new'!P$2,FALSE)</f>
        <v>38.945</v>
      </c>
      <c r="Q70" s="17">
        <f>VLOOKUP($C70,[1]Peak_Forward!$A$5:$AG$128,'price-new'!Q$2,FALSE)</f>
        <v>48.822000000000003</v>
      </c>
      <c r="R70" s="17">
        <f>VLOOKUP($C70,[1]Peak_Forward!$A$5:$AG$128,'price-new'!R$2,FALSE)</f>
        <v>50.5</v>
      </c>
      <c r="S70" s="6">
        <f>VLOOKUP($C70,[1]Peak_Forward!$A$5:$AG$128,'price-new'!S$2,FALSE)</f>
        <v>50.05</v>
      </c>
      <c r="T70" s="6">
        <f>VLOOKUP($C70,[1]Peak_Forward!$A$5:$AG$128,'price-new'!T$2,FALSE)</f>
        <v>52.55</v>
      </c>
      <c r="U70" s="6"/>
    </row>
    <row r="71" spans="3:21" x14ac:dyDescent="0.2">
      <c r="C71" s="1">
        <v>38930</v>
      </c>
      <c r="E71" s="17">
        <f>VLOOKUP($C71,[1]Peak_Forward!$A$5:$AG$128,'price-new'!E$2,FALSE)</f>
        <v>48.375</v>
      </c>
      <c r="F71" s="17">
        <f>VLOOKUP($C71,[1]Peak_Forward!$A$5:$AG$128,'price-new'!F$2,FALSE)</f>
        <v>50.875</v>
      </c>
      <c r="G71" s="17">
        <f>VLOOKUP($C71,[1]Peak_Forward!$A$5:$AG$128,'price-new'!G$2,FALSE)</f>
        <v>43.85</v>
      </c>
      <c r="H71" s="17">
        <f>VLOOKUP($C71,[1]Peak_Forward!$A$5:$AG$128,'price-new'!H$2,FALSE)</f>
        <v>46.325000000000003</v>
      </c>
      <c r="I71" s="17">
        <f>VLOOKUP($C71,[1]Peak_Forward!$A$5:$AG$128,'price-new'!I$2,FALSE)</f>
        <v>47.875</v>
      </c>
      <c r="J71" s="17">
        <f>VLOOKUP($C71,[1]Peak_Forward!$A$5:$AG$128,'price-new'!J$2,FALSE)</f>
        <v>50.875</v>
      </c>
      <c r="K71" s="17">
        <f>VLOOKUP($C71,[1]Peak_Forward!$A$5:$AG$128,'price-new'!K$2,FALSE)</f>
        <v>46.8</v>
      </c>
      <c r="L71" s="17">
        <f>VLOOKUP($C71,[1]Peak_Forward!$A$5:$AG$128,'price-new'!L$2,FALSE)</f>
        <v>47.875</v>
      </c>
      <c r="M71" s="17">
        <f>VLOOKUP($C71,[1]Peak_Forward!$A$5:$AG$128,'price-new'!M$2,FALSE)</f>
        <v>52.5</v>
      </c>
      <c r="N71" s="17">
        <f>VLOOKUP($C71,[1]Peak_Forward!$A$5:$AG$128,'price-new'!N$2,FALSE)</f>
        <v>69</v>
      </c>
      <c r="O71" s="17">
        <f>VLOOKUP($C71,[1]Peak_Forward!$A$5:$AG$128,'price-new'!O$2,FALSE)</f>
        <v>46.3</v>
      </c>
      <c r="P71" s="17">
        <f>VLOOKUP($C71,[1]Peak_Forward!$A$5:$AG$128,'price-new'!P$2,FALSE)</f>
        <v>38.774999999999999</v>
      </c>
      <c r="Q71" s="17">
        <f>VLOOKUP($C71,[1]Peak_Forward!$A$5:$AG$128,'price-new'!Q$2,FALSE)</f>
        <v>49.072000000000003</v>
      </c>
      <c r="R71" s="17">
        <f>VLOOKUP($C71,[1]Peak_Forward!$A$5:$AG$128,'price-new'!R$2,FALSE)</f>
        <v>50.5</v>
      </c>
      <c r="S71" s="6">
        <f>VLOOKUP($C71,[1]Peak_Forward!$A$5:$AG$128,'price-new'!S$2,FALSE)</f>
        <v>49.05</v>
      </c>
      <c r="T71" s="6">
        <f>VLOOKUP($C71,[1]Peak_Forward!$A$5:$AG$128,'price-new'!T$2,FALSE)</f>
        <v>51.55</v>
      </c>
      <c r="U71" s="6"/>
    </row>
    <row r="72" spans="3:21" x14ac:dyDescent="0.2">
      <c r="C72" s="1">
        <v>38961</v>
      </c>
      <c r="E72" s="17">
        <f>VLOOKUP($C72,[1]Peak_Forward!$A$5:$AG$128,'price-new'!E$2,FALSE)</f>
        <v>27.78</v>
      </c>
      <c r="F72" s="17">
        <f>VLOOKUP($C72,[1]Peak_Forward!$A$5:$AG$128,'price-new'!F$2,FALSE)</f>
        <v>29.28</v>
      </c>
      <c r="G72" s="17">
        <f>VLOOKUP($C72,[1]Peak_Forward!$A$5:$AG$128,'price-new'!G$2,FALSE)</f>
        <v>31.6</v>
      </c>
      <c r="H72" s="17">
        <f>VLOOKUP($C72,[1]Peak_Forward!$A$5:$AG$128,'price-new'!H$2,FALSE)</f>
        <v>26.53</v>
      </c>
      <c r="I72" s="17">
        <f>VLOOKUP($C72,[1]Peak_Forward!$A$5:$AG$128,'price-new'!I$2,FALSE)</f>
        <v>27.28</v>
      </c>
      <c r="J72" s="17">
        <f>VLOOKUP($C72,[1]Peak_Forward!$A$5:$AG$128,'price-new'!J$2,FALSE)</f>
        <v>29.28</v>
      </c>
      <c r="K72" s="17">
        <f>VLOOKUP($C72,[1]Peak_Forward!$A$5:$AG$128,'price-new'!K$2,FALSE)</f>
        <v>33.799999999999997</v>
      </c>
      <c r="L72" s="17">
        <f>VLOOKUP($C72,[1]Peak_Forward!$A$5:$AG$128,'price-new'!L$2,FALSE)</f>
        <v>30.17</v>
      </c>
      <c r="M72" s="17">
        <f>VLOOKUP($C72,[1]Peak_Forward!$A$5:$AG$128,'price-new'!M$2,FALSE)</f>
        <v>30.25</v>
      </c>
      <c r="N72" s="17">
        <f>VLOOKUP($C72,[1]Peak_Forward!$A$5:$AG$128,'price-new'!N$2,FALSE)</f>
        <v>38</v>
      </c>
      <c r="O72" s="17">
        <f>VLOOKUP($C72,[1]Peak_Forward!$A$5:$AG$128,'price-new'!O$2,FALSE)</f>
        <v>27.21</v>
      </c>
      <c r="P72" s="17">
        <f>VLOOKUP($C72,[1]Peak_Forward!$A$5:$AG$128,'price-new'!P$2,FALSE)</f>
        <v>23.63</v>
      </c>
      <c r="Q72" s="17">
        <f>VLOOKUP($C72,[1]Peak_Forward!$A$5:$AG$128,'price-new'!Q$2,FALSE)</f>
        <v>25.452000000000002</v>
      </c>
      <c r="R72" s="17">
        <f>VLOOKUP($C72,[1]Peak_Forward!$A$5:$AG$128,'price-new'!R$2,FALSE)</f>
        <v>29.5</v>
      </c>
      <c r="S72" s="6">
        <f>VLOOKUP($C72,[1]Peak_Forward!$A$5:$AG$128,'price-new'!S$2,FALSE)</f>
        <v>29.46</v>
      </c>
      <c r="T72" s="6">
        <f>VLOOKUP($C72,[1]Peak_Forward!$A$5:$AG$128,'price-new'!T$2,FALSE)</f>
        <v>31.46</v>
      </c>
      <c r="U72" s="6"/>
    </row>
    <row r="73" spans="3:21" x14ac:dyDescent="0.2">
      <c r="C73" s="1">
        <v>38991</v>
      </c>
      <c r="E73" s="17">
        <f>VLOOKUP($C73,[1]Peak_Forward!$A$5:$AG$128,'price-new'!E$2,FALSE)</f>
        <v>27.89</v>
      </c>
      <c r="F73" s="17">
        <f>VLOOKUP($C73,[1]Peak_Forward!$A$5:$AG$128,'price-new'!F$2,FALSE)</f>
        <v>27.89</v>
      </c>
      <c r="G73" s="17">
        <f>VLOOKUP($C73,[1]Peak_Forward!$A$5:$AG$128,'price-new'!G$2,FALSE)</f>
        <v>29.82</v>
      </c>
      <c r="H73" s="17">
        <f>VLOOKUP($C73,[1]Peak_Forward!$A$5:$AG$128,'price-new'!H$2,FALSE)</f>
        <v>26.64</v>
      </c>
      <c r="I73" s="17">
        <f>VLOOKUP($C73,[1]Peak_Forward!$A$5:$AG$128,'price-new'!I$2,FALSE)</f>
        <v>27.39</v>
      </c>
      <c r="J73" s="17">
        <f>VLOOKUP($C73,[1]Peak_Forward!$A$5:$AG$128,'price-new'!J$2,FALSE)</f>
        <v>27.89</v>
      </c>
      <c r="K73" s="17">
        <f>VLOOKUP($C73,[1]Peak_Forward!$A$5:$AG$128,'price-new'!K$2,FALSE)</f>
        <v>33.549999999999997</v>
      </c>
      <c r="L73" s="17">
        <f>VLOOKUP($C73,[1]Peak_Forward!$A$5:$AG$128,'price-new'!L$2,FALSE)</f>
        <v>29.23</v>
      </c>
      <c r="M73" s="17">
        <f>VLOOKUP($C73,[1]Peak_Forward!$A$5:$AG$128,'price-new'!M$2,FALSE)</f>
        <v>30.25</v>
      </c>
      <c r="N73" s="17">
        <f>VLOOKUP($C73,[1]Peak_Forward!$A$5:$AG$128,'price-new'!N$2,FALSE)</f>
        <v>38</v>
      </c>
      <c r="O73" s="17">
        <f>VLOOKUP($C73,[1]Peak_Forward!$A$5:$AG$128,'price-new'!O$2,FALSE)</f>
        <v>28.97</v>
      </c>
      <c r="P73" s="17">
        <f>VLOOKUP($C73,[1]Peak_Forward!$A$5:$AG$128,'price-new'!P$2,FALSE)</f>
        <v>29.08</v>
      </c>
      <c r="Q73" s="17">
        <f>VLOOKUP($C73,[1]Peak_Forward!$A$5:$AG$128,'price-new'!Q$2,FALSE)</f>
        <v>27.122</v>
      </c>
      <c r="R73" s="17">
        <f>VLOOKUP($C73,[1]Peak_Forward!$A$5:$AG$128,'price-new'!R$2,FALSE)</f>
        <v>29.5</v>
      </c>
      <c r="S73" s="6">
        <f>VLOOKUP($C73,[1]Peak_Forward!$A$5:$AG$128,'price-new'!S$2,FALSE)</f>
        <v>30.97</v>
      </c>
      <c r="T73" s="6">
        <f>VLOOKUP($C73,[1]Peak_Forward!$A$5:$AG$128,'price-new'!T$2,FALSE)</f>
        <v>31.22</v>
      </c>
      <c r="U73" s="6"/>
    </row>
    <row r="74" spans="3:21" x14ac:dyDescent="0.2">
      <c r="C74" s="1">
        <v>39022</v>
      </c>
      <c r="E74" s="17">
        <f>VLOOKUP($C74,[1]Peak_Forward!$A$5:$AG$128,'price-new'!E$2,FALSE)</f>
        <v>27.74</v>
      </c>
      <c r="F74" s="17">
        <f>VLOOKUP($C74,[1]Peak_Forward!$A$5:$AG$128,'price-new'!F$2,FALSE)</f>
        <v>27.74</v>
      </c>
      <c r="G74" s="17">
        <f>VLOOKUP($C74,[1]Peak_Forward!$A$5:$AG$128,'price-new'!G$2,FALSE)</f>
        <v>28.82</v>
      </c>
      <c r="H74" s="17">
        <f>VLOOKUP($C74,[1]Peak_Forward!$A$5:$AG$128,'price-new'!H$2,FALSE)</f>
        <v>26.49</v>
      </c>
      <c r="I74" s="17">
        <f>VLOOKUP($C74,[1]Peak_Forward!$A$5:$AG$128,'price-new'!I$2,FALSE)</f>
        <v>27.24</v>
      </c>
      <c r="J74" s="17">
        <f>VLOOKUP($C74,[1]Peak_Forward!$A$5:$AG$128,'price-new'!J$2,FALSE)</f>
        <v>27.74</v>
      </c>
      <c r="K74" s="17">
        <f>VLOOKUP($C74,[1]Peak_Forward!$A$5:$AG$128,'price-new'!K$2,FALSE)</f>
        <v>33.549999999999997</v>
      </c>
      <c r="L74" s="17">
        <f>VLOOKUP($C74,[1]Peak_Forward!$A$5:$AG$128,'price-new'!L$2,FALSE)</f>
        <v>29.07</v>
      </c>
      <c r="M74" s="17">
        <f>VLOOKUP($C74,[1]Peak_Forward!$A$5:$AG$128,'price-new'!M$2,FALSE)</f>
        <v>30.25</v>
      </c>
      <c r="N74" s="17">
        <f>VLOOKUP($C74,[1]Peak_Forward!$A$5:$AG$128,'price-new'!N$2,FALSE)</f>
        <v>38</v>
      </c>
      <c r="O74" s="17">
        <f>VLOOKUP($C74,[1]Peak_Forward!$A$5:$AG$128,'price-new'!O$2,FALSE)</f>
        <v>28.97</v>
      </c>
      <c r="P74" s="17">
        <f>VLOOKUP($C74,[1]Peak_Forward!$A$5:$AG$128,'price-new'!P$2,FALSE)</f>
        <v>32.33</v>
      </c>
      <c r="Q74" s="17">
        <f>VLOOKUP($C74,[1]Peak_Forward!$A$5:$AG$128,'price-new'!Q$2,FALSE)</f>
        <v>27.222000000000001</v>
      </c>
      <c r="R74" s="17">
        <f>VLOOKUP($C74,[1]Peak_Forward!$A$5:$AG$128,'price-new'!R$2,FALSE)</f>
        <v>29.5</v>
      </c>
      <c r="S74" s="6">
        <f>VLOOKUP($C74,[1]Peak_Forward!$A$5:$AG$128,'price-new'!S$2,FALSE)</f>
        <v>30.97</v>
      </c>
      <c r="T74" s="6">
        <f>VLOOKUP($C74,[1]Peak_Forward!$A$5:$AG$128,'price-new'!T$2,FALSE)</f>
        <v>31.22</v>
      </c>
      <c r="U74" s="6"/>
    </row>
    <row r="75" spans="3:21" x14ac:dyDescent="0.2">
      <c r="C75" s="1">
        <v>39052</v>
      </c>
      <c r="E75" s="17">
        <f>VLOOKUP($C75,[1]Peak_Forward!$A$5:$AG$128,'price-new'!E$2,FALSE)</f>
        <v>27.06</v>
      </c>
      <c r="F75" s="17">
        <f>VLOOKUP($C75,[1]Peak_Forward!$A$5:$AG$128,'price-new'!F$2,FALSE)</f>
        <v>27.06</v>
      </c>
      <c r="G75" s="17">
        <f>VLOOKUP($C75,[1]Peak_Forward!$A$5:$AG$128,'price-new'!G$2,FALSE)</f>
        <v>29.72</v>
      </c>
      <c r="H75" s="17">
        <f>VLOOKUP($C75,[1]Peak_Forward!$A$5:$AG$128,'price-new'!H$2,FALSE)</f>
        <v>25.81</v>
      </c>
      <c r="I75" s="17">
        <f>VLOOKUP($C75,[1]Peak_Forward!$A$5:$AG$128,'price-new'!I$2,FALSE)</f>
        <v>26.56</v>
      </c>
      <c r="J75" s="17">
        <f>VLOOKUP($C75,[1]Peak_Forward!$A$5:$AG$128,'price-new'!J$2,FALSE)</f>
        <v>27.06</v>
      </c>
      <c r="K75" s="17">
        <f>VLOOKUP($C75,[1]Peak_Forward!$A$5:$AG$128,'price-new'!K$2,FALSE)</f>
        <v>33.549999999999997</v>
      </c>
      <c r="L75" s="17">
        <f>VLOOKUP($C75,[1]Peak_Forward!$A$5:$AG$128,'price-new'!L$2,FALSE)</f>
        <v>28.39</v>
      </c>
      <c r="M75" s="17">
        <f>VLOOKUP($C75,[1]Peak_Forward!$A$5:$AG$128,'price-new'!M$2,FALSE)</f>
        <v>30.25</v>
      </c>
      <c r="N75" s="17">
        <f>VLOOKUP($C75,[1]Peak_Forward!$A$5:$AG$128,'price-new'!N$2,FALSE)</f>
        <v>38</v>
      </c>
      <c r="O75" s="17">
        <f>VLOOKUP($C75,[1]Peak_Forward!$A$5:$AG$128,'price-new'!O$2,FALSE)</f>
        <v>28.97</v>
      </c>
      <c r="P75" s="17">
        <f>VLOOKUP($C75,[1]Peak_Forward!$A$5:$AG$128,'price-new'!P$2,FALSE)</f>
        <v>32.049999999999997</v>
      </c>
      <c r="Q75" s="17">
        <f>VLOOKUP($C75,[1]Peak_Forward!$A$5:$AG$128,'price-new'!Q$2,FALSE)</f>
        <v>27.472000000000001</v>
      </c>
      <c r="R75" s="17">
        <f>VLOOKUP($C75,[1]Peak_Forward!$A$5:$AG$128,'price-new'!R$2,FALSE)</f>
        <v>29.5</v>
      </c>
      <c r="S75" s="6">
        <f>VLOOKUP($C75,[1]Peak_Forward!$A$5:$AG$128,'price-new'!S$2,FALSE)</f>
        <v>30.97</v>
      </c>
      <c r="T75" s="6">
        <f>VLOOKUP($C75,[1]Peak_Forward!$A$5:$AG$128,'price-new'!T$2,FALSE)</f>
        <v>31.22</v>
      </c>
      <c r="U75" s="6"/>
    </row>
    <row r="76" spans="3:21" x14ac:dyDescent="0.2">
      <c r="C76" s="1">
        <v>39083</v>
      </c>
      <c r="E76" s="17">
        <f>VLOOKUP($C76,[1]Peak_Forward!$A$5:$AG$128,'price-new'!E$2,FALSE)</f>
        <v>30.3</v>
      </c>
      <c r="F76" s="17">
        <f>VLOOKUP($C76,[1]Peak_Forward!$A$5:$AG$128,'price-new'!F$2,FALSE)</f>
        <v>30.8</v>
      </c>
      <c r="G76" s="17">
        <f>VLOOKUP($C76,[1]Peak_Forward!$A$5:$AG$128,'price-new'!G$2,FALSE)</f>
        <v>31.12</v>
      </c>
      <c r="H76" s="17">
        <f>VLOOKUP($C76,[1]Peak_Forward!$A$5:$AG$128,'price-new'!H$2,FALSE)</f>
        <v>28.75</v>
      </c>
      <c r="I76" s="17">
        <f>VLOOKUP($C76,[1]Peak_Forward!$A$5:$AG$128,'price-new'!I$2,FALSE)</f>
        <v>29.8</v>
      </c>
      <c r="J76" s="17">
        <f>VLOOKUP($C76,[1]Peak_Forward!$A$5:$AG$128,'price-new'!J$2,FALSE)</f>
        <v>30.8</v>
      </c>
      <c r="K76" s="17">
        <f>VLOOKUP($C76,[1]Peak_Forward!$A$5:$AG$128,'price-new'!K$2,FALSE)</f>
        <v>42.75</v>
      </c>
      <c r="L76" s="17">
        <f>VLOOKUP($C76,[1]Peak_Forward!$A$5:$AG$128,'price-new'!L$2,FALSE)</f>
        <v>33.9</v>
      </c>
      <c r="M76" s="17">
        <f>VLOOKUP($C76,[1]Peak_Forward!$A$5:$AG$128,'price-new'!M$2,FALSE)</f>
        <v>33</v>
      </c>
      <c r="N76" s="17">
        <f>VLOOKUP($C76,[1]Peak_Forward!$A$5:$AG$128,'price-new'!N$2,FALSE)</f>
        <v>43</v>
      </c>
      <c r="O76" s="17">
        <f>VLOOKUP($C76,[1]Peak_Forward!$A$5:$AG$128,'price-new'!O$2,FALSE)</f>
        <v>31.62</v>
      </c>
      <c r="P76" s="17">
        <f>VLOOKUP($C76,[1]Peak_Forward!$A$5:$AG$128,'price-new'!P$2,FALSE)</f>
        <v>34.5</v>
      </c>
      <c r="Q76" s="17">
        <f>VLOOKUP($C76,[1]Peak_Forward!$A$5:$AG$128,'price-new'!Q$2,FALSE)</f>
        <v>28.891999999999999</v>
      </c>
      <c r="R76" s="17">
        <f>VLOOKUP($C76,[1]Peak_Forward!$A$5:$AG$128,'price-new'!R$2,FALSE)</f>
        <v>32.25</v>
      </c>
      <c r="S76" s="6">
        <f>VLOOKUP($C76,[1]Peak_Forward!$A$5:$AG$128,'price-new'!S$2,FALSE)</f>
        <v>34.119999999999997</v>
      </c>
      <c r="T76" s="6">
        <f>VLOOKUP($C76,[1]Peak_Forward!$A$5:$AG$128,'price-new'!T$2,FALSE)</f>
        <v>33.869999999999997</v>
      </c>
      <c r="U76" s="6"/>
    </row>
    <row r="77" spans="3:21" x14ac:dyDescent="0.2">
      <c r="C77" s="1">
        <v>39114</v>
      </c>
      <c r="E77" s="17">
        <f>VLOOKUP($C77,[1]Peak_Forward!$A$5:$AG$128,'price-new'!E$2,FALSE)</f>
        <v>29.82</v>
      </c>
      <c r="F77" s="17">
        <f>VLOOKUP($C77,[1]Peak_Forward!$A$5:$AG$128,'price-new'!F$2,FALSE)</f>
        <v>30.32</v>
      </c>
      <c r="G77" s="17">
        <f>VLOOKUP($C77,[1]Peak_Forward!$A$5:$AG$128,'price-new'!G$2,FALSE)</f>
        <v>30.37</v>
      </c>
      <c r="H77" s="17">
        <f>VLOOKUP($C77,[1]Peak_Forward!$A$5:$AG$128,'price-new'!H$2,FALSE)</f>
        <v>28.27</v>
      </c>
      <c r="I77" s="17">
        <f>VLOOKUP($C77,[1]Peak_Forward!$A$5:$AG$128,'price-new'!I$2,FALSE)</f>
        <v>29.32</v>
      </c>
      <c r="J77" s="17">
        <f>VLOOKUP($C77,[1]Peak_Forward!$A$5:$AG$128,'price-new'!J$2,FALSE)</f>
        <v>30.32</v>
      </c>
      <c r="K77" s="17">
        <f>VLOOKUP($C77,[1]Peak_Forward!$A$5:$AG$128,'price-new'!K$2,FALSE)</f>
        <v>42.75</v>
      </c>
      <c r="L77" s="17">
        <f>VLOOKUP($C77,[1]Peak_Forward!$A$5:$AG$128,'price-new'!L$2,FALSE)</f>
        <v>33.72</v>
      </c>
      <c r="M77" s="17">
        <f>VLOOKUP($C77,[1]Peak_Forward!$A$5:$AG$128,'price-new'!M$2,FALSE)</f>
        <v>33</v>
      </c>
      <c r="N77" s="17">
        <f>VLOOKUP($C77,[1]Peak_Forward!$A$5:$AG$128,'price-new'!N$2,FALSE)</f>
        <v>43</v>
      </c>
      <c r="O77" s="17">
        <f>VLOOKUP($C77,[1]Peak_Forward!$A$5:$AG$128,'price-new'!O$2,FALSE)</f>
        <v>30.62</v>
      </c>
      <c r="P77" s="17">
        <f>VLOOKUP($C77,[1]Peak_Forward!$A$5:$AG$128,'price-new'!P$2,FALSE)</f>
        <v>35.020000000000003</v>
      </c>
      <c r="Q77" s="17">
        <f>VLOOKUP($C77,[1]Peak_Forward!$A$5:$AG$128,'price-new'!Q$2,FALSE)</f>
        <v>28.645</v>
      </c>
      <c r="R77" s="17">
        <f>VLOOKUP($C77,[1]Peak_Forward!$A$5:$AG$128,'price-new'!R$2,FALSE)</f>
        <v>32.25</v>
      </c>
      <c r="S77" s="6">
        <f>VLOOKUP($C77,[1]Peak_Forward!$A$5:$AG$128,'price-new'!S$2,FALSE)</f>
        <v>33.119999999999997</v>
      </c>
      <c r="T77" s="6">
        <f>VLOOKUP($C77,[1]Peak_Forward!$A$5:$AG$128,'price-new'!T$2,FALSE)</f>
        <v>32.869999999999997</v>
      </c>
      <c r="U77" s="6"/>
    </row>
    <row r="78" spans="3:21" x14ac:dyDescent="0.2">
      <c r="C78" s="1">
        <v>39142</v>
      </c>
      <c r="E78" s="17">
        <f>VLOOKUP($C78,[1]Peak_Forward!$A$5:$AG$128,'price-new'!E$2,FALSE)</f>
        <v>28.84</v>
      </c>
      <c r="F78" s="17">
        <f>VLOOKUP($C78,[1]Peak_Forward!$A$5:$AG$128,'price-new'!F$2,FALSE)</f>
        <v>29.59</v>
      </c>
      <c r="G78" s="17">
        <f>VLOOKUP($C78,[1]Peak_Forward!$A$5:$AG$128,'price-new'!G$2,FALSE)</f>
        <v>28.806000000000001</v>
      </c>
      <c r="H78" s="17">
        <f>VLOOKUP($C78,[1]Peak_Forward!$A$5:$AG$128,'price-new'!H$2,FALSE)</f>
        <v>27.29</v>
      </c>
      <c r="I78" s="17">
        <f>VLOOKUP($C78,[1]Peak_Forward!$A$5:$AG$128,'price-new'!I$2,FALSE)</f>
        <v>28.34</v>
      </c>
      <c r="J78" s="17">
        <f>VLOOKUP($C78,[1]Peak_Forward!$A$5:$AG$128,'price-new'!J$2,FALSE)</f>
        <v>29.59</v>
      </c>
      <c r="K78" s="17">
        <f>VLOOKUP($C78,[1]Peak_Forward!$A$5:$AG$128,'price-new'!K$2,FALSE)</f>
        <v>34.75</v>
      </c>
      <c r="L78" s="17">
        <f>VLOOKUP($C78,[1]Peak_Forward!$A$5:$AG$128,'price-new'!L$2,FALSE)</f>
        <v>32.46</v>
      </c>
      <c r="M78" s="17">
        <f>VLOOKUP($C78,[1]Peak_Forward!$A$5:$AG$128,'price-new'!M$2,FALSE)</f>
        <v>31</v>
      </c>
      <c r="N78" s="17">
        <f>VLOOKUP($C78,[1]Peak_Forward!$A$5:$AG$128,'price-new'!N$2,FALSE)</f>
        <v>38.5</v>
      </c>
      <c r="O78" s="17">
        <f>VLOOKUP($C78,[1]Peak_Forward!$A$5:$AG$128,'price-new'!O$2,FALSE)</f>
        <v>28.37</v>
      </c>
      <c r="P78" s="17">
        <f>VLOOKUP($C78,[1]Peak_Forward!$A$5:$AG$128,'price-new'!P$2,FALSE)</f>
        <v>32.29</v>
      </c>
      <c r="Q78" s="17">
        <f>VLOOKUP($C78,[1]Peak_Forward!$A$5:$AG$128,'price-new'!Q$2,FALSE)</f>
        <v>28.395</v>
      </c>
      <c r="R78" s="17">
        <f>VLOOKUP($C78,[1]Peak_Forward!$A$5:$AG$128,'price-new'!R$2,FALSE)</f>
        <v>29.5</v>
      </c>
      <c r="S78" s="6">
        <f>VLOOKUP($C78,[1]Peak_Forward!$A$5:$AG$128,'price-new'!S$2,FALSE)</f>
        <v>30.87</v>
      </c>
      <c r="T78" s="6">
        <f>VLOOKUP($C78,[1]Peak_Forward!$A$5:$AG$128,'price-new'!T$2,FALSE)</f>
        <v>30.62</v>
      </c>
      <c r="U78" s="6"/>
    </row>
    <row r="79" spans="3:21" x14ac:dyDescent="0.2">
      <c r="C79" s="1">
        <v>39173</v>
      </c>
      <c r="E79" s="17">
        <f>VLOOKUP($C79,[1]Peak_Forward!$A$5:$AG$128,'price-new'!E$2,FALSE)</f>
        <v>28.64</v>
      </c>
      <c r="F79" s="17">
        <f>VLOOKUP($C79,[1]Peak_Forward!$A$5:$AG$128,'price-new'!F$2,FALSE)</f>
        <v>29.39</v>
      </c>
      <c r="G79" s="17">
        <f>VLOOKUP($C79,[1]Peak_Forward!$A$5:$AG$128,'price-new'!G$2,FALSE)</f>
        <v>29.59</v>
      </c>
      <c r="H79" s="17">
        <f>VLOOKUP($C79,[1]Peak_Forward!$A$5:$AG$128,'price-new'!H$2,FALSE)</f>
        <v>27.09</v>
      </c>
      <c r="I79" s="17">
        <f>VLOOKUP($C79,[1]Peak_Forward!$A$5:$AG$128,'price-new'!I$2,FALSE)</f>
        <v>28.14</v>
      </c>
      <c r="J79" s="17">
        <f>VLOOKUP($C79,[1]Peak_Forward!$A$5:$AG$128,'price-new'!J$2,FALSE)</f>
        <v>29.39</v>
      </c>
      <c r="K79" s="17">
        <f>VLOOKUP($C79,[1]Peak_Forward!$A$5:$AG$128,'price-new'!K$2,FALSE)</f>
        <v>35</v>
      </c>
      <c r="L79" s="17">
        <f>VLOOKUP($C79,[1]Peak_Forward!$A$5:$AG$128,'price-new'!L$2,FALSE)</f>
        <v>32.26</v>
      </c>
      <c r="M79" s="17">
        <f>VLOOKUP($C79,[1]Peak_Forward!$A$5:$AG$128,'price-new'!M$2,FALSE)</f>
        <v>31</v>
      </c>
      <c r="N79" s="17">
        <f>VLOOKUP($C79,[1]Peak_Forward!$A$5:$AG$128,'price-new'!N$2,FALSE)</f>
        <v>38.5</v>
      </c>
      <c r="O79" s="17">
        <f>VLOOKUP($C79,[1]Peak_Forward!$A$5:$AG$128,'price-new'!O$2,FALSE)</f>
        <v>28.37</v>
      </c>
      <c r="P79" s="17">
        <f>VLOOKUP($C79,[1]Peak_Forward!$A$5:$AG$128,'price-new'!P$2,FALSE)</f>
        <v>31.64</v>
      </c>
      <c r="Q79" s="17">
        <f>VLOOKUP($C79,[1]Peak_Forward!$A$5:$AG$128,'price-new'!Q$2,FALSE)</f>
        <v>28.396000000000001</v>
      </c>
      <c r="R79" s="17">
        <f>VLOOKUP($C79,[1]Peak_Forward!$A$5:$AG$128,'price-new'!R$2,FALSE)</f>
        <v>29.5</v>
      </c>
      <c r="S79" s="6">
        <f>VLOOKUP($C79,[1]Peak_Forward!$A$5:$AG$128,'price-new'!S$2,FALSE)</f>
        <v>30.87</v>
      </c>
      <c r="T79" s="6">
        <f>VLOOKUP($C79,[1]Peak_Forward!$A$5:$AG$128,'price-new'!T$2,FALSE)</f>
        <v>30.62</v>
      </c>
      <c r="U79" s="6"/>
    </row>
    <row r="80" spans="3:21" x14ac:dyDescent="0.2">
      <c r="C80" s="1">
        <v>39203</v>
      </c>
      <c r="E80" s="17">
        <f>VLOOKUP($C80,[1]Peak_Forward!$A$5:$AG$128,'price-new'!E$2,FALSE)</f>
        <v>30.42</v>
      </c>
      <c r="F80" s="17">
        <f>VLOOKUP($C80,[1]Peak_Forward!$A$5:$AG$128,'price-new'!F$2,FALSE)</f>
        <v>31.42</v>
      </c>
      <c r="G80" s="17">
        <f>VLOOKUP($C80,[1]Peak_Forward!$A$5:$AG$128,'price-new'!G$2,FALSE)</f>
        <v>31.55</v>
      </c>
      <c r="H80" s="17">
        <f>VLOOKUP($C80,[1]Peak_Forward!$A$5:$AG$128,'price-new'!H$2,FALSE)</f>
        <v>28.92</v>
      </c>
      <c r="I80" s="17">
        <f>VLOOKUP($C80,[1]Peak_Forward!$A$5:$AG$128,'price-new'!I$2,FALSE)</f>
        <v>29.92</v>
      </c>
      <c r="J80" s="17">
        <f>VLOOKUP($C80,[1]Peak_Forward!$A$5:$AG$128,'price-new'!J$2,FALSE)</f>
        <v>31.42</v>
      </c>
      <c r="K80" s="17">
        <f>VLOOKUP($C80,[1]Peak_Forward!$A$5:$AG$128,'price-new'!K$2,FALSE)</f>
        <v>35</v>
      </c>
      <c r="L80" s="17">
        <f>VLOOKUP($C80,[1]Peak_Forward!$A$5:$AG$128,'price-new'!L$2,FALSE)</f>
        <v>35.840000000000003</v>
      </c>
      <c r="M80" s="17">
        <f>VLOOKUP($C80,[1]Peak_Forward!$A$5:$AG$128,'price-new'!M$2,FALSE)</f>
        <v>31.5</v>
      </c>
      <c r="N80" s="17">
        <f>VLOOKUP($C80,[1]Peak_Forward!$A$5:$AG$128,'price-new'!N$2,FALSE)</f>
        <v>40</v>
      </c>
      <c r="O80" s="17">
        <f>VLOOKUP($C80,[1]Peak_Forward!$A$5:$AG$128,'price-new'!O$2,FALSE)</f>
        <v>31.07</v>
      </c>
      <c r="P80" s="17">
        <f>VLOOKUP($C80,[1]Peak_Forward!$A$5:$AG$128,'price-new'!P$2,FALSE)</f>
        <v>28.22</v>
      </c>
      <c r="Q80" s="17">
        <f>VLOOKUP($C80,[1]Peak_Forward!$A$5:$AG$128,'price-new'!Q$2,FALSE)</f>
        <v>30.751000000000001</v>
      </c>
      <c r="R80" s="17">
        <f>VLOOKUP($C80,[1]Peak_Forward!$A$5:$AG$128,'price-new'!R$2,FALSE)</f>
        <v>31.75</v>
      </c>
      <c r="S80" s="6">
        <f>VLOOKUP($C80,[1]Peak_Forward!$A$5:$AG$128,'price-new'!S$2,FALSE)</f>
        <v>34.07</v>
      </c>
      <c r="T80" s="6">
        <f>VLOOKUP($C80,[1]Peak_Forward!$A$5:$AG$128,'price-new'!T$2,FALSE)</f>
        <v>34.32</v>
      </c>
      <c r="U80" s="6"/>
    </row>
    <row r="81" spans="3:21" x14ac:dyDescent="0.2">
      <c r="C81" s="1">
        <v>39234</v>
      </c>
      <c r="E81" s="17">
        <f>VLOOKUP($C81,[1]Peak_Forward!$A$5:$AG$128,'price-new'!E$2,FALSE)</f>
        <v>35.67</v>
      </c>
      <c r="F81" s="17">
        <f>VLOOKUP($C81,[1]Peak_Forward!$A$5:$AG$128,'price-new'!F$2,FALSE)</f>
        <v>37.17</v>
      </c>
      <c r="G81" s="17">
        <f>VLOOKUP($C81,[1]Peak_Forward!$A$5:$AG$128,'price-new'!G$2,FALSE)</f>
        <v>35.6</v>
      </c>
      <c r="H81" s="17">
        <f>VLOOKUP($C81,[1]Peak_Forward!$A$5:$AG$128,'price-new'!H$2,FALSE)</f>
        <v>34.020000000000003</v>
      </c>
      <c r="I81" s="17">
        <f>VLOOKUP($C81,[1]Peak_Forward!$A$5:$AG$128,'price-new'!I$2,FALSE)</f>
        <v>35.17</v>
      </c>
      <c r="J81" s="17">
        <f>VLOOKUP($C81,[1]Peak_Forward!$A$5:$AG$128,'price-new'!J$2,FALSE)</f>
        <v>37.17</v>
      </c>
      <c r="K81" s="17">
        <f>VLOOKUP($C81,[1]Peak_Forward!$A$5:$AG$128,'price-new'!K$2,FALSE)</f>
        <v>39.75</v>
      </c>
      <c r="L81" s="17">
        <f>VLOOKUP($C81,[1]Peak_Forward!$A$5:$AG$128,'price-new'!L$2,FALSE)</f>
        <v>39.5</v>
      </c>
      <c r="M81" s="17">
        <f>VLOOKUP($C81,[1]Peak_Forward!$A$5:$AG$128,'price-new'!M$2,FALSE)</f>
        <v>42</v>
      </c>
      <c r="N81" s="17">
        <f>VLOOKUP($C81,[1]Peak_Forward!$A$5:$AG$128,'price-new'!N$2,FALSE)</f>
        <v>48.5</v>
      </c>
      <c r="O81" s="17">
        <f>VLOOKUP($C81,[1]Peak_Forward!$A$5:$AG$128,'price-new'!O$2,FALSE)</f>
        <v>37.950000000000003</v>
      </c>
      <c r="P81" s="17">
        <f>VLOOKUP($C81,[1]Peak_Forward!$A$5:$AG$128,'price-new'!P$2,FALSE)</f>
        <v>32.42</v>
      </c>
      <c r="Q81" s="17">
        <f>VLOOKUP($C81,[1]Peak_Forward!$A$5:$AG$128,'price-new'!Q$2,FALSE)</f>
        <v>38.104999999999997</v>
      </c>
      <c r="R81" s="17">
        <f>VLOOKUP($C81,[1]Peak_Forward!$A$5:$AG$128,'price-new'!R$2,FALSE)</f>
        <v>42</v>
      </c>
      <c r="S81" s="6">
        <f>VLOOKUP($C81,[1]Peak_Forward!$A$5:$AG$128,'price-new'!S$2,FALSE)</f>
        <v>41.2</v>
      </c>
      <c r="T81" s="6">
        <f>VLOOKUP($C81,[1]Peak_Forward!$A$5:$AG$128,'price-new'!T$2,FALSE)</f>
        <v>43.2</v>
      </c>
      <c r="U81" s="6"/>
    </row>
    <row r="82" spans="3:21" x14ac:dyDescent="0.2">
      <c r="C82" s="1">
        <v>39264</v>
      </c>
      <c r="E82" s="17">
        <f>VLOOKUP($C82,[1]Peak_Forward!$A$5:$AG$128,'price-new'!E$2,FALSE)</f>
        <v>47.564999999999998</v>
      </c>
      <c r="F82" s="17">
        <f>VLOOKUP($C82,[1]Peak_Forward!$A$5:$AG$128,'price-new'!F$2,FALSE)</f>
        <v>50.064999999999998</v>
      </c>
      <c r="G82" s="17">
        <f>VLOOKUP($C82,[1]Peak_Forward!$A$5:$AG$128,'price-new'!G$2,FALSE)</f>
        <v>45.15</v>
      </c>
      <c r="H82" s="17">
        <f>VLOOKUP($C82,[1]Peak_Forward!$A$5:$AG$128,'price-new'!H$2,FALSE)</f>
        <v>45.515000000000001</v>
      </c>
      <c r="I82" s="17">
        <f>VLOOKUP($C82,[1]Peak_Forward!$A$5:$AG$128,'price-new'!I$2,FALSE)</f>
        <v>47.064999999999998</v>
      </c>
      <c r="J82" s="17">
        <f>VLOOKUP($C82,[1]Peak_Forward!$A$5:$AG$128,'price-new'!J$2,FALSE)</f>
        <v>50.064999999999998</v>
      </c>
      <c r="K82" s="17">
        <f>VLOOKUP($C82,[1]Peak_Forward!$A$5:$AG$128,'price-new'!K$2,FALSE)</f>
        <v>47</v>
      </c>
      <c r="L82" s="17">
        <f>VLOOKUP($C82,[1]Peak_Forward!$A$5:$AG$128,'price-new'!L$2,FALSE)</f>
        <v>46.814999999999998</v>
      </c>
      <c r="M82" s="17">
        <f>VLOOKUP($C82,[1]Peak_Forward!$A$5:$AG$128,'price-new'!M$2,FALSE)</f>
        <v>53</v>
      </c>
      <c r="N82" s="17">
        <f>VLOOKUP($C82,[1]Peak_Forward!$A$5:$AG$128,'price-new'!N$2,FALSE)</f>
        <v>70</v>
      </c>
      <c r="O82" s="17">
        <f>VLOOKUP($C82,[1]Peak_Forward!$A$5:$AG$128,'price-new'!O$2,FALSE)</f>
        <v>48.05</v>
      </c>
      <c r="P82" s="17">
        <f>VLOOKUP($C82,[1]Peak_Forward!$A$5:$AG$128,'price-new'!P$2,FALSE)</f>
        <v>36.715000000000003</v>
      </c>
      <c r="Q82" s="17">
        <f>VLOOKUP($C82,[1]Peak_Forward!$A$5:$AG$128,'price-new'!Q$2,FALSE)</f>
        <v>49.572000000000003</v>
      </c>
      <c r="R82" s="17">
        <f>VLOOKUP($C82,[1]Peak_Forward!$A$5:$AG$128,'price-new'!R$2,FALSE)</f>
        <v>50.75</v>
      </c>
      <c r="S82" s="6">
        <f>VLOOKUP($C82,[1]Peak_Forward!$A$5:$AG$128,'price-new'!S$2,FALSE)</f>
        <v>51.3</v>
      </c>
      <c r="T82" s="6">
        <f>VLOOKUP($C82,[1]Peak_Forward!$A$5:$AG$128,'price-new'!T$2,FALSE)</f>
        <v>53.3</v>
      </c>
      <c r="U82" s="6"/>
    </row>
    <row r="83" spans="3:21" x14ac:dyDescent="0.2">
      <c r="C83" s="1">
        <v>39295</v>
      </c>
      <c r="E83" s="17">
        <f>VLOOKUP($C83,[1]Peak_Forward!$A$5:$AG$128,'price-new'!E$2,FALSE)</f>
        <v>48.164999999999999</v>
      </c>
      <c r="F83" s="17">
        <f>VLOOKUP($C83,[1]Peak_Forward!$A$5:$AG$128,'price-new'!F$2,FALSE)</f>
        <v>50.664999999999999</v>
      </c>
      <c r="G83" s="17">
        <f>VLOOKUP($C83,[1]Peak_Forward!$A$5:$AG$128,'price-new'!G$2,FALSE)</f>
        <v>44.75</v>
      </c>
      <c r="H83" s="17">
        <f>VLOOKUP($C83,[1]Peak_Forward!$A$5:$AG$128,'price-new'!H$2,FALSE)</f>
        <v>46.115000000000002</v>
      </c>
      <c r="I83" s="17">
        <f>VLOOKUP($C83,[1]Peak_Forward!$A$5:$AG$128,'price-new'!I$2,FALSE)</f>
        <v>47.664999999999999</v>
      </c>
      <c r="J83" s="17">
        <f>VLOOKUP($C83,[1]Peak_Forward!$A$5:$AG$128,'price-new'!J$2,FALSE)</f>
        <v>50.664999999999999</v>
      </c>
      <c r="K83" s="17">
        <f>VLOOKUP($C83,[1]Peak_Forward!$A$5:$AG$128,'price-new'!K$2,FALSE)</f>
        <v>47</v>
      </c>
      <c r="L83" s="17">
        <f>VLOOKUP($C83,[1]Peak_Forward!$A$5:$AG$128,'price-new'!L$2,FALSE)</f>
        <v>48.414999999999999</v>
      </c>
      <c r="M83" s="17">
        <f>VLOOKUP($C83,[1]Peak_Forward!$A$5:$AG$128,'price-new'!M$2,FALSE)</f>
        <v>53</v>
      </c>
      <c r="N83" s="17">
        <f>VLOOKUP($C83,[1]Peak_Forward!$A$5:$AG$128,'price-new'!N$2,FALSE)</f>
        <v>70</v>
      </c>
      <c r="O83" s="17">
        <f>VLOOKUP($C83,[1]Peak_Forward!$A$5:$AG$128,'price-new'!O$2,FALSE)</f>
        <v>47.05</v>
      </c>
      <c r="P83" s="17">
        <f>VLOOKUP($C83,[1]Peak_Forward!$A$5:$AG$128,'price-new'!P$2,FALSE)</f>
        <v>37.314999999999998</v>
      </c>
      <c r="Q83" s="17">
        <f>VLOOKUP($C83,[1]Peak_Forward!$A$5:$AG$128,'price-new'!Q$2,FALSE)</f>
        <v>49.822000000000003</v>
      </c>
      <c r="R83" s="17">
        <f>VLOOKUP($C83,[1]Peak_Forward!$A$5:$AG$128,'price-new'!R$2,FALSE)</f>
        <v>50.75</v>
      </c>
      <c r="S83" s="6">
        <f>VLOOKUP($C83,[1]Peak_Forward!$A$5:$AG$128,'price-new'!S$2,FALSE)</f>
        <v>50.3</v>
      </c>
      <c r="T83" s="6">
        <f>VLOOKUP($C83,[1]Peak_Forward!$A$5:$AG$128,'price-new'!T$2,FALSE)</f>
        <v>52.3</v>
      </c>
      <c r="U83" s="6"/>
    </row>
    <row r="84" spans="3:21" x14ac:dyDescent="0.2">
      <c r="C84" s="1">
        <v>39326</v>
      </c>
      <c r="E84" s="17">
        <f>VLOOKUP($C84,[1]Peak_Forward!$A$5:$AG$128,'price-new'!E$2,FALSE)</f>
        <v>28.17</v>
      </c>
      <c r="F84" s="17">
        <f>VLOOKUP($C84,[1]Peak_Forward!$A$5:$AG$128,'price-new'!F$2,FALSE)</f>
        <v>29.67</v>
      </c>
      <c r="G84" s="17">
        <f>VLOOKUP($C84,[1]Peak_Forward!$A$5:$AG$128,'price-new'!G$2,FALSE)</f>
        <v>32.5</v>
      </c>
      <c r="H84" s="17">
        <f>VLOOKUP($C84,[1]Peak_Forward!$A$5:$AG$128,'price-new'!H$2,FALSE)</f>
        <v>26.92</v>
      </c>
      <c r="I84" s="17">
        <f>VLOOKUP($C84,[1]Peak_Forward!$A$5:$AG$128,'price-new'!I$2,FALSE)</f>
        <v>27.67</v>
      </c>
      <c r="J84" s="17">
        <f>VLOOKUP($C84,[1]Peak_Forward!$A$5:$AG$128,'price-new'!J$2,FALSE)</f>
        <v>29.67</v>
      </c>
      <c r="K84" s="17">
        <f>VLOOKUP($C84,[1]Peak_Forward!$A$5:$AG$128,'price-new'!K$2,FALSE)</f>
        <v>34</v>
      </c>
      <c r="L84" s="17">
        <f>VLOOKUP($C84,[1]Peak_Forward!$A$5:$AG$128,'price-new'!L$2,FALSE)</f>
        <v>30.94</v>
      </c>
      <c r="M84" s="17">
        <f>VLOOKUP($C84,[1]Peak_Forward!$A$5:$AG$128,'price-new'!M$2,FALSE)</f>
        <v>30.75</v>
      </c>
      <c r="N84" s="17">
        <f>VLOOKUP($C84,[1]Peak_Forward!$A$5:$AG$128,'price-new'!N$2,FALSE)</f>
        <v>38.5</v>
      </c>
      <c r="O84" s="17">
        <f>VLOOKUP($C84,[1]Peak_Forward!$A$5:$AG$128,'price-new'!O$2,FALSE)</f>
        <v>26.99</v>
      </c>
      <c r="P84" s="17">
        <f>VLOOKUP($C84,[1]Peak_Forward!$A$5:$AG$128,'price-new'!P$2,FALSE)</f>
        <v>25.27</v>
      </c>
      <c r="Q84" s="17">
        <f>VLOOKUP($C84,[1]Peak_Forward!$A$5:$AG$128,'price-new'!Q$2,FALSE)</f>
        <v>25.231999999999999</v>
      </c>
      <c r="R84" s="17">
        <f>VLOOKUP($C84,[1]Peak_Forward!$A$5:$AG$128,'price-new'!R$2,FALSE)</f>
        <v>30</v>
      </c>
      <c r="S84" s="6">
        <f>VLOOKUP($C84,[1]Peak_Forward!$A$5:$AG$128,'price-new'!S$2,FALSE)</f>
        <v>29.74</v>
      </c>
      <c r="T84" s="6">
        <f>VLOOKUP($C84,[1]Peak_Forward!$A$5:$AG$128,'price-new'!T$2,FALSE)</f>
        <v>31.24</v>
      </c>
      <c r="U84" s="6"/>
    </row>
    <row r="85" spans="3:21" x14ac:dyDescent="0.2">
      <c r="C85" s="1">
        <v>39356</v>
      </c>
      <c r="E85" s="17">
        <f>VLOOKUP($C85,[1]Peak_Forward!$A$5:$AG$128,'price-new'!E$2,FALSE)</f>
        <v>29.53</v>
      </c>
      <c r="F85" s="17">
        <f>VLOOKUP($C85,[1]Peak_Forward!$A$5:$AG$128,'price-new'!F$2,FALSE)</f>
        <v>29.53</v>
      </c>
      <c r="G85" s="17">
        <f>VLOOKUP($C85,[1]Peak_Forward!$A$5:$AG$128,'price-new'!G$2,FALSE)</f>
        <v>30.72</v>
      </c>
      <c r="H85" s="17">
        <f>VLOOKUP($C85,[1]Peak_Forward!$A$5:$AG$128,'price-new'!H$2,FALSE)</f>
        <v>28.28</v>
      </c>
      <c r="I85" s="17">
        <f>VLOOKUP($C85,[1]Peak_Forward!$A$5:$AG$128,'price-new'!I$2,FALSE)</f>
        <v>29.03</v>
      </c>
      <c r="J85" s="17">
        <f>VLOOKUP($C85,[1]Peak_Forward!$A$5:$AG$128,'price-new'!J$2,FALSE)</f>
        <v>29.53</v>
      </c>
      <c r="K85" s="17">
        <f>VLOOKUP($C85,[1]Peak_Forward!$A$5:$AG$128,'price-new'!K$2,FALSE)</f>
        <v>33.75</v>
      </c>
      <c r="L85" s="17">
        <f>VLOOKUP($C85,[1]Peak_Forward!$A$5:$AG$128,'price-new'!L$2,FALSE)</f>
        <v>31.27</v>
      </c>
      <c r="M85" s="17">
        <f>VLOOKUP($C85,[1]Peak_Forward!$A$5:$AG$128,'price-new'!M$2,FALSE)</f>
        <v>30.75</v>
      </c>
      <c r="N85" s="17">
        <f>VLOOKUP($C85,[1]Peak_Forward!$A$5:$AG$128,'price-new'!N$2,FALSE)</f>
        <v>38.5</v>
      </c>
      <c r="O85" s="17">
        <f>VLOOKUP($C85,[1]Peak_Forward!$A$5:$AG$128,'price-new'!O$2,FALSE)</f>
        <v>28.97</v>
      </c>
      <c r="P85" s="17">
        <f>VLOOKUP($C85,[1]Peak_Forward!$A$5:$AG$128,'price-new'!P$2,FALSE)</f>
        <v>31.97</v>
      </c>
      <c r="Q85" s="17">
        <f>VLOOKUP($C85,[1]Peak_Forward!$A$5:$AG$128,'price-new'!Q$2,FALSE)</f>
        <v>27.122</v>
      </c>
      <c r="R85" s="17">
        <f>VLOOKUP($C85,[1]Peak_Forward!$A$5:$AG$128,'price-new'!R$2,FALSE)</f>
        <v>30</v>
      </c>
      <c r="S85" s="6">
        <f>VLOOKUP($C85,[1]Peak_Forward!$A$5:$AG$128,'price-new'!S$2,FALSE)</f>
        <v>31.47</v>
      </c>
      <c r="T85" s="6">
        <f>VLOOKUP($C85,[1]Peak_Forward!$A$5:$AG$128,'price-new'!T$2,FALSE)</f>
        <v>31.22</v>
      </c>
      <c r="U85" s="6"/>
    </row>
    <row r="86" spans="3:21" x14ac:dyDescent="0.2">
      <c r="C86" s="1">
        <v>39387</v>
      </c>
      <c r="E86" s="17">
        <f>VLOOKUP($C86,[1]Peak_Forward!$A$5:$AG$128,'price-new'!E$2,FALSE)</f>
        <v>29.23</v>
      </c>
      <c r="F86" s="17">
        <f>VLOOKUP($C86,[1]Peak_Forward!$A$5:$AG$128,'price-new'!F$2,FALSE)</f>
        <v>29.23</v>
      </c>
      <c r="G86" s="17">
        <f>VLOOKUP($C86,[1]Peak_Forward!$A$5:$AG$128,'price-new'!G$2,FALSE)</f>
        <v>29.72</v>
      </c>
      <c r="H86" s="17">
        <f>VLOOKUP($C86,[1]Peak_Forward!$A$5:$AG$128,'price-new'!H$2,FALSE)</f>
        <v>27.98</v>
      </c>
      <c r="I86" s="17">
        <f>VLOOKUP($C86,[1]Peak_Forward!$A$5:$AG$128,'price-new'!I$2,FALSE)</f>
        <v>28.73</v>
      </c>
      <c r="J86" s="17">
        <f>VLOOKUP($C86,[1]Peak_Forward!$A$5:$AG$128,'price-new'!J$2,FALSE)</f>
        <v>29.23</v>
      </c>
      <c r="K86" s="17">
        <f>VLOOKUP($C86,[1]Peak_Forward!$A$5:$AG$128,'price-new'!K$2,FALSE)</f>
        <v>33.75</v>
      </c>
      <c r="L86" s="17">
        <f>VLOOKUP($C86,[1]Peak_Forward!$A$5:$AG$128,'price-new'!L$2,FALSE)</f>
        <v>30.97</v>
      </c>
      <c r="M86" s="17">
        <f>VLOOKUP($C86,[1]Peak_Forward!$A$5:$AG$128,'price-new'!M$2,FALSE)</f>
        <v>30.75</v>
      </c>
      <c r="N86" s="17">
        <f>VLOOKUP($C86,[1]Peak_Forward!$A$5:$AG$128,'price-new'!N$2,FALSE)</f>
        <v>38.5</v>
      </c>
      <c r="O86" s="17">
        <f>VLOOKUP($C86,[1]Peak_Forward!$A$5:$AG$128,'price-new'!O$2,FALSE)</f>
        <v>28.97</v>
      </c>
      <c r="P86" s="17">
        <f>VLOOKUP($C86,[1]Peak_Forward!$A$5:$AG$128,'price-new'!P$2,FALSE)</f>
        <v>35.07</v>
      </c>
      <c r="Q86" s="17">
        <f>VLOOKUP($C86,[1]Peak_Forward!$A$5:$AG$128,'price-new'!Q$2,FALSE)</f>
        <v>27.222000000000001</v>
      </c>
      <c r="R86" s="17">
        <f>VLOOKUP($C86,[1]Peak_Forward!$A$5:$AG$128,'price-new'!R$2,FALSE)</f>
        <v>30</v>
      </c>
      <c r="S86" s="6">
        <f>VLOOKUP($C86,[1]Peak_Forward!$A$5:$AG$128,'price-new'!S$2,FALSE)</f>
        <v>31.47</v>
      </c>
      <c r="T86" s="6">
        <f>VLOOKUP($C86,[1]Peak_Forward!$A$5:$AG$128,'price-new'!T$2,FALSE)</f>
        <v>31.22</v>
      </c>
      <c r="U86" s="6"/>
    </row>
    <row r="87" spans="3:21" x14ac:dyDescent="0.2">
      <c r="C87" s="1">
        <v>39417</v>
      </c>
      <c r="E87" s="17">
        <f>VLOOKUP($C87,[1]Peak_Forward!$A$5:$AG$128,'price-new'!E$2,FALSE)</f>
        <v>29.09</v>
      </c>
      <c r="F87" s="17">
        <f>VLOOKUP($C87,[1]Peak_Forward!$A$5:$AG$128,'price-new'!F$2,FALSE)</f>
        <v>29.09</v>
      </c>
      <c r="G87" s="17">
        <f>VLOOKUP($C87,[1]Peak_Forward!$A$5:$AG$128,'price-new'!G$2,FALSE)</f>
        <v>30.62</v>
      </c>
      <c r="H87" s="17">
        <f>VLOOKUP($C87,[1]Peak_Forward!$A$5:$AG$128,'price-new'!H$2,FALSE)</f>
        <v>27.84</v>
      </c>
      <c r="I87" s="17">
        <f>VLOOKUP($C87,[1]Peak_Forward!$A$5:$AG$128,'price-new'!I$2,FALSE)</f>
        <v>28.59</v>
      </c>
      <c r="J87" s="17">
        <f>VLOOKUP($C87,[1]Peak_Forward!$A$5:$AG$128,'price-new'!J$2,FALSE)</f>
        <v>29.09</v>
      </c>
      <c r="K87" s="17">
        <f>VLOOKUP($C87,[1]Peak_Forward!$A$5:$AG$128,'price-new'!K$2,FALSE)</f>
        <v>33.75</v>
      </c>
      <c r="L87" s="17">
        <f>VLOOKUP($C87,[1]Peak_Forward!$A$5:$AG$128,'price-new'!L$2,FALSE)</f>
        <v>30.83</v>
      </c>
      <c r="M87" s="17">
        <f>VLOOKUP($C87,[1]Peak_Forward!$A$5:$AG$128,'price-new'!M$2,FALSE)</f>
        <v>30.75</v>
      </c>
      <c r="N87" s="17">
        <f>VLOOKUP($C87,[1]Peak_Forward!$A$5:$AG$128,'price-new'!N$2,FALSE)</f>
        <v>38.5</v>
      </c>
      <c r="O87" s="17">
        <f>VLOOKUP($C87,[1]Peak_Forward!$A$5:$AG$128,'price-new'!O$2,FALSE)</f>
        <v>28.97</v>
      </c>
      <c r="P87" s="17">
        <f>VLOOKUP($C87,[1]Peak_Forward!$A$5:$AG$128,'price-new'!P$2,FALSE)</f>
        <v>35.33</v>
      </c>
      <c r="Q87" s="17">
        <f>VLOOKUP($C87,[1]Peak_Forward!$A$5:$AG$128,'price-new'!Q$2,FALSE)</f>
        <v>27.321999999999999</v>
      </c>
      <c r="R87" s="17">
        <f>VLOOKUP($C87,[1]Peak_Forward!$A$5:$AG$128,'price-new'!R$2,FALSE)</f>
        <v>30</v>
      </c>
      <c r="S87" s="6">
        <f>VLOOKUP($C87,[1]Peak_Forward!$A$5:$AG$128,'price-new'!S$2,FALSE)</f>
        <v>31.47</v>
      </c>
      <c r="T87" s="6">
        <f>VLOOKUP($C87,[1]Peak_Forward!$A$5:$AG$128,'price-new'!T$2,FALSE)</f>
        <v>31.22</v>
      </c>
      <c r="U87" s="6"/>
    </row>
    <row r="88" spans="3:21" x14ac:dyDescent="0.2">
      <c r="C88" s="1">
        <v>39448</v>
      </c>
      <c r="E88" s="17">
        <f>VLOOKUP($C88,[1]Peak_Forward!$A$5:$AG$128,'price-new'!E$2,FALSE)</f>
        <v>30.12</v>
      </c>
      <c r="F88" s="17">
        <f>VLOOKUP($C88,[1]Peak_Forward!$A$5:$AG$128,'price-new'!F$2,FALSE)</f>
        <v>30.62</v>
      </c>
      <c r="G88" s="17">
        <f>VLOOKUP($C88,[1]Peak_Forward!$A$5:$AG$128,'price-new'!G$2,FALSE)</f>
        <v>32.020000000000003</v>
      </c>
      <c r="H88" s="17">
        <f>VLOOKUP($C88,[1]Peak_Forward!$A$5:$AG$128,'price-new'!H$2,FALSE)</f>
        <v>28.57</v>
      </c>
      <c r="I88" s="17">
        <f>VLOOKUP($C88,[1]Peak_Forward!$A$5:$AG$128,'price-new'!I$2,FALSE)</f>
        <v>29.62</v>
      </c>
      <c r="J88" s="17">
        <f>VLOOKUP($C88,[1]Peak_Forward!$A$5:$AG$128,'price-new'!J$2,FALSE)</f>
        <v>30.62</v>
      </c>
      <c r="K88" s="17">
        <f>VLOOKUP($C88,[1]Peak_Forward!$A$5:$AG$128,'price-new'!K$2,FALSE)</f>
        <v>43.75</v>
      </c>
      <c r="L88" s="17">
        <f>VLOOKUP($C88,[1]Peak_Forward!$A$5:$AG$128,'price-new'!L$2,FALSE)</f>
        <v>33.69</v>
      </c>
      <c r="M88" s="17">
        <f>VLOOKUP($C88,[1]Peak_Forward!$A$5:$AG$128,'price-new'!M$2,FALSE)</f>
        <v>33.5</v>
      </c>
      <c r="N88" s="17">
        <f>VLOOKUP($C88,[1]Peak_Forward!$A$5:$AG$128,'price-new'!N$2,FALSE)</f>
        <v>44</v>
      </c>
      <c r="O88" s="17">
        <f>VLOOKUP($C88,[1]Peak_Forward!$A$5:$AG$128,'price-new'!O$2,FALSE)</f>
        <v>31.97</v>
      </c>
      <c r="P88" s="17">
        <f>VLOOKUP($C88,[1]Peak_Forward!$A$5:$AG$128,'price-new'!P$2,FALSE)</f>
        <v>35.07</v>
      </c>
      <c r="Q88" s="17">
        <f>VLOOKUP($C88,[1]Peak_Forward!$A$5:$AG$128,'price-new'!Q$2,FALSE)</f>
        <v>29.641999999999999</v>
      </c>
      <c r="R88" s="17">
        <f>VLOOKUP($C88,[1]Peak_Forward!$A$5:$AG$128,'price-new'!R$2,FALSE)</f>
        <v>32.75</v>
      </c>
      <c r="S88" s="6">
        <f>VLOOKUP($C88,[1]Peak_Forward!$A$5:$AG$128,'price-new'!S$2,FALSE)</f>
        <v>34.47</v>
      </c>
      <c r="T88" s="6">
        <f>VLOOKUP($C88,[1]Peak_Forward!$A$5:$AG$128,'price-new'!T$2,FALSE)</f>
        <v>34.22</v>
      </c>
      <c r="U88" s="6"/>
    </row>
    <row r="89" spans="3:21" x14ac:dyDescent="0.2">
      <c r="C89" s="1">
        <v>39479</v>
      </c>
      <c r="E89" s="17">
        <f>VLOOKUP($C89,[1]Peak_Forward!$A$5:$AG$128,'price-new'!E$2,FALSE)</f>
        <v>28.5</v>
      </c>
      <c r="F89" s="17">
        <f>VLOOKUP($C89,[1]Peak_Forward!$A$5:$AG$128,'price-new'!F$2,FALSE)</f>
        <v>29</v>
      </c>
      <c r="G89" s="17">
        <f>VLOOKUP($C89,[1]Peak_Forward!$A$5:$AG$128,'price-new'!G$2,FALSE)</f>
        <v>31.27</v>
      </c>
      <c r="H89" s="17">
        <f>VLOOKUP($C89,[1]Peak_Forward!$A$5:$AG$128,'price-new'!H$2,FALSE)</f>
        <v>26.95</v>
      </c>
      <c r="I89" s="17">
        <f>VLOOKUP($C89,[1]Peak_Forward!$A$5:$AG$128,'price-new'!I$2,FALSE)</f>
        <v>28</v>
      </c>
      <c r="J89" s="17">
        <f>VLOOKUP($C89,[1]Peak_Forward!$A$5:$AG$128,'price-new'!J$2,FALSE)</f>
        <v>29</v>
      </c>
      <c r="K89" s="17">
        <f>VLOOKUP($C89,[1]Peak_Forward!$A$5:$AG$128,'price-new'!K$2,FALSE)</f>
        <v>43.75</v>
      </c>
      <c r="L89" s="17">
        <f>VLOOKUP($C89,[1]Peak_Forward!$A$5:$AG$128,'price-new'!L$2,FALSE)</f>
        <v>32.32</v>
      </c>
      <c r="M89" s="17">
        <f>VLOOKUP($C89,[1]Peak_Forward!$A$5:$AG$128,'price-new'!M$2,FALSE)</f>
        <v>33.5</v>
      </c>
      <c r="N89" s="17">
        <f>VLOOKUP($C89,[1]Peak_Forward!$A$5:$AG$128,'price-new'!N$2,FALSE)</f>
        <v>44</v>
      </c>
      <c r="O89" s="17">
        <f>VLOOKUP($C89,[1]Peak_Forward!$A$5:$AG$128,'price-new'!O$2,FALSE)</f>
        <v>31.03</v>
      </c>
      <c r="P89" s="17">
        <f>VLOOKUP($C89,[1]Peak_Forward!$A$5:$AG$128,'price-new'!P$2,FALSE)</f>
        <v>34.450000000000003</v>
      </c>
      <c r="Q89" s="17">
        <f>VLOOKUP($C89,[1]Peak_Forward!$A$5:$AG$128,'price-new'!Q$2,FALSE)</f>
        <v>29.555</v>
      </c>
      <c r="R89" s="17">
        <f>VLOOKUP($C89,[1]Peak_Forward!$A$5:$AG$128,'price-new'!R$2,FALSE)</f>
        <v>32.75</v>
      </c>
      <c r="S89" s="6">
        <f>VLOOKUP($C89,[1]Peak_Forward!$A$5:$AG$128,'price-new'!S$2,FALSE)</f>
        <v>33.53</v>
      </c>
      <c r="T89" s="6">
        <f>VLOOKUP($C89,[1]Peak_Forward!$A$5:$AG$128,'price-new'!T$2,FALSE)</f>
        <v>33.28</v>
      </c>
      <c r="U89" s="6"/>
    </row>
    <row r="90" spans="3:21" x14ac:dyDescent="0.2">
      <c r="C90" s="1">
        <v>39508</v>
      </c>
      <c r="E90" s="17">
        <f>VLOOKUP($C90,[1]Peak_Forward!$A$5:$AG$128,'price-new'!E$2,FALSE)</f>
        <v>28.54</v>
      </c>
      <c r="F90" s="17">
        <f>VLOOKUP($C90,[1]Peak_Forward!$A$5:$AG$128,'price-new'!F$2,FALSE)</f>
        <v>29.29</v>
      </c>
      <c r="G90" s="17">
        <f>VLOOKUP($C90,[1]Peak_Forward!$A$5:$AG$128,'price-new'!G$2,FALSE)</f>
        <v>29.706</v>
      </c>
      <c r="H90" s="17">
        <f>VLOOKUP($C90,[1]Peak_Forward!$A$5:$AG$128,'price-new'!H$2,FALSE)</f>
        <v>26.99</v>
      </c>
      <c r="I90" s="17">
        <f>VLOOKUP($C90,[1]Peak_Forward!$A$5:$AG$128,'price-new'!I$2,FALSE)</f>
        <v>28.04</v>
      </c>
      <c r="J90" s="17">
        <f>VLOOKUP($C90,[1]Peak_Forward!$A$5:$AG$128,'price-new'!J$2,FALSE)</f>
        <v>29.29</v>
      </c>
      <c r="K90" s="17">
        <f>VLOOKUP($C90,[1]Peak_Forward!$A$5:$AG$128,'price-new'!K$2,FALSE)</f>
        <v>35.75</v>
      </c>
      <c r="L90" s="17">
        <f>VLOOKUP($C90,[1]Peak_Forward!$A$5:$AG$128,'price-new'!L$2,FALSE)</f>
        <v>32.08</v>
      </c>
      <c r="M90" s="17">
        <f>VLOOKUP($C90,[1]Peak_Forward!$A$5:$AG$128,'price-new'!M$2,FALSE)</f>
        <v>31.5</v>
      </c>
      <c r="N90" s="17">
        <f>VLOOKUP($C90,[1]Peak_Forward!$A$5:$AG$128,'price-new'!N$2,FALSE)</f>
        <v>39</v>
      </c>
      <c r="O90" s="17">
        <f>VLOOKUP($C90,[1]Peak_Forward!$A$5:$AG$128,'price-new'!O$2,FALSE)</f>
        <v>28.78</v>
      </c>
      <c r="P90" s="17">
        <f>VLOOKUP($C90,[1]Peak_Forward!$A$5:$AG$128,'price-new'!P$2,FALSE)</f>
        <v>32.74</v>
      </c>
      <c r="Q90" s="17">
        <f>VLOOKUP($C90,[1]Peak_Forward!$A$5:$AG$128,'price-new'!Q$2,FALSE)</f>
        <v>29.305</v>
      </c>
      <c r="R90" s="17">
        <f>VLOOKUP($C90,[1]Peak_Forward!$A$5:$AG$128,'price-new'!R$2,FALSE)</f>
        <v>30</v>
      </c>
      <c r="S90" s="6">
        <f>VLOOKUP($C90,[1]Peak_Forward!$A$5:$AG$128,'price-new'!S$2,FALSE)</f>
        <v>31.28</v>
      </c>
      <c r="T90" s="6">
        <f>VLOOKUP($C90,[1]Peak_Forward!$A$5:$AG$128,'price-new'!T$2,FALSE)</f>
        <v>31.03</v>
      </c>
      <c r="U90" s="6"/>
    </row>
    <row r="91" spans="3:21" x14ac:dyDescent="0.2">
      <c r="C91" s="1">
        <v>39539</v>
      </c>
      <c r="E91" s="17">
        <f>VLOOKUP($C91,[1]Peak_Forward!$A$5:$AG$128,'price-new'!E$2,FALSE)</f>
        <v>29.16</v>
      </c>
      <c r="F91" s="17">
        <f>VLOOKUP($C91,[1]Peak_Forward!$A$5:$AG$128,'price-new'!F$2,FALSE)</f>
        <v>29.91</v>
      </c>
      <c r="G91" s="17">
        <f>VLOOKUP($C91,[1]Peak_Forward!$A$5:$AG$128,'price-new'!G$2,FALSE)</f>
        <v>30.49</v>
      </c>
      <c r="H91" s="17">
        <f>VLOOKUP($C91,[1]Peak_Forward!$A$5:$AG$128,'price-new'!H$2,FALSE)</f>
        <v>27.61</v>
      </c>
      <c r="I91" s="17">
        <f>VLOOKUP($C91,[1]Peak_Forward!$A$5:$AG$128,'price-new'!I$2,FALSE)</f>
        <v>28.66</v>
      </c>
      <c r="J91" s="17">
        <f>VLOOKUP($C91,[1]Peak_Forward!$A$5:$AG$128,'price-new'!J$2,FALSE)</f>
        <v>29.91</v>
      </c>
      <c r="K91" s="17">
        <f>VLOOKUP($C91,[1]Peak_Forward!$A$5:$AG$128,'price-new'!K$2,FALSE)</f>
        <v>36</v>
      </c>
      <c r="L91" s="17">
        <f>VLOOKUP($C91,[1]Peak_Forward!$A$5:$AG$128,'price-new'!L$2,FALSE)</f>
        <v>32.700000000000003</v>
      </c>
      <c r="M91" s="17">
        <f>VLOOKUP($C91,[1]Peak_Forward!$A$5:$AG$128,'price-new'!M$2,FALSE)</f>
        <v>31.5</v>
      </c>
      <c r="N91" s="17">
        <f>VLOOKUP($C91,[1]Peak_Forward!$A$5:$AG$128,'price-new'!N$2,FALSE)</f>
        <v>39</v>
      </c>
      <c r="O91" s="17">
        <f>VLOOKUP($C91,[1]Peak_Forward!$A$5:$AG$128,'price-new'!O$2,FALSE)</f>
        <v>28.78</v>
      </c>
      <c r="P91" s="17">
        <f>VLOOKUP($C91,[1]Peak_Forward!$A$5:$AG$128,'price-new'!P$2,FALSE)</f>
        <v>32.909999999999997</v>
      </c>
      <c r="Q91" s="17">
        <f>VLOOKUP($C91,[1]Peak_Forward!$A$5:$AG$128,'price-new'!Q$2,FALSE)</f>
        <v>29.306000000000001</v>
      </c>
      <c r="R91" s="17">
        <f>VLOOKUP($C91,[1]Peak_Forward!$A$5:$AG$128,'price-new'!R$2,FALSE)</f>
        <v>30</v>
      </c>
      <c r="S91" s="6">
        <f>VLOOKUP($C91,[1]Peak_Forward!$A$5:$AG$128,'price-new'!S$2,FALSE)</f>
        <v>31.28</v>
      </c>
      <c r="T91" s="6">
        <f>VLOOKUP($C91,[1]Peak_Forward!$A$5:$AG$128,'price-new'!T$2,FALSE)</f>
        <v>31.03</v>
      </c>
      <c r="U91" s="6"/>
    </row>
    <row r="92" spans="3:21" x14ac:dyDescent="0.2">
      <c r="C92" s="1">
        <v>39569</v>
      </c>
      <c r="E92" s="17">
        <f>VLOOKUP($C92,[1]Peak_Forward!$A$5:$AG$128,'price-new'!E$2,FALSE)</f>
        <v>31.82</v>
      </c>
      <c r="F92" s="17">
        <f>VLOOKUP($C92,[1]Peak_Forward!$A$5:$AG$128,'price-new'!F$2,FALSE)</f>
        <v>32.82</v>
      </c>
      <c r="G92" s="17">
        <f>VLOOKUP($C92,[1]Peak_Forward!$A$5:$AG$128,'price-new'!G$2,FALSE)</f>
        <v>32.450000000000003</v>
      </c>
      <c r="H92" s="17">
        <f>VLOOKUP($C92,[1]Peak_Forward!$A$5:$AG$128,'price-new'!H$2,FALSE)</f>
        <v>30.32</v>
      </c>
      <c r="I92" s="17">
        <f>VLOOKUP($C92,[1]Peak_Forward!$A$5:$AG$128,'price-new'!I$2,FALSE)</f>
        <v>31.32</v>
      </c>
      <c r="J92" s="17">
        <f>VLOOKUP($C92,[1]Peak_Forward!$A$5:$AG$128,'price-new'!J$2,FALSE)</f>
        <v>32.82</v>
      </c>
      <c r="K92" s="17">
        <f>VLOOKUP($C92,[1]Peak_Forward!$A$5:$AG$128,'price-new'!K$2,FALSE)</f>
        <v>36</v>
      </c>
      <c r="L92" s="17">
        <f>VLOOKUP($C92,[1]Peak_Forward!$A$5:$AG$128,'price-new'!L$2,FALSE)</f>
        <v>37.159999999999997</v>
      </c>
      <c r="M92" s="17">
        <f>VLOOKUP($C92,[1]Peak_Forward!$A$5:$AG$128,'price-new'!M$2,FALSE)</f>
        <v>32</v>
      </c>
      <c r="N92" s="17">
        <f>VLOOKUP($C92,[1]Peak_Forward!$A$5:$AG$128,'price-new'!N$2,FALSE)</f>
        <v>40.5</v>
      </c>
      <c r="O92" s="17">
        <f>VLOOKUP($C92,[1]Peak_Forward!$A$5:$AG$128,'price-new'!O$2,FALSE)</f>
        <v>31.98</v>
      </c>
      <c r="P92" s="17">
        <f>VLOOKUP($C92,[1]Peak_Forward!$A$5:$AG$128,'price-new'!P$2,FALSE)</f>
        <v>30.37</v>
      </c>
      <c r="Q92" s="17">
        <f>VLOOKUP($C92,[1]Peak_Forward!$A$5:$AG$128,'price-new'!Q$2,FALSE)</f>
        <v>32.161000000000001</v>
      </c>
      <c r="R92" s="17">
        <f>VLOOKUP($C92,[1]Peak_Forward!$A$5:$AG$128,'price-new'!R$2,FALSE)</f>
        <v>32.25</v>
      </c>
      <c r="S92" s="6">
        <f>VLOOKUP($C92,[1]Peak_Forward!$A$5:$AG$128,'price-new'!S$2,FALSE)</f>
        <v>34.979999999999997</v>
      </c>
      <c r="T92" s="6">
        <f>VLOOKUP($C92,[1]Peak_Forward!$A$5:$AG$128,'price-new'!T$2,FALSE)</f>
        <v>35.229999999999997</v>
      </c>
      <c r="U92" s="6"/>
    </row>
    <row r="93" spans="3:21" x14ac:dyDescent="0.2">
      <c r="C93" s="1">
        <v>39600</v>
      </c>
      <c r="E93" s="17">
        <f>VLOOKUP($C93,[1]Peak_Forward!$A$5:$AG$128,'price-new'!E$2,FALSE)</f>
        <v>36.53</v>
      </c>
      <c r="F93" s="17">
        <f>VLOOKUP($C93,[1]Peak_Forward!$A$5:$AG$128,'price-new'!F$2,FALSE)</f>
        <v>38.03</v>
      </c>
      <c r="G93" s="17">
        <f>VLOOKUP($C93,[1]Peak_Forward!$A$5:$AG$128,'price-new'!G$2,FALSE)</f>
        <v>36.5</v>
      </c>
      <c r="H93" s="17">
        <f>VLOOKUP($C93,[1]Peak_Forward!$A$5:$AG$128,'price-new'!H$2,FALSE)</f>
        <v>34.880000000000003</v>
      </c>
      <c r="I93" s="17">
        <f>VLOOKUP($C93,[1]Peak_Forward!$A$5:$AG$128,'price-new'!I$2,FALSE)</f>
        <v>36.03</v>
      </c>
      <c r="J93" s="17">
        <f>VLOOKUP($C93,[1]Peak_Forward!$A$5:$AG$128,'price-new'!J$2,FALSE)</f>
        <v>38.03</v>
      </c>
      <c r="K93" s="17">
        <f>VLOOKUP($C93,[1]Peak_Forward!$A$5:$AG$128,'price-new'!K$2,FALSE)</f>
        <v>40.75</v>
      </c>
      <c r="L93" s="17">
        <f>VLOOKUP($C93,[1]Peak_Forward!$A$5:$AG$128,'price-new'!L$2,FALSE)</f>
        <v>40.58</v>
      </c>
      <c r="M93" s="17">
        <f>VLOOKUP($C93,[1]Peak_Forward!$A$5:$AG$128,'price-new'!M$2,FALSE)</f>
        <v>42.5</v>
      </c>
      <c r="N93" s="17">
        <f>VLOOKUP($C93,[1]Peak_Forward!$A$5:$AG$128,'price-new'!N$2,FALSE)</f>
        <v>49</v>
      </c>
      <c r="O93" s="17">
        <f>VLOOKUP($C93,[1]Peak_Forward!$A$5:$AG$128,'price-new'!O$2,FALSE)</f>
        <v>38.479999999999997</v>
      </c>
      <c r="P93" s="17">
        <f>VLOOKUP($C93,[1]Peak_Forward!$A$5:$AG$128,'price-new'!P$2,FALSE)</f>
        <v>33.28</v>
      </c>
      <c r="Q93" s="17">
        <f>VLOOKUP($C93,[1]Peak_Forward!$A$5:$AG$128,'price-new'!Q$2,FALSE)</f>
        <v>39.134999999999998</v>
      </c>
      <c r="R93" s="17">
        <f>VLOOKUP($C93,[1]Peak_Forward!$A$5:$AG$128,'price-new'!R$2,FALSE)</f>
        <v>42.25</v>
      </c>
      <c r="S93" s="6">
        <f>VLOOKUP($C93,[1]Peak_Forward!$A$5:$AG$128,'price-new'!S$2,FALSE)</f>
        <v>41.73</v>
      </c>
      <c r="T93" s="6">
        <f>VLOOKUP($C93,[1]Peak_Forward!$A$5:$AG$128,'price-new'!T$2,FALSE)</f>
        <v>43.73</v>
      </c>
      <c r="U93" s="6"/>
    </row>
    <row r="94" spans="3:21" x14ac:dyDescent="0.2">
      <c r="C94" s="1">
        <v>39630</v>
      </c>
      <c r="E94" s="17">
        <f>VLOOKUP($C94,[1]Peak_Forward!$A$5:$AG$128,'price-new'!E$2,FALSE)</f>
        <v>50.47</v>
      </c>
      <c r="F94" s="17">
        <f>VLOOKUP($C94,[1]Peak_Forward!$A$5:$AG$128,'price-new'!F$2,FALSE)</f>
        <v>52.97</v>
      </c>
      <c r="G94" s="17">
        <f>VLOOKUP($C94,[1]Peak_Forward!$A$5:$AG$128,'price-new'!G$2,FALSE)</f>
        <v>46.05</v>
      </c>
      <c r="H94" s="17">
        <f>VLOOKUP($C94,[1]Peak_Forward!$A$5:$AG$128,'price-new'!H$2,FALSE)</f>
        <v>48.42</v>
      </c>
      <c r="I94" s="17">
        <f>VLOOKUP($C94,[1]Peak_Forward!$A$5:$AG$128,'price-new'!I$2,FALSE)</f>
        <v>49.97</v>
      </c>
      <c r="J94" s="17">
        <f>VLOOKUP($C94,[1]Peak_Forward!$A$5:$AG$128,'price-new'!J$2,FALSE)</f>
        <v>52.97</v>
      </c>
      <c r="K94" s="17">
        <f>VLOOKUP($C94,[1]Peak_Forward!$A$5:$AG$128,'price-new'!K$2,FALSE)</f>
        <v>48</v>
      </c>
      <c r="L94" s="17">
        <f>VLOOKUP($C94,[1]Peak_Forward!$A$5:$AG$128,'price-new'!L$2,FALSE)</f>
        <v>50.22</v>
      </c>
      <c r="M94" s="17">
        <f>VLOOKUP($C94,[1]Peak_Forward!$A$5:$AG$128,'price-new'!M$2,FALSE)</f>
        <v>53.5</v>
      </c>
      <c r="N94" s="17">
        <f>VLOOKUP($C94,[1]Peak_Forward!$A$5:$AG$128,'price-new'!N$2,FALSE)</f>
        <v>70.5</v>
      </c>
      <c r="O94" s="17">
        <f>VLOOKUP($C94,[1]Peak_Forward!$A$5:$AG$128,'price-new'!O$2,FALSE)</f>
        <v>49.55</v>
      </c>
      <c r="P94" s="17">
        <f>VLOOKUP($C94,[1]Peak_Forward!$A$5:$AG$128,'price-new'!P$2,FALSE)</f>
        <v>37.619999999999997</v>
      </c>
      <c r="Q94" s="17">
        <f>VLOOKUP($C94,[1]Peak_Forward!$A$5:$AG$128,'price-new'!Q$2,FALSE)</f>
        <v>51.572000000000003</v>
      </c>
      <c r="R94" s="17">
        <f>VLOOKUP($C94,[1]Peak_Forward!$A$5:$AG$128,'price-new'!R$2,FALSE)</f>
        <v>51.25</v>
      </c>
      <c r="S94" s="6">
        <f>VLOOKUP($C94,[1]Peak_Forward!$A$5:$AG$128,'price-new'!S$2,FALSE)</f>
        <v>52.8</v>
      </c>
      <c r="T94" s="6">
        <f>VLOOKUP($C94,[1]Peak_Forward!$A$5:$AG$128,'price-new'!T$2,FALSE)</f>
        <v>54.8</v>
      </c>
      <c r="U94" s="6"/>
    </row>
    <row r="95" spans="3:21" x14ac:dyDescent="0.2">
      <c r="C95" s="1">
        <v>39661</v>
      </c>
      <c r="E95" s="17">
        <f>VLOOKUP($C95,[1]Peak_Forward!$A$5:$AG$128,'price-new'!E$2,FALSE)</f>
        <v>49.81</v>
      </c>
      <c r="F95" s="17">
        <f>VLOOKUP($C95,[1]Peak_Forward!$A$5:$AG$128,'price-new'!F$2,FALSE)</f>
        <v>52.31</v>
      </c>
      <c r="G95" s="17">
        <f>VLOOKUP($C95,[1]Peak_Forward!$A$5:$AG$128,'price-new'!G$2,FALSE)</f>
        <v>45.65</v>
      </c>
      <c r="H95" s="17">
        <f>VLOOKUP($C95,[1]Peak_Forward!$A$5:$AG$128,'price-new'!H$2,FALSE)</f>
        <v>47.76</v>
      </c>
      <c r="I95" s="17">
        <f>VLOOKUP($C95,[1]Peak_Forward!$A$5:$AG$128,'price-new'!I$2,FALSE)</f>
        <v>49.31</v>
      </c>
      <c r="J95" s="17">
        <f>VLOOKUP($C95,[1]Peak_Forward!$A$5:$AG$128,'price-new'!J$2,FALSE)</f>
        <v>52.31</v>
      </c>
      <c r="K95" s="17">
        <f>VLOOKUP($C95,[1]Peak_Forward!$A$5:$AG$128,'price-new'!K$2,FALSE)</f>
        <v>48</v>
      </c>
      <c r="L95" s="17">
        <f>VLOOKUP($C95,[1]Peak_Forward!$A$5:$AG$128,'price-new'!L$2,FALSE)</f>
        <v>50.56</v>
      </c>
      <c r="M95" s="17">
        <f>VLOOKUP($C95,[1]Peak_Forward!$A$5:$AG$128,'price-new'!M$2,FALSE)</f>
        <v>53.5</v>
      </c>
      <c r="N95" s="17">
        <f>VLOOKUP($C95,[1]Peak_Forward!$A$5:$AG$128,'price-new'!N$2,FALSE)</f>
        <v>70.5</v>
      </c>
      <c r="O95" s="17">
        <f>VLOOKUP($C95,[1]Peak_Forward!$A$5:$AG$128,'price-new'!O$2,FALSE)</f>
        <v>48.55</v>
      </c>
      <c r="P95" s="17">
        <f>VLOOKUP($C95,[1]Peak_Forward!$A$5:$AG$128,'price-new'!P$2,FALSE)</f>
        <v>36.96</v>
      </c>
      <c r="Q95" s="17">
        <f>VLOOKUP($C95,[1]Peak_Forward!$A$5:$AG$128,'price-new'!Q$2,FALSE)</f>
        <v>51.822000000000003</v>
      </c>
      <c r="R95" s="17">
        <f>VLOOKUP($C95,[1]Peak_Forward!$A$5:$AG$128,'price-new'!R$2,FALSE)</f>
        <v>51.25</v>
      </c>
      <c r="S95" s="6">
        <f>VLOOKUP($C95,[1]Peak_Forward!$A$5:$AG$128,'price-new'!S$2,FALSE)</f>
        <v>51.8</v>
      </c>
      <c r="T95" s="6">
        <f>VLOOKUP($C95,[1]Peak_Forward!$A$5:$AG$128,'price-new'!T$2,FALSE)</f>
        <v>53.8</v>
      </c>
      <c r="U95" s="6"/>
    </row>
    <row r="96" spans="3:21" x14ac:dyDescent="0.2">
      <c r="C96" s="1">
        <v>39692</v>
      </c>
      <c r="E96" s="17">
        <f>VLOOKUP($C96,[1]Peak_Forward!$A$5:$AG$128,'price-new'!E$2,FALSE)</f>
        <v>26.88</v>
      </c>
      <c r="F96" s="17">
        <f>VLOOKUP($C96,[1]Peak_Forward!$A$5:$AG$128,'price-new'!F$2,FALSE)</f>
        <v>28.38</v>
      </c>
      <c r="G96" s="17">
        <f>VLOOKUP($C96,[1]Peak_Forward!$A$5:$AG$128,'price-new'!G$2,FALSE)</f>
        <v>33.4</v>
      </c>
      <c r="H96" s="17">
        <f>VLOOKUP($C96,[1]Peak_Forward!$A$5:$AG$128,'price-new'!H$2,FALSE)</f>
        <v>25.63</v>
      </c>
      <c r="I96" s="17">
        <f>VLOOKUP($C96,[1]Peak_Forward!$A$5:$AG$128,'price-new'!I$2,FALSE)</f>
        <v>26.38</v>
      </c>
      <c r="J96" s="17">
        <f>VLOOKUP($C96,[1]Peak_Forward!$A$5:$AG$128,'price-new'!J$2,FALSE)</f>
        <v>28.38</v>
      </c>
      <c r="K96" s="17">
        <f>VLOOKUP($C96,[1]Peak_Forward!$A$5:$AG$128,'price-new'!K$2,FALSE)</f>
        <v>35</v>
      </c>
      <c r="L96" s="17">
        <f>VLOOKUP($C96,[1]Peak_Forward!$A$5:$AG$128,'price-new'!L$2,FALSE)</f>
        <v>29.6</v>
      </c>
      <c r="M96" s="17">
        <f>VLOOKUP($C96,[1]Peak_Forward!$A$5:$AG$128,'price-new'!M$2,FALSE)</f>
        <v>31.25</v>
      </c>
      <c r="N96" s="17">
        <f>VLOOKUP($C96,[1]Peak_Forward!$A$5:$AG$128,'price-new'!N$2,FALSE)</f>
        <v>39</v>
      </c>
      <c r="O96" s="17">
        <f>VLOOKUP($C96,[1]Peak_Forward!$A$5:$AG$128,'price-new'!O$2,FALSE)</f>
        <v>27.12</v>
      </c>
      <c r="P96" s="17">
        <f>VLOOKUP($C96,[1]Peak_Forward!$A$5:$AG$128,'price-new'!P$2,FALSE)</f>
        <v>24.73</v>
      </c>
      <c r="Q96" s="17">
        <f>VLOOKUP($C96,[1]Peak_Forward!$A$5:$AG$128,'price-new'!Q$2,FALSE)</f>
        <v>25.861999999999998</v>
      </c>
      <c r="R96" s="17">
        <f>VLOOKUP($C96,[1]Peak_Forward!$A$5:$AG$128,'price-new'!R$2,FALSE)</f>
        <v>30.25</v>
      </c>
      <c r="S96" s="6">
        <f>VLOOKUP($C96,[1]Peak_Forward!$A$5:$AG$128,'price-new'!S$2,FALSE)</f>
        <v>29.87</v>
      </c>
      <c r="T96" s="6">
        <f>VLOOKUP($C96,[1]Peak_Forward!$A$5:$AG$128,'price-new'!T$2,FALSE)</f>
        <v>31.37</v>
      </c>
      <c r="U96" s="6"/>
    </row>
    <row r="97" spans="3:21" x14ac:dyDescent="0.2">
      <c r="C97" s="1">
        <v>39722</v>
      </c>
      <c r="E97" s="17">
        <f>VLOOKUP($C97,[1]Peak_Forward!$A$5:$AG$128,'price-new'!E$2,FALSE)</f>
        <v>28.88</v>
      </c>
      <c r="F97" s="17">
        <f>VLOOKUP($C97,[1]Peak_Forward!$A$5:$AG$128,'price-new'!F$2,FALSE)</f>
        <v>28.88</v>
      </c>
      <c r="G97" s="17">
        <f>VLOOKUP($C97,[1]Peak_Forward!$A$5:$AG$128,'price-new'!G$2,FALSE)</f>
        <v>31.62</v>
      </c>
      <c r="H97" s="17">
        <f>VLOOKUP($C97,[1]Peak_Forward!$A$5:$AG$128,'price-new'!H$2,FALSE)</f>
        <v>27.63</v>
      </c>
      <c r="I97" s="17">
        <f>VLOOKUP($C97,[1]Peak_Forward!$A$5:$AG$128,'price-new'!I$2,FALSE)</f>
        <v>28.38</v>
      </c>
      <c r="J97" s="17">
        <f>VLOOKUP($C97,[1]Peak_Forward!$A$5:$AG$128,'price-new'!J$2,FALSE)</f>
        <v>28.88</v>
      </c>
      <c r="K97" s="17">
        <f>VLOOKUP($C97,[1]Peak_Forward!$A$5:$AG$128,'price-new'!K$2,FALSE)</f>
        <v>34.75</v>
      </c>
      <c r="L97" s="17">
        <f>VLOOKUP($C97,[1]Peak_Forward!$A$5:$AG$128,'price-new'!L$2,FALSE)</f>
        <v>30.54</v>
      </c>
      <c r="M97" s="17">
        <f>VLOOKUP($C97,[1]Peak_Forward!$A$5:$AG$128,'price-new'!M$2,FALSE)</f>
        <v>31.25</v>
      </c>
      <c r="N97" s="17">
        <f>VLOOKUP($C97,[1]Peak_Forward!$A$5:$AG$128,'price-new'!N$2,FALSE)</f>
        <v>39</v>
      </c>
      <c r="O97" s="17">
        <f>VLOOKUP($C97,[1]Peak_Forward!$A$5:$AG$128,'price-new'!O$2,FALSE)</f>
        <v>29.38</v>
      </c>
      <c r="P97" s="17">
        <f>VLOOKUP($C97,[1]Peak_Forward!$A$5:$AG$128,'price-new'!P$2,FALSE)</f>
        <v>32.07</v>
      </c>
      <c r="Q97" s="17">
        <f>VLOOKUP($C97,[1]Peak_Forward!$A$5:$AG$128,'price-new'!Q$2,FALSE)</f>
        <v>28.032</v>
      </c>
      <c r="R97" s="17">
        <f>VLOOKUP($C97,[1]Peak_Forward!$A$5:$AG$128,'price-new'!R$2,FALSE)</f>
        <v>30.25</v>
      </c>
      <c r="S97" s="6">
        <f>VLOOKUP($C97,[1]Peak_Forward!$A$5:$AG$128,'price-new'!S$2,FALSE)</f>
        <v>31.88</v>
      </c>
      <c r="T97" s="6">
        <f>VLOOKUP($C97,[1]Peak_Forward!$A$5:$AG$128,'price-new'!T$2,FALSE)</f>
        <v>31.63</v>
      </c>
      <c r="U97" s="6"/>
    </row>
    <row r="98" spans="3:21" x14ac:dyDescent="0.2">
      <c r="C98" s="1">
        <v>39753</v>
      </c>
      <c r="E98" s="17">
        <f>VLOOKUP($C98,[1]Peak_Forward!$A$5:$AG$128,'price-new'!E$2,FALSE)</f>
        <v>29.4</v>
      </c>
      <c r="F98" s="17">
        <f>VLOOKUP($C98,[1]Peak_Forward!$A$5:$AG$128,'price-new'!F$2,FALSE)</f>
        <v>29.4</v>
      </c>
      <c r="G98" s="17">
        <f>VLOOKUP($C98,[1]Peak_Forward!$A$5:$AG$128,'price-new'!G$2,FALSE)</f>
        <v>30.62</v>
      </c>
      <c r="H98" s="17">
        <f>VLOOKUP($C98,[1]Peak_Forward!$A$5:$AG$128,'price-new'!H$2,FALSE)</f>
        <v>28.15</v>
      </c>
      <c r="I98" s="17">
        <f>VLOOKUP($C98,[1]Peak_Forward!$A$5:$AG$128,'price-new'!I$2,FALSE)</f>
        <v>28.9</v>
      </c>
      <c r="J98" s="17">
        <f>VLOOKUP($C98,[1]Peak_Forward!$A$5:$AG$128,'price-new'!J$2,FALSE)</f>
        <v>29.4</v>
      </c>
      <c r="K98" s="17">
        <f>VLOOKUP($C98,[1]Peak_Forward!$A$5:$AG$128,'price-new'!K$2,FALSE)</f>
        <v>34.75</v>
      </c>
      <c r="L98" s="17">
        <f>VLOOKUP($C98,[1]Peak_Forward!$A$5:$AG$128,'price-new'!L$2,FALSE)</f>
        <v>31.06</v>
      </c>
      <c r="M98" s="17">
        <f>VLOOKUP($C98,[1]Peak_Forward!$A$5:$AG$128,'price-new'!M$2,FALSE)</f>
        <v>31.25</v>
      </c>
      <c r="N98" s="17">
        <f>VLOOKUP($C98,[1]Peak_Forward!$A$5:$AG$128,'price-new'!N$2,FALSE)</f>
        <v>39</v>
      </c>
      <c r="O98" s="17">
        <f>VLOOKUP($C98,[1]Peak_Forward!$A$5:$AG$128,'price-new'!O$2,FALSE)</f>
        <v>29.38</v>
      </c>
      <c r="P98" s="17">
        <f>VLOOKUP($C98,[1]Peak_Forward!$A$5:$AG$128,'price-new'!P$2,FALSE)</f>
        <v>35.99</v>
      </c>
      <c r="Q98" s="17">
        <f>VLOOKUP($C98,[1]Peak_Forward!$A$5:$AG$128,'price-new'!Q$2,FALSE)</f>
        <v>28.132000000000001</v>
      </c>
      <c r="R98" s="17">
        <f>VLOOKUP($C98,[1]Peak_Forward!$A$5:$AG$128,'price-new'!R$2,FALSE)</f>
        <v>30.25</v>
      </c>
      <c r="S98" s="6">
        <f>VLOOKUP($C98,[1]Peak_Forward!$A$5:$AG$128,'price-new'!S$2,FALSE)</f>
        <v>31.88</v>
      </c>
      <c r="T98" s="6">
        <f>VLOOKUP($C98,[1]Peak_Forward!$A$5:$AG$128,'price-new'!T$2,FALSE)</f>
        <v>31.63</v>
      </c>
      <c r="U98" s="6"/>
    </row>
    <row r="99" spans="3:21" x14ac:dyDescent="0.2">
      <c r="C99" s="1">
        <v>39783</v>
      </c>
      <c r="E99" s="17">
        <f>VLOOKUP($C99,[1]Peak_Forward!$A$5:$AG$128,'price-new'!E$2,FALSE)</f>
        <v>29.74</v>
      </c>
      <c r="F99" s="17">
        <f>VLOOKUP($C99,[1]Peak_Forward!$A$5:$AG$128,'price-new'!F$2,FALSE)</f>
        <v>29.74</v>
      </c>
      <c r="G99" s="17">
        <f>VLOOKUP($C99,[1]Peak_Forward!$A$5:$AG$128,'price-new'!G$2,FALSE)</f>
        <v>31.52</v>
      </c>
      <c r="H99" s="17">
        <f>VLOOKUP($C99,[1]Peak_Forward!$A$5:$AG$128,'price-new'!H$2,FALSE)</f>
        <v>28.49</v>
      </c>
      <c r="I99" s="17">
        <f>VLOOKUP($C99,[1]Peak_Forward!$A$5:$AG$128,'price-new'!I$2,FALSE)</f>
        <v>29.24</v>
      </c>
      <c r="J99" s="17">
        <f>VLOOKUP($C99,[1]Peak_Forward!$A$5:$AG$128,'price-new'!J$2,FALSE)</f>
        <v>29.74</v>
      </c>
      <c r="K99" s="17">
        <f>VLOOKUP($C99,[1]Peak_Forward!$A$5:$AG$128,'price-new'!K$2,FALSE)</f>
        <v>34.75</v>
      </c>
      <c r="L99" s="17">
        <f>VLOOKUP($C99,[1]Peak_Forward!$A$5:$AG$128,'price-new'!L$2,FALSE)</f>
        <v>31.4</v>
      </c>
      <c r="M99" s="17">
        <f>VLOOKUP($C99,[1]Peak_Forward!$A$5:$AG$128,'price-new'!M$2,FALSE)</f>
        <v>31.25</v>
      </c>
      <c r="N99" s="17">
        <f>VLOOKUP($C99,[1]Peak_Forward!$A$5:$AG$128,'price-new'!N$2,FALSE)</f>
        <v>39</v>
      </c>
      <c r="O99" s="17">
        <f>VLOOKUP($C99,[1]Peak_Forward!$A$5:$AG$128,'price-new'!O$2,FALSE)</f>
        <v>29.38</v>
      </c>
      <c r="P99" s="17">
        <f>VLOOKUP($C99,[1]Peak_Forward!$A$5:$AG$128,'price-new'!P$2,FALSE)</f>
        <v>36.729999999999997</v>
      </c>
      <c r="Q99" s="17">
        <f>VLOOKUP($C99,[1]Peak_Forward!$A$5:$AG$128,'price-new'!Q$2,FALSE)</f>
        <v>28.231999999999999</v>
      </c>
      <c r="R99" s="17">
        <f>VLOOKUP($C99,[1]Peak_Forward!$A$5:$AG$128,'price-new'!R$2,FALSE)</f>
        <v>30.25</v>
      </c>
      <c r="S99" s="6">
        <f>VLOOKUP($C99,[1]Peak_Forward!$A$5:$AG$128,'price-new'!S$2,FALSE)</f>
        <v>31.88</v>
      </c>
      <c r="T99" s="6">
        <f>VLOOKUP($C99,[1]Peak_Forward!$A$5:$AG$128,'price-new'!T$2,FALSE)</f>
        <v>31.63</v>
      </c>
      <c r="U99" s="6"/>
    </row>
    <row r="100" spans="3:21" x14ac:dyDescent="0.2">
      <c r="C100" s="1">
        <v>39814</v>
      </c>
      <c r="E100" s="17">
        <f>VLOOKUP($C100,[1]Peak_Forward!$A$5:$AG$128,'price-new'!E$2,FALSE)</f>
        <v>31.55</v>
      </c>
      <c r="F100" s="17">
        <f>VLOOKUP($C100,[1]Peak_Forward!$A$5:$AG$128,'price-new'!F$2,FALSE)</f>
        <v>32.049999999999997</v>
      </c>
      <c r="G100" s="17">
        <f>VLOOKUP($C100,[1]Peak_Forward!$A$5:$AG$128,'price-new'!G$2,FALSE)</f>
        <v>32.92</v>
      </c>
      <c r="H100" s="17">
        <f>VLOOKUP($C100,[1]Peak_Forward!$A$5:$AG$128,'price-new'!H$2,FALSE)</f>
        <v>30</v>
      </c>
      <c r="I100" s="17">
        <f>VLOOKUP($C100,[1]Peak_Forward!$A$5:$AG$128,'price-new'!I$2,FALSE)</f>
        <v>31.05</v>
      </c>
      <c r="J100" s="17">
        <f>VLOOKUP($C100,[1]Peak_Forward!$A$5:$AG$128,'price-new'!J$2,FALSE)</f>
        <v>32.049999999999997</v>
      </c>
      <c r="K100" s="17">
        <f>VLOOKUP($C100,[1]Peak_Forward!$A$5:$AG$128,'price-new'!K$2,FALSE)</f>
        <v>44.25</v>
      </c>
      <c r="L100" s="17">
        <f>VLOOKUP($C100,[1]Peak_Forward!$A$5:$AG$128,'price-new'!L$2,FALSE)</f>
        <v>34.729999999999997</v>
      </c>
      <c r="M100" s="17">
        <f>VLOOKUP($C100,[1]Peak_Forward!$A$5:$AG$128,'price-new'!M$2,FALSE)</f>
        <v>34.25</v>
      </c>
      <c r="N100" s="17">
        <f>VLOOKUP($C100,[1]Peak_Forward!$A$5:$AG$128,'price-new'!N$2,FALSE)</f>
        <v>44.5</v>
      </c>
      <c r="O100" s="17">
        <f>VLOOKUP($C100,[1]Peak_Forward!$A$5:$AG$128,'price-new'!O$2,FALSE)</f>
        <v>32.61</v>
      </c>
      <c r="P100" s="17">
        <f>VLOOKUP($C100,[1]Peak_Forward!$A$5:$AG$128,'price-new'!P$2,FALSE)</f>
        <v>37</v>
      </c>
      <c r="Q100" s="17">
        <f>VLOOKUP($C100,[1]Peak_Forward!$A$5:$AG$128,'price-new'!Q$2,FALSE)</f>
        <v>30.832000000000001</v>
      </c>
      <c r="R100" s="17">
        <f>VLOOKUP($C100,[1]Peak_Forward!$A$5:$AG$128,'price-new'!R$2,FALSE)</f>
        <v>33.25</v>
      </c>
      <c r="S100" s="6">
        <f>VLOOKUP($C100,[1]Peak_Forward!$A$5:$AG$128,'price-new'!S$2,FALSE)</f>
        <v>35.11</v>
      </c>
      <c r="T100" s="6">
        <f>VLOOKUP($C100,[1]Peak_Forward!$A$5:$AG$128,'price-new'!T$2,FALSE)</f>
        <v>34.86</v>
      </c>
      <c r="U100" s="6"/>
    </row>
    <row r="101" spans="3:21" x14ac:dyDescent="0.2">
      <c r="C101" s="1">
        <v>39845</v>
      </c>
      <c r="E101" s="17">
        <f>VLOOKUP($C101,[1]Peak_Forward!$A$5:$AG$128,'price-new'!E$2,FALSE)</f>
        <v>29.84</v>
      </c>
      <c r="F101" s="17">
        <f>VLOOKUP($C101,[1]Peak_Forward!$A$5:$AG$128,'price-new'!F$2,FALSE)</f>
        <v>30.34</v>
      </c>
      <c r="G101" s="17">
        <f>VLOOKUP($C101,[1]Peak_Forward!$A$5:$AG$128,'price-new'!G$2,FALSE)</f>
        <v>32.17</v>
      </c>
      <c r="H101" s="17">
        <f>VLOOKUP($C101,[1]Peak_Forward!$A$5:$AG$128,'price-new'!H$2,FALSE)</f>
        <v>28.29</v>
      </c>
      <c r="I101" s="17">
        <f>VLOOKUP($C101,[1]Peak_Forward!$A$5:$AG$128,'price-new'!I$2,FALSE)</f>
        <v>29.34</v>
      </c>
      <c r="J101" s="17">
        <f>VLOOKUP($C101,[1]Peak_Forward!$A$5:$AG$128,'price-new'!J$2,FALSE)</f>
        <v>30.34</v>
      </c>
      <c r="K101" s="17">
        <f>VLOOKUP($C101,[1]Peak_Forward!$A$5:$AG$128,'price-new'!K$2,FALSE)</f>
        <v>44.25</v>
      </c>
      <c r="L101" s="17">
        <f>VLOOKUP($C101,[1]Peak_Forward!$A$5:$AG$128,'price-new'!L$2,FALSE)</f>
        <v>33.880000000000003</v>
      </c>
      <c r="M101" s="17">
        <f>VLOOKUP($C101,[1]Peak_Forward!$A$5:$AG$128,'price-new'!M$2,FALSE)</f>
        <v>34.25</v>
      </c>
      <c r="N101" s="17">
        <f>VLOOKUP($C101,[1]Peak_Forward!$A$5:$AG$128,'price-new'!N$2,FALSE)</f>
        <v>44.5</v>
      </c>
      <c r="O101" s="17">
        <f>VLOOKUP($C101,[1]Peak_Forward!$A$5:$AG$128,'price-new'!O$2,FALSE)</f>
        <v>31.04</v>
      </c>
      <c r="P101" s="17">
        <f>VLOOKUP($C101,[1]Peak_Forward!$A$5:$AG$128,'price-new'!P$2,FALSE)</f>
        <v>36.29</v>
      </c>
      <c r="Q101" s="17">
        <f>VLOOKUP($C101,[1]Peak_Forward!$A$5:$AG$128,'price-new'!Q$2,FALSE)</f>
        <v>30.015000000000001</v>
      </c>
      <c r="R101" s="17">
        <f>VLOOKUP($C101,[1]Peak_Forward!$A$5:$AG$128,'price-new'!R$2,FALSE)</f>
        <v>33.25</v>
      </c>
      <c r="S101" s="6">
        <f>VLOOKUP($C101,[1]Peak_Forward!$A$5:$AG$128,'price-new'!S$2,FALSE)</f>
        <v>33.54</v>
      </c>
      <c r="T101" s="6">
        <f>VLOOKUP($C101,[1]Peak_Forward!$A$5:$AG$128,'price-new'!T$2,FALSE)</f>
        <v>33.29</v>
      </c>
      <c r="U101" s="6"/>
    </row>
    <row r="102" spans="3:21" x14ac:dyDescent="0.2">
      <c r="C102" s="1">
        <v>39873</v>
      </c>
      <c r="E102" s="17">
        <f>VLOOKUP($C102,[1]Peak_Forward!$A$5:$AG$128,'price-new'!E$2,FALSE)</f>
        <v>28.37</v>
      </c>
      <c r="F102" s="17">
        <f>VLOOKUP($C102,[1]Peak_Forward!$A$5:$AG$128,'price-new'!F$2,FALSE)</f>
        <v>29.12</v>
      </c>
      <c r="G102" s="17">
        <f>VLOOKUP($C102,[1]Peak_Forward!$A$5:$AG$128,'price-new'!G$2,FALSE)</f>
        <v>30.606000000000002</v>
      </c>
      <c r="H102" s="17">
        <f>VLOOKUP($C102,[1]Peak_Forward!$A$5:$AG$128,'price-new'!H$2,FALSE)</f>
        <v>26.82</v>
      </c>
      <c r="I102" s="17">
        <f>VLOOKUP($C102,[1]Peak_Forward!$A$5:$AG$128,'price-new'!I$2,FALSE)</f>
        <v>27.87</v>
      </c>
      <c r="J102" s="17">
        <f>VLOOKUP($C102,[1]Peak_Forward!$A$5:$AG$128,'price-new'!J$2,FALSE)</f>
        <v>29.12</v>
      </c>
      <c r="K102" s="17">
        <f>VLOOKUP($C102,[1]Peak_Forward!$A$5:$AG$128,'price-new'!K$2,FALSE)</f>
        <v>36.25</v>
      </c>
      <c r="L102" s="17">
        <f>VLOOKUP($C102,[1]Peak_Forward!$A$5:$AG$128,'price-new'!L$2,FALSE)</f>
        <v>32.14</v>
      </c>
      <c r="M102" s="17">
        <f>VLOOKUP($C102,[1]Peak_Forward!$A$5:$AG$128,'price-new'!M$2,FALSE)</f>
        <v>32</v>
      </c>
      <c r="N102" s="17">
        <f>VLOOKUP($C102,[1]Peak_Forward!$A$5:$AG$128,'price-new'!N$2,FALSE)</f>
        <v>39.5</v>
      </c>
      <c r="O102" s="17">
        <f>VLOOKUP($C102,[1]Peak_Forward!$A$5:$AG$128,'price-new'!O$2,FALSE)</f>
        <v>28.79</v>
      </c>
      <c r="P102" s="17">
        <f>VLOOKUP($C102,[1]Peak_Forward!$A$5:$AG$128,'price-new'!P$2,FALSE)</f>
        <v>33.07</v>
      </c>
      <c r="Q102" s="17">
        <f>VLOOKUP($C102,[1]Peak_Forward!$A$5:$AG$128,'price-new'!Q$2,FALSE)</f>
        <v>29.765999999999998</v>
      </c>
      <c r="R102" s="17">
        <f>VLOOKUP($C102,[1]Peak_Forward!$A$5:$AG$128,'price-new'!R$2,FALSE)</f>
        <v>30.75</v>
      </c>
      <c r="S102" s="6">
        <f>VLOOKUP($C102,[1]Peak_Forward!$A$5:$AG$128,'price-new'!S$2,FALSE)</f>
        <v>31.29</v>
      </c>
      <c r="T102" s="6">
        <f>VLOOKUP($C102,[1]Peak_Forward!$A$5:$AG$128,'price-new'!T$2,FALSE)</f>
        <v>31.04</v>
      </c>
      <c r="U102" s="6"/>
    </row>
    <row r="103" spans="3:21" x14ac:dyDescent="0.2">
      <c r="C103" s="1">
        <v>39904</v>
      </c>
      <c r="E103" s="17">
        <f>VLOOKUP($C103,[1]Peak_Forward!$A$5:$AG$128,'price-new'!E$2,FALSE)</f>
        <v>27.79</v>
      </c>
      <c r="F103" s="17">
        <f>VLOOKUP($C103,[1]Peak_Forward!$A$5:$AG$128,'price-new'!F$2,FALSE)</f>
        <v>28.54</v>
      </c>
      <c r="G103" s="17">
        <f>VLOOKUP($C103,[1]Peak_Forward!$A$5:$AG$128,'price-new'!G$2,FALSE)</f>
        <v>31.39</v>
      </c>
      <c r="H103" s="17">
        <f>VLOOKUP($C103,[1]Peak_Forward!$A$5:$AG$128,'price-new'!H$2,FALSE)</f>
        <v>26.24</v>
      </c>
      <c r="I103" s="17">
        <f>VLOOKUP($C103,[1]Peak_Forward!$A$5:$AG$128,'price-new'!I$2,FALSE)</f>
        <v>27.29</v>
      </c>
      <c r="J103" s="17">
        <f>VLOOKUP($C103,[1]Peak_Forward!$A$5:$AG$128,'price-new'!J$2,FALSE)</f>
        <v>28.54</v>
      </c>
      <c r="K103" s="17">
        <f>VLOOKUP($C103,[1]Peak_Forward!$A$5:$AG$128,'price-new'!K$2,FALSE)</f>
        <v>36.5</v>
      </c>
      <c r="L103" s="17">
        <f>VLOOKUP($C103,[1]Peak_Forward!$A$5:$AG$128,'price-new'!L$2,FALSE)</f>
        <v>31.56</v>
      </c>
      <c r="M103" s="17">
        <f>VLOOKUP($C103,[1]Peak_Forward!$A$5:$AG$128,'price-new'!M$2,FALSE)</f>
        <v>32</v>
      </c>
      <c r="N103" s="17">
        <f>VLOOKUP($C103,[1]Peak_Forward!$A$5:$AG$128,'price-new'!N$2,FALSE)</f>
        <v>39.5</v>
      </c>
      <c r="O103" s="17">
        <f>VLOOKUP($C103,[1]Peak_Forward!$A$5:$AG$128,'price-new'!O$2,FALSE)</f>
        <v>28.79</v>
      </c>
      <c r="P103" s="17">
        <f>VLOOKUP($C103,[1]Peak_Forward!$A$5:$AG$128,'price-new'!P$2,FALSE)</f>
        <v>32.04</v>
      </c>
      <c r="Q103" s="17">
        <f>VLOOKUP($C103,[1]Peak_Forward!$A$5:$AG$128,'price-new'!Q$2,FALSE)</f>
        <v>29.765999999999998</v>
      </c>
      <c r="R103" s="17">
        <f>VLOOKUP($C103,[1]Peak_Forward!$A$5:$AG$128,'price-new'!R$2,FALSE)</f>
        <v>30.75</v>
      </c>
      <c r="S103" s="6">
        <f>VLOOKUP($C103,[1]Peak_Forward!$A$5:$AG$128,'price-new'!S$2,FALSE)</f>
        <v>31.29</v>
      </c>
      <c r="T103" s="6">
        <f>VLOOKUP($C103,[1]Peak_Forward!$A$5:$AG$128,'price-new'!T$2,FALSE)</f>
        <v>31.04</v>
      </c>
      <c r="U103" s="6"/>
    </row>
    <row r="104" spans="3:21" x14ac:dyDescent="0.2">
      <c r="C104" s="1">
        <v>39934</v>
      </c>
      <c r="E104" s="17">
        <f>VLOOKUP($C104,[1]Peak_Forward!$A$5:$AG$128,'price-new'!E$2,FALSE)</f>
        <v>31.82</v>
      </c>
      <c r="F104" s="17">
        <f>VLOOKUP($C104,[1]Peak_Forward!$A$5:$AG$128,'price-new'!F$2,FALSE)</f>
        <v>32.82</v>
      </c>
      <c r="G104" s="17">
        <f>VLOOKUP($C104,[1]Peak_Forward!$A$5:$AG$128,'price-new'!G$2,FALSE)</f>
        <v>33.35</v>
      </c>
      <c r="H104" s="17">
        <f>VLOOKUP($C104,[1]Peak_Forward!$A$5:$AG$128,'price-new'!H$2,FALSE)</f>
        <v>30.32</v>
      </c>
      <c r="I104" s="17">
        <f>VLOOKUP($C104,[1]Peak_Forward!$A$5:$AG$128,'price-new'!I$2,FALSE)</f>
        <v>31.32</v>
      </c>
      <c r="J104" s="17">
        <f>VLOOKUP($C104,[1]Peak_Forward!$A$5:$AG$128,'price-new'!J$2,FALSE)</f>
        <v>32.82</v>
      </c>
      <c r="K104" s="17">
        <f>VLOOKUP($C104,[1]Peak_Forward!$A$5:$AG$128,'price-new'!K$2,FALSE)</f>
        <v>36.5</v>
      </c>
      <c r="L104" s="17">
        <f>VLOOKUP($C104,[1]Peak_Forward!$A$5:$AG$128,'price-new'!L$2,FALSE)</f>
        <v>37.39</v>
      </c>
      <c r="M104" s="17">
        <f>VLOOKUP($C104,[1]Peak_Forward!$A$5:$AG$128,'price-new'!M$2,FALSE)</f>
        <v>33.25</v>
      </c>
      <c r="N104" s="17">
        <f>VLOOKUP($C104,[1]Peak_Forward!$A$5:$AG$128,'price-new'!N$2,FALSE)</f>
        <v>40</v>
      </c>
      <c r="O104" s="17">
        <f>VLOOKUP($C104,[1]Peak_Forward!$A$5:$AG$128,'price-new'!O$2,FALSE)</f>
        <v>32.49</v>
      </c>
      <c r="P104" s="17">
        <f>VLOOKUP($C104,[1]Peak_Forward!$A$5:$AG$128,'price-new'!P$2,FALSE)</f>
        <v>30.87</v>
      </c>
      <c r="Q104" s="17">
        <f>VLOOKUP($C104,[1]Peak_Forward!$A$5:$AG$128,'price-new'!Q$2,FALSE)</f>
        <v>33.121000000000002</v>
      </c>
      <c r="R104" s="17">
        <f>VLOOKUP($C104,[1]Peak_Forward!$A$5:$AG$128,'price-new'!R$2,FALSE)</f>
        <v>32.75</v>
      </c>
      <c r="S104" s="6">
        <f>VLOOKUP($C104,[1]Peak_Forward!$A$5:$AG$128,'price-new'!S$2,FALSE)</f>
        <v>35.49</v>
      </c>
      <c r="T104" s="6">
        <f>VLOOKUP($C104,[1]Peak_Forward!$A$5:$AG$128,'price-new'!T$2,FALSE)</f>
        <v>35.74</v>
      </c>
      <c r="U104" s="6"/>
    </row>
    <row r="105" spans="3:21" x14ac:dyDescent="0.2">
      <c r="C105" s="1">
        <v>39965</v>
      </c>
      <c r="E105" s="17">
        <f>VLOOKUP($C105,[1]Peak_Forward!$A$5:$AG$128,'price-new'!E$2,FALSE)</f>
        <v>38</v>
      </c>
      <c r="F105" s="17">
        <f>VLOOKUP($C105,[1]Peak_Forward!$A$5:$AG$128,'price-new'!F$2,FALSE)</f>
        <v>39.5</v>
      </c>
      <c r="G105" s="17">
        <f>VLOOKUP($C105,[1]Peak_Forward!$A$5:$AG$128,'price-new'!G$2,FALSE)</f>
        <v>37.4</v>
      </c>
      <c r="H105" s="17">
        <f>VLOOKUP($C105,[1]Peak_Forward!$A$5:$AG$128,'price-new'!H$2,FALSE)</f>
        <v>36.35</v>
      </c>
      <c r="I105" s="17">
        <f>VLOOKUP($C105,[1]Peak_Forward!$A$5:$AG$128,'price-new'!I$2,FALSE)</f>
        <v>37.5</v>
      </c>
      <c r="J105" s="17">
        <f>VLOOKUP($C105,[1]Peak_Forward!$A$5:$AG$128,'price-new'!J$2,FALSE)</f>
        <v>39.5</v>
      </c>
      <c r="K105" s="17">
        <f>VLOOKUP($C105,[1]Peak_Forward!$A$5:$AG$128,'price-new'!K$2,FALSE)</f>
        <v>41.25</v>
      </c>
      <c r="L105" s="17">
        <f>VLOOKUP($C105,[1]Peak_Forward!$A$5:$AG$128,'price-new'!L$2,FALSE)</f>
        <v>42.65</v>
      </c>
      <c r="M105" s="17">
        <f>VLOOKUP($C105,[1]Peak_Forward!$A$5:$AG$128,'price-new'!M$2,FALSE)</f>
        <v>43</v>
      </c>
      <c r="N105" s="17">
        <f>VLOOKUP($C105,[1]Peak_Forward!$A$5:$AG$128,'price-new'!N$2,FALSE)</f>
        <v>50</v>
      </c>
      <c r="O105" s="17">
        <f>VLOOKUP($C105,[1]Peak_Forward!$A$5:$AG$128,'price-new'!O$2,FALSE)</f>
        <v>39.630000000000003</v>
      </c>
      <c r="P105" s="17">
        <f>VLOOKUP($C105,[1]Peak_Forward!$A$5:$AG$128,'price-new'!P$2,FALSE)</f>
        <v>35.25</v>
      </c>
      <c r="Q105" s="17">
        <f>VLOOKUP($C105,[1]Peak_Forward!$A$5:$AG$128,'price-new'!Q$2,FALSE)</f>
        <v>40.734999999999999</v>
      </c>
      <c r="R105" s="17">
        <f>VLOOKUP($C105,[1]Peak_Forward!$A$5:$AG$128,'price-new'!R$2,FALSE)</f>
        <v>42.75</v>
      </c>
      <c r="S105" s="6">
        <f>VLOOKUP($C105,[1]Peak_Forward!$A$5:$AG$128,'price-new'!S$2,FALSE)</f>
        <v>42.88</v>
      </c>
      <c r="T105" s="6">
        <f>VLOOKUP($C105,[1]Peak_Forward!$A$5:$AG$128,'price-new'!T$2,FALSE)</f>
        <v>44.88</v>
      </c>
      <c r="U105" s="6"/>
    </row>
    <row r="106" spans="3:21" x14ac:dyDescent="0.2">
      <c r="C106" s="1">
        <v>39995</v>
      </c>
      <c r="E106" s="17">
        <f>VLOOKUP($C106,[1]Peak_Forward!$A$5:$AG$128,'price-new'!E$2,FALSE)</f>
        <v>51.984999999999999</v>
      </c>
      <c r="F106" s="17">
        <f>VLOOKUP($C106,[1]Peak_Forward!$A$5:$AG$128,'price-new'!F$2,FALSE)</f>
        <v>54.484999999999999</v>
      </c>
      <c r="G106" s="17">
        <f>VLOOKUP($C106,[1]Peak_Forward!$A$5:$AG$128,'price-new'!G$2,FALSE)</f>
        <v>46.95</v>
      </c>
      <c r="H106" s="17">
        <f>VLOOKUP($C106,[1]Peak_Forward!$A$5:$AG$128,'price-new'!H$2,FALSE)</f>
        <v>49.935000000000002</v>
      </c>
      <c r="I106" s="17">
        <f>VLOOKUP($C106,[1]Peak_Forward!$A$5:$AG$128,'price-new'!I$2,FALSE)</f>
        <v>51.484999999999999</v>
      </c>
      <c r="J106" s="17">
        <f>VLOOKUP($C106,[1]Peak_Forward!$A$5:$AG$128,'price-new'!J$2,FALSE)</f>
        <v>54.484999999999999</v>
      </c>
      <c r="K106" s="17">
        <f>VLOOKUP($C106,[1]Peak_Forward!$A$5:$AG$128,'price-new'!K$2,FALSE)</f>
        <v>48.5</v>
      </c>
      <c r="L106" s="17">
        <f>VLOOKUP($C106,[1]Peak_Forward!$A$5:$AG$128,'price-new'!L$2,FALSE)</f>
        <v>52.484999999999999</v>
      </c>
      <c r="M106" s="17">
        <f>VLOOKUP($C106,[1]Peak_Forward!$A$5:$AG$128,'price-new'!M$2,FALSE)</f>
        <v>54</v>
      </c>
      <c r="N106" s="17">
        <f>VLOOKUP($C106,[1]Peak_Forward!$A$5:$AG$128,'price-new'!N$2,FALSE)</f>
        <v>71</v>
      </c>
      <c r="O106" s="17">
        <f>VLOOKUP($C106,[1]Peak_Forward!$A$5:$AG$128,'price-new'!O$2,FALSE)</f>
        <v>50.8</v>
      </c>
      <c r="P106" s="17">
        <f>VLOOKUP($C106,[1]Peak_Forward!$A$5:$AG$128,'price-new'!P$2,FALSE)</f>
        <v>39.634999999999998</v>
      </c>
      <c r="Q106" s="17">
        <f>VLOOKUP($C106,[1]Peak_Forward!$A$5:$AG$128,'price-new'!Q$2,FALSE)</f>
        <v>53.271999999999998</v>
      </c>
      <c r="R106" s="17">
        <f>VLOOKUP($C106,[1]Peak_Forward!$A$5:$AG$128,'price-new'!R$2,FALSE)</f>
        <v>51.75</v>
      </c>
      <c r="S106" s="6">
        <f>VLOOKUP($C106,[1]Peak_Forward!$A$5:$AG$128,'price-new'!S$2,FALSE)</f>
        <v>54.05</v>
      </c>
      <c r="T106" s="6">
        <f>VLOOKUP($C106,[1]Peak_Forward!$A$5:$AG$128,'price-new'!T$2,FALSE)</f>
        <v>56.05</v>
      </c>
      <c r="U106" s="6"/>
    </row>
    <row r="107" spans="3:21" x14ac:dyDescent="0.2">
      <c r="C107" s="1">
        <v>40026</v>
      </c>
      <c r="E107" s="17">
        <f>VLOOKUP($C107,[1]Peak_Forward!$A$5:$AG$128,'price-new'!E$2,FALSE)</f>
        <v>51.174999999999997</v>
      </c>
      <c r="F107" s="17">
        <f>VLOOKUP($C107,[1]Peak_Forward!$A$5:$AG$128,'price-new'!F$2,FALSE)</f>
        <v>53.674999999999997</v>
      </c>
      <c r="G107" s="17">
        <f>VLOOKUP($C107,[1]Peak_Forward!$A$5:$AG$128,'price-new'!G$2,FALSE)</f>
        <v>46.55</v>
      </c>
      <c r="H107" s="17">
        <f>VLOOKUP($C107,[1]Peak_Forward!$A$5:$AG$128,'price-new'!H$2,FALSE)</f>
        <v>49.125</v>
      </c>
      <c r="I107" s="17">
        <f>VLOOKUP($C107,[1]Peak_Forward!$A$5:$AG$128,'price-new'!I$2,FALSE)</f>
        <v>50.674999999999997</v>
      </c>
      <c r="J107" s="17">
        <f>VLOOKUP($C107,[1]Peak_Forward!$A$5:$AG$128,'price-new'!J$2,FALSE)</f>
        <v>53.674999999999997</v>
      </c>
      <c r="K107" s="17">
        <f>VLOOKUP($C107,[1]Peak_Forward!$A$5:$AG$128,'price-new'!K$2,FALSE)</f>
        <v>48.5</v>
      </c>
      <c r="L107" s="17">
        <f>VLOOKUP($C107,[1]Peak_Forward!$A$5:$AG$128,'price-new'!L$2,FALSE)</f>
        <v>52.674999999999997</v>
      </c>
      <c r="M107" s="17">
        <f>VLOOKUP($C107,[1]Peak_Forward!$A$5:$AG$128,'price-new'!M$2,FALSE)</f>
        <v>54</v>
      </c>
      <c r="N107" s="17">
        <f>VLOOKUP($C107,[1]Peak_Forward!$A$5:$AG$128,'price-new'!N$2,FALSE)</f>
        <v>71</v>
      </c>
      <c r="O107" s="17">
        <f>VLOOKUP($C107,[1]Peak_Forward!$A$5:$AG$128,'price-new'!O$2,FALSE)</f>
        <v>49.8</v>
      </c>
      <c r="P107" s="17">
        <f>VLOOKUP($C107,[1]Peak_Forward!$A$5:$AG$128,'price-new'!P$2,FALSE)</f>
        <v>38.825000000000003</v>
      </c>
      <c r="Q107" s="17">
        <f>VLOOKUP($C107,[1]Peak_Forward!$A$5:$AG$128,'price-new'!Q$2,FALSE)</f>
        <v>53.521999999999998</v>
      </c>
      <c r="R107" s="17">
        <f>VLOOKUP($C107,[1]Peak_Forward!$A$5:$AG$128,'price-new'!R$2,FALSE)</f>
        <v>51.75</v>
      </c>
      <c r="S107" s="6">
        <f>VLOOKUP($C107,[1]Peak_Forward!$A$5:$AG$128,'price-new'!S$2,FALSE)</f>
        <v>53.05</v>
      </c>
      <c r="T107" s="6">
        <f>VLOOKUP($C107,[1]Peak_Forward!$A$5:$AG$128,'price-new'!T$2,FALSE)</f>
        <v>55.05</v>
      </c>
      <c r="U107" s="6"/>
    </row>
    <row r="108" spans="3:21" x14ac:dyDescent="0.2">
      <c r="C108" s="1">
        <v>40057</v>
      </c>
      <c r="E108" s="17">
        <f>VLOOKUP($C108,[1]Peak_Forward!$A$5:$AG$128,'price-new'!E$2,FALSE)</f>
        <v>27.77</v>
      </c>
      <c r="F108" s="17">
        <f>VLOOKUP($C108,[1]Peak_Forward!$A$5:$AG$128,'price-new'!F$2,FALSE)</f>
        <v>29.27</v>
      </c>
      <c r="G108" s="17">
        <f>VLOOKUP($C108,[1]Peak_Forward!$A$5:$AG$128,'price-new'!G$2,FALSE)</f>
        <v>34.299999999999997</v>
      </c>
      <c r="H108" s="17">
        <f>VLOOKUP($C108,[1]Peak_Forward!$A$5:$AG$128,'price-new'!H$2,FALSE)</f>
        <v>26.52</v>
      </c>
      <c r="I108" s="17">
        <f>VLOOKUP($C108,[1]Peak_Forward!$A$5:$AG$128,'price-new'!I$2,FALSE)</f>
        <v>27.27</v>
      </c>
      <c r="J108" s="17">
        <f>VLOOKUP($C108,[1]Peak_Forward!$A$5:$AG$128,'price-new'!J$2,FALSE)</f>
        <v>29.27</v>
      </c>
      <c r="K108" s="17">
        <f>VLOOKUP($C108,[1]Peak_Forward!$A$5:$AG$128,'price-new'!K$2,FALSE)</f>
        <v>35.5</v>
      </c>
      <c r="L108" s="17">
        <f>VLOOKUP($C108,[1]Peak_Forward!$A$5:$AG$128,'price-new'!L$2,FALSE)</f>
        <v>30.62</v>
      </c>
      <c r="M108" s="17">
        <f>VLOOKUP($C108,[1]Peak_Forward!$A$5:$AG$128,'price-new'!M$2,FALSE)</f>
        <v>31.75</v>
      </c>
      <c r="N108" s="17">
        <f>VLOOKUP($C108,[1]Peak_Forward!$A$5:$AG$128,'price-new'!N$2,FALSE)</f>
        <v>39.5</v>
      </c>
      <c r="O108" s="17">
        <f>VLOOKUP($C108,[1]Peak_Forward!$A$5:$AG$128,'price-new'!O$2,FALSE)</f>
        <v>26.98</v>
      </c>
      <c r="P108" s="17">
        <f>VLOOKUP($C108,[1]Peak_Forward!$A$5:$AG$128,'price-new'!P$2,FALSE)</f>
        <v>26.12</v>
      </c>
      <c r="Q108" s="17">
        <f>VLOOKUP($C108,[1]Peak_Forward!$A$5:$AG$128,'price-new'!Q$2,FALSE)</f>
        <v>26.172000000000001</v>
      </c>
      <c r="R108" s="17">
        <f>VLOOKUP($C108,[1]Peak_Forward!$A$5:$AG$128,'price-new'!R$2,FALSE)</f>
        <v>30.75</v>
      </c>
      <c r="S108" s="6">
        <f>VLOOKUP($C108,[1]Peak_Forward!$A$5:$AG$128,'price-new'!S$2,FALSE)</f>
        <v>29.73</v>
      </c>
      <c r="T108" s="6">
        <f>VLOOKUP($C108,[1]Peak_Forward!$A$5:$AG$128,'price-new'!T$2,FALSE)</f>
        <v>31.23</v>
      </c>
      <c r="U108" s="6"/>
    </row>
    <row r="109" spans="3:21" x14ac:dyDescent="0.2">
      <c r="C109" s="1">
        <v>40087</v>
      </c>
      <c r="E109" s="17">
        <f>VLOOKUP($C109,[1]Peak_Forward!$A$5:$AG$128,'price-new'!E$2,FALSE)</f>
        <v>29.06</v>
      </c>
      <c r="F109" s="17">
        <f>VLOOKUP($C109,[1]Peak_Forward!$A$5:$AG$128,'price-new'!F$2,FALSE)</f>
        <v>29.06</v>
      </c>
      <c r="G109" s="17">
        <f>VLOOKUP($C109,[1]Peak_Forward!$A$5:$AG$128,'price-new'!G$2,FALSE)</f>
        <v>32.520000000000003</v>
      </c>
      <c r="H109" s="17">
        <f>VLOOKUP($C109,[1]Peak_Forward!$A$5:$AG$128,'price-new'!H$2,FALSE)</f>
        <v>27.81</v>
      </c>
      <c r="I109" s="17">
        <f>VLOOKUP($C109,[1]Peak_Forward!$A$5:$AG$128,'price-new'!I$2,FALSE)</f>
        <v>28.56</v>
      </c>
      <c r="J109" s="17">
        <f>VLOOKUP($C109,[1]Peak_Forward!$A$5:$AG$128,'price-new'!J$2,FALSE)</f>
        <v>29.06</v>
      </c>
      <c r="K109" s="17">
        <f>VLOOKUP($C109,[1]Peak_Forward!$A$5:$AG$128,'price-new'!K$2,FALSE)</f>
        <v>35.25</v>
      </c>
      <c r="L109" s="17">
        <f>VLOOKUP($C109,[1]Peak_Forward!$A$5:$AG$128,'price-new'!L$2,FALSE)</f>
        <v>30.96</v>
      </c>
      <c r="M109" s="17">
        <f>VLOOKUP($C109,[1]Peak_Forward!$A$5:$AG$128,'price-new'!M$2,FALSE)</f>
        <v>31.75</v>
      </c>
      <c r="N109" s="17">
        <f>VLOOKUP($C109,[1]Peak_Forward!$A$5:$AG$128,'price-new'!N$2,FALSE)</f>
        <v>39.5</v>
      </c>
      <c r="O109" s="17">
        <f>VLOOKUP($C109,[1]Peak_Forward!$A$5:$AG$128,'price-new'!O$2,FALSE)</f>
        <v>29.39</v>
      </c>
      <c r="P109" s="17">
        <f>VLOOKUP($C109,[1]Peak_Forward!$A$5:$AG$128,'price-new'!P$2,FALSE)</f>
        <v>32.75</v>
      </c>
      <c r="Q109" s="17">
        <f>VLOOKUP($C109,[1]Peak_Forward!$A$5:$AG$128,'price-new'!Q$2,FALSE)</f>
        <v>28.492000000000001</v>
      </c>
      <c r="R109" s="17">
        <f>VLOOKUP($C109,[1]Peak_Forward!$A$5:$AG$128,'price-new'!R$2,FALSE)</f>
        <v>30.75</v>
      </c>
      <c r="S109" s="6">
        <f>VLOOKUP($C109,[1]Peak_Forward!$A$5:$AG$128,'price-new'!S$2,FALSE)</f>
        <v>31.89</v>
      </c>
      <c r="T109" s="6">
        <f>VLOOKUP($C109,[1]Peak_Forward!$A$5:$AG$128,'price-new'!T$2,FALSE)</f>
        <v>31.64</v>
      </c>
      <c r="U109" s="6"/>
    </row>
    <row r="110" spans="3:21" x14ac:dyDescent="0.2">
      <c r="C110" s="1">
        <v>40118</v>
      </c>
      <c r="E110" s="17">
        <f>VLOOKUP($C110,[1]Peak_Forward!$A$5:$AG$128,'price-new'!E$2,FALSE)</f>
        <v>28.38</v>
      </c>
      <c r="F110" s="17">
        <f>VLOOKUP($C110,[1]Peak_Forward!$A$5:$AG$128,'price-new'!F$2,FALSE)</f>
        <v>28.38</v>
      </c>
      <c r="G110" s="17">
        <f>VLOOKUP($C110,[1]Peak_Forward!$A$5:$AG$128,'price-new'!G$2,FALSE)</f>
        <v>31.52</v>
      </c>
      <c r="H110" s="17">
        <f>VLOOKUP($C110,[1]Peak_Forward!$A$5:$AG$128,'price-new'!H$2,FALSE)</f>
        <v>27.13</v>
      </c>
      <c r="I110" s="17">
        <f>VLOOKUP($C110,[1]Peak_Forward!$A$5:$AG$128,'price-new'!I$2,FALSE)</f>
        <v>27.88</v>
      </c>
      <c r="J110" s="17">
        <f>VLOOKUP($C110,[1]Peak_Forward!$A$5:$AG$128,'price-new'!J$2,FALSE)</f>
        <v>28.38</v>
      </c>
      <c r="K110" s="17">
        <f>VLOOKUP($C110,[1]Peak_Forward!$A$5:$AG$128,'price-new'!K$2,FALSE)</f>
        <v>35.25</v>
      </c>
      <c r="L110" s="17">
        <f>VLOOKUP($C110,[1]Peak_Forward!$A$5:$AG$128,'price-new'!L$2,FALSE)</f>
        <v>30.28</v>
      </c>
      <c r="M110" s="17">
        <f>VLOOKUP($C110,[1]Peak_Forward!$A$5:$AG$128,'price-new'!M$2,FALSE)</f>
        <v>31.75</v>
      </c>
      <c r="N110" s="17">
        <f>VLOOKUP($C110,[1]Peak_Forward!$A$5:$AG$128,'price-new'!N$2,FALSE)</f>
        <v>39.5</v>
      </c>
      <c r="O110" s="17">
        <f>VLOOKUP($C110,[1]Peak_Forward!$A$5:$AG$128,'price-new'!O$2,FALSE)</f>
        <v>29.39</v>
      </c>
      <c r="P110" s="17">
        <f>VLOOKUP($C110,[1]Peak_Forward!$A$5:$AG$128,'price-new'!P$2,FALSE)</f>
        <v>35.47</v>
      </c>
      <c r="Q110" s="17">
        <f>VLOOKUP($C110,[1]Peak_Forward!$A$5:$AG$128,'price-new'!Q$2,FALSE)</f>
        <v>28.591999999999999</v>
      </c>
      <c r="R110" s="17">
        <f>VLOOKUP($C110,[1]Peak_Forward!$A$5:$AG$128,'price-new'!R$2,FALSE)</f>
        <v>30.75</v>
      </c>
      <c r="S110" s="6">
        <f>VLOOKUP($C110,[1]Peak_Forward!$A$5:$AG$128,'price-new'!S$2,FALSE)</f>
        <v>31.89</v>
      </c>
      <c r="T110" s="6">
        <f>VLOOKUP($C110,[1]Peak_Forward!$A$5:$AG$128,'price-new'!T$2,FALSE)</f>
        <v>31.63</v>
      </c>
      <c r="U110" s="6"/>
    </row>
    <row r="111" spans="3:21" x14ac:dyDescent="0.2">
      <c r="C111" s="1">
        <v>40148</v>
      </c>
      <c r="E111" s="17">
        <f>VLOOKUP($C111,[1]Peak_Forward!$A$5:$AG$128,'price-new'!E$2,FALSE)</f>
        <v>29.49</v>
      </c>
      <c r="F111" s="17">
        <f>VLOOKUP($C111,[1]Peak_Forward!$A$5:$AG$128,'price-new'!F$2,FALSE)</f>
        <v>29.49</v>
      </c>
      <c r="G111" s="17">
        <f>VLOOKUP($C111,[1]Peak_Forward!$A$5:$AG$128,'price-new'!G$2,FALSE)</f>
        <v>32.42</v>
      </c>
      <c r="H111" s="17">
        <f>VLOOKUP($C111,[1]Peak_Forward!$A$5:$AG$128,'price-new'!H$2,FALSE)</f>
        <v>28.24</v>
      </c>
      <c r="I111" s="17">
        <f>VLOOKUP($C111,[1]Peak_Forward!$A$5:$AG$128,'price-new'!I$2,FALSE)</f>
        <v>28.99</v>
      </c>
      <c r="J111" s="17">
        <f>VLOOKUP($C111,[1]Peak_Forward!$A$5:$AG$128,'price-new'!J$2,FALSE)</f>
        <v>29.49</v>
      </c>
      <c r="K111" s="17">
        <f>VLOOKUP($C111,[1]Peak_Forward!$A$5:$AG$128,'price-new'!K$2,FALSE)</f>
        <v>35.25</v>
      </c>
      <c r="L111" s="17">
        <f>VLOOKUP($C111,[1]Peak_Forward!$A$5:$AG$128,'price-new'!L$2,FALSE)</f>
        <v>31.39</v>
      </c>
      <c r="M111" s="17">
        <f>VLOOKUP($C111,[1]Peak_Forward!$A$5:$AG$128,'price-new'!M$2,FALSE)</f>
        <v>31.75</v>
      </c>
      <c r="N111" s="17">
        <f>VLOOKUP($C111,[1]Peak_Forward!$A$5:$AG$128,'price-new'!N$2,FALSE)</f>
        <v>39.5</v>
      </c>
      <c r="O111" s="17">
        <f>VLOOKUP($C111,[1]Peak_Forward!$A$5:$AG$128,'price-new'!O$2,FALSE)</f>
        <v>29.39</v>
      </c>
      <c r="P111" s="17">
        <f>VLOOKUP($C111,[1]Peak_Forward!$A$5:$AG$128,'price-new'!P$2,FALSE)</f>
        <v>36.979999999999997</v>
      </c>
      <c r="Q111" s="17">
        <f>VLOOKUP($C111,[1]Peak_Forward!$A$5:$AG$128,'price-new'!Q$2,FALSE)</f>
        <v>28.692</v>
      </c>
      <c r="R111" s="17">
        <f>VLOOKUP($C111,[1]Peak_Forward!$A$5:$AG$128,'price-new'!R$2,FALSE)</f>
        <v>30.75</v>
      </c>
      <c r="S111" s="6">
        <f>VLOOKUP($C111,[1]Peak_Forward!$A$5:$AG$128,'price-new'!S$2,FALSE)</f>
        <v>31.89</v>
      </c>
      <c r="T111" s="6">
        <f>VLOOKUP($C111,[1]Peak_Forward!$A$5:$AG$128,'price-new'!T$2,FALSE)</f>
        <v>31.63</v>
      </c>
      <c r="U111" s="6"/>
    </row>
    <row r="112" spans="3:21" x14ac:dyDescent="0.2">
      <c r="C112" s="1">
        <v>40179</v>
      </c>
      <c r="E112" s="17">
        <f>VLOOKUP($C112,[1]Peak_Forward!$A$5:$AG$128,'price-new'!E$2,FALSE)</f>
        <v>31.38</v>
      </c>
      <c r="F112" s="17">
        <f>VLOOKUP($C112,[1]Peak_Forward!$A$5:$AG$128,'price-new'!F$2,FALSE)</f>
        <v>31.88</v>
      </c>
      <c r="G112" s="17">
        <f>VLOOKUP($C112,[1]Peak_Forward!$A$5:$AG$128,'price-new'!G$2,FALSE)</f>
        <v>33.82</v>
      </c>
      <c r="H112" s="17">
        <f>VLOOKUP($C112,[1]Peak_Forward!$A$5:$AG$128,'price-new'!H$2,FALSE)</f>
        <v>29.83</v>
      </c>
      <c r="I112" s="17">
        <f>VLOOKUP($C112,[1]Peak_Forward!$A$5:$AG$128,'price-new'!I$2,FALSE)</f>
        <v>30.88</v>
      </c>
      <c r="J112" s="17">
        <f>VLOOKUP($C112,[1]Peak_Forward!$A$5:$AG$128,'price-new'!J$2,FALSE)</f>
        <v>31.88</v>
      </c>
      <c r="K112" s="17">
        <f>VLOOKUP($C112,[1]Peak_Forward!$A$5:$AG$128,'price-new'!K$2,FALSE)</f>
        <v>44.75</v>
      </c>
      <c r="L112" s="17">
        <f>VLOOKUP($C112,[1]Peak_Forward!$A$5:$AG$128,'price-new'!L$2,FALSE)</f>
        <v>34.99</v>
      </c>
      <c r="M112" s="17">
        <f>VLOOKUP($C112,[1]Peak_Forward!$A$5:$AG$128,'price-new'!M$2,FALSE)</f>
        <v>35</v>
      </c>
      <c r="N112" s="17">
        <f>VLOOKUP($C112,[1]Peak_Forward!$A$5:$AG$128,'price-new'!N$2,FALSE)</f>
        <v>45</v>
      </c>
      <c r="O112" s="17">
        <f>VLOOKUP($C112,[1]Peak_Forward!$A$5:$AG$128,'price-new'!O$2,FALSE)</f>
        <v>32.58</v>
      </c>
      <c r="P112" s="17">
        <f>VLOOKUP($C112,[1]Peak_Forward!$A$5:$AG$128,'price-new'!P$2,FALSE)</f>
        <v>37.08</v>
      </c>
      <c r="Q112" s="17">
        <f>VLOOKUP($C112,[1]Peak_Forward!$A$5:$AG$128,'price-new'!Q$2,FALSE)</f>
        <v>30.852</v>
      </c>
      <c r="R112" s="17">
        <f>VLOOKUP($C112,[1]Peak_Forward!$A$5:$AG$128,'price-new'!R$2,FALSE)</f>
        <v>33.25</v>
      </c>
      <c r="S112" s="6">
        <f>VLOOKUP($C112,[1]Peak_Forward!$A$5:$AG$128,'price-new'!S$2,FALSE)</f>
        <v>35.08</v>
      </c>
      <c r="T112" s="6">
        <f>VLOOKUP($C112,[1]Peak_Forward!$A$5:$AG$128,'price-new'!T$2,FALSE)</f>
        <v>34.83</v>
      </c>
      <c r="U112" s="6"/>
    </row>
    <row r="113" spans="1:21" x14ac:dyDescent="0.2">
      <c r="C113" s="1">
        <v>40210</v>
      </c>
      <c r="E113" s="17">
        <f>VLOOKUP($C113,[1]Peak_Forward!$A$5:$AG$128,'price-new'!E$2,FALSE)</f>
        <v>30.83</v>
      </c>
      <c r="F113" s="17">
        <f>VLOOKUP($C113,[1]Peak_Forward!$A$5:$AG$128,'price-new'!F$2,FALSE)</f>
        <v>31.33</v>
      </c>
      <c r="G113" s="17">
        <f>VLOOKUP($C113,[1]Peak_Forward!$A$5:$AG$128,'price-new'!G$2,FALSE)</f>
        <v>33.07</v>
      </c>
      <c r="H113" s="17">
        <f>VLOOKUP($C113,[1]Peak_Forward!$A$5:$AG$128,'price-new'!H$2,FALSE)</f>
        <v>29.28</v>
      </c>
      <c r="I113" s="17">
        <f>VLOOKUP($C113,[1]Peak_Forward!$A$5:$AG$128,'price-new'!I$2,FALSE)</f>
        <v>30.33</v>
      </c>
      <c r="J113" s="17">
        <f>VLOOKUP($C113,[1]Peak_Forward!$A$5:$AG$128,'price-new'!J$2,FALSE)</f>
        <v>31.33</v>
      </c>
      <c r="K113" s="17">
        <f>VLOOKUP($C113,[1]Peak_Forward!$A$5:$AG$128,'price-new'!K$2,FALSE)</f>
        <v>44.75</v>
      </c>
      <c r="L113" s="17">
        <f>VLOOKUP($C113,[1]Peak_Forward!$A$5:$AG$128,'price-new'!L$2,FALSE)</f>
        <v>34.619999999999997</v>
      </c>
      <c r="M113" s="17">
        <f>VLOOKUP($C113,[1]Peak_Forward!$A$5:$AG$128,'price-new'!M$2,FALSE)</f>
        <v>35</v>
      </c>
      <c r="N113" s="17">
        <f>VLOOKUP($C113,[1]Peak_Forward!$A$5:$AG$128,'price-new'!N$2,FALSE)</f>
        <v>45</v>
      </c>
      <c r="O113" s="17">
        <f>VLOOKUP($C113,[1]Peak_Forward!$A$5:$AG$128,'price-new'!O$2,FALSE)</f>
        <v>31.69</v>
      </c>
      <c r="P113" s="17">
        <f>VLOOKUP($C113,[1]Peak_Forward!$A$5:$AG$128,'price-new'!P$2,FALSE)</f>
        <v>37.53</v>
      </c>
      <c r="Q113" s="17">
        <f>VLOOKUP($C113,[1]Peak_Forward!$A$5:$AG$128,'price-new'!Q$2,FALSE)</f>
        <v>30.715</v>
      </c>
      <c r="R113" s="17">
        <f>VLOOKUP($C113,[1]Peak_Forward!$A$5:$AG$128,'price-new'!R$2,FALSE)</f>
        <v>33.25</v>
      </c>
      <c r="S113" s="6">
        <f>VLOOKUP($C113,[1]Peak_Forward!$A$5:$AG$128,'price-new'!S$2,FALSE)</f>
        <v>34.19</v>
      </c>
      <c r="T113" s="6">
        <f>VLOOKUP($C113,[1]Peak_Forward!$A$5:$AG$128,'price-new'!T$2,FALSE)</f>
        <v>33.94</v>
      </c>
      <c r="U113" s="6"/>
    </row>
    <row r="114" spans="1:21" x14ac:dyDescent="0.2">
      <c r="C114" s="1">
        <v>40238</v>
      </c>
      <c r="E114" s="17">
        <f>VLOOKUP($C114,[1]Peak_Forward!$A$5:$AG$128,'price-new'!E$2,FALSE)</f>
        <v>29.46</v>
      </c>
      <c r="F114" s="17">
        <f>VLOOKUP($C114,[1]Peak_Forward!$A$5:$AG$128,'price-new'!F$2,FALSE)</f>
        <v>30.21</v>
      </c>
      <c r="G114" s="17">
        <f>VLOOKUP($C114,[1]Peak_Forward!$A$5:$AG$128,'price-new'!G$2,FALSE)</f>
        <v>31.506</v>
      </c>
      <c r="H114" s="17">
        <f>VLOOKUP($C114,[1]Peak_Forward!$A$5:$AG$128,'price-new'!H$2,FALSE)</f>
        <v>27.91</v>
      </c>
      <c r="I114" s="17">
        <f>VLOOKUP($C114,[1]Peak_Forward!$A$5:$AG$128,'price-new'!I$2,FALSE)</f>
        <v>28.96</v>
      </c>
      <c r="J114" s="17">
        <f>VLOOKUP($C114,[1]Peak_Forward!$A$5:$AG$128,'price-new'!J$2,FALSE)</f>
        <v>30.21</v>
      </c>
      <c r="K114" s="17">
        <f>VLOOKUP($C114,[1]Peak_Forward!$A$5:$AG$128,'price-new'!K$2,FALSE)</f>
        <v>36.75</v>
      </c>
      <c r="L114" s="17">
        <f>VLOOKUP($C114,[1]Peak_Forward!$A$5:$AG$128,'price-new'!L$2,FALSE)</f>
        <v>32.979999999999997</v>
      </c>
      <c r="M114" s="17">
        <f>VLOOKUP($C114,[1]Peak_Forward!$A$5:$AG$128,'price-new'!M$2,FALSE)</f>
        <v>32.5</v>
      </c>
      <c r="N114" s="17">
        <f>VLOOKUP($C114,[1]Peak_Forward!$A$5:$AG$128,'price-new'!N$2,FALSE)</f>
        <v>40</v>
      </c>
      <c r="O114" s="17">
        <f>VLOOKUP($C114,[1]Peak_Forward!$A$5:$AG$128,'price-new'!O$2,FALSE)</f>
        <v>29.44</v>
      </c>
      <c r="P114" s="17">
        <f>VLOOKUP($C114,[1]Peak_Forward!$A$5:$AG$128,'price-new'!P$2,FALSE)</f>
        <v>34.409999999999997</v>
      </c>
      <c r="Q114" s="17">
        <f>VLOOKUP($C114,[1]Peak_Forward!$A$5:$AG$128,'price-new'!Q$2,FALSE)</f>
        <v>30.466000000000001</v>
      </c>
      <c r="R114" s="17">
        <f>VLOOKUP($C114,[1]Peak_Forward!$A$5:$AG$128,'price-new'!R$2,FALSE)</f>
        <v>31</v>
      </c>
      <c r="S114" s="6">
        <f>VLOOKUP($C114,[1]Peak_Forward!$A$5:$AG$128,'price-new'!S$2,FALSE)</f>
        <v>31.94</v>
      </c>
      <c r="T114" s="6">
        <f>VLOOKUP($C114,[1]Peak_Forward!$A$5:$AG$128,'price-new'!T$2,FALSE)</f>
        <v>31.69</v>
      </c>
      <c r="U114" s="6"/>
    </row>
    <row r="115" spans="1:21" x14ac:dyDescent="0.2">
      <c r="C115" s="1">
        <v>40269</v>
      </c>
      <c r="E115" s="17">
        <f>VLOOKUP($C115,[1]Peak_Forward!$A$5:$AG$128,'price-new'!E$2,FALSE)</f>
        <v>29.42</v>
      </c>
      <c r="F115" s="17">
        <f>VLOOKUP($C115,[1]Peak_Forward!$A$5:$AG$128,'price-new'!F$2,FALSE)</f>
        <v>30.17</v>
      </c>
      <c r="G115" s="17">
        <f>VLOOKUP($C115,[1]Peak_Forward!$A$5:$AG$128,'price-new'!G$2,FALSE)</f>
        <v>32.29</v>
      </c>
      <c r="H115" s="17">
        <f>VLOOKUP($C115,[1]Peak_Forward!$A$5:$AG$128,'price-new'!H$2,FALSE)</f>
        <v>27.87</v>
      </c>
      <c r="I115" s="17">
        <f>VLOOKUP($C115,[1]Peak_Forward!$A$5:$AG$128,'price-new'!I$2,FALSE)</f>
        <v>28.92</v>
      </c>
      <c r="J115" s="17">
        <f>VLOOKUP($C115,[1]Peak_Forward!$A$5:$AG$128,'price-new'!J$2,FALSE)</f>
        <v>30.17</v>
      </c>
      <c r="K115" s="17">
        <f>VLOOKUP($C115,[1]Peak_Forward!$A$5:$AG$128,'price-new'!K$2,FALSE)</f>
        <v>37</v>
      </c>
      <c r="L115" s="17">
        <f>VLOOKUP($C115,[1]Peak_Forward!$A$5:$AG$128,'price-new'!L$2,FALSE)</f>
        <v>32.94</v>
      </c>
      <c r="M115" s="17">
        <f>VLOOKUP($C115,[1]Peak_Forward!$A$5:$AG$128,'price-new'!M$2,FALSE)</f>
        <v>32.5</v>
      </c>
      <c r="N115" s="17">
        <f>VLOOKUP($C115,[1]Peak_Forward!$A$5:$AG$128,'price-new'!N$2,FALSE)</f>
        <v>40</v>
      </c>
      <c r="O115" s="17">
        <f>VLOOKUP($C115,[1]Peak_Forward!$A$5:$AG$128,'price-new'!O$2,FALSE)</f>
        <v>29.44</v>
      </c>
      <c r="P115" s="17">
        <f>VLOOKUP($C115,[1]Peak_Forward!$A$5:$AG$128,'price-new'!P$2,FALSE)</f>
        <v>33.92</v>
      </c>
      <c r="Q115" s="17">
        <f>VLOOKUP($C115,[1]Peak_Forward!$A$5:$AG$128,'price-new'!Q$2,FALSE)</f>
        <v>30.466000000000001</v>
      </c>
      <c r="R115" s="17">
        <f>VLOOKUP($C115,[1]Peak_Forward!$A$5:$AG$128,'price-new'!R$2,FALSE)</f>
        <v>31</v>
      </c>
      <c r="S115" s="6">
        <f>VLOOKUP($C115,[1]Peak_Forward!$A$5:$AG$128,'price-new'!S$2,FALSE)</f>
        <v>31.94</v>
      </c>
      <c r="T115" s="6">
        <f>VLOOKUP($C115,[1]Peak_Forward!$A$5:$AG$128,'price-new'!T$2,FALSE)</f>
        <v>31.69</v>
      </c>
      <c r="U115" s="6"/>
    </row>
    <row r="116" spans="1:21" x14ac:dyDescent="0.2">
      <c r="C116" s="1">
        <v>40299</v>
      </c>
      <c r="E116" s="17">
        <f>VLOOKUP($C116,[1]Peak_Forward!$A$5:$AG$128,'price-new'!E$2,FALSE)</f>
        <v>32.590000000000003</v>
      </c>
      <c r="F116" s="17">
        <f>VLOOKUP($C116,[1]Peak_Forward!$A$5:$AG$128,'price-new'!F$2,FALSE)</f>
        <v>33.590000000000003</v>
      </c>
      <c r="G116" s="17">
        <f>VLOOKUP($C116,[1]Peak_Forward!$A$5:$AG$128,'price-new'!G$2,FALSE)</f>
        <v>34.25</v>
      </c>
      <c r="H116" s="17">
        <f>VLOOKUP($C116,[1]Peak_Forward!$A$5:$AG$128,'price-new'!H$2,FALSE)</f>
        <v>31.09</v>
      </c>
      <c r="I116" s="17">
        <f>VLOOKUP($C116,[1]Peak_Forward!$A$5:$AG$128,'price-new'!I$2,FALSE)</f>
        <v>32.090000000000003</v>
      </c>
      <c r="J116" s="17">
        <f>VLOOKUP($C116,[1]Peak_Forward!$A$5:$AG$128,'price-new'!J$2,FALSE)</f>
        <v>33.590000000000003</v>
      </c>
      <c r="K116" s="17">
        <f>VLOOKUP($C116,[1]Peak_Forward!$A$5:$AG$128,'price-new'!K$2,FALSE)</f>
        <v>37</v>
      </c>
      <c r="L116" s="17">
        <f>VLOOKUP($C116,[1]Peak_Forward!$A$5:$AG$128,'price-new'!L$2,FALSE)</f>
        <v>37.909999999999997</v>
      </c>
      <c r="M116" s="17">
        <f>VLOOKUP($C116,[1]Peak_Forward!$A$5:$AG$128,'price-new'!M$2,FALSE)</f>
        <v>33.75</v>
      </c>
      <c r="N116" s="17">
        <f>VLOOKUP($C116,[1]Peak_Forward!$A$5:$AG$128,'price-new'!N$2,FALSE)</f>
        <v>42</v>
      </c>
      <c r="O116" s="17">
        <f>VLOOKUP($C116,[1]Peak_Forward!$A$5:$AG$128,'price-new'!O$2,FALSE)</f>
        <v>33.64</v>
      </c>
      <c r="P116" s="17">
        <f>VLOOKUP($C116,[1]Peak_Forward!$A$5:$AG$128,'price-new'!P$2,FALSE)</f>
        <v>31.89</v>
      </c>
      <c r="Q116" s="17">
        <f>VLOOKUP($C116,[1]Peak_Forward!$A$5:$AG$128,'price-new'!Q$2,FALSE)</f>
        <v>34.320999999999998</v>
      </c>
      <c r="R116" s="17">
        <f>VLOOKUP($C116,[1]Peak_Forward!$A$5:$AG$128,'price-new'!R$2,FALSE)</f>
        <v>33</v>
      </c>
      <c r="S116" s="6">
        <f>VLOOKUP($C116,[1]Peak_Forward!$A$5:$AG$128,'price-new'!S$2,FALSE)</f>
        <v>36.64</v>
      </c>
      <c r="T116" s="6">
        <f>VLOOKUP($C116,[1]Peak_Forward!$A$5:$AG$128,'price-new'!T$2,FALSE)</f>
        <v>36.89</v>
      </c>
      <c r="U116" s="6"/>
    </row>
    <row r="117" spans="1:21" x14ac:dyDescent="0.2">
      <c r="C117" s="1">
        <v>40330</v>
      </c>
      <c r="E117" s="17">
        <f>VLOOKUP($C117,[1]Peak_Forward!$A$5:$AG$128,'price-new'!E$2,FALSE)</f>
        <v>38.75</v>
      </c>
      <c r="F117" s="17">
        <f>VLOOKUP($C117,[1]Peak_Forward!$A$5:$AG$128,'price-new'!F$2,FALSE)</f>
        <v>40.25</v>
      </c>
      <c r="G117" s="17">
        <f>VLOOKUP($C117,[1]Peak_Forward!$A$5:$AG$128,'price-new'!G$2,FALSE)</f>
        <v>38.299999999999997</v>
      </c>
      <c r="H117" s="17">
        <f>VLOOKUP($C117,[1]Peak_Forward!$A$5:$AG$128,'price-new'!H$2,FALSE)</f>
        <v>37.1</v>
      </c>
      <c r="I117" s="17">
        <f>VLOOKUP($C117,[1]Peak_Forward!$A$5:$AG$128,'price-new'!I$2,FALSE)</f>
        <v>38.25</v>
      </c>
      <c r="J117" s="17">
        <f>VLOOKUP($C117,[1]Peak_Forward!$A$5:$AG$128,'price-new'!J$2,FALSE)</f>
        <v>40.25</v>
      </c>
      <c r="K117" s="17">
        <f>VLOOKUP($C117,[1]Peak_Forward!$A$5:$AG$128,'price-new'!K$2,FALSE)</f>
        <v>41.75</v>
      </c>
      <c r="L117" s="17">
        <f>VLOOKUP($C117,[1]Peak_Forward!$A$5:$AG$128,'price-new'!L$2,FALSE)</f>
        <v>43.07</v>
      </c>
      <c r="M117" s="17">
        <f>VLOOKUP($C117,[1]Peak_Forward!$A$5:$AG$128,'price-new'!M$2,FALSE)</f>
        <v>43.5</v>
      </c>
      <c r="N117" s="17">
        <f>VLOOKUP($C117,[1]Peak_Forward!$A$5:$AG$128,'price-new'!N$2,FALSE)</f>
        <v>52</v>
      </c>
      <c r="O117" s="17">
        <f>VLOOKUP($C117,[1]Peak_Forward!$A$5:$AG$128,'price-new'!O$2,FALSE)</f>
        <v>41.96</v>
      </c>
      <c r="P117" s="17">
        <f>VLOOKUP($C117,[1]Peak_Forward!$A$5:$AG$128,'price-new'!P$2,FALSE)</f>
        <v>36.25</v>
      </c>
      <c r="Q117" s="17">
        <f>VLOOKUP($C117,[1]Peak_Forward!$A$5:$AG$128,'price-new'!Q$2,FALSE)</f>
        <v>43.115000000000002</v>
      </c>
      <c r="R117" s="17">
        <f>VLOOKUP($C117,[1]Peak_Forward!$A$5:$AG$128,'price-new'!R$2,FALSE)</f>
        <v>43.5</v>
      </c>
      <c r="S117" s="6">
        <f>VLOOKUP($C117,[1]Peak_Forward!$A$5:$AG$128,'price-new'!S$2,FALSE)</f>
        <v>45.21</v>
      </c>
      <c r="T117" s="6">
        <f>VLOOKUP($C117,[1]Peak_Forward!$A$5:$AG$128,'price-new'!T$2,FALSE)</f>
        <v>47.21</v>
      </c>
      <c r="U117" s="6"/>
    </row>
    <row r="118" spans="1:21" x14ac:dyDescent="0.2">
      <c r="C118" s="1">
        <v>40360</v>
      </c>
      <c r="E118" s="17">
        <f>VLOOKUP($C118,[1]Peak_Forward!$A$5:$AG$128,'price-new'!E$2,FALSE)</f>
        <v>53.95</v>
      </c>
      <c r="F118" s="17">
        <f>VLOOKUP($C118,[1]Peak_Forward!$A$5:$AG$128,'price-new'!F$2,FALSE)</f>
        <v>56.45</v>
      </c>
      <c r="G118" s="17">
        <f>VLOOKUP($C118,[1]Peak_Forward!$A$5:$AG$128,'price-new'!G$2,FALSE)</f>
        <v>47.85</v>
      </c>
      <c r="H118" s="17">
        <f>VLOOKUP($C118,[1]Peak_Forward!$A$5:$AG$128,'price-new'!H$2,FALSE)</f>
        <v>51.9</v>
      </c>
      <c r="I118" s="17">
        <f>VLOOKUP($C118,[1]Peak_Forward!$A$5:$AG$128,'price-new'!I$2,FALSE)</f>
        <v>53.45</v>
      </c>
      <c r="J118" s="17">
        <f>VLOOKUP($C118,[1]Peak_Forward!$A$5:$AG$128,'price-new'!J$2,FALSE)</f>
        <v>56.45</v>
      </c>
      <c r="K118" s="17">
        <f>VLOOKUP($C118,[1]Peak_Forward!$A$5:$AG$128,'price-new'!K$2,FALSE)</f>
        <v>49</v>
      </c>
      <c r="L118" s="17">
        <f>VLOOKUP($C118,[1]Peak_Forward!$A$5:$AG$128,'price-new'!L$2,FALSE)</f>
        <v>54.2</v>
      </c>
      <c r="M118" s="17">
        <f>VLOOKUP($C118,[1]Peak_Forward!$A$5:$AG$128,'price-new'!M$2,FALSE)</f>
        <v>54.5</v>
      </c>
      <c r="N118" s="17">
        <f>VLOOKUP($C118,[1]Peak_Forward!$A$5:$AG$128,'price-new'!N$2,FALSE)</f>
        <v>72</v>
      </c>
      <c r="O118" s="17">
        <f>VLOOKUP($C118,[1]Peak_Forward!$A$5:$AG$128,'price-new'!O$2,FALSE)</f>
        <v>53.05</v>
      </c>
      <c r="P118" s="17">
        <f>VLOOKUP($C118,[1]Peak_Forward!$A$5:$AG$128,'price-new'!P$2,FALSE)</f>
        <v>41.85</v>
      </c>
      <c r="Q118" s="17">
        <f>VLOOKUP($C118,[1]Peak_Forward!$A$5:$AG$128,'price-new'!Q$2,FALSE)</f>
        <v>55.572000000000003</v>
      </c>
      <c r="R118" s="17">
        <f>VLOOKUP($C118,[1]Peak_Forward!$A$5:$AG$128,'price-new'!R$2,FALSE)</f>
        <v>52</v>
      </c>
      <c r="S118" s="6">
        <f>VLOOKUP($C118,[1]Peak_Forward!$A$5:$AG$128,'price-new'!S$2,FALSE)</f>
        <v>56.3</v>
      </c>
      <c r="T118" s="6">
        <f>VLOOKUP($C118,[1]Peak_Forward!$A$5:$AG$128,'price-new'!T$2,FALSE)</f>
        <v>58.3</v>
      </c>
      <c r="U118" s="6"/>
    </row>
    <row r="119" spans="1:21" x14ac:dyDescent="0.2">
      <c r="C119" s="1">
        <v>40391</v>
      </c>
      <c r="E119" s="17">
        <f>VLOOKUP($C119,[1]Peak_Forward!$A$5:$AG$128,'price-new'!E$2,FALSE)</f>
        <v>53.96</v>
      </c>
      <c r="F119" s="17">
        <f>VLOOKUP($C119,[1]Peak_Forward!$A$5:$AG$128,'price-new'!F$2,FALSE)</f>
        <v>56.46</v>
      </c>
      <c r="G119" s="17">
        <f>VLOOKUP($C119,[1]Peak_Forward!$A$5:$AG$128,'price-new'!G$2,FALSE)</f>
        <v>47.45</v>
      </c>
      <c r="H119" s="17">
        <f>VLOOKUP($C119,[1]Peak_Forward!$A$5:$AG$128,'price-new'!H$2,FALSE)</f>
        <v>51.91</v>
      </c>
      <c r="I119" s="17">
        <f>VLOOKUP($C119,[1]Peak_Forward!$A$5:$AG$128,'price-new'!I$2,FALSE)</f>
        <v>53.46</v>
      </c>
      <c r="J119" s="17">
        <f>VLOOKUP($C119,[1]Peak_Forward!$A$5:$AG$128,'price-new'!J$2,FALSE)</f>
        <v>56.46</v>
      </c>
      <c r="K119" s="17">
        <f>VLOOKUP($C119,[1]Peak_Forward!$A$5:$AG$128,'price-new'!K$2,FALSE)</f>
        <v>49</v>
      </c>
      <c r="L119" s="17">
        <f>VLOOKUP($C119,[1]Peak_Forward!$A$5:$AG$128,'price-new'!L$2,FALSE)</f>
        <v>55.21</v>
      </c>
      <c r="M119" s="17">
        <f>VLOOKUP($C119,[1]Peak_Forward!$A$5:$AG$128,'price-new'!M$2,FALSE)</f>
        <v>54.5</v>
      </c>
      <c r="N119" s="17">
        <f>VLOOKUP($C119,[1]Peak_Forward!$A$5:$AG$128,'price-new'!N$2,FALSE)</f>
        <v>72</v>
      </c>
      <c r="O119" s="17">
        <f>VLOOKUP($C119,[1]Peak_Forward!$A$5:$AG$128,'price-new'!O$2,FALSE)</f>
        <v>52.05</v>
      </c>
      <c r="P119" s="17">
        <f>VLOOKUP($C119,[1]Peak_Forward!$A$5:$AG$128,'price-new'!P$2,FALSE)</f>
        <v>41.86</v>
      </c>
      <c r="Q119" s="17">
        <f>VLOOKUP($C119,[1]Peak_Forward!$A$5:$AG$128,'price-new'!Q$2,FALSE)</f>
        <v>55.822000000000003</v>
      </c>
      <c r="R119" s="17">
        <f>VLOOKUP($C119,[1]Peak_Forward!$A$5:$AG$128,'price-new'!R$2,FALSE)</f>
        <v>52</v>
      </c>
      <c r="S119" s="6">
        <f>VLOOKUP($C119,[1]Peak_Forward!$A$5:$AG$128,'price-new'!S$2,FALSE)</f>
        <v>55.3</v>
      </c>
      <c r="T119" s="6">
        <f>VLOOKUP($C119,[1]Peak_Forward!$A$5:$AG$128,'price-new'!T$2,FALSE)</f>
        <v>57.3</v>
      </c>
      <c r="U119" s="6"/>
    </row>
    <row r="120" spans="1:21" x14ac:dyDescent="0.2">
      <c r="C120" s="1">
        <v>40422</v>
      </c>
      <c r="E120" s="17">
        <f>VLOOKUP($C120,[1]Peak_Forward!$A$5:$AG$128,'price-new'!E$2,FALSE)</f>
        <v>28.73</v>
      </c>
      <c r="F120" s="17">
        <f>VLOOKUP($C120,[1]Peak_Forward!$A$5:$AG$128,'price-new'!F$2,FALSE)</f>
        <v>30.23</v>
      </c>
      <c r="G120" s="17">
        <f>VLOOKUP($C120,[1]Peak_Forward!$A$5:$AG$128,'price-new'!G$2,FALSE)</f>
        <v>35.200000000000003</v>
      </c>
      <c r="H120" s="17">
        <f>VLOOKUP($C120,[1]Peak_Forward!$A$5:$AG$128,'price-new'!H$2,FALSE)</f>
        <v>27.48</v>
      </c>
      <c r="I120" s="17">
        <f>VLOOKUP($C120,[1]Peak_Forward!$A$5:$AG$128,'price-new'!I$2,FALSE)</f>
        <v>28.23</v>
      </c>
      <c r="J120" s="17">
        <f>VLOOKUP($C120,[1]Peak_Forward!$A$5:$AG$128,'price-new'!J$2,FALSE)</f>
        <v>30.23</v>
      </c>
      <c r="K120" s="17">
        <f>VLOOKUP($C120,[1]Peak_Forward!$A$5:$AG$128,'price-new'!K$2,FALSE)</f>
        <v>36</v>
      </c>
      <c r="L120" s="17">
        <f>VLOOKUP($C120,[1]Peak_Forward!$A$5:$AG$128,'price-new'!L$2,FALSE)</f>
        <v>31.41</v>
      </c>
      <c r="M120" s="17">
        <f>VLOOKUP($C120,[1]Peak_Forward!$A$5:$AG$128,'price-new'!M$2,FALSE)</f>
        <v>32</v>
      </c>
      <c r="N120" s="17">
        <f>VLOOKUP($C120,[1]Peak_Forward!$A$5:$AG$128,'price-new'!N$2,FALSE)</f>
        <v>40</v>
      </c>
      <c r="O120" s="17">
        <f>VLOOKUP($C120,[1]Peak_Forward!$A$5:$AG$128,'price-new'!O$2,FALSE)</f>
        <v>27.3</v>
      </c>
      <c r="P120" s="17">
        <f>VLOOKUP($C120,[1]Peak_Forward!$A$5:$AG$128,'price-new'!P$2,FALSE)</f>
        <v>27.33</v>
      </c>
      <c r="Q120" s="17">
        <f>VLOOKUP($C120,[1]Peak_Forward!$A$5:$AG$128,'price-new'!Q$2,FALSE)</f>
        <v>26.542000000000002</v>
      </c>
      <c r="R120" s="17">
        <f>VLOOKUP($C120,[1]Peak_Forward!$A$5:$AG$128,'price-new'!R$2,FALSE)</f>
        <v>30.75</v>
      </c>
      <c r="S120" s="6">
        <f>VLOOKUP($C120,[1]Peak_Forward!$A$5:$AG$128,'price-new'!S$2,FALSE)</f>
        <v>30.05</v>
      </c>
      <c r="T120" s="6">
        <f>VLOOKUP($C120,[1]Peak_Forward!$A$5:$AG$128,'price-new'!T$2,FALSE)</f>
        <v>31.55</v>
      </c>
      <c r="U120" s="6"/>
    </row>
    <row r="121" spans="1:21" x14ac:dyDescent="0.2">
      <c r="C121" s="1">
        <v>40452</v>
      </c>
      <c r="E121" s="17">
        <f>VLOOKUP($C121,[1]Peak_Forward!$A$5:$AG$128,'price-new'!E$2,FALSE)</f>
        <v>29.8</v>
      </c>
      <c r="F121" s="17">
        <f>VLOOKUP($C121,[1]Peak_Forward!$A$5:$AG$128,'price-new'!F$2,FALSE)</f>
        <v>29.8</v>
      </c>
      <c r="G121" s="17">
        <f>VLOOKUP($C121,[1]Peak_Forward!$A$5:$AG$128,'price-new'!G$2,FALSE)</f>
        <v>33.42</v>
      </c>
      <c r="H121" s="17">
        <f>VLOOKUP($C121,[1]Peak_Forward!$A$5:$AG$128,'price-new'!H$2,FALSE)</f>
        <v>28.55</v>
      </c>
      <c r="I121" s="17">
        <f>VLOOKUP($C121,[1]Peak_Forward!$A$5:$AG$128,'price-new'!I$2,FALSE)</f>
        <v>29.3</v>
      </c>
      <c r="J121" s="17">
        <f>VLOOKUP($C121,[1]Peak_Forward!$A$5:$AG$128,'price-new'!J$2,FALSE)</f>
        <v>29.8</v>
      </c>
      <c r="K121" s="17">
        <f>VLOOKUP($C121,[1]Peak_Forward!$A$5:$AG$128,'price-new'!K$2,FALSE)</f>
        <v>35.75</v>
      </c>
      <c r="L121" s="17">
        <f>VLOOKUP($C121,[1]Peak_Forward!$A$5:$AG$128,'price-new'!L$2,FALSE)</f>
        <v>31.44</v>
      </c>
      <c r="M121" s="17">
        <f>VLOOKUP($C121,[1]Peak_Forward!$A$5:$AG$128,'price-new'!M$2,FALSE)</f>
        <v>32</v>
      </c>
      <c r="N121" s="17">
        <f>VLOOKUP($C121,[1]Peak_Forward!$A$5:$AG$128,'price-new'!N$2,FALSE)</f>
        <v>40</v>
      </c>
      <c r="O121" s="17">
        <f>VLOOKUP($C121,[1]Peak_Forward!$A$5:$AG$128,'price-new'!O$2,FALSE)</f>
        <v>30.04</v>
      </c>
      <c r="P121" s="17">
        <f>VLOOKUP($C121,[1]Peak_Forward!$A$5:$AG$128,'price-new'!P$2,FALSE)</f>
        <v>33.74</v>
      </c>
      <c r="Q121" s="17">
        <f>VLOOKUP($C121,[1]Peak_Forward!$A$5:$AG$128,'price-new'!Q$2,FALSE)</f>
        <v>29.192</v>
      </c>
      <c r="R121" s="17">
        <f>VLOOKUP($C121,[1]Peak_Forward!$A$5:$AG$128,'price-new'!R$2,FALSE)</f>
        <v>30.75</v>
      </c>
      <c r="S121" s="6">
        <f>VLOOKUP($C121,[1]Peak_Forward!$A$5:$AG$128,'price-new'!S$2,FALSE)</f>
        <v>32.54</v>
      </c>
      <c r="T121" s="6">
        <f>VLOOKUP($C121,[1]Peak_Forward!$A$5:$AG$128,'price-new'!T$2,FALSE)</f>
        <v>32.29</v>
      </c>
      <c r="U121" s="6"/>
    </row>
    <row r="122" spans="1:21" x14ac:dyDescent="0.2">
      <c r="C122" s="1">
        <v>40483</v>
      </c>
      <c r="E122" s="17">
        <f>VLOOKUP($C122,[1]Peak_Forward!$A$5:$AG$128,'price-new'!E$2,FALSE)</f>
        <v>29.66</v>
      </c>
      <c r="F122" s="17">
        <f>VLOOKUP($C122,[1]Peak_Forward!$A$5:$AG$128,'price-new'!F$2,FALSE)</f>
        <v>29.66</v>
      </c>
      <c r="G122" s="17">
        <f>VLOOKUP($C122,[1]Peak_Forward!$A$5:$AG$128,'price-new'!G$2,FALSE)</f>
        <v>32.42</v>
      </c>
      <c r="H122" s="17">
        <f>VLOOKUP($C122,[1]Peak_Forward!$A$5:$AG$128,'price-new'!H$2,FALSE)</f>
        <v>28.41</v>
      </c>
      <c r="I122" s="17">
        <f>VLOOKUP($C122,[1]Peak_Forward!$A$5:$AG$128,'price-new'!I$2,FALSE)</f>
        <v>29.16</v>
      </c>
      <c r="J122" s="17">
        <f>VLOOKUP($C122,[1]Peak_Forward!$A$5:$AG$128,'price-new'!J$2,FALSE)</f>
        <v>29.66</v>
      </c>
      <c r="K122" s="17">
        <f>VLOOKUP($C122,[1]Peak_Forward!$A$5:$AG$128,'price-new'!K$2,FALSE)</f>
        <v>35.75</v>
      </c>
      <c r="L122" s="17">
        <f>VLOOKUP($C122,[1]Peak_Forward!$A$5:$AG$128,'price-new'!L$2,FALSE)</f>
        <v>31.3</v>
      </c>
      <c r="M122" s="17">
        <f>VLOOKUP($C122,[1]Peak_Forward!$A$5:$AG$128,'price-new'!M$2,FALSE)</f>
        <v>32</v>
      </c>
      <c r="N122" s="17">
        <f>VLOOKUP($C122,[1]Peak_Forward!$A$5:$AG$128,'price-new'!N$2,FALSE)</f>
        <v>40</v>
      </c>
      <c r="O122" s="17">
        <f>VLOOKUP($C122,[1]Peak_Forward!$A$5:$AG$128,'price-new'!O$2,FALSE)</f>
        <v>30.04</v>
      </c>
      <c r="P122" s="17">
        <f>VLOOKUP($C122,[1]Peak_Forward!$A$5:$AG$128,'price-new'!P$2,FALSE)</f>
        <v>37</v>
      </c>
      <c r="Q122" s="17">
        <f>VLOOKUP($C122,[1]Peak_Forward!$A$5:$AG$128,'price-new'!Q$2,FALSE)</f>
        <v>29.292000000000002</v>
      </c>
      <c r="R122" s="17">
        <f>VLOOKUP($C122,[1]Peak_Forward!$A$5:$AG$128,'price-new'!R$2,FALSE)</f>
        <v>30.75</v>
      </c>
      <c r="S122" s="6">
        <f>VLOOKUP($C122,[1]Peak_Forward!$A$5:$AG$128,'price-new'!S$2,FALSE)</f>
        <v>32.54</v>
      </c>
      <c r="T122" s="6">
        <f>VLOOKUP($C122,[1]Peak_Forward!$A$5:$AG$128,'price-new'!T$2,FALSE)</f>
        <v>32.28</v>
      </c>
      <c r="U122" s="6"/>
    </row>
    <row r="123" spans="1:21" x14ac:dyDescent="0.2">
      <c r="C123" s="1">
        <v>40513</v>
      </c>
      <c r="E123" s="17">
        <f>VLOOKUP($C123,[1]Peak_Forward!$A$5:$AG$128,'price-new'!E$2,FALSE)</f>
        <v>29.51</v>
      </c>
      <c r="F123" s="17">
        <f>VLOOKUP($C123,[1]Peak_Forward!$A$5:$AG$128,'price-new'!F$2,FALSE)</f>
        <v>29.51</v>
      </c>
      <c r="G123" s="17">
        <f>VLOOKUP($C123,[1]Peak_Forward!$A$5:$AG$128,'price-new'!G$2,FALSE)</f>
        <v>33.32</v>
      </c>
      <c r="H123" s="17">
        <f>VLOOKUP($C123,[1]Peak_Forward!$A$5:$AG$128,'price-new'!H$2,FALSE)</f>
        <v>28.26</v>
      </c>
      <c r="I123" s="17">
        <f>VLOOKUP($C123,[1]Peak_Forward!$A$5:$AG$128,'price-new'!I$2,FALSE)</f>
        <v>29.01</v>
      </c>
      <c r="J123" s="17">
        <f>VLOOKUP($C123,[1]Peak_Forward!$A$5:$AG$128,'price-new'!J$2,FALSE)</f>
        <v>29.51</v>
      </c>
      <c r="K123" s="17">
        <f>VLOOKUP($C123,[1]Peak_Forward!$A$5:$AG$128,'price-new'!K$2,FALSE)</f>
        <v>35.75</v>
      </c>
      <c r="L123" s="17">
        <f>VLOOKUP($C123,[1]Peak_Forward!$A$5:$AG$128,'price-new'!L$2,FALSE)</f>
        <v>31.15</v>
      </c>
      <c r="M123" s="17">
        <f>VLOOKUP($C123,[1]Peak_Forward!$A$5:$AG$128,'price-new'!M$2,FALSE)</f>
        <v>32</v>
      </c>
      <c r="N123" s="17">
        <f>VLOOKUP($C123,[1]Peak_Forward!$A$5:$AG$128,'price-new'!N$2,FALSE)</f>
        <v>40</v>
      </c>
      <c r="O123" s="17">
        <f>VLOOKUP($C123,[1]Peak_Forward!$A$5:$AG$128,'price-new'!O$2,FALSE)</f>
        <v>30.04</v>
      </c>
      <c r="P123" s="17">
        <f>VLOOKUP($C123,[1]Peak_Forward!$A$5:$AG$128,'price-new'!P$2,FALSE)</f>
        <v>37.25</v>
      </c>
      <c r="Q123" s="17">
        <f>VLOOKUP($C123,[1]Peak_Forward!$A$5:$AG$128,'price-new'!Q$2,FALSE)</f>
        <v>29.391999999999999</v>
      </c>
      <c r="R123" s="17">
        <f>VLOOKUP($C123,[1]Peak_Forward!$A$5:$AG$128,'price-new'!R$2,FALSE)</f>
        <v>30.75</v>
      </c>
      <c r="S123" s="6">
        <f>VLOOKUP($C123,[1]Peak_Forward!$A$5:$AG$128,'price-new'!S$2,FALSE)</f>
        <v>32.54</v>
      </c>
      <c r="T123" s="6">
        <f>VLOOKUP($C123,[1]Peak_Forward!$A$5:$AG$128,'price-new'!T$2,FALSE)</f>
        <v>32.28</v>
      </c>
      <c r="U123" s="6"/>
    </row>
    <row r="125" spans="1:21" s="5" customFormat="1" x14ac:dyDescent="0.2"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21" s="5" customFormat="1" x14ac:dyDescent="0.2">
      <c r="A126"/>
      <c r="B126"/>
      <c r="C126" s="1"/>
      <c r="D12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1"/>
      <c r="T126" s="11"/>
    </row>
    <row r="127" spans="1:21" s="5" customFormat="1" x14ac:dyDescent="0.2">
      <c r="A127"/>
      <c r="B127"/>
      <c r="C127" s="1"/>
      <c r="D12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1" x14ac:dyDescent="0.2">
      <c r="C128" s="1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6"/>
      <c r="T128" s="6"/>
    </row>
    <row r="129" spans="3:20" x14ac:dyDescent="0.2">
      <c r="C129" s="1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6"/>
      <c r="T129" s="6"/>
    </row>
    <row r="130" spans="3:20" x14ac:dyDescent="0.2">
      <c r="C130" s="1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6"/>
      <c r="T130" s="6"/>
    </row>
    <row r="131" spans="3:20" x14ac:dyDescent="0.2">
      <c r="C131" s="1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6"/>
      <c r="T131" s="6"/>
    </row>
    <row r="132" spans="3:20" x14ac:dyDescent="0.2">
      <c r="C132" s="1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6"/>
      <c r="T132" s="6"/>
    </row>
    <row r="133" spans="3:20" x14ac:dyDescent="0.2">
      <c r="C133" s="1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6"/>
      <c r="T133" s="6"/>
    </row>
    <row r="134" spans="3:20" x14ac:dyDescent="0.2">
      <c r="C134" s="1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6"/>
      <c r="T134" s="6"/>
    </row>
    <row r="135" spans="3:20" x14ac:dyDescent="0.2">
      <c r="C135" s="1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6"/>
      <c r="T135" s="6"/>
    </row>
    <row r="136" spans="3:20" x14ac:dyDescent="0.2">
      <c r="C136" s="1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6"/>
      <c r="T136" s="6"/>
    </row>
    <row r="137" spans="3:20" x14ac:dyDescent="0.2">
      <c r="C137" s="1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6"/>
      <c r="T137" s="6"/>
    </row>
    <row r="138" spans="3:20" x14ac:dyDescent="0.2">
      <c r="C138" s="1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6"/>
      <c r="T138" s="6"/>
    </row>
    <row r="139" spans="3:20" x14ac:dyDescent="0.2">
      <c r="C139" s="1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6"/>
      <c r="T139" s="6"/>
    </row>
    <row r="140" spans="3:20" x14ac:dyDescent="0.2">
      <c r="C140" s="1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6"/>
      <c r="T140" s="6"/>
    </row>
    <row r="141" spans="3:20" x14ac:dyDescent="0.2">
      <c r="C141" s="1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6"/>
      <c r="T141" s="6"/>
    </row>
    <row r="142" spans="3:20" x14ac:dyDescent="0.2">
      <c r="C142" s="1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6"/>
      <c r="T142" s="6"/>
    </row>
    <row r="143" spans="3:20" x14ac:dyDescent="0.2">
      <c r="C143" s="1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6"/>
      <c r="T143" s="6"/>
    </row>
    <row r="144" spans="3:20" x14ac:dyDescent="0.2">
      <c r="C144" s="1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6"/>
      <c r="T144" s="6"/>
    </row>
    <row r="145" spans="3:20" x14ac:dyDescent="0.2">
      <c r="C145" s="1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6"/>
      <c r="T145" s="6"/>
    </row>
    <row r="146" spans="3:20" x14ac:dyDescent="0.2">
      <c r="C146" s="1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6"/>
      <c r="T146" s="6"/>
    </row>
    <row r="147" spans="3:20" x14ac:dyDescent="0.2">
      <c r="C147" s="1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6"/>
      <c r="T147" s="6"/>
    </row>
    <row r="148" spans="3:20" x14ac:dyDescent="0.2">
      <c r="C148" s="1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6"/>
      <c r="T148" s="6"/>
    </row>
    <row r="149" spans="3:20" x14ac:dyDescent="0.2">
      <c r="C149" s="1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6"/>
      <c r="T149" s="6"/>
    </row>
    <row r="150" spans="3:20" x14ac:dyDescent="0.2">
      <c r="C150" s="1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6"/>
      <c r="T150" s="6"/>
    </row>
    <row r="151" spans="3:20" x14ac:dyDescent="0.2">
      <c r="C151" s="1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6"/>
      <c r="T151" s="6"/>
    </row>
    <row r="152" spans="3:20" x14ac:dyDescent="0.2">
      <c r="C152" s="1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6"/>
      <c r="T152" s="6"/>
    </row>
    <row r="153" spans="3:20" x14ac:dyDescent="0.2">
      <c r="C153" s="1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6"/>
      <c r="T153" s="6"/>
    </row>
    <row r="154" spans="3:20" x14ac:dyDescent="0.2">
      <c r="C154" s="1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6"/>
      <c r="T154" s="6"/>
    </row>
    <row r="155" spans="3:20" x14ac:dyDescent="0.2">
      <c r="C155" s="1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6"/>
      <c r="T155" s="6"/>
    </row>
    <row r="156" spans="3:20" x14ac:dyDescent="0.2">
      <c r="C156" s="1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6"/>
      <c r="T156" s="6"/>
    </row>
    <row r="157" spans="3:20" x14ac:dyDescent="0.2">
      <c r="C157" s="1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6"/>
      <c r="T157" s="6"/>
    </row>
    <row r="158" spans="3:20" x14ac:dyDescent="0.2">
      <c r="C158" s="1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6"/>
      <c r="T158" s="6"/>
    </row>
    <row r="159" spans="3:20" x14ac:dyDescent="0.2">
      <c r="C159" s="1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6"/>
      <c r="T159" s="6"/>
    </row>
    <row r="160" spans="3:20" x14ac:dyDescent="0.2">
      <c r="C160" s="1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6"/>
      <c r="T160" s="6"/>
    </row>
    <row r="161" spans="3:20" x14ac:dyDescent="0.2">
      <c r="C161" s="1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6"/>
      <c r="T161" s="6"/>
    </row>
    <row r="162" spans="3:20" x14ac:dyDescent="0.2">
      <c r="C162" s="1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6"/>
      <c r="T162" s="6"/>
    </row>
    <row r="163" spans="3:20" x14ac:dyDescent="0.2">
      <c r="C163" s="1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6"/>
      <c r="T163" s="6"/>
    </row>
    <row r="164" spans="3:20" x14ac:dyDescent="0.2">
      <c r="C164" s="1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6"/>
      <c r="T164" s="6"/>
    </row>
    <row r="165" spans="3:20" x14ac:dyDescent="0.2">
      <c r="C165" s="1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6"/>
      <c r="T165" s="6"/>
    </row>
    <row r="166" spans="3:20" x14ac:dyDescent="0.2">
      <c r="C166" s="1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6"/>
      <c r="T166" s="6"/>
    </row>
    <row r="167" spans="3:20" x14ac:dyDescent="0.2">
      <c r="C167" s="1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6"/>
      <c r="T167" s="6"/>
    </row>
    <row r="168" spans="3:20" x14ac:dyDescent="0.2">
      <c r="C168" s="1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6"/>
      <c r="T168" s="6"/>
    </row>
    <row r="169" spans="3:20" x14ac:dyDescent="0.2">
      <c r="C169" s="1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6"/>
      <c r="T169" s="6"/>
    </row>
    <row r="170" spans="3:20" x14ac:dyDescent="0.2">
      <c r="C170" s="1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6"/>
      <c r="T170" s="6"/>
    </row>
    <row r="171" spans="3:20" x14ac:dyDescent="0.2">
      <c r="C171" s="1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6"/>
      <c r="T171" s="6"/>
    </row>
    <row r="172" spans="3:20" x14ac:dyDescent="0.2">
      <c r="C172" s="1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6"/>
      <c r="T172" s="6"/>
    </row>
    <row r="173" spans="3:20" x14ac:dyDescent="0.2">
      <c r="C173" s="1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6"/>
      <c r="T173" s="6"/>
    </row>
    <row r="174" spans="3:20" x14ac:dyDescent="0.2">
      <c r="C174" s="1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6"/>
      <c r="T174" s="6"/>
    </row>
    <row r="175" spans="3:20" x14ac:dyDescent="0.2">
      <c r="C175" s="1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6"/>
      <c r="T175" s="6"/>
    </row>
    <row r="176" spans="3:20" x14ac:dyDescent="0.2">
      <c r="C176" s="1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6"/>
      <c r="T176" s="6"/>
    </row>
    <row r="177" spans="3:20" x14ac:dyDescent="0.2">
      <c r="C177" s="1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6"/>
      <c r="T177" s="6"/>
    </row>
    <row r="178" spans="3:20" x14ac:dyDescent="0.2">
      <c r="C178" s="1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6"/>
      <c r="T178" s="6"/>
    </row>
    <row r="179" spans="3:20" x14ac:dyDescent="0.2">
      <c r="C179" s="1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6"/>
      <c r="T179" s="6"/>
    </row>
    <row r="180" spans="3:20" x14ac:dyDescent="0.2">
      <c r="C180" s="1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6"/>
      <c r="T180" s="6"/>
    </row>
    <row r="181" spans="3:20" x14ac:dyDescent="0.2">
      <c r="C181" s="1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6"/>
      <c r="T181" s="6"/>
    </row>
    <row r="182" spans="3:20" x14ac:dyDescent="0.2">
      <c r="C182" s="1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6"/>
      <c r="T182" s="6"/>
    </row>
    <row r="183" spans="3:20" x14ac:dyDescent="0.2">
      <c r="C183" s="1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6"/>
      <c r="T183" s="6"/>
    </row>
    <row r="184" spans="3:20" x14ac:dyDescent="0.2">
      <c r="C184" s="1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6"/>
      <c r="T184" s="6"/>
    </row>
    <row r="185" spans="3:20" x14ac:dyDescent="0.2">
      <c r="C185" s="1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6"/>
      <c r="T185" s="6"/>
    </row>
    <row r="186" spans="3:20" x14ac:dyDescent="0.2">
      <c r="C186" s="1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6"/>
      <c r="T186" s="6"/>
    </row>
    <row r="187" spans="3:20" x14ac:dyDescent="0.2">
      <c r="C187" s="1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6"/>
      <c r="T187" s="6"/>
    </row>
    <row r="188" spans="3:20" x14ac:dyDescent="0.2">
      <c r="C188" s="1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6"/>
      <c r="T188" s="6"/>
    </row>
    <row r="189" spans="3:20" x14ac:dyDescent="0.2">
      <c r="C189" s="1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6"/>
      <c r="T189" s="6"/>
    </row>
    <row r="190" spans="3:20" x14ac:dyDescent="0.2">
      <c r="C190" s="1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6"/>
      <c r="T190" s="6"/>
    </row>
    <row r="191" spans="3:20" x14ac:dyDescent="0.2">
      <c r="C191" s="1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6"/>
      <c r="T191" s="6"/>
    </row>
    <row r="192" spans="3:20" x14ac:dyDescent="0.2">
      <c r="C192" s="1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6"/>
      <c r="T192" s="6"/>
    </row>
    <row r="193" spans="3:20" x14ac:dyDescent="0.2">
      <c r="C193" s="1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6"/>
      <c r="T193" s="6"/>
    </row>
    <row r="194" spans="3:20" x14ac:dyDescent="0.2">
      <c r="C194" s="1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6"/>
      <c r="T194" s="6"/>
    </row>
    <row r="195" spans="3:20" x14ac:dyDescent="0.2">
      <c r="C195" s="1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6"/>
      <c r="T195" s="6"/>
    </row>
    <row r="196" spans="3:20" x14ac:dyDescent="0.2">
      <c r="C196" s="1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6"/>
      <c r="T196" s="6"/>
    </row>
    <row r="197" spans="3:20" x14ac:dyDescent="0.2">
      <c r="C197" s="1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6"/>
      <c r="T197" s="6"/>
    </row>
    <row r="198" spans="3:20" x14ac:dyDescent="0.2">
      <c r="C198" s="1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6"/>
      <c r="T198" s="6"/>
    </row>
    <row r="199" spans="3:20" x14ac:dyDescent="0.2">
      <c r="C199" s="1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6"/>
      <c r="T199" s="6"/>
    </row>
    <row r="200" spans="3:20" x14ac:dyDescent="0.2">
      <c r="C200" s="1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6"/>
      <c r="T200" s="6"/>
    </row>
    <row r="201" spans="3:20" x14ac:dyDescent="0.2">
      <c r="C201" s="1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6"/>
      <c r="T201" s="6"/>
    </row>
    <row r="202" spans="3:20" x14ac:dyDescent="0.2">
      <c r="C202" s="1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6"/>
      <c r="T202" s="6"/>
    </row>
    <row r="203" spans="3:20" x14ac:dyDescent="0.2">
      <c r="C203" s="1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6"/>
      <c r="T203" s="6"/>
    </row>
    <row r="204" spans="3:20" x14ac:dyDescent="0.2">
      <c r="C204" s="1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6"/>
      <c r="T204" s="6"/>
    </row>
    <row r="205" spans="3:20" x14ac:dyDescent="0.2">
      <c r="C205" s="1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6"/>
      <c r="T205" s="6"/>
    </row>
    <row r="206" spans="3:20" x14ac:dyDescent="0.2">
      <c r="C206" s="1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6"/>
      <c r="T206" s="6"/>
    </row>
    <row r="207" spans="3:20" x14ac:dyDescent="0.2">
      <c r="C207" s="1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6"/>
      <c r="T207" s="6"/>
    </row>
    <row r="208" spans="3:20" x14ac:dyDescent="0.2">
      <c r="C208" s="1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6"/>
      <c r="T208" s="6"/>
    </row>
    <row r="209" spans="3:20" x14ac:dyDescent="0.2">
      <c r="C209" s="1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6"/>
      <c r="T209" s="6"/>
    </row>
    <row r="210" spans="3:20" x14ac:dyDescent="0.2">
      <c r="C210" s="1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6"/>
      <c r="T210" s="6"/>
    </row>
    <row r="211" spans="3:20" x14ac:dyDescent="0.2">
      <c r="C211" s="1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6"/>
      <c r="T211" s="6"/>
    </row>
    <row r="212" spans="3:20" x14ac:dyDescent="0.2">
      <c r="C212" s="1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6"/>
      <c r="T212" s="6"/>
    </row>
    <row r="213" spans="3:20" x14ac:dyDescent="0.2">
      <c r="C213" s="1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6"/>
      <c r="T213" s="6"/>
    </row>
    <row r="214" spans="3:20" x14ac:dyDescent="0.2">
      <c r="C214" s="1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6"/>
      <c r="T214" s="6"/>
    </row>
    <row r="215" spans="3:20" x14ac:dyDescent="0.2">
      <c r="C215" s="1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6"/>
      <c r="T215" s="6"/>
    </row>
    <row r="216" spans="3:20" x14ac:dyDescent="0.2">
      <c r="C216" s="1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6"/>
      <c r="T216" s="6"/>
    </row>
    <row r="217" spans="3:20" x14ac:dyDescent="0.2">
      <c r="C217" s="1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6"/>
      <c r="T217" s="6"/>
    </row>
    <row r="218" spans="3:20" x14ac:dyDescent="0.2">
      <c r="C218" s="1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6"/>
      <c r="T218" s="6"/>
    </row>
    <row r="219" spans="3:20" x14ac:dyDescent="0.2">
      <c r="C219" s="1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6"/>
      <c r="T219" s="6"/>
    </row>
    <row r="220" spans="3:20" x14ac:dyDescent="0.2">
      <c r="C220" s="1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6"/>
      <c r="T220" s="6"/>
    </row>
    <row r="221" spans="3:20" x14ac:dyDescent="0.2">
      <c r="C221" s="1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6"/>
      <c r="T221" s="6"/>
    </row>
    <row r="222" spans="3:20" x14ac:dyDescent="0.2">
      <c r="C222" s="1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6"/>
      <c r="T222" s="6"/>
    </row>
    <row r="223" spans="3:20" x14ac:dyDescent="0.2">
      <c r="C223" s="1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6"/>
      <c r="T223" s="6"/>
    </row>
    <row r="224" spans="3:20" x14ac:dyDescent="0.2">
      <c r="C224" s="1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6"/>
      <c r="T224" s="6"/>
    </row>
    <row r="225" spans="3:20" x14ac:dyDescent="0.2">
      <c r="C225" s="1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6"/>
      <c r="T225" s="6"/>
    </row>
    <row r="226" spans="3:20" x14ac:dyDescent="0.2">
      <c r="C226" s="1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6"/>
      <c r="T226" s="6"/>
    </row>
    <row r="227" spans="3:20" x14ac:dyDescent="0.2">
      <c r="C227" s="1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6"/>
      <c r="T227" s="6"/>
    </row>
    <row r="228" spans="3:20" x14ac:dyDescent="0.2">
      <c r="C228" s="1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6"/>
      <c r="T228" s="6"/>
    </row>
    <row r="229" spans="3:20" x14ac:dyDescent="0.2">
      <c r="C229" s="1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6"/>
      <c r="T229" s="6"/>
    </row>
    <row r="230" spans="3:20" x14ac:dyDescent="0.2">
      <c r="C230" s="1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6"/>
      <c r="T230" s="6"/>
    </row>
    <row r="231" spans="3:20" x14ac:dyDescent="0.2">
      <c r="C231" s="1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6"/>
      <c r="T231" s="6"/>
    </row>
    <row r="232" spans="3:20" x14ac:dyDescent="0.2">
      <c r="C232" s="1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6"/>
      <c r="T232" s="6"/>
    </row>
    <row r="233" spans="3:20" x14ac:dyDescent="0.2">
      <c r="C233" s="1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6"/>
      <c r="T233" s="6"/>
    </row>
    <row r="234" spans="3:20" x14ac:dyDescent="0.2">
      <c r="C234" s="1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6"/>
      <c r="T234" s="6"/>
    </row>
    <row r="235" spans="3:20" x14ac:dyDescent="0.2">
      <c r="C235" s="1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6"/>
      <c r="T235" s="6"/>
    </row>
    <row r="236" spans="3:20" x14ac:dyDescent="0.2">
      <c r="C236" s="1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6"/>
      <c r="T236" s="6"/>
    </row>
    <row r="237" spans="3:20" x14ac:dyDescent="0.2">
      <c r="C237" s="1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6"/>
      <c r="T237" s="6"/>
    </row>
    <row r="238" spans="3:20" x14ac:dyDescent="0.2">
      <c r="C238" s="1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6"/>
      <c r="T238" s="6"/>
    </row>
    <row r="239" spans="3:20" x14ac:dyDescent="0.2">
      <c r="C239" s="1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6"/>
      <c r="T239" s="6"/>
    </row>
    <row r="240" spans="3:20" x14ac:dyDescent="0.2">
      <c r="C240" s="1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6"/>
      <c r="T240" s="6"/>
    </row>
    <row r="241" spans="3:20" x14ac:dyDescent="0.2">
      <c r="C241" s="1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6"/>
      <c r="T241" s="6"/>
    </row>
    <row r="242" spans="3:20" x14ac:dyDescent="0.2">
      <c r="C242" s="1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6"/>
      <c r="T242" s="6"/>
    </row>
    <row r="243" spans="3:20" x14ac:dyDescent="0.2">
      <c r="C243" s="1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6"/>
      <c r="T243" s="6"/>
    </row>
    <row r="244" spans="3:20" x14ac:dyDescent="0.2">
      <c r="C244" s="1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6"/>
      <c r="T244" s="6"/>
    </row>
    <row r="245" spans="3:20" x14ac:dyDescent="0.2">
      <c r="C245" s="1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6"/>
      <c r="T245" s="6"/>
    </row>
    <row r="246" spans="3:20" x14ac:dyDescent="0.2">
      <c r="C246" s="1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6"/>
      <c r="T246" s="6"/>
    </row>
    <row r="247" spans="3:20" x14ac:dyDescent="0.2">
      <c r="C247" s="1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6"/>
      <c r="T247" s="6"/>
    </row>
  </sheetData>
  <phoneticPr fontId="0" type="noConversion"/>
  <pageMargins left="0.75" right="0.75" top="1" bottom="1" header="0.5" footer="0.5"/>
  <pageSetup scale="4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S51"/>
  <sheetViews>
    <sheetView zoomScale="80" workbookViewId="0">
      <selection activeCell="B17" sqref="B17:B26"/>
    </sheetView>
  </sheetViews>
  <sheetFormatPr defaultRowHeight="12.75" x14ac:dyDescent="0.2"/>
  <cols>
    <col min="1" max="1" width="3.42578125" bestFit="1" customWidth="1"/>
    <col min="2" max="2" width="14.85546875" bestFit="1" customWidth="1"/>
    <col min="3" max="3" width="10.85546875" bestFit="1" customWidth="1"/>
    <col min="4" max="4" width="10.85546875" style="4" bestFit="1" customWidth="1"/>
    <col min="5" max="6" width="9.85546875" style="4" bestFit="1" customWidth="1"/>
    <col min="7" max="7" width="11" style="4" customWidth="1"/>
    <col min="8" max="8" width="10.5703125" style="4" customWidth="1"/>
    <col min="9" max="9" width="12.7109375" style="4" customWidth="1"/>
    <col min="10" max="10" width="10.7109375" customWidth="1"/>
    <col min="11" max="11" width="11" customWidth="1"/>
    <col min="12" max="12" width="10.7109375" customWidth="1"/>
    <col min="13" max="13" width="11.85546875" bestFit="1" customWidth="1"/>
    <col min="14" max="23" width="9.85546875" bestFit="1" customWidth="1"/>
    <col min="24" max="45" width="10.85546875" bestFit="1" customWidth="1"/>
  </cols>
  <sheetData>
    <row r="1" spans="1:45" x14ac:dyDescent="0.2">
      <c r="A1">
        <f>ROW()</f>
        <v>1</v>
      </c>
      <c r="C1" t="s">
        <v>54</v>
      </c>
      <c r="D1" s="29">
        <f ca="1">TODAY()</f>
        <v>41885</v>
      </c>
      <c r="E1" s="29">
        <f t="shared" ref="E1:AP1" ca="1" si="0">D1+1</f>
        <v>41886</v>
      </c>
      <c r="F1" s="29">
        <f t="shared" ca="1" si="0"/>
        <v>41887</v>
      </c>
      <c r="G1" s="29">
        <f t="shared" ca="1" si="0"/>
        <v>41888</v>
      </c>
      <c r="H1" s="29">
        <f t="shared" ca="1" si="0"/>
        <v>41889</v>
      </c>
      <c r="I1" s="29">
        <f t="shared" ca="1" si="0"/>
        <v>41890</v>
      </c>
      <c r="J1" s="1">
        <f t="shared" ca="1" si="0"/>
        <v>41891</v>
      </c>
      <c r="K1" s="1">
        <f t="shared" ca="1" si="0"/>
        <v>41892</v>
      </c>
      <c r="L1" s="1">
        <f t="shared" ca="1" si="0"/>
        <v>41893</v>
      </c>
      <c r="M1" s="1">
        <f t="shared" ca="1" si="0"/>
        <v>41894</v>
      </c>
      <c r="N1" s="1">
        <f t="shared" ca="1" si="0"/>
        <v>41895</v>
      </c>
      <c r="O1" s="1">
        <f t="shared" ca="1" si="0"/>
        <v>41896</v>
      </c>
      <c r="P1" s="1">
        <f t="shared" ca="1" si="0"/>
        <v>41897</v>
      </c>
      <c r="Q1" s="1">
        <f t="shared" ca="1" si="0"/>
        <v>41898</v>
      </c>
      <c r="R1" s="1">
        <f t="shared" ca="1" si="0"/>
        <v>41899</v>
      </c>
      <c r="S1" s="1">
        <f t="shared" ca="1" si="0"/>
        <v>41900</v>
      </c>
      <c r="T1" s="1">
        <f t="shared" ca="1" si="0"/>
        <v>41901</v>
      </c>
      <c r="U1" s="1">
        <f t="shared" ca="1" si="0"/>
        <v>41902</v>
      </c>
      <c r="V1" s="1">
        <f t="shared" ca="1" si="0"/>
        <v>41903</v>
      </c>
      <c r="W1" s="1">
        <f t="shared" ca="1" si="0"/>
        <v>41904</v>
      </c>
      <c r="X1" s="1">
        <f t="shared" ca="1" si="0"/>
        <v>41905</v>
      </c>
      <c r="Y1" s="1">
        <f t="shared" ca="1" si="0"/>
        <v>41906</v>
      </c>
      <c r="Z1" s="1">
        <f t="shared" ca="1" si="0"/>
        <v>41907</v>
      </c>
      <c r="AA1" s="1">
        <f t="shared" ca="1" si="0"/>
        <v>41908</v>
      </c>
      <c r="AB1" s="1">
        <f t="shared" ca="1" si="0"/>
        <v>41909</v>
      </c>
      <c r="AC1" s="1">
        <f t="shared" ca="1" si="0"/>
        <v>41910</v>
      </c>
      <c r="AD1" s="1">
        <f t="shared" ca="1" si="0"/>
        <v>41911</v>
      </c>
      <c r="AE1" s="1">
        <f t="shared" ca="1" si="0"/>
        <v>41912</v>
      </c>
      <c r="AF1" s="1">
        <f t="shared" ca="1" si="0"/>
        <v>41913</v>
      </c>
      <c r="AG1" s="1">
        <f t="shared" ca="1" si="0"/>
        <v>41914</v>
      </c>
      <c r="AH1" s="1">
        <f t="shared" ca="1" si="0"/>
        <v>41915</v>
      </c>
      <c r="AI1" s="1">
        <f t="shared" ca="1" si="0"/>
        <v>41916</v>
      </c>
      <c r="AJ1" s="1">
        <f t="shared" ca="1" si="0"/>
        <v>41917</v>
      </c>
      <c r="AK1" s="1">
        <f t="shared" ca="1" si="0"/>
        <v>41918</v>
      </c>
      <c r="AL1" s="1">
        <f t="shared" ca="1" si="0"/>
        <v>41919</v>
      </c>
      <c r="AM1" s="1">
        <f t="shared" ca="1" si="0"/>
        <v>41920</v>
      </c>
      <c r="AN1" s="1">
        <f t="shared" ca="1" si="0"/>
        <v>41921</v>
      </c>
      <c r="AO1" s="1">
        <f t="shared" ca="1" si="0"/>
        <v>41922</v>
      </c>
      <c r="AP1" s="1">
        <f t="shared" ca="1" si="0"/>
        <v>41923</v>
      </c>
      <c r="AQ1" s="1">
        <f ca="1">AP1+1</f>
        <v>41924</v>
      </c>
      <c r="AR1" s="1">
        <f ca="1">AQ1+1</f>
        <v>41925</v>
      </c>
      <c r="AS1" s="1">
        <f ca="1">AR1+1</f>
        <v>41926</v>
      </c>
    </row>
    <row r="2" spans="1:45" x14ac:dyDescent="0.2">
      <c r="A2">
        <f>ROW()</f>
        <v>2</v>
      </c>
      <c r="C2" t="s">
        <v>100</v>
      </c>
      <c r="D2" s="4">
        <f t="shared" ref="D2:AM2" ca="1" si="1">WEEKDAY(D1)</f>
        <v>4</v>
      </c>
      <c r="E2" s="4">
        <f t="shared" ca="1" si="1"/>
        <v>5</v>
      </c>
      <c r="F2" s="4">
        <f t="shared" ca="1" si="1"/>
        <v>6</v>
      </c>
      <c r="G2" s="4">
        <f t="shared" ca="1" si="1"/>
        <v>7</v>
      </c>
      <c r="H2" s="4">
        <f t="shared" ca="1" si="1"/>
        <v>1</v>
      </c>
      <c r="I2" s="4">
        <f t="shared" ca="1" si="1"/>
        <v>2</v>
      </c>
      <c r="J2">
        <f t="shared" ca="1" si="1"/>
        <v>3</v>
      </c>
      <c r="K2">
        <f t="shared" ca="1" si="1"/>
        <v>4</v>
      </c>
      <c r="L2">
        <f t="shared" ca="1" si="1"/>
        <v>5</v>
      </c>
      <c r="M2">
        <f t="shared" ca="1" si="1"/>
        <v>6</v>
      </c>
      <c r="N2">
        <f t="shared" ca="1" si="1"/>
        <v>7</v>
      </c>
      <c r="O2">
        <f t="shared" ca="1" si="1"/>
        <v>1</v>
      </c>
      <c r="P2">
        <f t="shared" ca="1" si="1"/>
        <v>2</v>
      </c>
      <c r="Q2">
        <f t="shared" ca="1" si="1"/>
        <v>3</v>
      </c>
      <c r="R2">
        <f t="shared" ca="1" si="1"/>
        <v>4</v>
      </c>
      <c r="S2">
        <f t="shared" ca="1" si="1"/>
        <v>5</v>
      </c>
      <c r="T2">
        <f t="shared" ca="1" si="1"/>
        <v>6</v>
      </c>
      <c r="U2">
        <f t="shared" ca="1" si="1"/>
        <v>7</v>
      </c>
      <c r="V2">
        <f t="shared" ca="1" si="1"/>
        <v>1</v>
      </c>
      <c r="W2">
        <f t="shared" ca="1" si="1"/>
        <v>2</v>
      </c>
      <c r="X2">
        <f t="shared" ca="1" si="1"/>
        <v>3</v>
      </c>
      <c r="Y2">
        <f t="shared" ca="1" si="1"/>
        <v>4</v>
      </c>
      <c r="Z2">
        <f t="shared" ca="1" si="1"/>
        <v>5</v>
      </c>
      <c r="AA2">
        <f t="shared" ca="1" si="1"/>
        <v>6</v>
      </c>
      <c r="AB2">
        <f t="shared" ca="1" si="1"/>
        <v>7</v>
      </c>
      <c r="AC2">
        <f t="shared" ca="1" si="1"/>
        <v>1</v>
      </c>
      <c r="AD2">
        <f t="shared" ca="1" si="1"/>
        <v>2</v>
      </c>
      <c r="AE2">
        <f t="shared" ca="1" si="1"/>
        <v>3</v>
      </c>
      <c r="AF2">
        <f t="shared" ca="1" si="1"/>
        <v>4</v>
      </c>
      <c r="AG2">
        <f t="shared" ca="1" si="1"/>
        <v>5</v>
      </c>
      <c r="AH2">
        <f t="shared" ca="1" si="1"/>
        <v>6</v>
      </c>
      <c r="AI2">
        <f t="shared" ca="1" si="1"/>
        <v>7</v>
      </c>
      <c r="AJ2">
        <f t="shared" ca="1" si="1"/>
        <v>1</v>
      </c>
      <c r="AK2">
        <f t="shared" ca="1" si="1"/>
        <v>2</v>
      </c>
      <c r="AL2">
        <f t="shared" ca="1" si="1"/>
        <v>3</v>
      </c>
      <c r="AM2">
        <f t="shared" ca="1" si="1"/>
        <v>4</v>
      </c>
      <c r="AN2">
        <f t="shared" ref="AN2:AS2" ca="1" si="2">WEEKDAY(AN1)</f>
        <v>5</v>
      </c>
      <c r="AO2">
        <f t="shared" ca="1" si="2"/>
        <v>6</v>
      </c>
      <c r="AP2">
        <f t="shared" ca="1" si="2"/>
        <v>7</v>
      </c>
      <c r="AQ2">
        <f t="shared" ca="1" si="2"/>
        <v>1</v>
      </c>
      <c r="AR2">
        <f t="shared" ca="1" si="2"/>
        <v>2</v>
      </c>
      <c r="AS2">
        <f t="shared" ca="1" si="2"/>
        <v>3</v>
      </c>
    </row>
    <row r="3" spans="1:45" x14ac:dyDescent="0.2">
      <c r="A3">
        <f>ROW()</f>
        <v>3</v>
      </c>
      <c r="C3" t="s">
        <v>100</v>
      </c>
      <c r="D3" s="4" t="str">
        <f t="shared" ref="D3:AM3" ca="1" si="3">CHOOSE(D2,"SUN","MON","TUE","WED","THU","FRI","SAT","SUN")</f>
        <v>WED</v>
      </c>
      <c r="E3" s="4" t="str">
        <f t="shared" ca="1" si="3"/>
        <v>THU</v>
      </c>
      <c r="F3" s="4" t="str">
        <f t="shared" ca="1" si="3"/>
        <v>FRI</v>
      </c>
      <c r="G3" s="4" t="str">
        <f t="shared" ca="1" si="3"/>
        <v>SAT</v>
      </c>
      <c r="H3" s="4" t="str">
        <f t="shared" ca="1" si="3"/>
        <v>SUN</v>
      </c>
      <c r="I3" s="4" t="str">
        <f t="shared" ca="1" si="3"/>
        <v>MON</v>
      </c>
      <c r="J3" t="str">
        <f t="shared" ca="1" si="3"/>
        <v>TUE</v>
      </c>
      <c r="K3" t="str">
        <f t="shared" ca="1" si="3"/>
        <v>WED</v>
      </c>
      <c r="L3" t="str">
        <f t="shared" ca="1" si="3"/>
        <v>THU</v>
      </c>
      <c r="M3" t="str">
        <f t="shared" ca="1" si="3"/>
        <v>FRI</v>
      </c>
      <c r="N3" t="str">
        <f t="shared" ca="1" si="3"/>
        <v>SAT</v>
      </c>
      <c r="O3" t="str">
        <f t="shared" ca="1" si="3"/>
        <v>SUN</v>
      </c>
      <c r="P3" t="str">
        <f t="shared" ca="1" si="3"/>
        <v>MON</v>
      </c>
      <c r="Q3" t="str">
        <f t="shared" ca="1" si="3"/>
        <v>TUE</v>
      </c>
      <c r="R3" t="str">
        <f t="shared" ca="1" si="3"/>
        <v>WED</v>
      </c>
      <c r="S3" t="str">
        <f t="shared" ca="1" si="3"/>
        <v>THU</v>
      </c>
      <c r="T3" t="str">
        <f t="shared" ca="1" si="3"/>
        <v>FRI</v>
      </c>
      <c r="U3" t="str">
        <f t="shared" ca="1" si="3"/>
        <v>SAT</v>
      </c>
      <c r="V3" t="str">
        <f t="shared" ca="1" si="3"/>
        <v>SUN</v>
      </c>
      <c r="W3" t="str">
        <f t="shared" ca="1" si="3"/>
        <v>MON</v>
      </c>
      <c r="X3" t="str">
        <f t="shared" ca="1" si="3"/>
        <v>TUE</v>
      </c>
      <c r="Y3" t="str">
        <f t="shared" ca="1" si="3"/>
        <v>WED</v>
      </c>
      <c r="Z3" t="str">
        <f t="shared" ca="1" si="3"/>
        <v>THU</v>
      </c>
      <c r="AA3" t="str">
        <f t="shared" ca="1" si="3"/>
        <v>FRI</v>
      </c>
      <c r="AB3" t="str">
        <f t="shared" ca="1" si="3"/>
        <v>SAT</v>
      </c>
      <c r="AC3" t="str">
        <f t="shared" ca="1" si="3"/>
        <v>SUN</v>
      </c>
      <c r="AD3" t="str">
        <f t="shared" ca="1" si="3"/>
        <v>MON</v>
      </c>
      <c r="AE3" t="str">
        <f t="shared" ca="1" si="3"/>
        <v>TUE</v>
      </c>
      <c r="AF3" t="str">
        <f t="shared" ca="1" si="3"/>
        <v>WED</v>
      </c>
      <c r="AG3" t="str">
        <f t="shared" ca="1" si="3"/>
        <v>THU</v>
      </c>
      <c r="AH3" t="str">
        <f t="shared" ca="1" si="3"/>
        <v>FRI</v>
      </c>
      <c r="AI3" t="str">
        <f t="shared" ca="1" si="3"/>
        <v>SAT</v>
      </c>
      <c r="AJ3" t="str">
        <f t="shared" ca="1" si="3"/>
        <v>SUN</v>
      </c>
      <c r="AK3" t="str">
        <f t="shared" ca="1" si="3"/>
        <v>MON</v>
      </c>
      <c r="AL3" t="str">
        <f t="shared" ca="1" si="3"/>
        <v>TUE</v>
      </c>
      <c r="AM3" t="str">
        <f t="shared" ca="1" si="3"/>
        <v>WED</v>
      </c>
      <c r="AN3" t="str">
        <f t="shared" ref="AN3:AS3" ca="1" si="4">CHOOSE(AN2,"SUN","MON","TUE","WED","THU","FRI","SAT","SUN")</f>
        <v>THU</v>
      </c>
      <c r="AO3" t="str">
        <f t="shared" ca="1" si="4"/>
        <v>FRI</v>
      </c>
      <c r="AP3" t="str">
        <f t="shared" ca="1" si="4"/>
        <v>SAT</v>
      </c>
      <c r="AQ3" t="str">
        <f t="shared" ca="1" si="4"/>
        <v>SUN</v>
      </c>
      <c r="AR3" t="str">
        <f t="shared" ca="1" si="4"/>
        <v>MON</v>
      </c>
      <c r="AS3" t="str">
        <f t="shared" ca="1" si="4"/>
        <v>TUE</v>
      </c>
    </row>
    <row r="4" spans="1:45" x14ac:dyDescent="0.2">
      <c r="A4">
        <f>ROW()</f>
        <v>4</v>
      </c>
      <c r="C4" t="s">
        <v>101</v>
      </c>
      <c r="D4" s="4">
        <f t="shared" ref="D4:AM4" ca="1" si="5">IF(AND(D2&gt;=2,D2&lt;=6),16,0)</f>
        <v>16</v>
      </c>
      <c r="E4" s="4">
        <f t="shared" ca="1" si="5"/>
        <v>16</v>
      </c>
      <c r="F4" s="4">
        <f t="shared" ca="1" si="5"/>
        <v>16</v>
      </c>
      <c r="G4" s="4">
        <f t="shared" ca="1" si="5"/>
        <v>0</v>
      </c>
      <c r="H4" s="4">
        <f t="shared" ca="1" si="5"/>
        <v>0</v>
      </c>
      <c r="I4" s="4">
        <f t="shared" ca="1" si="5"/>
        <v>16</v>
      </c>
      <c r="J4">
        <f t="shared" ca="1" si="5"/>
        <v>16</v>
      </c>
      <c r="K4">
        <f t="shared" ca="1" si="5"/>
        <v>16</v>
      </c>
      <c r="L4">
        <f t="shared" ca="1" si="5"/>
        <v>16</v>
      </c>
      <c r="M4">
        <f t="shared" ca="1" si="5"/>
        <v>16</v>
      </c>
      <c r="N4">
        <f t="shared" ca="1" si="5"/>
        <v>0</v>
      </c>
      <c r="O4">
        <f t="shared" ca="1" si="5"/>
        <v>0</v>
      </c>
      <c r="P4">
        <f t="shared" ca="1" si="5"/>
        <v>16</v>
      </c>
      <c r="Q4">
        <f t="shared" ca="1" si="5"/>
        <v>16</v>
      </c>
      <c r="R4">
        <f t="shared" ca="1" si="5"/>
        <v>16</v>
      </c>
      <c r="S4">
        <f t="shared" ca="1" si="5"/>
        <v>16</v>
      </c>
      <c r="T4">
        <f t="shared" ca="1" si="5"/>
        <v>16</v>
      </c>
      <c r="U4">
        <f t="shared" ca="1" si="5"/>
        <v>0</v>
      </c>
      <c r="V4">
        <f t="shared" ca="1" si="5"/>
        <v>0</v>
      </c>
      <c r="W4">
        <f t="shared" ca="1" si="5"/>
        <v>16</v>
      </c>
      <c r="X4">
        <f t="shared" ca="1" si="5"/>
        <v>16</v>
      </c>
      <c r="Y4">
        <f t="shared" ca="1" si="5"/>
        <v>16</v>
      </c>
      <c r="Z4">
        <f t="shared" ca="1" si="5"/>
        <v>16</v>
      </c>
      <c r="AA4">
        <f t="shared" ca="1" si="5"/>
        <v>16</v>
      </c>
      <c r="AB4">
        <f t="shared" ca="1" si="5"/>
        <v>0</v>
      </c>
      <c r="AC4">
        <f t="shared" ca="1" si="5"/>
        <v>0</v>
      </c>
      <c r="AD4">
        <f t="shared" ca="1" si="5"/>
        <v>16</v>
      </c>
      <c r="AE4">
        <f t="shared" ca="1" si="5"/>
        <v>16</v>
      </c>
      <c r="AF4">
        <f t="shared" ca="1" si="5"/>
        <v>16</v>
      </c>
      <c r="AG4">
        <f t="shared" ca="1" si="5"/>
        <v>16</v>
      </c>
      <c r="AH4">
        <f t="shared" ca="1" si="5"/>
        <v>16</v>
      </c>
      <c r="AI4">
        <f t="shared" ca="1" si="5"/>
        <v>0</v>
      </c>
      <c r="AJ4">
        <f t="shared" ca="1" si="5"/>
        <v>0</v>
      </c>
      <c r="AK4">
        <f t="shared" ca="1" si="5"/>
        <v>16</v>
      </c>
      <c r="AL4">
        <f t="shared" ca="1" si="5"/>
        <v>16</v>
      </c>
      <c r="AM4">
        <f t="shared" ca="1" si="5"/>
        <v>16</v>
      </c>
      <c r="AN4">
        <f t="shared" ref="AN4:AS4" ca="1" si="6">IF(AND(AN2&gt;=2,AN2&lt;=6),16,0)</f>
        <v>16</v>
      </c>
      <c r="AO4">
        <f t="shared" ca="1" si="6"/>
        <v>16</v>
      </c>
      <c r="AP4">
        <f t="shared" ca="1" si="6"/>
        <v>0</v>
      </c>
      <c r="AQ4">
        <f t="shared" ca="1" si="6"/>
        <v>0</v>
      </c>
      <c r="AR4">
        <f t="shared" ca="1" si="6"/>
        <v>16</v>
      </c>
      <c r="AS4">
        <f t="shared" ca="1" si="6"/>
        <v>16</v>
      </c>
    </row>
    <row r="5" spans="1:45" x14ac:dyDescent="0.2">
      <c r="A5">
        <f>ROW()</f>
        <v>5</v>
      </c>
    </row>
    <row r="6" spans="1:45" x14ac:dyDescent="0.2">
      <c r="A6">
        <f>ROW()</f>
        <v>6</v>
      </c>
      <c r="B6" s="218" t="s">
        <v>3</v>
      </c>
      <c r="C6">
        <f>VLOOKUP(B6,'cash adhoc'!$A$3:$BM$12,65,FALSE)</f>
        <v>3</v>
      </c>
      <c r="D6" s="4" t="e">
        <f ca="1">HLOOKUP(D$1,'cash adhoc'!$A$1:$BK$12,Cash!$C6,FALSE)</f>
        <v>#N/A</v>
      </c>
      <c r="E6" s="4" t="e">
        <f ca="1">HLOOKUP(E$1,'cash adhoc'!$A$1:$BK$12,Cash!$C6,FALSE)</f>
        <v>#N/A</v>
      </c>
      <c r="F6" s="4" t="e">
        <f ca="1">HLOOKUP(F$1,'cash adhoc'!$A$1:$BK$12,Cash!$C6,FALSE)</f>
        <v>#N/A</v>
      </c>
      <c r="G6" s="4" t="e">
        <f ca="1">HLOOKUP(G$1,'cash adhoc'!$A$1:$BK$12,Cash!$C6,FALSE)</f>
        <v>#N/A</v>
      </c>
      <c r="H6" s="4" t="e">
        <f ca="1">HLOOKUP(H$1,'cash adhoc'!$A$1:$BK$12,Cash!$C6,FALSE)</f>
        <v>#N/A</v>
      </c>
      <c r="I6" s="4" t="e">
        <f ca="1">HLOOKUP(I$1,'cash adhoc'!$A$1:$BK$12,Cash!$C6,FALSE)</f>
        <v>#N/A</v>
      </c>
      <c r="J6" t="e">
        <f ca="1">HLOOKUP(J$1,'cash adhoc'!$A$1:$BK$12,Cash!$C6,FALSE)</f>
        <v>#N/A</v>
      </c>
      <c r="K6" t="e">
        <f ca="1">HLOOKUP(K$1,'cash adhoc'!$A$1:$BK$12,Cash!$C6,FALSE)</f>
        <v>#N/A</v>
      </c>
      <c r="L6" t="e">
        <f ca="1">HLOOKUP(L$1,'cash adhoc'!$A$1:$BK$12,Cash!$C6,FALSE)</f>
        <v>#N/A</v>
      </c>
      <c r="M6" t="e">
        <f ca="1">HLOOKUP(M$1,'cash adhoc'!$A$1:$BK$12,Cash!$C6,FALSE)</f>
        <v>#N/A</v>
      </c>
      <c r="N6" t="e">
        <f ca="1">HLOOKUP(N$1,'cash adhoc'!$A$1:$BK$12,Cash!$C6,FALSE)</f>
        <v>#N/A</v>
      </c>
      <c r="O6" t="e">
        <f ca="1">HLOOKUP(O$1,'cash adhoc'!$A$1:$BK$12,Cash!$C6,FALSE)</f>
        <v>#N/A</v>
      </c>
      <c r="P6" t="e">
        <f ca="1">HLOOKUP(P$1,'cash adhoc'!$A$1:$BK$12,Cash!$C6,FALSE)</f>
        <v>#N/A</v>
      </c>
      <c r="Q6" t="e">
        <f ca="1">HLOOKUP(Q$1,'cash adhoc'!$A$1:$BK$12,Cash!$C6,FALSE)</f>
        <v>#N/A</v>
      </c>
      <c r="R6" t="e">
        <f ca="1">HLOOKUP(R$1,'cash adhoc'!$A$1:$BK$12,Cash!$C6,FALSE)</f>
        <v>#N/A</v>
      </c>
      <c r="S6" t="e">
        <f ca="1">HLOOKUP(S$1,'cash adhoc'!$A$1:$BK$12,Cash!$C6,FALSE)</f>
        <v>#N/A</v>
      </c>
      <c r="T6" t="e">
        <f ca="1">HLOOKUP(T$1,'cash adhoc'!$A$1:$BK$12,Cash!$C6,FALSE)</f>
        <v>#N/A</v>
      </c>
      <c r="U6" t="e">
        <f ca="1">HLOOKUP(U$1,'cash adhoc'!$A$1:$BK$12,Cash!$C6,FALSE)</f>
        <v>#N/A</v>
      </c>
      <c r="V6" t="e">
        <f ca="1">HLOOKUP(V$1,'cash adhoc'!$A$1:$BK$12,Cash!$C6,FALSE)</f>
        <v>#N/A</v>
      </c>
      <c r="W6" t="e">
        <f ca="1">HLOOKUP(W$1,'cash adhoc'!$A$1:$BK$12,Cash!$C6,FALSE)</f>
        <v>#N/A</v>
      </c>
      <c r="X6" t="e">
        <f ca="1">HLOOKUP(X$1,'cash adhoc'!$A$1:$BK$12,Cash!$C6,FALSE)</f>
        <v>#N/A</v>
      </c>
      <c r="Y6" t="e">
        <f ca="1">HLOOKUP(Y$1,'cash adhoc'!$A$1:$BK$12,Cash!$C6,FALSE)</f>
        <v>#N/A</v>
      </c>
      <c r="Z6" t="e">
        <f ca="1">HLOOKUP(Z$1,'cash adhoc'!$A$1:$BK$12,Cash!$C6,FALSE)</f>
        <v>#N/A</v>
      </c>
      <c r="AA6" t="e">
        <f ca="1">HLOOKUP(AA$1,'cash adhoc'!$A$1:$BK$12,Cash!$C6,FALSE)</f>
        <v>#N/A</v>
      </c>
      <c r="AB6" t="e">
        <f ca="1">HLOOKUP(AB$1,'cash adhoc'!$A$1:$BK$12,Cash!$C6,FALSE)</f>
        <v>#N/A</v>
      </c>
      <c r="AC6" t="e">
        <f ca="1">HLOOKUP(AC$1,'cash adhoc'!$A$1:$BK$12,Cash!$C6,FALSE)</f>
        <v>#N/A</v>
      </c>
      <c r="AD6" t="e">
        <f ca="1">HLOOKUP(AD$1,'cash adhoc'!$A$1:$BK$12,Cash!$C6,FALSE)</f>
        <v>#N/A</v>
      </c>
      <c r="AE6" t="e">
        <f ca="1">HLOOKUP(AE$1,'cash adhoc'!$A$1:$BK$12,Cash!$C6,FALSE)</f>
        <v>#N/A</v>
      </c>
      <c r="AF6" t="e">
        <f ca="1">HLOOKUP(AF$1,'cash adhoc'!$A$1:$BK$12,Cash!$C6,FALSE)</f>
        <v>#N/A</v>
      </c>
      <c r="AG6" t="e">
        <f ca="1">HLOOKUP(AG$1,'cash adhoc'!$A$1:$BK$12,Cash!$C6,FALSE)</f>
        <v>#N/A</v>
      </c>
      <c r="AH6" t="e">
        <f ca="1">HLOOKUP(AH$1,'cash adhoc'!$A$1:$BK$12,Cash!$C6,FALSE)</f>
        <v>#N/A</v>
      </c>
      <c r="AI6" t="e">
        <f ca="1">HLOOKUP(AI$1,'cash adhoc'!$A$1:$BK$12,Cash!$C6,FALSE)</f>
        <v>#N/A</v>
      </c>
      <c r="AJ6" t="e">
        <f ca="1">HLOOKUP(AJ$1,'cash adhoc'!$A$1:$BK$12,Cash!$C6,FALSE)</f>
        <v>#N/A</v>
      </c>
      <c r="AK6" t="e">
        <f ca="1">HLOOKUP(AK$1,'cash adhoc'!$A$1:$BK$12,Cash!$C6,FALSE)</f>
        <v>#N/A</v>
      </c>
      <c r="AL6" t="e">
        <f ca="1">HLOOKUP(AL$1,'cash adhoc'!$A$1:$BK$12,Cash!$C6,FALSE)</f>
        <v>#N/A</v>
      </c>
      <c r="AM6" t="e">
        <f ca="1">HLOOKUP(AM$1,'cash adhoc'!$A$1:$BK$12,Cash!$C6,FALSE)</f>
        <v>#N/A</v>
      </c>
      <c r="AN6" t="e">
        <f ca="1">HLOOKUP(AN$1,'cash adhoc'!$A$1:$BK$12,Cash!$C6,FALSE)</f>
        <v>#N/A</v>
      </c>
      <c r="AO6" t="e">
        <f ca="1">HLOOKUP(AO$1,'cash adhoc'!$A$1:$BK$12,Cash!$C6,FALSE)</f>
        <v>#N/A</v>
      </c>
      <c r="AP6" t="e">
        <f ca="1">HLOOKUP(AP$1,'cash adhoc'!$A$1:$BK$12,Cash!$C6,FALSE)</f>
        <v>#N/A</v>
      </c>
      <c r="AQ6" t="e">
        <f ca="1">HLOOKUP(AQ$1,'cash adhoc'!$A$1:$BK$12,Cash!$C6,FALSE)</f>
        <v>#N/A</v>
      </c>
      <c r="AR6" t="e">
        <f ca="1">HLOOKUP(AR$1,'cash adhoc'!$A$1:$BK$12,Cash!$C6,FALSE)</f>
        <v>#N/A</v>
      </c>
      <c r="AS6" t="e">
        <f ca="1">HLOOKUP(AS$1,'cash adhoc'!$A$1:$BK$12,Cash!$C6,FALSE)</f>
        <v>#N/A</v>
      </c>
    </row>
    <row r="7" spans="1:45" x14ac:dyDescent="0.2">
      <c r="A7">
        <f>ROW()</f>
        <v>7</v>
      </c>
      <c r="B7" s="218" t="s">
        <v>26</v>
      </c>
      <c r="C7">
        <f>VLOOKUP(B7,'cash adhoc'!$A$3:$BM$12,65,FALSE)</f>
        <v>4</v>
      </c>
      <c r="D7" s="4" t="e">
        <f ca="1">HLOOKUP(D$1,'cash adhoc'!$A$1:$BK$12,Cash!$C7,FALSE)</f>
        <v>#N/A</v>
      </c>
      <c r="E7" s="4" t="e">
        <f ca="1">HLOOKUP(E$1,'cash adhoc'!$A$1:$BK$12,Cash!$C7,FALSE)</f>
        <v>#N/A</v>
      </c>
      <c r="F7" s="4" t="e">
        <f ca="1">HLOOKUP(F$1,'cash adhoc'!$A$1:$BK$12,Cash!$C7,FALSE)</f>
        <v>#N/A</v>
      </c>
      <c r="G7" s="4" t="e">
        <f ca="1">HLOOKUP(G$1,'cash adhoc'!$A$1:$BK$12,Cash!$C7,FALSE)</f>
        <v>#N/A</v>
      </c>
      <c r="H7" s="4" t="e">
        <f ca="1">HLOOKUP(H$1,'cash adhoc'!$A$1:$BK$12,Cash!$C7,FALSE)</f>
        <v>#N/A</v>
      </c>
      <c r="I7" s="4" t="e">
        <f ca="1">HLOOKUP(I$1,'cash adhoc'!$A$1:$BK$12,Cash!$C7,FALSE)</f>
        <v>#N/A</v>
      </c>
      <c r="J7" t="e">
        <f ca="1">HLOOKUP(J$1,'cash adhoc'!$A$1:$BK$12,Cash!$C7,FALSE)</f>
        <v>#N/A</v>
      </c>
      <c r="K7" t="e">
        <f ca="1">HLOOKUP(K$1,'cash adhoc'!$A$1:$BK$12,Cash!$C7,FALSE)</f>
        <v>#N/A</v>
      </c>
      <c r="L7" t="e">
        <f ca="1">HLOOKUP(L$1,'cash adhoc'!$A$1:$BK$12,Cash!$C7,FALSE)</f>
        <v>#N/A</v>
      </c>
      <c r="M7" t="e">
        <f ca="1">HLOOKUP(M$1,'cash adhoc'!$A$1:$BK$12,Cash!$C7,FALSE)</f>
        <v>#N/A</v>
      </c>
      <c r="N7" t="e">
        <f ca="1">HLOOKUP(N$1,'cash adhoc'!$A$1:$BK$12,Cash!$C7,FALSE)</f>
        <v>#N/A</v>
      </c>
      <c r="O7" t="e">
        <f ca="1">HLOOKUP(O$1,'cash adhoc'!$A$1:$BK$12,Cash!$C7,FALSE)</f>
        <v>#N/A</v>
      </c>
      <c r="P7" t="e">
        <f ca="1">HLOOKUP(P$1,'cash adhoc'!$A$1:$BK$12,Cash!$C7,FALSE)</f>
        <v>#N/A</v>
      </c>
      <c r="Q7" t="e">
        <f ca="1">HLOOKUP(Q$1,'cash adhoc'!$A$1:$BK$12,Cash!$C7,FALSE)</f>
        <v>#N/A</v>
      </c>
      <c r="R7" t="e">
        <f ca="1">HLOOKUP(R$1,'cash adhoc'!$A$1:$BK$12,Cash!$C7,FALSE)</f>
        <v>#N/A</v>
      </c>
      <c r="S7" t="e">
        <f ca="1">HLOOKUP(S$1,'cash adhoc'!$A$1:$BK$12,Cash!$C7,FALSE)</f>
        <v>#N/A</v>
      </c>
      <c r="T7" t="e">
        <f ca="1">HLOOKUP(T$1,'cash adhoc'!$A$1:$BK$12,Cash!$C7,FALSE)</f>
        <v>#N/A</v>
      </c>
      <c r="U7" t="e">
        <f ca="1">HLOOKUP(U$1,'cash adhoc'!$A$1:$BK$12,Cash!$C7,FALSE)</f>
        <v>#N/A</v>
      </c>
      <c r="V7" t="e">
        <f ca="1">HLOOKUP(V$1,'cash adhoc'!$A$1:$BK$12,Cash!$C7,FALSE)</f>
        <v>#N/A</v>
      </c>
      <c r="W7" t="e">
        <f ca="1">HLOOKUP(W$1,'cash adhoc'!$A$1:$BK$12,Cash!$C7,FALSE)</f>
        <v>#N/A</v>
      </c>
      <c r="X7" t="e">
        <f ca="1">HLOOKUP(X$1,'cash adhoc'!$A$1:$BK$12,Cash!$C7,FALSE)</f>
        <v>#N/A</v>
      </c>
      <c r="Y7" t="e">
        <f ca="1">HLOOKUP(Y$1,'cash adhoc'!$A$1:$BK$12,Cash!$C7,FALSE)</f>
        <v>#N/A</v>
      </c>
      <c r="Z7" t="e">
        <f ca="1">HLOOKUP(Z$1,'cash adhoc'!$A$1:$BK$12,Cash!$C7,FALSE)</f>
        <v>#N/A</v>
      </c>
      <c r="AA7" t="e">
        <f ca="1">HLOOKUP(AA$1,'cash adhoc'!$A$1:$BK$12,Cash!$C7,FALSE)</f>
        <v>#N/A</v>
      </c>
      <c r="AB7" t="e">
        <f ca="1">HLOOKUP(AB$1,'cash adhoc'!$A$1:$BK$12,Cash!$C7,FALSE)</f>
        <v>#N/A</v>
      </c>
      <c r="AC7" t="e">
        <f ca="1">HLOOKUP(AC$1,'cash adhoc'!$A$1:$BK$12,Cash!$C7,FALSE)</f>
        <v>#N/A</v>
      </c>
      <c r="AD7" t="e">
        <f ca="1">HLOOKUP(AD$1,'cash adhoc'!$A$1:$BK$12,Cash!$C7,FALSE)</f>
        <v>#N/A</v>
      </c>
      <c r="AE7" t="e">
        <f ca="1">HLOOKUP(AE$1,'cash adhoc'!$A$1:$BK$12,Cash!$C7,FALSE)</f>
        <v>#N/A</v>
      </c>
      <c r="AF7" t="e">
        <f ca="1">HLOOKUP(AF$1,'cash adhoc'!$A$1:$BK$12,Cash!$C7,FALSE)</f>
        <v>#N/A</v>
      </c>
      <c r="AG7" t="e">
        <f ca="1">HLOOKUP(AG$1,'cash adhoc'!$A$1:$BK$12,Cash!$C7,FALSE)</f>
        <v>#N/A</v>
      </c>
      <c r="AH7" t="e">
        <f ca="1">HLOOKUP(AH$1,'cash adhoc'!$A$1:$BK$12,Cash!$C7,FALSE)</f>
        <v>#N/A</v>
      </c>
      <c r="AI7" t="e">
        <f ca="1">HLOOKUP(AI$1,'cash adhoc'!$A$1:$BK$12,Cash!$C7,FALSE)</f>
        <v>#N/A</v>
      </c>
      <c r="AJ7" t="e">
        <f ca="1">HLOOKUP(AJ$1,'cash adhoc'!$A$1:$BK$12,Cash!$C7,FALSE)</f>
        <v>#N/A</v>
      </c>
      <c r="AK7" t="e">
        <f ca="1">HLOOKUP(AK$1,'cash adhoc'!$A$1:$BK$12,Cash!$C7,FALSE)</f>
        <v>#N/A</v>
      </c>
      <c r="AL7" t="e">
        <f ca="1">HLOOKUP(AL$1,'cash adhoc'!$A$1:$BK$12,Cash!$C7,FALSE)</f>
        <v>#N/A</v>
      </c>
      <c r="AM7" t="e">
        <f ca="1">HLOOKUP(AM$1,'cash adhoc'!$A$1:$BK$12,Cash!$C7,FALSE)</f>
        <v>#N/A</v>
      </c>
      <c r="AN7" t="e">
        <f ca="1">HLOOKUP(AN$1,'cash adhoc'!$A$1:$BK$12,Cash!$C7,FALSE)</f>
        <v>#N/A</v>
      </c>
      <c r="AO7" t="e">
        <f ca="1">HLOOKUP(AO$1,'cash adhoc'!$A$1:$BK$12,Cash!$C7,FALSE)</f>
        <v>#N/A</v>
      </c>
      <c r="AP7" t="e">
        <f ca="1">HLOOKUP(AP$1,'cash adhoc'!$A$1:$BK$12,Cash!$C7,FALSE)</f>
        <v>#N/A</v>
      </c>
      <c r="AQ7" t="e">
        <f ca="1">HLOOKUP(AQ$1,'cash adhoc'!$A$1:$BK$12,Cash!$C7,FALSE)</f>
        <v>#N/A</v>
      </c>
      <c r="AR7" t="e">
        <f ca="1">HLOOKUP(AR$1,'cash adhoc'!$A$1:$BK$12,Cash!$C7,FALSE)</f>
        <v>#N/A</v>
      </c>
      <c r="AS7" t="e">
        <f ca="1">HLOOKUP(AS$1,'cash adhoc'!$A$1:$BK$12,Cash!$C7,FALSE)</f>
        <v>#N/A</v>
      </c>
    </row>
    <row r="8" spans="1:45" x14ac:dyDescent="0.2">
      <c r="A8">
        <f>ROW()</f>
        <v>8</v>
      </c>
      <c r="B8" s="218" t="s">
        <v>6</v>
      </c>
      <c r="C8">
        <f>VLOOKUP(B8,'cash adhoc'!$A$3:$BM$12,65,FALSE)</f>
        <v>5</v>
      </c>
      <c r="D8" s="4" t="e">
        <f ca="1">HLOOKUP(D$1,'cash adhoc'!$A$1:$BK$12,Cash!$C8,FALSE)</f>
        <v>#N/A</v>
      </c>
      <c r="E8" s="4" t="e">
        <f ca="1">HLOOKUP(E$1,'cash adhoc'!$A$1:$BK$12,Cash!$C8,FALSE)</f>
        <v>#N/A</v>
      </c>
      <c r="F8" s="4" t="e">
        <f ca="1">HLOOKUP(F$1,'cash adhoc'!$A$1:$BK$12,Cash!$C8,FALSE)</f>
        <v>#N/A</v>
      </c>
      <c r="G8" s="4" t="e">
        <f ca="1">HLOOKUP(G$1,'cash adhoc'!$A$1:$BK$12,Cash!$C8,FALSE)</f>
        <v>#N/A</v>
      </c>
      <c r="H8" s="4" t="e">
        <f ca="1">HLOOKUP(H$1,'cash adhoc'!$A$1:$BK$12,Cash!$C8,FALSE)</f>
        <v>#N/A</v>
      </c>
      <c r="I8" s="4" t="e">
        <f ca="1">HLOOKUP(I$1,'cash adhoc'!$A$1:$BK$12,Cash!$C8,FALSE)</f>
        <v>#N/A</v>
      </c>
      <c r="J8" t="e">
        <f ca="1">HLOOKUP(J$1,'cash adhoc'!$A$1:$BK$12,Cash!$C8,FALSE)</f>
        <v>#N/A</v>
      </c>
      <c r="K8" t="e">
        <f ca="1">HLOOKUP(K$1,'cash adhoc'!$A$1:$BK$12,Cash!$C8,FALSE)</f>
        <v>#N/A</v>
      </c>
      <c r="L8" t="e">
        <f ca="1">HLOOKUP(L$1,'cash adhoc'!$A$1:$BK$12,Cash!$C8,FALSE)</f>
        <v>#N/A</v>
      </c>
      <c r="M8" t="e">
        <f ca="1">HLOOKUP(M$1,'cash adhoc'!$A$1:$BK$12,Cash!$C8,FALSE)</f>
        <v>#N/A</v>
      </c>
      <c r="N8" t="e">
        <f ca="1">HLOOKUP(N$1,'cash adhoc'!$A$1:$BK$12,Cash!$C8,FALSE)</f>
        <v>#N/A</v>
      </c>
      <c r="O8" t="e">
        <f ca="1">HLOOKUP(O$1,'cash adhoc'!$A$1:$BK$12,Cash!$C8,FALSE)</f>
        <v>#N/A</v>
      </c>
      <c r="P8" t="e">
        <f ca="1">HLOOKUP(P$1,'cash adhoc'!$A$1:$BK$12,Cash!$C8,FALSE)</f>
        <v>#N/A</v>
      </c>
      <c r="Q8" t="e">
        <f ca="1">HLOOKUP(Q$1,'cash adhoc'!$A$1:$BK$12,Cash!$C8,FALSE)</f>
        <v>#N/A</v>
      </c>
      <c r="R8" t="e">
        <f ca="1">HLOOKUP(R$1,'cash adhoc'!$A$1:$BK$12,Cash!$C8,FALSE)</f>
        <v>#N/A</v>
      </c>
      <c r="S8" t="e">
        <f ca="1">HLOOKUP(S$1,'cash adhoc'!$A$1:$BK$12,Cash!$C8,FALSE)</f>
        <v>#N/A</v>
      </c>
      <c r="T8" t="e">
        <f ca="1">HLOOKUP(T$1,'cash adhoc'!$A$1:$BK$12,Cash!$C8,FALSE)</f>
        <v>#N/A</v>
      </c>
      <c r="U8" t="e">
        <f ca="1">HLOOKUP(U$1,'cash adhoc'!$A$1:$BK$12,Cash!$C8,FALSE)</f>
        <v>#N/A</v>
      </c>
      <c r="V8" t="e">
        <f ca="1">HLOOKUP(V$1,'cash adhoc'!$A$1:$BK$12,Cash!$C8,FALSE)</f>
        <v>#N/A</v>
      </c>
      <c r="W8" t="e">
        <f ca="1">HLOOKUP(W$1,'cash adhoc'!$A$1:$BK$12,Cash!$C8,FALSE)</f>
        <v>#N/A</v>
      </c>
      <c r="X8" t="e">
        <f ca="1">HLOOKUP(X$1,'cash adhoc'!$A$1:$BK$12,Cash!$C8,FALSE)</f>
        <v>#N/A</v>
      </c>
      <c r="Y8" t="e">
        <f ca="1">HLOOKUP(Y$1,'cash adhoc'!$A$1:$BK$12,Cash!$C8,FALSE)</f>
        <v>#N/A</v>
      </c>
      <c r="Z8" t="e">
        <f ca="1">HLOOKUP(Z$1,'cash adhoc'!$A$1:$BK$12,Cash!$C8,FALSE)</f>
        <v>#N/A</v>
      </c>
      <c r="AA8" t="e">
        <f ca="1">HLOOKUP(AA$1,'cash adhoc'!$A$1:$BK$12,Cash!$C8,FALSE)</f>
        <v>#N/A</v>
      </c>
      <c r="AB8" t="e">
        <f ca="1">HLOOKUP(AB$1,'cash adhoc'!$A$1:$BK$12,Cash!$C8,FALSE)</f>
        <v>#N/A</v>
      </c>
      <c r="AC8" t="e">
        <f ca="1">HLOOKUP(AC$1,'cash adhoc'!$A$1:$BK$12,Cash!$C8,FALSE)</f>
        <v>#N/A</v>
      </c>
      <c r="AD8" t="e">
        <f ca="1">HLOOKUP(AD$1,'cash adhoc'!$A$1:$BK$12,Cash!$C8,FALSE)</f>
        <v>#N/A</v>
      </c>
      <c r="AE8" t="e">
        <f ca="1">HLOOKUP(AE$1,'cash adhoc'!$A$1:$BK$12,Cash!$C8,FALSE)</f>
        <v>#N/A</v>
      </c>
      <c r="AF8" t="e">
        <f ca="1">HLOOKUP(AF$1,'cash adhoc'!$A$1:$BK$12,Cash!$C8,FALSE)</f>
        <v>#N/A</v>
      </c>
      <c r="AG8" t="e">
        <f ca="1">HLOOKUP(AG$1,'cash adhoc'!$A$1:$BK$12,Cash!$C8,FALSE)</f>
        <v>#N/A</v>
      </c>
      <c r="AH8" t="e">
        <f ca="1">HLOOKUP(AH$1,'cash adhoc'!$A$1:$BK$12,Cash!$C8,FALSE)</f>
        <v>#N/A</v>
      </c>
      <c r="AI8" t="e">
        <f ca="1">HLOOKUP(AI$1,'cash adhoc'!$A$1:$BK$12,Cash!$C8,FALSE)</f>
        <v>#N/A</v>
      </c>
      <c r="AJ8" t="e">
        <f ca="1">HLOOKUP(AJ$1,'cash adhoc'!$A$1:$BK$12,Cash!$C8,FALSE)</f>
        <v>#N/A</v>
      </c>
      <c r="AK8" t="e">
        <f ca="1">HLOOKUP(AK$1,'cash adhoc'!$A$1:$BK$12,Cash!$C8,FALSE)</f>
        <v>#N/A</v>
      </c>
      <c r="AL8" t="e">
        <f ca="1">HLOOKUP(AL$1,'cash adhoc'!$A$1:$BK$12,Cash!$C8,FALSE)</f>
        <v>#N/A</v>
      </c>
      <c r="AM8" t="e">
        <f ca="1">HLOOKUP(AM$1,'cash adhoc'!$A$1:$BK$12,Cash!$C8,FALSE)</f>
        <v>#N/A</v>
      </c>
      <c r="AN8" t="e">
        <f ca="1">HLOOKUP(AN$1,'cash adhoc'!$A$1:$BK$12,Cash!$C8,FALSE)</f>
        <v>#N/A</v>
      </c>
      <c r="AO8" t="e">
        <f ca="1">HLOOKUP(AO$1,'cash adhoc'!$A$1:$BK$12,Cash!$C8,FALSE)</f>
        <v>#N/A</v>
      </c>
      <c r="AP8" t="e">
        <f ca="1">HLOOKUP(AP$1,'cash adhoc'!$A$1:$BK$12,Cash!$C8,FALSE)</f>
        <v>#N/A</v>
      </c>
      <c r="AQ8" t="e">
        <f ca="1">HLOOKUP(AQ$1,'cash adhoc'!$A$1:$BK$12,Cash!$C8,FALSE)</f>
        <v>#N/A</v>
      </c>
      <c r="AR8" t="e">
        <f ca="1">HLOOKUP(AR$1,'cash adhoc'!$A$1:$BK$12,Cash!$C8,FALSE)</f>
        <v>#N/A</v>
      </c>
      <c r="AS8" t="e">
        <f ca="1">HLOOKUP(AS$1,'cash adhoc'!$A$1:$BK$12,Cash!$C8,FALSE)</f>
        <v>#N/A</v>
      </c>
    </row>
    <row r="9" spans="1:45" x14ac:dyDescent="0.2">
      <c r="A9">
        <f>ROW()</f>
        <v>9</v>
      </c>
      <c r="B9" s="218" t="s">
        <v>7</v>
      </c>
      <c r="C9">
        <f>VLOOKUP(B9,'cash adhoc'!$A$3:$BM$12,65,FALSE)</f>
        <v>6</v>
      </c>
      <c r="D9" s="4" t="e">
        <f ca="1">HLOOKUP(D$1,'cash adhoc'!$A$1:$BK$12,Cash!$C9,FALSE)</f>
        <v>#N/A</v>
      </c>
      <c r="E9" s="4" t="e">
        <f ca="1">HLOOKUP(E$1,'cash adhoc'!$A$1:$BK$12,Cash!$C9,FALSE)</f>
        <v>#N/A</v>
      </c>
      <c r="F9" s="4" t="e">
        <f ca="1">HLOOKUP(F$1,'cash adhoc'!$A$1:$BK$12,Cash!$C9,FALSE)</f>
        <v>#N/A</v>
      </c>
      <c r="G9" s="4" t="e">
        <f ca="1">HLOOKUP(G$1,'cash adhoc'!$A$1:$BK$12,Cash!$C9,FALSE)</f>
        <v>#N/A</v>
      </c>
      <c r="H9" s="4" t="e">
        <f ca="1">HLOOKUP(H$1,'cash adhoc'!$A$1:$BK$12,Cash!$C9,FALSE)</f>
        <v>#N/A</v>
      </c>
      <c r="I9" s="4" t="e">
        <f ca="1">HLOOKUP(I$1,'cash adhoc'!$A$1:$BK$12,Cash!$C9,FALSE)</f>
        <v>#N/A</v>
      </c>
      <c r="J9" t="e">
        <f ca="1">HLOOKUP(J$1,'cash adhoc'!$A$1:$BK$12,Cash!$C9,FALSE)</f>
        <v>#N/A</v>
      </c>
      <c r="K9" t="e">
        <f ca="1">HLOOKUP(K$1,'cash adhoc'!$A$1:$BK$12,Cash!$C9,FALSE)</f>
        <v>#N/A</v>
      </c>
      <c r="L9" t="e">
        <f ca="1">HLOOKUP(L$1,'cash adhoc'!$A$1:$BK$12,Cash!$C9,FALSE)</f>
        <v>#N/A</v>
      </c>
      <c r="M9" t="e">
        <f ca="1">HLOOKUP(M$1,'cash adhoc'!$A$1:$BK$12,Cash!$C9,FALSE)</f>
        <v>#N/A</v>
      </c>
      <c r="N9" t="e">
        <f ca="1">HLOOKUP(N$1,'cash adhoc'!$A$1:$BK$12,Cash!$C9,FALSE)</f>
        <v>#N/A</v>
      </c>
      <c r="O9" t="e">
        <f ca="1">HLOOKUP(O$1,'cash adhoc'!$A$1:$BK$12,Cash!$C9,FALSE)</f>
        <v>#N/A</v>
      </c>
      <c r="P9" t="e">
        <f ca="1">HLOOKUP(P$1,'cash adhoc'!$A$1:$BK$12,Cash!$C9,FALSE)</f>
        <v>#N/A</v>
      </c>
      <c r="Q9" t="e">
        <f ca="1">HLOOKUP(Q$1,'cash adhoc'!$A$1:$BK$12,Cash!$C9,FALSE)</f>
        <v>#N/A</v>
      </c>
      <c r="R9" t="e">
        <f ca="1">HLOOKUP(R$1,'cash adhoc'!$A$1:$BK$12,Cash!$C9,FALSE)</f>
        <v>#N/A</v>
      </c>
      <c r="S9" t="e">
        <f ca="1">HLOOKUP(S$1,'cash adhoc'!$A$1:$BK$12,Cash!$C9,FALSE)</f>
        <v>#N/A</v>
      </c>
      <c r="T9" t="e">
        <f ca="1">HLOOKUP(T$1,'cash adhoc'!$A$1:$BK$12,Cash!$C9,FALSE)</f>
        <v>#N/A</v>
      </c>
      <c r="U9" t="e">
        <f ca="1">HLOOKUP(U$1,'cash adhoc'!$A$1:$BK$12,Cash!$C9,FALSE)</f>
        <v>#N/A</v>
      </c>
      <c r="V9" t="e">
        <f ca="1">HLOOKUP(V$1,'cash adhoc'!$A$1:$BK$12,Cash!$C9,FALSE)</f>
        <v>#N/A</v>
      </c>
      <c r="W9" t="e">
        <f ca="1">HLOOKUP(W$1,'cash adhoc'!$A$1:$BK$12,Cash!$C9,FALSE)</f>
        <v>#N/A</v>
      </c>
      <c r="X9" t="e">
        <f ca="1">HLOOKUP(X$1,'cash adhoc'!$A$1:$BK$12,Cash!$C9,FALSE)</f>
        <v>#N/A</v>
      </c>
      <c r="Y9" t="e">
        <f ca="1">HLOOKUP(Y$1,'cash adhoc'!$A$1:$BK$12,Cash!$C9,FALSE)</f>
        <v>#N/A</v>
      </c>
      <c r="Z9" t="e">
        <f ca="1">HLOOKUP(Z$1,'cash adhoc'!$A$1:$BK$12,Cash!$C9,FALSE)</f>
        <v>#N/A</v>
      </c>
      <c r="AA9" t="e">
        <f ca="1">HLOOKUP(AA$1,'cash adhoc'!$A$1:$BK$12,Cash!$C9,FALSE)</f>
        <v>#N/A</v>
      </c>
      <c r="AB9" t="e">
        <f ca="1">HLOOKUP(AB$1,'cash adhoc'!$A$1:$BK$12,Cash!$C9,FALSE)</f>
        <v>#N/A</v>
      </c>
      <c r="AC9" t="e">
        <f ca="1">HLOOKUP(AC$1,'cash adhoc'!$A$1:$BK$12,Cash!$C9,FALSE)</f>
        <v>#N/A</v>
      </c>
      <c r="AD9" t="e">
        <f ca="1">HLOOKUP(AD$1,'cash adhoc'!$A$1:$BK$12,Cash!$C9,FALSE)</f>
        <v>#N/A</v>
      </c>
      <c r="AE9" t="e">
        <f ca="1">HLOOKUP(AE$1,'cash adhoc'!$A$1:$BK$12,Cash!$C9,FALSE)</f>
        <v>#N/A</v>
      </c>
      <c r="AF9" t="e">
        <f ca="1">HLOOKUP(AF$1,'cash adhoc'!$A$1:$BK$12,Cash!$C9,FALSE)</f>
        <v>#N/A</v>
      </c>
      <c r="AG9" t="e">
        <f ca="1">HLOOKUP(AG$1,'cash adhoc'!$A$1:$BK$12,Cash!$C9,FALSE)</f>
        <v>#N/A</v>
      </c>
      <c r="AH9" t="e">
        <f ca="1">HLOOKUP(AH$1,'cash adhoc'!$A$1:$BK$12,Cash!$C9,FALSE)</f>
        <v>#N/A</v>
      </c>
      <c r="AI9" t="e">
        <f ca="1">HLOOKUP(AI$1,'cash adhoc'!$A$1:$BK$12,Cash!$C9,FALSE)</f>
        <v>#N/A</v>
      </c>
      <c r="AJ9" t="e">
        <f ca="1">HLOOKUP(AJ$1,'cash adhoc'!$A$1:$BK$12,Cash!$C9,FALSE)</f>
        <v>#N/A</v>
      </c>
      <c r="AK9" t="e">
        <f ca="1">HLOOKUP(AK$1,'cash adhoc'!$A$1:$BK$12,Cash!$C9,FALSE)</f>
        <v>#N/A</v>
      </c>
      <c r="AL9" t="e">
        <f ca="1">HLOOKUP(AL$1,'cash adhoc'!$A$1:$BK$12,Cash!$C9,FALSE)</f>
        <v>#N/A</v>
      </c>
      <c r="AM9" t="e">
        <f ca="1">HLOOKUP(AM$1,'cash adhoc'!$A$1:$BK$12,Cash!$C9,FALSE)</f>
        <v>#N/A</v>
      </c>
      <c r="AN9" t="e">
        <f ca="1">HLOOKUP(AN$1,'cash adhoc'!$A$1:$BK$12,Cash!$C9,FALSE)</f>
        <v>#N/A</v>
      </c>
      <c r="AO9" t="e">
        <f ca="1">HLOOKUP(AO$1,'cash adhoc'!$A$1:$BK$12,Cash!$C9,FALSE)</f>
        <v>#N/A</v>
      </c>
      <c r="AP9" t="e">
        <f ca="1">HLOOKUP(AP$1,'cash adhoc'!$A$1:$BK$12,Cash!$C9,FALSE)</f>
        <v>#N/A</v>
      </c>
      <c r="AQ9" t="e">
        <f ca="1">HLOOKUP(AQ$1,'cash adhoc'!$A$1:$BK$12,Cash!$C9,FALSE)</f>
        <v>#N/A</v>
      </c>
      <c r="AR9" t="e">
        <f ca="1">HLOOKUP(AR$1,'cash adhoc'!$A$1:$BK$12,Cash!$C9,FALSE)</f>
        <v>#N/A</v>
      </c>
      <c r="AS9" t="e">
        <f ca="1">HLOOKUP(AS$1,'cash adhoc'!$A$1:$BK$12,Cash!$C9,FALSE)</f>
        <v>#N/A</v>
      </c>
    </row>
    <row r="10" spans="1:45" x14ac:dyDescent="0.2">
      <c r="A10">
        <f>ROW()</f>
        <v>10</v>
      </c>
      <c r="B10" s="218" t="s">
        <v>9</v>
      </c>
      <c r="C10">
        <f>VLOOKUP(B10,'cash adhoc'!$A$3:$BM$12,65,FALSE)</f>
        <v>7</v>
      </c>
      <c r="D10" s="4" t="e">
        <f ca="1">HLOOKUP(D$1,'cash adhoc'!$A$1:$BK$12,Cash!$C10,FALSE)</f>
        <v>#N/A</v>
      </c>
      <c r="E10" s="4" t="e">
        <f ca="1">HLOOKUP(E$1,'cash adhoc'!$A$1:$BK$12,Cash!$C10,FALSE)</f>
        <v>#N/A</v>
      </c>
      <c r="F10" s="4" t="e">
        <f ca="1">HLOOKUP(F$1,'cash adhoc'!$A$1:$BK$12,Cash!$C10,FALSE)</f>
        <v>#N/A</v>
      </c>
      <c r="G10" s="4" t="e">
        <f ca="1">HLOOKUP(G$1,'cash adhoc'!$A$1:$BK$12,Cash!$C10,FALSE)</f>
        <v>#N/A</v>
      </c>
      <c r="H10" s="4" t="e">
        <f ca="1">HLOOKUP(H$1,'cash adhoc'!$A$1:$BK$12,Cash!$C10,FALSE)</f>
        <v>#N/A</v>
      </c>
      <c r="I10" s="4" t="e">
        <f ca="1">HLOOKUP(I$1,'cash adhoc'!$A$1:$BK$12,Cash!$C10,FALSE)</f>
        <v>#N/A</v>
      </c>
      <c r="J10" t="e">
        <f ca="1">HLOOKUP(J$1,'cash adhoc'!$A$1:$BK$12,Cash!$C10,FALSE)</f>
        <v>#N/A</v>
      </c>
      <c r="K10" t="e">
        <f ca="1">HLOOKUP(K$1,'cash adhoc'!$A$1:$BK$12,Cash!$C10,FALSE)</f>
        <v>#N/A</v>
      </c>
      <c r="L10" t="e">
        <f ca="1">HLOOKUP(L$1,'cash adhoc'!$A$1:$BK$12,Cash!$C10,FALSE)</f>
        <v>#N/A</v>
      </c>
      <c r="M10" t="e">
        <f ca="1">HLOOKUP(M$1,'cash adhoc'!$A$1:$BK$12,Cash!$C10,FALSE)</f>
        <v>#N/A</v>
      </c>
      <c r="N10" t="e">
        <f ca="1">HLOOKUP(N$1,'cash adhoc'!$A$1:$BK$12,Cash!$C10,FALSE)</f>
        <v>#N/A</v>
      </c>
      <c r="O10" t="e">
        <f ca="1">HLOOKUP(O$1,'cash adhoc'!$A$1:$BK$12,Cash!$C10,FALSE)</f>
        <v>#N/A</v>
      </c>
      <c r="P10" t="e">
        <f ca="1">HLOOKUP(P$1,'cash adhoc'!$A$1:$BK$12,Cash!$C10,FALSE)</f>
        <v>#N/A</v>
      </c>
      <c r="Q10" t="e">
        <f ca="1">HLOOKUP(Q$1,'cash adhoc'!$A$1:$BK$12,Cash!$C10,FALSE)</f>
        <v>#N/A</v>
      </c>
      <c r="R10" t="e">
        <f ca="1">HLOOKUP(R$1,'cash adhoc'!$A$1:$BK$12,Cash!$C10,FALSE)</f>
        <v>#N/A</v>
      </c>
      <c r="S10" t="e">
        <f ca="1">HLOOKUP(S$1,'cash adhoc'!$A$1:$BK$12,Cash!$C10,FALSE)</f>
        <v>#N/A</v>
      </c>
      <c r="T10" t="e">
        <f ca="1">HLOOKUP(T$1,'cash adhoc'!$A$1:$BK$12,Cash!$C10,FALSE)</f>
        <v>#N/A</v>
      </c>
      <c r="U10" t="e">
        <f ca="1">HLOOKUP(U$1,'cash adhoc'!$A$1:$BK$12,Cash!$C10,FALSE)</f>
        <v>#N/A</v>
      </c>
      <c r="V10" t="e">
        <f ca="1">HLOOKUP(V$1,'cash adhoc'!$A$1:$BK$12,Cash!$C10,FALSE)</f>
        <v>#N/A</v>
      </c>
      <c r="W10" t="e">
        <f ca="1">HLOOKUP(W$1,'cash adhoc'!$A$1:$BK$12,Cash!$C10,FALSE)</f>
        <v>#N/A</v>
      </c>
      <c r="X10" t="e">
        <f ca="1">HLOOKUP(X$1,'cash adhoc'!$A$1:$BK$12,Cash!$C10,FALSE)</f>
        <v>#N/A</v>
      </c>
      <c r="Y10" t="e">
        <f ca="1">HLOOKUP(Y$1,'cash adhoc'!$A$1:$BK$12,Cash!$C10,FALSE)</f>
        <v>#N/A</v>
      </c>
      <c r="Z10" t="e">
        <f ca="1">HLOOKUP(Z$1,'cash adhoc'!$A$1:$BK$12,Cash!$C10,FALSE)</f>
        <v>#N/A</v>
      </c>
      <c r="AA10" t="e">
        <f ca="1">HLOOKUP(AA$1,'cash adhoc'!$A$1:$BK$12,Cash!$C10,FALSE)</f>
        <v>#N/A</v>
      </c>
      <c r="AB10" t="e">
        <f ca="1">HLOOKUP(AB$1,'cash adhoc'!$A$1:$BK$12,Cash!$C10,FALSE)</f>
        <v>#N/A</v>
      </c>
      <c r="AC10" t="e">
        <f ca="1">HLOOKUP(AC$1,'cash adhoc'!$A$1:$BK$12,Cash!$C10,FALSE)</f>
        <v>#N/A</v>
      </c>
      <c r="AD10" t="e">
        <f ca="1">HLOOKUP(AD$1,'cash adhoc'!$A$1:$BK$12,Cash!$C10,FALSE)</f>
        <v>#N/A</v>
      </c>
      <c r="AE10" t="e">
        <f ca="1">HLOOKUP(AE$1,'cash adhoc'!$A$1:$BK$12,Cash!$C10,FALSE)</f>
        <v>#N/A</v>
      </c>
      <c r="AF10" t="e">
        <f ca="1">HLOOKUP(AF$1,'cash adhoc'!$A$1:$BK$12,Cash!$C10,FALSE)</f>
        <v>#N/A</v>
      </c>
      <c r="AG10" t="e">
        <f ca="1">HLOOKUP(AG$1,'cash adhoc'!$A$1:$BK$12,Cash!$C10,FALSE)</f>
        <v>#N/A</v>
      </c>
      <c r="AH10" t="e">
        <f ca="1">HLOOKUP(AH$1,'cash adhoc'!$A$1:$BK$12,Cash!$C10,FALSE)</f>
        <v>#N/A</v>
      </c>
      <c r="AI10" t="e">
        <f ca="1">HLOOKUP(AI$1,'cash adhoc'!$A$1:$BK$12,Cash!$C10,FALSE)</f>
        <v>#N/A</v>
      </c>
      <c r="AJ10" t="e">
        <f ca="1">HLOOKUP(AJ$1,'cash adhoc'!$A$1:$BK$12,Cash!$C10,FALSE)</f>
        <v>#N/A</v>
      </c>
      <c r="AK10" t="e">
        <f ca="1">HLOOKUP(AK$1,'cash adhoc'!$A$1:$BK$12,Cash!$C10,FALSE)</f>
        <v>#N/A</v>
      </c>
      <c r="AL10" t="e">
        <f ca="1">HLOOKUP(AL$1,'cash adhoc'!$A$1:$BK$12,Cash!$C10,FALSE)</f>
        <v>#N/A</v>
      </c>
      <c r="AM10" t="e">
        <f ca="1">HLOOKUP(AM$1,'cash adhoc'!$A$1:$BK$12,Cash!$C10,FALSE)</f>
        <v>#N/A</v>
      </c>
      <c r="AN10" t="e">
        <f ca="1">HLOOKUP(AN$1,'cash adhoc'!$A$1:$BK$12,Cash!$C10,FALSE)</f>
        <v>#N/A</v>
      </c>
      <c r="AO10" t="e">
        <f ca="1">HLOOKUP(AO$1,'cash adhoc'!$A$1:$BK$12,Cash!$C10,FALSE)</f>
        <v>#N/A</v>
      </c>
      <c r="AP10" t="e">
        <f ca="1">HLOOKUP(AP$1,'cash adhoc'!$A$1:$BK$12,Cash!$C10,FALSE)</f>
        <v>#N/A</v>
      </c>
      <c r="AQ10" t="e">
        <f ca="1">HLOOKUP(AQ$1,'cash adhoc'!$A$1:$BK$12,Cash!$C10,FALSE)</f>
        <v>#N/A</v>
      </c>
      <c r="AR10" t="e">
        <f ca="1">HLOOKUP(AR$1,'cash adhoc'!$A$1:$BK$12,Cash!$C10,FALSE)</f>
        <v>#N/A</v>
      </c>
      <c r="AS10" t="e">
        <f ca="1">HLOOKUP(AS$1,'cash adhoc'!$A$1:$BK$12,Cash!$C10,FALSE)</f>
        <v>#N/A</v>
      </c>
    </row>
    <row r="11" spans="1:45" x14ac:dyDescent="0.2">
      <c r="A11">
        <f>ROW()</f>
        <v>11</v>
      </c>
      <c r="B11" s="218" t="s">
        <v>113</v>
      </c>
      <c r="C11">
        <f>VLOOKUP(B11,'cash adhoc'!$A$3:$BM$12,65,FALSE)</f>
        <v>8</v>
      </c>
      <c r="D11" s="4" t="e">
        <f ca="1">HLOOKUP(D$1,'cash adhoc'!$A$1:$BK$12,Cash!$C11,FALSE)</f>
        <v>#N/A</v>
      </c>
      <c r="E11" s="4" t="e">
        <f ca="1">HLOOKUP(E$1,'cash adhoc'!$A$1:$BK$12,Cash!$C11,FALSE)</f>
        <v>#N/A</v>
      </c>
      <c r="F11" s="4" t="e">
        <f ca="1">HLOOKUP(F$1,'cash adhoc'!$A$1:$BK$12,Cash!$C11,FALSE)</f>
        <v>#N/A</v>
      </c>
      <c r="G11" s="4" t="e">
        <f ca="1">HLOOKUP(G$1,'cash adhoc'!$A$1:$BK$12,Cash!$C11,FALSE)</f>
        <v>#N/A</v>
      </c>
      <c r="H11" s="4" t="e">
        <f ca="1">HLOOKUP(H$1,'cash adhoc'!$A$1:$BK$12,Cash!$C11,FALSE)</f>
        <v>#N/A</v>
      </c>
      <c r="I11" s="4" t="e">
        <f ca="1">HLOOKUP(I$1,'cash adhoc'!$A$1:$BK$12,Cash!$C11,FALSE)</f>
        <v>#N/A</v>
      </c>
      <c r="J11" t="e">
        <f ca="1">HLOOKUP(J$1,'cash adhoc'!$A$1:$BK$12,Cash!$C11,FALSE)</f>
        <v>#N/A</v>
      </c>
      <c r="K11" t="e">
        <f ca="1">HLOOKUP(K$1,'cash adhoc'!$A$1:$BK$12,Cash!$C11,FALSE)</f>
        <v>#N/A</v>
      </c>
      <c r="L11" t="e">
        <f ca="1">HLOOKUP(L$1,'cash adhoc'!$A$1:$BK$12,Cash!$C11,FALSE)</f>
        <v>#N/A</v>
      </c>
      <c r="M11" t="e">
        <f ca="1">HLOOKUP(M$1,'cash adhoc'!$A$1:$BK$12,Cash!$C11,FALSE)</f>
        <v>#N/A</v>
      </c>
      <c r="N11" t="e">
        <f ca="1">HLOOKUP(N$1,'cash adhoc'!$A$1:$BK$12,Cash!$C11,FALSE)</f>
        <v>#N/A</v>
      </c>
      <c r="O11" t="e">
        <f ca="1">HLOOKUP(O$1,'cash adhoc'!$A$1:$BK$12,Cash!$C11,FALSE)</f>
        <v>#N/A</v>
      </c>
      <c r="P11" t="e">
        <f ca="1">HLOOKUP(P$1,'cash adhoc'!$A$1:$BK$12,Cash!$C11,FALSE)</f>
        <v>#N/A</v>
      </c>
      <c r="Q11" t="e">
        <f ca="1">HLOOKUP(Q$1,'cash adhoc'!$A$1:$BK$12,Cash!$C11,FALSE)</f>
        <v>#N/A</v>
      </c>
      <c r="R11" t="e">
        <f ca="1">HLOOKUP(R$1,'cash adhoc'!$A$1:$BK$12,Cash!$C11,FALSE)</f>
        <v>#N/A</v>
      </c>
      <c r="S11" t="e">
        <f ca="1">HLOOKUP(S$1,'cash adhoc'!$A$1:$BK$12,Cash!$C11,FALSE)</f>
        <v>#N/A</v>
      </c>
      <c r="T11" t="e">
        <f ca="1">HLOOKUP(T$1,'cash adhoc'!$A$1:$BK$12,Cash!$C11,FALSE)</f>
        <v>#N/A</v>
      </c>
      <c r="U11" t="e">
        <f ca="1">HLOOKUP(U$1,'cash adhoc'!$A$1:$BK$12,Cash!$C11,FALSE)</f>
        <v>#N/A</v>
      </c>
      <c r="V11" t="e">
        <f ca="1">HLOOKUP(V$1,'cash adhoc'!$A$1:$BK$12,Cash!$C11,FALSE)</f>
        <v>#N/A</v>
      </c>
      <c r="W11" t="e">
        <f ca="1">HLOOKUP(W$1,'cash adhoc'!$A$1:$BK$12,Cash!$C11,FALSE)</f>
        <v>#N/A</v>
      </c>
      <c r="X11" t="e">
        <f ca="1">HLOOKUP(X$1,'cash adhoc'!$A$1:$BK$12,Cash!$C11,FALSE)</f>
        <v>#N/A</v>
      </c>
      <c r="Y11" t="e">
        <f ca="1">HLOOKUP(Y$1,'cash adhoc'!$A$1:$BK$12,Cash!$C11,FALSE)</f>
        <v>#N/A</v>
      </c>
      <c r="Z11" t="e">
        <f ca="1">HLOOKUP(Z$1,'cash adhoc'!$A$1:$BK$12,Cash!$C11,FALSE)</f>
        <v>#N/A</v>
      </c>
      <c r="AA11" t="e">
        <f ca="1">HLOOKUP(AA$1,'cash adhoc'!$A$1:$BK$12,Cash!$C11,FALSE)</f>
        <v>#N/A</v>
      </c>
      <c r="AB11" t="e">
        <f ca="1">HLOOKUP(AB$1,'cash adhoc'!$A$1:$BK$12,Cash!$C11,FALSE)</f>
        <v>#N/A</v>
      </c>
      <c r="AC11" t="e">
        <f ca="1">HLOOKUP(AC$1,'cash adhoc'!$A$1:$BK$12,Cash!$C11,FALSE)</f>
        <v>#N/A</v>
      </c>
      <c r="AD11" t="e">
        <f ca="1">HLOOKUP(AD$1,'cash adhoc'!$A$1:$BK$12,Cash!$C11,FALSE)</f>
        <v>#N/A</v>
      </c>
      <c r="AE11" t="e">
        <f ca="1">HLOOKUP(AE$1,'cash adhoc'!$A$1:$BK$12,Cash!$C11,FALSE)</f>
        <v>#N/A</v>
      </c>
      <c r="AF11" t="e">
        <f ca="1">HLOOKUP(AF$1,'cash adhoc'!$A$1:$BK$12,Cash!$C11,FALSE)</f>
        <v>#N/A</v>
      </c>
      <c r="AG11" t="e">
        <f ca="1">HLOOKUP(AG$1,'cash adhoc'!$A$1:$BK$12,Cash!$C11,FALSE)</f>
        <v>#N/A</v>
      </c>
      <c r="AH11" t="e">
        <f ca="1">HLOOKUP(AH$1,'cash adhoc'!$A$1:$BK$12,Cash!$C11,FALSE)</f>
        <v>#N/A</v>
      </c>
      <c r="AI11" t="e">
        <f ca="1">HLOOKUP(AI$1,'cash adhoc'!$A$1:$BK$12,Cash!$C11,FALSE)</f>
        <v>#N/A</v>
      </c>
      <c r="AJ11" t="e">
        <f ca="1">HLOOKUP(AJ$1,'cash adhoc'!$A$1:$BK$12,Cash!$C11,FALSE)</f>
        <v>#N/A</v>
      </c>
      <c r="AK11" t="e">
        <f ca="1">HLOOKUP(AK$1,'cash adhoc'!$A$1:$BK$12,Cash!$C11,FALSE)</f>
        <v>#N/A</v>
      </c>
      <c r="AL11" t="e">
        <f ca="1">HLOOKUP(AL$1,'cash adhoc'!$A$1:$BK$12,Cash!$C11,FALSE)</f>
        <v>#N/A</v>
      </c>
      <c r="AM11" t="e">
        <f ca="1">HLOOKUP(AM$1,'cash adhoc'!$A$1:$BK$12,Cash!$C11,FALSE)</f>
        <v>#N/A</v>
      </c>
      <c r="AN11" t="e">
        <f ca="1">HLOOKUP(AN$1,'cash adhoc'!$A$1:$BK$12,Cash!$C11,FALSE)</f>
        <v>#N/A</v>
      </c>
      <c r="AO11" t="e">
        <f ca="1">HLOOKUP(AO$1,'cash adhoc'!$A$1:$BK$12,Cash!$C11,FALSE)</f>
        <v>#N/A</v>
      </c>
      <c r="AP11" t="e">
        <f ca="1">HLOOKUP(AP$1,'cash adhoc'!$A$1:$BK$12,Cash!$C11,FALSE)</f>
        <v>#N/A</v>
      </c>
      <c r="AQ11" t="e">
        <f ca="1">HLOOKUP(AQ$1,'cash adhoc'!$A$1:$BK$12,Cash!$C11,FALSE)</f>
        <v>#N/A</v>
      </c>
      <c r="AR11" t="e">
        <f ca="1">HLOOKUP(AR$1,'cash adhoc'!$A$1:$BK$12,Cash!$C11,FALSE)</f>
        <v>#N/A</v>
      </c>
      <c r="AS11" t="e">
        <f ca="1">HLOOKUP(AS$1,'cash adhoc'!$A$1:$BK$12,Cash!$C11,FALSE)</f>
        <v>#N/A</v>
      </c>
    </row>
    <row r="12" spans="1:45" x14ac:dyDescent="0.2">
      <c r="A12">
        <f>ROW()</f>
        <v>12</v>
      </c>
      <c r="B12" s="218" t="s">
        <v>10</v>
      </c>
      <c r="C12">
        <f>VLOOKUP(B12,'cash adhoc'!$A$3:$BM$12,65,FALSE)</f>
        <v>9</v>
      </c>
      <c r="D12" s="4" t="e">
        <f ca="1">HLOOKUP(D$1,'cash adhoc'!$A$1:$BK$12,Cash!$C12,FALSE)</f>
        <v>#N/A</v>
      </c>
      <c r="E12" s="4" t="e">
        <f ca="1">HLOOKUP(E$1,'cash adhoc'!$A$1:$BK$12,Cash!$C12,FALSE)</f>
        <v>#N/A</v>
      </c>
      <c r="F12" s="4" t="e">
        <f ca="1">HLOOKUP(F$1,'cash adhoc'!$A$1:$BK$12,Cash!$C12,FALSE)</f>
        <v>#N/A</v>
      </c>
      <c r="G12" s="4" t="e">
        <f ca="1">HLOOKUP(G$1,'cash adhoc'!$A$1:$BK$12,Cash!$C12,FALSE)</f>
        <v>#N/A</v>
      </c>
      <c r="H12" s="4" t="e">
        <f ca="1">HLOOKUP(H$1,'cash adhoc'!$A$1:$BK$12,Cash!$C12,FALSE)</f>
        <v>#N/A</v>
      </c>
      <c r="I12" s="4" t="e">
        <f ca="1">HLOOKUP(I$1,'cash adhoc'!$A$1:$BK$12,Cash!$C12,FALSE)</f>
        <v>#N/A</v>
      </c>
      <c r="J12" t="e">
        <f ca="1">HLOOKUP(J$1,'cash adhoc'!$A$1:$BK$12,Cash!$C12,FALSE)</f>
        <v>#N/A</v>
      </c>
      <c r="K12" t="e">
        <f ca="1">HLOOKUP(K$1,'cash adhoc'!$A$1:$BK$12,Cash!$C12,FALSE)</f>
        <v>#N/A</v>
      </c>
      <c r="L12" t="e">
        <f ca="1">HLOOKUP(L$1,'cash adhoc'!$A$1:$BK$12,Cash!$C12,FALSE)</f>
        <v>#N/A</v>
      </c>
      <c r="M12" t="e">
        <f ca="1">HLOOKUP(M$1,'cash adhoc'!$A$1:$BK$12,Cash!$C12,FALSE)</f>
        <v>#N/A</v>
      </c>
      <c r="N12" t="e">
        <f ca="1">HLOOKUP(N$1,'cash adhoc'!$A$1:$BK$12,Cash!$C12,FALSE)</f>
        <v>#N/A</v>
      </c>
      <c r="O12" t="e">
        <f ca="1">HLOOKUP(O$1,'cash adhoc'!$A$1:$BK$12,Cash!$C12,FALSE)</f>
        <v>#N/A</v>
      </c>
      <c r="P12" t="e">
        <f ca="1">HLOOKUP(P$1,'cash adhoc'!$A$1:$BK$12,Cash!$C12,FALSE)</f>
        <v>#N/A</v>
      </c>
      <c r="Q12" t="e">
        <f ca="1">HLOOKUP(Q$1,'cash adhoc'!$A$1:$BK$12,Cash!$C12,FALSE)</f>
        <v>#N/A</v>
      </c>
      <c r="R12" t="e">
        <f ca="1">HLOOKUP(R$1,'cash adhoc'!$A$1:$BK$12,Cash!$C12,FALSE)</f>
        <v>#N/A</v>
      </c>
      <c r="S12" t="e">
        <f ca="1">HLOOKUP(S$1,'cash adhoc'!$A$1:$BK$12,Cash!$C12,FALSE)</f>
        <v>#N/A</v>
      </c>
      <c r="T12" t="e">
        <f ca="1">HLOOKUP(T$1,'cash adhoc'!$A$1:$BK$12,Cash!$C12,FALSE)</f>
        <v>#N/A</v>
      </c>
      <c r="U12" t="e">
        <f ca="1">HLOOKUP(U$1,'cash adhoc'!$A$1:$BK$12,Cash!$C12,FALSE)</f>
        <v>#N/A</v>
      </c>
      <c r="V12" t="e">
        <f ca="1">HLOOKUP(V$1,'cash adhoc'!$A$1:$BK$12,Cash!$C12,FALSE)</f>
        <v>#N/A</v>
      </c>
      <c r="W12" t="e">
        <f ca="1">HLOOKUP(W$1,'cash adhoc'!$A$1:$BK$12,Cash!$C12,FALSE)</f>
        <v>#N/A</v>
      </c>
      <c r="X12" t="e">
        <f ca="1">HLOOKUP(X$1,'cash adhoc'!$A$1:$BK$12,Cash!$C12,FALSE)</f>
        <v>#N/A</v>
      </c>
      <c r="Y12" t="e">
        <f ca="1">HLOOKUP(Y$1,'cash adhoc'!$A$1:$BK$12,Cash!$C12,FALSE)</f>
        <v>#N/A</v>
      </c>
      <c r="Z12" t="e">
        <f ca="1">HLOOKUP(Z$1,'cash adhoc'!$A$1:$BK$12,Cash!$C12,FALSE)</f>
        <v>#N/A</v>
      </c>
      <c r="AA12" t="e">
        <f ca="1">HLOOKUP(AA$1,'cash adhoc'!$A$1:$BK$12,Cash!$C12,FALSE)</f>
        <v>#N/A</v>
      </c>
      <c r="AB12" t="e">
        <f ca="1">HLOOKUP(AB$1,'cash adhoc'!$A$1:$BK$12,Cash!$C12,FALSE)</f>
        <v>#N/A</v>
      </c>
      <c r="AC12" t="e">
        <f ca="1">HLOOKUP(AC$1,'cash adhoc'!$A$1:$BK$12,Cash!$C12,FALSE)</f>
        <v>#N/A</v>
      </c>
      <c r="AD12" t="e">
        <f ca="1">HLOOKUP(AD$1,'cash adhoc'!$A$1:$BK$12,Cash!$C12,FALSE)</f>
        <v>#N/A</v>
      </c>
      <c r="AE12" t="e">
        <f ca="1">HLOOKUP(AE$1,'cash adhoc'!$A$1:$BK$12,Cash!$C12,FALSE)</f>
        <v>#N/A</v>
      </c>
      <c r="AF12" t="e">
        <f ca="1">HLOOKUP(AF$1,'cash adhoc'!$A$1:$BK$12,Cash!$C12,FALSE)</f>
        <v>#N/A</v>
      </c>
      <c r="AG12" t="e">
        <f ca="1">HLOOKUP(AG$1,'cash adhoc'!$A$1:$BK$12,Cash!$C12,FALSE)</f>
        <v>#N/A</v>
      </c>
      <c r="AH12" t="e">
        <f ca="1">HLOOKUP(AH$1,'cash adhoc'!$A$1:$BK$12,Cash!$C12,FALSE)</f>
        <v>#N/A</v>
      </c>
      <c r="AI12" t="e">
        <f ca="1">HLOOKUP(AI$1,'cash adhoc'!$A$1:$BK$12,Cash!$C12,FALSE)</f>
        <v>#N/A</v>
      </c>
      <c r="AJ12" t="e">
        <f ca="1">HLOOKUP(AJ$1,'cash adhoc'!$A$1:$BK$12,Cash!$C12,FALSE)</f>
        <v>#N/A</v>
      </c>
      <c r="AK12" t="e">
        <f ca="1">HLOOKUP(AK$1,'cash adhoc'!$A$1:$BK$12,Cash!$C12,FALSE)</f>
        <v>#N/A</v>
      </c>
      <c r="AL12" t="e">
        <f ca="1">HLOOKUP(AL$1,'cash adhoc'!$A$1:$BK$12,Cash!$C12,FALSE)</f>
        <v>#N/A</v>
      </c>
      <c r="AM12" t="e">
        <f ca="1">HLOOKUP(AM$1,'cash adhoc'!$A$1:$BK$12,Cash!$C12,FALSE)</f>
        <v>#N/A</v>
      </c>
      <c r="AN12" t="e">
        <f ca="1">HLOOKUP(AN$1,'cash adhoc'!$A$1:$BK$12,Cash!$C12,FALSE)</f>
        <v>#N/A</v>
      </c>
      <c r="AO12" t="e">
        <f ca="1">HLOOKUP(AO$1,'cash adhoc'!$A$1:$BK$12,Cash!$C12,FALSE)</f>
        <v>#N/A</v>
      </c>
      <c r="AP12" t="e">
        <f ca="1">HLOOKUP(AP$1,'cash adhoc'!$A$1:$BK$12,Cash!$C12,FALSE)</f>
        <v>#N/A</v>
      </c>
      <c r="AQ12" t="e">
        <f ca="1">HLOOKUP(AQ$1,'cash adhoc'!$A$1:$BK$12,Cash!$C12,FALSE)</f>
        <v>#N/A</v>
      </c>
      <c r="AR12" t="e">
        <f ca="1">HLOOKUP(AR$1,'cash adhoc'!$A$1:$BK$12,Cash!$C12,FALSE)</f>
        <v>#N/A</v>
      </c>
      <c r="AS12" t="e">
        <f ca="1">HLOOKUP(AS$1,'cash adhoc'!$A$1:$BK$12,Cash!$C12,FALSE)</f>
        <v>#N/A</v>
      </c>
    </row>
    <row r="13" spans="1:45" x14ac:dyDescent="0.2">
      <c r="A13">
        <f>ROW()</f>
        <v>13</v>
      </c>
      <c r="B13" s="218" t="s">
        <v>121</v>
      </c>
      <c r="C13">
        <f>VLOOKUP(B13,'cash adhoc'!$A$3:$BM$12,65,FALSE)</f>
        <v>10</v>
      </c>
      <c r="D13" s="4" t="e">
        <f ca="1">HLOOKUP(D$1,'cash adhoc'!$A$1:$BK$12,Cash!$C13,FALSE)</f>
        <v>#N/A</v>
      </c>
      <c r="E13" s="4" t="e">
        <f ca="1">HLOOKUP(E$1,'cash adhoc'!$A$1:$BK$12,Cash!$C13,FALSE)</f>
        <v>#N/A</v>
      </c>
      <c r="F13" s="4" t="e">
        <f ca="1">HLOOKUP(F$1,'cash adhoc'!$A$1:$BK$12,Cash!$C13,FALSE)</f>
        <v>#N/A</v>
      </c>
      <c r="G13" s="4" t="e">
        <f ca="1">HLOOKUP(G$1,'cash adhoc'!$A$1:$BK$12,Cash!$C13,FALSE)</f>
        <v>#N/A</v>
      </c>
      <c r="H13" s="4" t="e">
        <f ca="1">HLOOKUP(H$1,'cash adhoc'!$A$1:$BK$12,Cash!$C13,FALSE)</f>
        <v>#N/A</v>
      </c>
      <c r="I13" s="4" t="e">
        <f ca="1">HLOOKUP(I$1,'cash adhoc'!$A$1:$BK$12,Cash!$C13,FALSE)</f>
        <v>#N/A</v>
      </c>
      <c r="J13" t="e">
        <f ca="1">HLOOKUP(J$1,'cash adhoc'!$A$1:$BK$12,Cash!$C13,FALSE)</f>
        <v>#N/A</v>
      </c>
      <c r="K13" t="e">
        <f ca="1">HLOOKUP(K$1,'cash adhoc'!$A$1:$BK$12,Cash!$C13,FALSE)</f>
        <v>#N/A</v>
      </c>
      <c r="L13" t="e">
        <f ca="1">HLOOKUP(L$1,'cash adhoc'!$A$1:$BK$12,Cash!$C13,FALSE)</f>
        <v>#N/A</v>
      </c>
      <c r="M13" t="e">
        <f ca="1">HLOOKUP(M$1,'cash adhoc'!$A$1:$BK$12,Cash!$C13,FALSE)</f>
        <v>#N/A</v>
      </c>
      <c r="N13" t="e">
        <f ca="1">HLOOKUP(N$1,'cash adhoc'!$A$1:$BK$12,Cash!$C13,FALSE)</f>
        <v>#N/A</v>
      </c>
      <c r="O13" t="e">
        <f ca="1">HLOOKUP(O$1,'cash adhoc'!$A$1:$BK$12,Cash!$C13,FALSE)</f>
        <v>#N/A</v>
      </c>
      <c r="P13" t="e">
        <f ca="1">HLOOKUP(P$1,'cash adhoc'!$A$1:$BK$12,Cash!$C13,FALSE)</f>
        <v>#N/A</v>
      </c>
      <c r="Q13" t="e">
        <f ca="1">HLOOKUP(Q$1,'cash adhoc'!$A$1:$BK$12,Cash!$C13,FALSE)</f>
        <v>#N/A</v>
      </c>
      <c r="R13" t="e">
        <f ca="1">HLOOKUP(R$1,'cash adhoc'!$A$1:$BK$12,Cash!$C13,FALSE)</f>
        <v>#N/A</v>
      </c>
      <c r="S13" t="e">
        <f ca="1">HLOOKUP(S$1,'cash adhoc'!$A$1:$BK$12,Cash!$C13,FALSE)</f>
        <v>#N/A</v>
      </c>
      <c r="T13" t="e">
        <f ca="1">HLOOKUP(T$1,'cash adhoc'!$A$1:$BK$12,Cash!$C13,FALSE)</f>
        <v>#N/A</v>
      </c>
      <c r="U13" t="e">
        <f ca="1">HLOOKUP(U$1,'cash adhoc'!$A$1:$BK$12,Cash!$C13,FALSE)</f>
        <v>#N/A</v>
      </c>
      <c r="V13" t="e">
        <f ca="1">HLOOKUP(V$1,'cash adhoc'!$A$1:$BK$12,Cash!$C13,FALSE)</f>
        <v>#N/A</v>
      </c>
      <c r="W13" t="e">
        <f ca="1">HLOOKUP(W$1,'cash adhoc'!$A$1:$BK$12,Cash!$C13,FALSE)</f>
        <v>#N/A</v>
      </c>
      <c r="X13" t="e">
        <f ca="1">HLOOKUP(X$1,'cash adhoc'!$A$1:$BK$12,Cash!$C13,FALSE)</f>
        <v>#N/A</v>
      </c>
      <c r="Y13" t="e">
        <f ca="1">HLOOKUP(Y$1,'cash adhoc'!$A$1:$BK$12,Cash!$C13,FALSE)</f>
        <v>#N/A</v>
      </c>
      <c r="Z13" t="e">
        <f ca="1">HLOOKUP(Z$1,'cash adhoc'!$A$1:$BK$12,Cash!$C13,FALSE)</f>
        <v>#N/A</v>
      </c>
      <c r="AA13" t="e">
        <f ca="1">HLOOKUP(AA$1,'cash adhoc'!$A$1:$BK$12,Cash!$C13,FALSE)</f>
        <v>#N/A</v>
      </c>
      <c r="AB13" t="e">
        <f ca="1">HLOOKUP(AB$1,'cash adhoc'!$A$1:$BK$12,Cash!$C13,FALSE)</f>
        <v>#N/A</v>
      </c>
      <c r="AC13" t="e">
        <f ca="1">HLOOKUP(AC$1,'cash adhoc'!$A$1:$BK$12,Cash!$C13,FALSE)</f>
        <v>#N/A</v>
      </c>
      <c r="AD13" t="e">
        <f ca="1">HLOOKUP(AD$1,'cash adhoc'!$A$1:$BK$12,Cash!$C13,FALSE)</f>
        <v>#N/A</v>
      </c>
      <c r="AE13" t="e">
        <f ca="1">HLOOKUP(AE$1,'cash adhoc'!$A$1:$BK$12,Cash!$C13,FALSE)</f>
        <v>#N/A</v>
      </c>
      <c r="AF13" t="e">
        <f ca="1">HLOOKUP(AF$1,'cash adhoc'!$A$1:$BK$12,Cash!$C13,FALSE)</f>
        <v>#N/A</v>
      </c>
      <c r="AG13" t="e">
        <f ca="1">HLOOKUP(AG$1,'cash adhoc'!$A$1:$BK$12,Cash!$C13,FALSE)</f>
        <v>#N/A</v>
      </c>
      <c r="AH13" t="e">
        <f ca="1">HLOOKUP(AH$1,'cash adhoc'!$A$1:$BK$12,Cash!$C13,FALSE)</f>
        <v>#N/A</v>
      </c>
      <c r="AI13" t="e">
        <f ca="1">HLOOKUP(AI$1,'cash adhoc'!$A$1:$BK$12,Cash!$C13,FALSE)</f>
        <v>#N/A</v>
      </c>
      <c r="AJ13" t="e">
        <f ca="1">HLOOKUP(AJ$1,'cash adhoc'!$A$1:$BK$12,Cash!$C13,FALSE)</f>
        <v>#N/A</v>
      </c>
      <c r="AK13" t="e">
        <f ca="1">HLOOKUP(AK$1,'cash adhoc'!$A$1:$BK$12,Cash!$C13,FALSE)</f>
        <v>#N/A</v>
      </c>
      <c r="AL13" t="e">
        <f ca="1">HLOOKUP(AL$1,'cash adhoc'!$A$1:$BK$12,Cash!$C13,FALSE)</f>
        <v>#N/A</v>
      </c>
      <c r="AM13" t="e">
        <f ca="1">HLOOKUP(AM$1,'cash adhoc'!$A$1:$BK$12,Cash!$C13,FALSE)</f>
        <v>#N/A</v>
      </c>
      <c r="AN13" t="e">
        <f ca="1">HLOOKUP(AN$1,'cash adhoc'!$A$1:$BK$12,Cash!$C13,FALSE)</f>
        <v>#N/A</v>
      </c>
      <c r="AO13" t="e">
        <f ca="1">HLOOKUP(AO$1,'cash adhoc'!$A$1:$BK$12,Cash!$C13,FALSE)</f>
        <v>#N/A</v>
      </c>
      <c r="AP13" t="e">
        <f ca="1">HLOOKUP(AP$1,'cash adhoc'!$A$1:$BK$12,Cash!$C13,FALSE)</f>
        <v>#N/A</v>
      </c>
      <c r="AQ13" t="e">
        <f ca="1">HLOOKUP(AQ$1,'cash adhoc'!$A$1:$BK$12,Cash!$C13,FALSE)</f>
        <v>#N/A</v>
      </c>
      <c r="AR13" t="e">
        <f ca="1">HLOOKUP(AR$1,'cash adhoc'!$A$1:$BK$12,Cash!$C13,FALSE)</f>
        <v>#N/A</v>
      </c>
      <c r="AS13" t="e">
        <f ca="1">HLOOKUP(AS$1,'cash adhoc'!$A$1:$BK$12,Cash!$C13,FALSE)</f>
        <v>#N/A</v>
      </c>
    </row>
    <row r="14" spans="1:45" x14ac:dyDescent="0.2">
      <c r="A14">
        <f>ROW()</f>
        <v>14</v>
      </c>
      <c r="B14" s="218" t="s">
        <v>78</v>
      </c>
      <c r="C14">
        <f>VLOOKUP(B14,'cash adhoc'!$A$3:$BM$12,65,FALSE)</f>
        <v>11</v>
      </c>
      <c r="D14" s="4" t="e">
        <f ca="1">HLOOKUP(D$1,'cash adhoc'!$A$1:$BK$12,Cash!$C14,FALSE)</f>
        <v>#N/A</v>
      </c>
      <c r="E14" s="4" t="e">
        <f ca="1">HLOOKUP(E$1,'cash adhoc'!$A$1:$BK$12,Cash!$C14,FALSE)</f>
        <v>#N/A</v>
      </c>
      <c r="F14" s="4" t="e">
        <f ca="1">HLOOKUP(F$1,'cash adhoc'!$A$1:$BK$12,Cash!$C14,FALSE)</f>
        <v>#N/A</v>
      </c>
      <c r="G14" s="4" t="e">
        <f ca="1">HLOOKUP(G$1,'cash adhoc'!$A$1:$BK$12,Cash!$C14,FALSE)</f>
        <v>#N/A</v>
      </c>
      <c r="H14" s="4" t="e">
        <f ca="1">HLOOKUP(H$1,'cash adhoc'!$A$1:$BK$12,Cash!$C14,FALSE)</f>
        <v>#N/A</v>
      </c>
      <c r="I14" s="4" t="e">
        <f ca="1">HLOOKUP(I$1,'cash adhoc'!$A$1:$BK$12,Cash!$C14,FALSE)</f>
        <v>#N/A</v>
      </c>
      <c r="J14" t="e">
        <f ca="1">HLOOKUP(J$1,'cash adhoc'!$A$1:$BK$12,Cash!$C14,FALSE)</f>
        <v>#N/A</v>
      </c>
      <c r="K14" t="e">
        <f ca="1">HLOOKUP(K$1,'cash adhoc'!$A$1:$BK$12,Cash!$C14,FALSE)</f>
        <v>#N/A</v>
      </c>
      <c r="L14" t="e">
        <f ca="1">HLOOKUP(L$1,'cash adhoc'!$A$1:$BK$12,Cash!$C14,FALSE)</f>
        <v>#N/A</v>
      </c>
      <c r="M14" t="e">
        <f ca="1">HLOOKUP(M$1,'cash adhoc'!$A$1:$BK$12,Cash!$C14,FALSE)</f>
        <v>#N/A</v>
      </c>
      <c r="N14" t="e">
        <f ca="1">HLOOKUP(N$1,'cash adhoc'!$A$1:$BK$12,Cash!$C14,FALSE)</f>
        <v>#N/A</v>
      </c>
      <c r="O14" t="e">
        <f ca="1">HLOOKUP(O$1,'cash adhoc'!$A$1:$BK$12,Cash!$C14,FALSE)</f>
        <v>#N/A</v>
      </c>
      <c r="P14" t="e">
        <f ca="1">HLOOKUP(P$1,'cash adhoc'!$A$1:$BK$12,Cash!$C14,FALSE)</f>
        <v>#N/A</v>
      </c>
      <c r="Q14" t="e">
        <f ca="1">HLOOKUP(Q$1,'cash adhoc'!$A$1:$BK$12,Cash!$C14,FALSE)</f>
        <v>#N/A</v>
      </c>
      <c r="R14" t="e">
        <f ca="1">HLOOKUP(R$1,'cash adhoc'!$A$1:$BK$12,Cash!$C14,FALSE)</f>
        <v>#N/A</v>
      </c>
      <c r="S14" t="e">
        <f ca="1">HLOOKUP(S$1,'cash adhoc'!$A$1:$BK$12,Cash!$C14,FALSE)</f>
        <v>#N/A</v>
      </c>
      <c r="T14" t="e">
        <f ca="1">HLOOKUP(T$1,'cash adhoc'!$A$1:$BK$12,Cash!$C14,FALSE)</f>
        <v>#N/A</v>
      </c>
      <c r="U14" t="e">
        <f ca="1">HLOOKUP(U$1,'cash adhoc'!$A$1:$BK$12,Cash!$C14,FALSE)</f>
        <v>#N/A</v>
      </c>
      <c r="V14" t="e">
        <f ca="1">HLOOKUP(V$1,'cash adhoc'!$A$1:$BK$12,Cash!$C14,FALSE)</f>
        <v>#N/A</v>
      </c>
      <c r="W14" t="e">
        <f ca="1">HLOOKUP(W$1,'cash adhoc'!$A$1:$BK$12,Cash!$C14,FALSE)</f>
        <v>#N/A</v>
      </c>
      <c r="X14" t="e">
        <f ca="1">HLOOKUP(X$1,'cash adhoc'!$A$1:$BK$12,Cash!$C14,FALSE)</f>
        <v>#N/A</v>
      </c>
      <c r="Y14" t="e">
        <f ca="1">HLOOKUP(Y$1,'cash adhoc'!$A$1:$BK$12,Cash!$C14,FALSE)</f>
        <v>#N/A</v>
      </c>
      <c r="Z14" t="e">
        <f ca="1">HLOOKUP(Z$1,'cash adhoc'!$A$1:$BK$12,Cash!$C14,FALSE)</f>
        <v>#N/A</v>
      </c>
      <c r="AA14" t="e">
        <f ca="1">HLOOKUP(AA$1,'cash adhoc'!$A$1:$BK$12,Cash!$C14,FALSE)</f>
        <v>#N/A</v>
      </c>
      <c r="AB14" t="e">
        <f ca="1">HLOOKUP(AB$1,'cash adhoc'!$A$1:$BK$12,Cash!$C14,FALSE)</f>
        <v>#N/A</v>
      </c>
      <c r="AC14" t="e">
        <f ca="1">HLOOKUP(AC$1,'cash adhoc'!$A$1:$BK$12,Cash!$C14,FALSE)</f>
        <v>#N/A</v>
      </c>
      <c r="AD14" t="e">
        <f ca="1">HLOOKUP(AD$1,'cash adhoc'!$A$1:$BK$12,Cash!$C14,FALSE)</f>
        <v>#N/A</v>
      </c>
      <c r="AE14" t="e">
        <f ca="1">HLOOKUP(AE$1,'cash adhoc'!$A$1:$BK$12,Cash!$C14,FALSE)</f>
        <v>#N/A</v>
      </c>
      <c r="AF14" t="e">
        <f ca="1">HLOOKUP(AF$1,'cash adhoc'!$A$1:$BK$12,Cash!$C14,FALSE)</f>
        <v>#N/A</v>
      </c>
      <c r="AG14" t="e">
        <f ca="1">HLOOKUP(AG$1,'cash adhoc'!$A$1:$BK$12,Cash!$C14,FALSE)</f>
        <v>#N/A</v>
      </c>
      <c r="AH14" t="e">
        <f ca="1">HLOOKUP(AH$1,'cash adhoc'!$A$1:$BK$12,Cash!$C14,FALSE)</f>
        <v>#N/A</v>
      </c>
      <c r="AI14" t="e">
        <f ca="1">HLOOKUP(AI$1,'cash adhoc'!$A$1:$BK$12,Cash!$C14,FALSE)</f>
        <v>#N/A</v>
      </c>
      <c r="AJ14" t="e">
        <f ca="1">HLOOKUP(AJ$1,'cash adhoc'!$A$1:$BK$12,Cash!$C14,FALSE)</f>
        <v>#N/A</v>
      </c>
      <c r="AK14" t="e">
        <f ca="1">HLOOKUP(AK$1,'cash adhoc'!$A$1:$BK$12,Cash!$C14,FALSE)</f>
        <v>#N/A</v>
      </c>
      <c r="AL14" t="e">
        <f ca="1">HLOOKUP(AL$1,'cash adhoc'!$A$1:$BK$12,Cash!$C14,FALSE)</f>
        <v>#N/A</v>
      </c>
      <c r="AM14" t="e">
        <f ca="1">HLOOKUP(AM$1,'cash adhoc'!$A$1:$BK$12,Cash!$C14,FALSE)</f>
        <v>#N/A</v>
      </c>
      <c r="AN14" t="e">
        <f ca="1">HLOOKUP(AN$1,'cash adhoc'!$A$1:$BK$12,Cash!$C14,FALSE)</f>
        <v>#N/A</v>
      </c>
      <c r="AO14" t="e">
        <f ca="1">HLOOKUP(AO$1,'cash adhoc'!$A$1:$BK$12,Cash!$C14,FALSE)</f>
        <v>#N/A</v>
      </c>
      <c r="AP14" t="e">
        <f ca="1">HLOOKUP(AP$1,'cash adhoc'!$A$1:$BK$12,Cash!$C14,FALSE)</f>
        <v>#N/A</v>
      </c>
      <c r="AQ14" t="e">
        <f ca="1">HLOOKUP(AQ$1,'cash adhoc'!$A$1:$BK$12,Cash!$C14,FALSE)</f>
        <v>#N/A</v>
      </c>
      <c r="AR14" t="e">
        <f ca="1">HLOOKUP(AR$1,'cash adhoc'!$A$1:$BK$12,Cash!$C14,FALSE)</f>
        <v>#N/A</v>
      </c>
      <c r="AS14" t="e">
        <f ca="1">HLOOKUP(AS$1,'cash adhoc'!$A$1:$BK$12,Cash!$C14,FALSE)</f>
        <v>#N/A</v>
      </c>
    </row>
    <row r="15" spans="1:45" x14ac:dyDescent="0.2">
      <c r="A15">
        <f>ROW()</f>
        <v>15</v>
      </c>
      <c r="B15" s="218" t="s">
        <v>14</v>
      </c>
      <c r="C15">
        <f>VLOOKUP(B15,'cash adhoc'!$A$3:$BM$12,65,FALSE)</f>
        <v>12</v>
      </c>
      <c r="D15" s="4" t="e">
        <f ca="1">HLOOKUP(D$1,'cash adhoc'!$A$1:$BK$12,Cash!$C15,FALSE)</f>
        <v>#N/A</v>
      </c>
      <c r="E15" s="4" t="e">
        <f ca="1">HLOOKUP(E$1,'cash adhoc'!$A$1:$BK$12,Cash!$C15,FALSE)</f>
        <v>#N/A</v>
      </c>
      <c r="F15" s="4" t="e">
        <f ca="1">HLOOKUP(F$1,'cash adhoc'!$A$1:$BK$12,Cash!$C15,FALSE)</f>
        <v>#N/A</v>
      </c>
      <c r="G15" s="4" t="e">
        <f ca="1">HLOOKUP(G$1,'cash adhoc'!$A$1:$BK$12,Cash!$C15,FALSE)</f>
        <v>#N/A</v>
      </c>
      <c r="H15" s="4" t="e">
        <f ca="1">HLOOKUP(H$1,'cash adhoc'!$A$1:$BK$12,Cash!$C15,FALSE)</f>
        <v>#N/A</v>
      </c>
      <c r="I15" s="4" t="e">
        <f ca="1">HLOOKUP(I$1,'cash adhoc'!$A$1:$BK$12,Cash!$C15,FALSE)</f>
        <v>#N/A</v>
      </c>
      <c r="J15" t="e">
        <f ca="1">HLOOKUP(J$1,'cash adhoc'!$A$1:$BK$12,Cash!$C15,FALSE)</f>
        <v>#N/A</v>
      </c>
      <c r="K15" t="e">
        <f ca="1">HLOOKUP(K$1,'cash adhoc'!$A$1:$BK$12,Cash!$C15,FALSE)</f>
        <v>#N/A</v>
      </c>
      <c r="L15" t="e">
        <f ca="1">HLOOKUP(L$1,'cash adhoc'!$A$1:$BK$12,Cash!$C15,FALSE)</f>
        <v>#N/A</v>
      </c>
      <c r="M15" t="e">
        <f ca="1">HLOOKUP(M$1,'cash adhoc'!$A$1:$BK$12,Cash!$C15,FALSE)</f>
        <v>#N/A</v>
      </c>
      <c r="N15" t="e">
        <f ca="1">HLOOKUP(N$1,'cash adhoc'!$A$1:$BK$12,Cash!$C15,FALSE)</f>
        <v>#N/A</v>
      </c>
      <c r="O15" t="e">
        <f ca="1">HLOOKUP(O$1,'cash adhoc'!$A$1:$BK$12,Cash!$C15,FALSE)</f>
        <v>#N/A</v>
      </c>
      <c r="P15" t="e">
        <f ca="1">HLOOKUP(P$1,'cash adhoc'!$A$1:$BK$12,Cash!$C15,FALSE)</f>
        <v>#N/A</v>
      </c>
      <c r="Q15" t="e">
        <f ca="1">HLOOKUP(Q$1,'cash adhoc'!$A$1:$BK$12,Cash!$C15,FALSE)</f>
        <v>#N/A</v>
      </c>
      <c r="R15" t="e">
        <f ca="1">HLOOKUP(R$1,'cash adhoc'!$A$1:$BK$12,Cash!$C15,FALSE)</f>
        <v>#N/A</v>
      </c>
      <c r="S15" t="e">
        <f ca="1">HLOOKUP(S$1,'cash adhoc'!$A$1:$BK$12,Cash!$C15,FALSE)</f>
        <v>#N/A</v>
      </c>
      <c r="T15" t="e">
        <f ca="1">HLOOKUP(T$1,'cash adhoc'!$A$1:$BK$12,Cash!$C15,FALSE)</f>
        <v>#N/A</v>
      </c>
      <c r="U15" t="e">
        <f ca="1">HLOOKUP(U$1,'cash adhoc'!$A$1:$BK$12,Cash!$C15,FALSE)</f>
        <v>#N/A</v>
      </c>
      <c r="V15" t="e">
        <f ca="1">HLOOKUP(V$1,'cash adhoc'!$A$1:$BK$12,Cash!$C15,FALSE)</f>
        <v>#N/A</v>
      </c>
      <c r="W15" t="e">
        <f ca="1">HLOOKUP(W$1,'cash adhoc'!$A$1:$BK$12,Cash!$C15,FALSE)</f>
        <v>#N/A</v>
      </c>
      <c r="X15" t="e">
        <f ca="1">HLOOKUP(X$1,'cash adhoc'!$A$1:$BK$12,Cash!$C15,FALSE)</f>
        <v>#N/A</v>
      </c>
      <c r="Y15" t="e">
        <f ca="1">HLOOKUP(Y$1,'cash adhoc'!$A$1:$BK$12,Cash!$C15,FALSE)</f>
        <v>#N/A</v>
      </c>
      <c r="Z15" t="e">
        <f ca="1">HLOOKUP(Z$1,'cash adhoc'!$A$1:$BK$12,Cash!$C15,FALSE)</f>
        <v>#N/A</v>
      </c>
      <c r="AA15" t="e">
        <f ca="1">HLOOKUP(AA$1,'cash adhoc'!$A$1:$BK$12,Cash!$C15,FALSE)</f>
        <v>#N/A</v>
      </c>
      <c r="AB15" t="e">
        <f ca="1">HLOOKUP(AB$1,'cash adhoc'!$A$1:$BK$12,Cash!$C15,FALSE)</f>
        <v>#N/A</v>
      </c>
      <c r="AC15" t="e">
        <f ca="1">HLOOKUP(AC$1,'cash adhoc'!$A$1:$BK$12,Cash!$C15,FALSE)</f>
        <v>#N/A</v>
      </c>
      <c r="AD15" t="e">
        <f ca="1">HLOOKUP(AD$1,'cash adhoc'!$A$1:$BK$12,Cash!$C15,FALSE)</f>
        <v>#N/A</v>
      </c>
      <c r="AE15" t="e">
        <f ca="1">HLOOKUP(AE$1,'cash adhoc'!$A$1:$BK$12,Cash!$C15,FALSE)</f>
        <v>#N/A</v>
      </c>
      <c r="AF15" t="e">
        <f ca="1">HLOOKUP(AF$1,'cash adhoc'!$A$1:$BK$12,Cash!$C15,FALSE)</f>
        <v>#N/A</v>
      </c>
      <c r="AG15" t="e">
        <f ca="1">HLOOKUP(AG$1,'cash adhoc'!$A$1:$BK$12,Cash!$C15,FALSE)</f>
        <v>#N/A</v>
      </c>
      <c r="AH15" t="e">
        <f ca="1">HLOOKUP(AH$1,'cash adhoc'!$A$1:$BK$12,Cash!$C15,FALSE)</f>
        <v>#N/A</v>
      </c>
      <c r="AI15" t="e">
        <f ca="1">HLOOKUP(AI$1,'cash adhoc'!$A$1:$BK$12,Cash!$C15,FALSE)</f>
        <v>#N/A</v>
      </c>
      <c r="AJ15" t="e">
        <f ca="1">HLOOKUP(AJ$1,'cash adhoc'!$A$1:$BK$12,Cash!$C15,FALSE)</f>
        <v>#N/A</v>
      </c>
      <c r="AK15" t="e">
        <f ca="1">HLOOKUP(AK$1,'cash adhoc'!$A$1:$BK$12,Cash!$C15,FALSE)</f>
        <v>#N/A</v>
      </c>
      <c r="AL15" t="e">
        <f ca="1">HLOOKUP(AL$1,'cash adhoc'!$A$1:$BK$12,Cash!$C15,FALSE)</f>
        <v>#N/A</v>
      </c>
      <c r="AM15" t="e">
        <f ca="1">HLOOKUP(AM$1,'cash adhoc'!$A$1:$BK$12,Cash!$C15,FALSE)</f>
        <v>#N/A</v>
      </c>
      <c r="AN15" t="e">
        <f ca="1">HLOOKUP(AN$1,'cash adhoc'!$A$1:$BK$12,Cash!$C15,FALSE)</f>
        <v>#N/A</v>
      </c>
      <c r="AO15" t="e">
        <f ca="1">HLOOKUP(AO$1,'cash adhoc'!$A$1:$BK$12,Cash!$C15,FALSE)</f>
        <v>#N/A</v>
      </c>
      <c r="AP15" t="e">
        <f ca="1">HLOOKUP(AP$1,'cash adhoc'!$A$1:$BK$12,Cash!$C15,FALSE)</f>
        <v>#N/A</v>
      </c>
      <c r="AQ15" t="e">
        <f ca="1">HLOOKUP(AQ$1,'cash adhoc'!$A$1:$BK$12,Cash!$C15,FALSE)</f>
        <v>#N/A</v>
      </c>
      <c r="AR15" t="e">
        <f ca="1">HLOOKUP(AR$1,'cash adhoc'!$A$1:$BK$12,Cash!$C15,FALSE)</f>
        <v>#N/A</v>
      </c>
      <c r="AS15" t="e">
        <f ca="1">HLOOKUP(AS$1,'cash adhoc'!$A$1:$BK$12,Cash!$C15,FALSE)</f>
        <v>#N/A</v>
      </c>
    </row>
    <row r="16" spans="1:45" x14ac:dyDescent="0.2">
      <c r="A16">
        <f>ROW()</f>
        <v>16</v>
      </c>
    </row>
    <row r="17" spans="1:45" x14ac:dyDescent="0.2">
      <c r="A17">
        <f>ROW()</f>
        <v>17</v>
      </c>
      <c r="B17" t="str">
        <f>B6</f>
        <v>CINERGY</v>
      </c>
      <c r="D17" s="4" t="e">
        <f t="shared" ref="D17:AM17" ca="1" si="7">D6/D$4</f>
        <v>#N/A</v>
      </c>
      <c r="E17" s="4" t="e">
        <f t="shared" ca="1" si="7"/>
        <v>#N/A</v>
      </c>
      <c r="F17" s="4" t="e">
        <f t="shared" ca="1" si="7"/>
        <v>#N/A</v>
      </c>
      <c r="G17" s="4" t="e">
        <f t="shared" ca="1" si="7"/>
        <v>#N/A</v>
      </c>
      <c r="H17" s="4" t="e">
        <f t="shared" ca="1" si="7"/>
        <v>#N/A</v>
      </c>
      <c r="I17" s="4" t="e">
        <f t="shared" ca="1" si="7"/>
        <v>#N/A</v>
      </c>
      <c r="J17" t="e">
        <f t="shared" ca="1" si="7"/>
        <v>#N/A</v>
      </c>
      <c r="K17" t="e">
        <f t="shared" ca="1" si="7"/>
        <v>#N/A</v>
      </c>
      <c r="L17" t="e">
        <f t="shared" ca="1" si="7"/>
        <v>#N/A</v>
      </c>
      <c r="M17" t="e">
        <f t="shared" ca="1" si="7"/>
        <v>#N/A</v>
      </c>
      <c r="N17" t="e">
        <f t="shared" ca="1" si="7"/>
        <v>#N/A</v>
      </c>
      <c r="O17" t="e">
        <f t="shared" ca="1" si="7"/>
        <v>#N/A</v>
      </c>
      <c r="P17" t="e">
        <f t="shared" ca="1" si="7"/>
        <v>#N/A</v>
      </c>
      <c r="Q17" t="e">
        <f t="shared" ca="1" si="7"/>
        <v>#N/A</v>
      </c>
      <c r="R17" t="e">
        <f t="shared" ca="1" si="7"/>
        <v>#N/A</v>
      </c>
      <c r="S17" t="e">
        <f t="shared" ca="1" si="7"/>
        <v>#N/A</v>
      </c>
      <c r="T17" t="e">
        <f t="shared" ca="1" si="7"/>
        <v>#N/A</v>
      </c>
      <c r="U17" t="e">
        <f t="shared" ca="1" si="7"/>
        <v>#N/A</v>
      </c>
      <c r="V17" t="e">
        <f t="shared" ca="1" si="7"/>
        <v>#N/A</v>
      </c>
      <c r="W17" t="e">
        <f t="shared" ca="1" si="7"/>
        <v>#N/A</v>
      </c>
      <c r="X17" t="e">
        <f t="shared" ca="1" si="7"/>
        <v>#N/A</v>
      </c>
      <c r="Y17" t="e">
        <f t="shared" ca="1" si="7"/>
        <v>#N/A</v>
      </c>
      <c r="Z17" t="e">
        <f t="shared" ca="1" si="7"/>
        <v>#N/A</v>
      </c>
      <c r="AA17" t="e">
        <f t="shared" ca="1" si="7"/>
        <v>#N/A</v>
      </c>
      <c r="AB17" t="e">
        <f t="shared" ca="1" si="7"/>
        <v>#N/A</v>
      </c>
      <c r="AC17" t="e">
        <f t="shared" ca="1" si="7"/>
        <v>#N/A</v>
      </c>
      <c r="AD17" t="e">
        <f t="shared" ca="1" si="7"/>
        <v>#N/A</v>
      </c>
      <c r="AE17" t="e">
        <f t="shared" ca="1" si="7"/>
        <v>#N/A</v>
      </c>
      <c r="AF17" t="e">
        <f t="shared" ca="1" si="7"/>
        <v>#N/A</v>
      </c>
      <c r="AG17" t="e">
        <f t="shared" ca="1" si="7"/>
        <v>#N/A</v>
      </c>
      <c r="AH17" t="e">
        <f t="shared" ca="1" si="7"/>
        <v>#N/A</v>
      </c>
      <c r="AI17" t="e">
        <f t="shared" ca="1" si="7"/>
        <v>#N/A</v>
      </c>
      <c r="AJ17" t="e">
        <f t="shared" ca="1" si="7"/>
        <v>#N/A</v>
      </c>
      <c r="AK17" t="e">
        <f t="shared" ca="1" si="7"/>
        <v>#N/A</v>
      </c>
      <c r="AL17" t="e">
        <f t="shared" ca="1" si="7"/>
        <v>#N/A</v>
      </c>
      <c r="AM17" t="e">
        <f t="shared" ca="1" si="7"/>
        <v>#N/A</v>
      </c>
      <c r="AN17" t="e">
        <f t="shared" ref="AN17:AS26" ca="1" si="8">AN6/AN$4</f>
        <v>#N/A</v>
      </c>
      <c r="AO17" t="e">
        <f t="shared" ca="1" si="8"/>
        <v>#N/A</v>
      </c>
      <c r="AP17" t="e">
        <f t="shared" ca="1" si="8"/>
        <v>#N/A</v>
      </c>
      <c r="AQ17" t="e">
        <f t="shared" ca="1" si="8"/>
        <v>#N/A</v>
      </c>
      <c r="AR17" t="e">
        <f t="shared" ca="1" si="8"/>
        <v>#N/A</v>
      </c>
      <c r="AS17" t="e">
        <f t="shared" ca="1" si="8"/>
        <v>#N/A</v>
      </c>
    </row>
    <row r="18" spans="1:45" x14ac:dyDescent="0.2">
      <c r="A18">
        <f>ROW()</f>
        <v>18</v>
      </c>
      <c r="B18" t="str">
        <f t="shared" ref="B18:B26" si="9">B7</f>
        <v>INTO AEP</v>
      </c>
      <c r="D18" s="4" t="e">
        <f t="shared" ref="D18:AM18" ca="1" si="10">D7/D$4</f>
        <v>#N/A</v>
      </c>
      <c r="E18" s="4" t="e">
        <f t="shared" ca="1" si="10"/>
        <v>#N/A</v>
      </c>
      <c r="F18" s="4" t="e">
        <f t="shared" ca="1" si="10"/>
        <v>#N/A</v>
      </c>
      <c r="G18" s="4" t="e">
        <f t="shared" ca="1" si="10"/>
        <v>#N/A</v>
      </c>
      <c r="H18" s="4" t="e">
        <f t="shared" ca="1" si="10"/>
        <v>#N/A</v>
      </c>
      <c r="I18" s="4" t="e">
        <f t="shared" ca="1" si="10"/>
        <v>#N/A</v>
      </c>
      <c r="J18" t="e">
        <f t="shared" ca="1" si="10"/>
        <v>#N/A</v>
      </c>
      <c r="K18" t="e">
        <f t="shared" ca="1" si="10"/>
        <v>#N/A</v>
      </c>
      <c r="L18" t="e">
        <f t="shared" ca="1" si="10"/>
        <v>#N/A</v>
      </c>
      <c r="M18" t="e">
        <f t="shared" ca="1" si="10"/>
        <v>#N/A</v>
      </c>
      <c r="N18" t="e">
        <f t="shared" ca="1" si="10"/>
        <v>#N/A</v>
      </c>
      <c r="O18" t="e">
        <f t="shared" ca="1" si="10"/>
        <v>#N/A</v>
      </c>
      <c r="P18" t="e">
        <f t="shared" ca="1" si="10"/>
        <v>#N/A</v>
      </c>
      <c r="Q18" t="e">
        <f t="shared" ca="1" si="10"/>
        <v>#N/A</v>
      </c>
      <c r="R18" t="e">
        <f t="shared" ca="1" si="10"/>
        <v>#N/A</v>
      </c>
      <c r="S18" t="e">
        <f t="shared" ca="1" si="10"/>
        <v>#N/A</v>
      </c>
      <c r="T18" t="e">
        <f t="shared" ca="1" si="10"/>
        <v>#N/A</v>
      </c>
      <c r="U18" t="e">
        <f t="shared" ca="1" si="10"/>
        <v>#N/A</v>
      </c>
      <c r="V18" t="e">
        <f t="shared" ca="1" si="10"/>
        <v>#N/A</v>
      </c>
      <c r="W18" t="e">
        <f t="shared" ca="1" si="10"/>
        <v>#N/A</v>
      </c>
      <c r="X18" t="e">
        <f t="shared" ca="1" si="10"/>
        <v>#N/A</v>
      </c>
      <c r="Y18" t="e">
        <f t="shared" ca="1" si="10"/>
        <v>#N/A</v>
      </c>
      <c r="Z18" t="e">
        <f t="shared" ca="1" si="10"/>
        <v>#N/A</v>
      </c>
      <c r="AA18" t="e">
        <f t="shared" ca="1" si="10"/>
        <v>#N/A</v>
      </c>
      <c r="AB18" t="e">
        <f t="shared" ca="1" si="10"/>
        <v>#N/A</v>
      </c>
      <c r="AC18" t="e">
        <f t="shared" ca="1" si="10"/>
        <v>#N/A</v>
      </c>
      <c r="AD18" t="e">
        <f t="shared" ca="1" si="10"/>
        <v>#N/A</v>
      </c>
      <c r="AE18" t="e">
        <f t="shared" ca="1" si="10"/>
        <v>#N/A</v>
      </c>
      <c r="AF18" t="e">
        <f t="shared" ca="1" si="10"/>
        <v>#N/A</v>
      </c>
      <c r="AG18" t="e">
        <f t="shared" ca="1" si="10"/>
        <v>#N/A</v>
      </c>
      <c r="AH18" t="e">
        <f t="shared" ca="1" si="10"/>
        <v>#N/A</v>
      </c>
      <c r="AI18" t="e">
        <f t="shared" ca="1" si="10"/>
        <v>#N/A</v>
      </c>
      <c r="AJ18" t="e">
        <f t="shared" ca="1" si="10"/>
        <v>#N/A</v>
      </c>
      <c r="AK18" t="e">
        <f t="shared" ca="1" si="10"/>
        <v>#N/A</v>
      </c>
      <c r="AL18" t="e">
        <f t="shared" ca="1" si="10"/>
        <v>#N/A</v>
      </c>
      <c r="AM18" t="e">
        <f t="shared" ca="1" si="10"/>
        <v>#N/A</v>
      </c>
      <c r="AN18" t="e">
        <f t="shared" ca="1" si="8"/>
        <v>#N/A</v>
      </c>
      <c r="AO18" t="e">
        <f t="shared" ca="1" si="8"/>
        <v>#N/A</v>
      </c>
      <c r="AP18" t="e">
        <f t="shared" ca="1" si="8"/>
        <v>#N/A</v>
      </c>
      <c r="AQ18" t="e">
        <f t="shared" ca="1" si="8"/>
        <v>#N/A</v>
      </c>
      <c r="AR18" t="e">
        <f t="shared" ca="1" si="8"/>
        <v>#N/A</v>
      </c>
      <c r="AS18" t="e">
        <f t="shared" ca="1" si="8"/>
        <v>#N/A</v>
      </c>
    </row>
    <row r="19" spans="1:45" x14ac:dyDescent="0.2">
      <c r="A19">
        <f>ROW()</f>
        <v>19</v>
      </c>
      <c r="B19" t="str">
        <f t="shared" si="9"/>
        <v>INTO COMED</v>
      </c>
      <c r="D19" s="4" t="e">
        <f t="shared" ref="D19:AM19" ca="1" si="11">D8/D$4</f>
        <v>#N/A</v>
      </c>
      <c r="E19" s="4" t="e">
        <f t="shared" ca="1" si="11"/>
        <v>#N/A</v>
      </c>
      <c r="F19" s="4" t="e">
        <f t="shared" ca="1" si="11"/>
        <v>#N/A</v>
      </c>
      <c r="G19" s="4" t="e">
        <f t="shared" ca="1" si="11"/>
        <v>#N/A</v>
      </c>
      <c r="H19" s="4" t="e">
        <f t="shared" ca="1" si="11"/>
        <v>#N/A</v>
      </c>
      <c r="I19" s="4" t="e">
        <f t="shared" ca="1" si="11"/>
        <v>#N/A</v>
      </c>
      <c r="J19" t="e">
        <f t="shared" ca="1" si="11"/>
        <v>#N/A</v>
      </c>
      <c r="K19" t="e">
        <f t="shared" ca="1" si="11"/>
        <v>#N/A</v>
      </c>
      <c r="L19" t="e">
        <f t="shared" ca="1" si="11"/>
        <v>#N/A</v>
      </c>
      <c r="M19" t="e">
        <f t="shared" ca="1" si="11"/>
        <v>#N/A</v>
      </c>
      <c r="N19" t="e">
        <f t="shared" ca="1" si="11"/>
        <v>#N/A</v>
      </c>
      <c r="O19" t="e">
        <f t="shared" ca="1" si="11"/>
        <v>#N/A</v>
      </c>
      <c r="P19" t="e">
        <f t="shared" ca="1" si="11"/>
        <v>#N/A</v>
      </c>
      <c r="Q19" t="e">
        <f t="shared" ca="1" si="11"/>
        <v>#N/A</v>
      </c>
      <c r="R19" t="e">
        <f t="shared" ca="1" si="11"/>
        <v>#N/A</v>
      </c>
      <c r="S19" t="e">
        <f t="shared" ca="1" si="11"/>
        <v>#N/A</v>
      </c>
      <c r="T19" t="e">
        <f t="shared" ca="1" si="11"/>
        <v>#N/A</v>
      </c>
      <c r="U19" t="e">
        <f t="shared" ca="1" si="11"/>
        <v>#N/A</v>
      </c>
      <c r="V19" t="e">
        <f t="shared" ca="1" si="11"/>
        <v>#N/A</v>
      </c>
      <c r="W19" t="e">
        <f t="shared" ca="1" si="11"/>
        <v>#N/A</v>
      </c>
      <c r="X19" t="e">
        <f t="shared" ca="1" si="11"/>
        <v>#N/A</v>
      </c>
      <c r="Y19" t="e">
        <f t="shared" ca="1" si="11"/>
        <v>#N/A</v>
      </c>
      <c r="Z19" t="e">
        <f t="shared" ca="1" si="11"/>
        <v>#N/A</v>
      </c>
      <c r="AA19" t="e">
        <f t="shared" ca="1" si="11"/>
        <v>#N/A</v>
      </c>
      <c r="AB19" t="e">
        <f t="shared" ca="1" si="11"/>
        <v>#N/A</v>
      </c>
      <c r="AC19" t="e">
        <f t="shared" ca="1" si="11"/>
        <v>#N/A</v>
      </c>
      <c r="AD19" t="e">
        <f t="shared" ca="1" si="11"/>
        <v>#N/A</v>
      </c>
      <c r="AE19" t="e">
        <f t="shared" ca="1" si="11"/>
        <v>#N/A</v>
      </c>
      <c r="AF19" t="e">
        <f t="shared" ca="1" si="11"/>
        <v>#N/A</v>
      </c>
      <c r="AG19" t="e">
        <f t="shared" ca="1" si="11"/>
        <v>#N/A</v>
      </c>
      <c r="AH19" t="e">
        <f t="shared" ca="1" si="11"/>
        <v>#N/A</v>
      </c>
      <c r="AI19" t="e">
        <f t="shared" ca="1" si="11"/>
        <v>#N/A</v>
      </c>
      <c r="AJ19" t="e">
        <f t="shared" ca="1" si="11"/>
        <v>#N/A</v>
      </c>
      <c r="AK19" t="e">
        <f t="shared" ca="1" si="11"/>
        <v>#N/A</v>
      </c>
      <c r="AL19" t="e">
        <f t="shared" ca="1" si="11"/>
        <v>#N/A</v>
      </c>
      <c r="AM19" t="e">
        <f t="shared" ca="1" si="11"/>
        <v>#N/A</v>
      </c>
      <c r="AN19" t="e">
        <f t="shared" ca="1" si="8"/>
        <v>#N/A</v>
      </c>
      <c r="AO19" t="e">
        <f t="shared" ca="1" si="8"/>
        <v>#N/A</v>
      </c>
      <c r="AP19" t="e">
        <f t="shared" ca="1" si="8"/>
        <v>#N/A</v>
      </c>
      <c r="AQ19" t="e">
        <f t="shared" ca="1" si="8"/>
        <v>#N/A</v>
      </c>
      <c r="AR19" t="e">
        <f t="shared" ca="1" si="8"/>
        <v>#N/A</v>
      </c>
      <c r="AS19" t="e">
        <f t="shared" ca="1" si="8"/>
        <v>#N/A</v>
      </c>
    </row>
    <row r="20" spans="1:45" x14ac:dyDescent="0.2">
      <c r="A20">
        <f>ROW()</f>
        <v>20</v>
      </c>
      <c r="B20" t="str">
        <f t="shared" si="9"/>
        <v>INTO TVA</v>
      </c>
      <c r="D20" s="4" t="e">
        <f t="shared" ref="D20:AM20" ca="1" si="12">D9/D$4</f>
        <v>#N/A</v>
      </c>
      <c r="E20" s="4" t="e">
        <f t="shared" ca="1" si="12"/>
        <v>#N/A</v>
      </c>
      <c r="F20" s="4" t="e">
        <f t="shared" ca="1" si="12"/>
        <v>#N/A</v>
      </c>
      <c r="G20" s="4" t="e">
        <f t="shared" ca="1" si="12"/>
        <v>#N/A</v>
      </c>
      <c r="H20" s="4" t="e">
        <f t="shared" ca="1" si="12"/>
        <v>#N/A</v>
      </c>
      <c r="I20" s="4" t="e">
        <f t="shared" ca="1" si="12"/>
        <v>#N/A</v>
      </c>
      <c r="J20" t="e">
        <f t="shared" ca="1" si="12"/>
        <v>#N/A</v>
      </c>
      <c r="K20" t="e">
        <f t="shared" ca="1" si="12"/>
        <v>#N/A</v>
      </c>
      <c r="L20" t="e">
        <f t="shared" ca="1" si="12"/>
        <v>#N/A</v>
      </c>
      <c r="M20" t="e">
        <f t="shared" ca="1" si="12"/>
        <v>#N/A</v>
      </c>
      <c r="N20" t="e">
        <f t="shared" ca="1" si="12"/>
        <v>#N/A</v>
      </c>
      <c r="O20" t="e">
        <f t="shared" ca="1" si="12"/>
        <v>#N/A</v>
      </c>
      <c r="P20" t="e">
        <f t="shared" ca="1" si="12"/>
        <v>#N/A</v>
      </c>
      <c r="Q20" t="e">
        <f t="shared" ca="1" si="12"/>
        <v>#N/A</v>
      </c>
      <c r="R20" t="e">
        <f t="shared" ca="1" si="12"/>
        <v>#N/A</v>
      </c>
      <c r="S20" t="e">
        <f t="shared" ca="1" si="12"/>
        <v>#N/A</v>
      </c>
      <c r="T20" t="e">
        <f t="shared" ca="1" si="12"/>
        <v>#N/A</v>
      </c>
      <c r="U20" t="e">
        <f t="shared" ca="1" si="12"/>
        <v>#N/A</v>
      </c>
      <c r="V20" t="e">
        <f t="shared" ca="1" si="12"/>
        <v>#N/A</v>
      </c>
      <c r="W20" t="e">
        <f t="shared" ca="1" si="12"/>
        <v>#N/A</v>
      </c>
      <c r="X20" t="e">
        <f t="shared" ca="1" si="12"/>
        <v>#N/A</v>
      </c>
      <c r="Y20" t="e">
        <f t="shared" ca="1" si="12"/>
        <v>#N/A</v>
      </c>
      <c r="Z20" t="e">
        <f t="shared" ca="1" si="12"/>
        <v>#N/A</v>
      </c>
      <c r="AA20" t="e">
        <f t="shared" ca="1" si="12"/>
        <v>#N/A</v>
      </c>
      <c r="AB20" t="e">
        <f t="shared" ca="1" si="12"/>
        <v>#N/A</v>
      </c>
      <c r="AC20" t="e">
        <f t="shared" ca="1" si="12"/>
        <v>#N/A</v>
      </c>
      <c r="AD20" t="e">
        <f t="shared" ca="1" si="12"/>
        <v>#N/A</v>
      </c>
      <c r="AE20" t="e">
        <f t="shared" ca="1" si="12"/>
        <v>#N/A</v>
      </c>
      <c r="AF20" t="e">
        <f t="shared" ca="1" si="12"/>
        <v>#N/A</v>
      </c>
      <c r="AG20" t="e">
        <f t="shared" ca="1" si="12"/>
        <v>#N/A</v>
      </c>
      <c r="AH20" t="e">
        <f t="shared" ca="1" si="12"/>
        <v>#N/A</v>
      </c>
      <c r="AI20" t="e">
        <f t="shared" ca="1" si="12"/>
        <v>#N/A</v>
      </c>
      <c r="AJ20" t="e">
        <f t="shared" ca="1" si="12"/>
        <v>#N/A</v>
      </c>
      <c r="AK20" t="e">
        <f t="shared" ca="1" si="12"/>
        <v>#N/A</v>
      </c>
      <c r="AL20" t="e">
        <f t="shared" ca="1" si="12"/>
        <v>#N/A</v>
      </c>
      <c r="AM20" t="e">
        <f t="shared" ca="1" si="12"/>
        <v>#N/A</v>
      </c>
      <c r="AN20" t="e">
        <f t="shared" ca="1" si="8"/>
        <v>#N/A</v>
      </c>
      <c r="AO20" t="e">
        <f t="shared" ca="1" si="8"/>
        <v>#N/A</v>
      </c>
      <c r="AP20" t="e">
        <f t="shared" ca="1" si="8"/>
        <v>#N/A</v>
      </c>
      <c r="AQ20" t="e">
        <f t="shared" ca="1" si="8"/>
        <v>#N/A</v>
      </c>
      <c r="AR20" t="e">
        <f t="shared" ca="1" si="8"/>
        <v>#N/A</v>
      </c>
      <c r="AS20" t="e">
        <f t="shared" ca="1" si="8"/>
        <v>#N/A</v>
      </c>
    </row>
    <row r="21" spans="1:45" x14ac:dyDescent="0.2">
      <c r="A21">
        <f>ROW()</f>
        <v>21</v>
      </c>
      <c r="B21" t="str">
        <f t="shared" si="9"/>
        <v>NEPOOL</v>
      </c>
      <c r="D21" s="4" t="e">
        <f t="shared" ref="D21:AM21" ca="1" si="13">D10/D$4</f>
        <v>#N/A</v>
      </c>
      <c r="E21" s="4" t="e">
        <f t="shared" ca="1" si="13"/>
        <v>#N/A</v>
      </c>
      <c r="F21" s="4" t="e">
        <f t="shared" ca="1" si="13"/>
        <v>#N/A</v>
      </c>
      <c r="G21" s="4" t="e">
        <f t="shared" ca="1" si="13"/>
        <v>#N/A</v>
      </c>
      <c r="H21" s="4" t="e">
        <f t="shared" ca="1" si="13"/>
        <v>#N/A</v>
      </c>
      <c r="I21" s="4" t="e">
        <f t="shared" ca="1" si="13"/>
        <v>#N/A</v>
      </c>
      <c r="J21" t="e">
        <f t="shared" ca="1" si="13"/>
        <v>#N/A</v>
      </c>
      <c r="K21" t="e">
        <f t="shared" ca="1" si="13"/>
        <v>#N/A</v>
      </c>
      <c r="L21" t="e">
        <f t="shared" ca="1" si="13"/>
        <v>#N/A</v>
      </c>
      <c r="M21" t="e">
        <f t="shared" ca="1" si="13"/>
        <v>#N/A</v>
      </c>
      <c r="N21" t="e">
        <f t="shared" ca="1" si="13"/>
        <v>#N/A</v>
      </c>
      <c r="O21" t="e">
        <f t="shared" ca="1" si="13"/>
        <v>#N/A</v>
      </c>
      <c r="P21" t="e">
        <f t="shared" ca="1" si="13"/>
        <v>#N/A</v>
      </c>
      <c r="Q21" t="e">
        <f t="shared" ca="1" si="13"/>
        <v>#N/A</v>
      </c>
      <c r="R21" t="e">
        <f t="shared" ca="1" si="13"/>
        <v>#N/A</v>
      </c>
      <c r="S21" t="e">
        <f t="shared" ca="1" si="13"/>
        <v>#N/A</v>
      </c>
      <c r="T21" t="e">
        <f t="shared" ca="1" si="13"/>
        <v>#N/A</v>
      </c>
      <c r="U21" t="e">
        <f t="shared" ca="1" si="13"/>
        <v>#N/A</v>
      </c>
      <c r="V21" t="e">
        <f t="shared" ca="1" si="13"/>
        <v>#N/A</v>
      </c>
      <c r="W21" t="e">
        <f t="shared" ca="1" si="13"/>
        <v>#N/A</v>
      </c>
      <c r="X21" t="e">
        <f t="shared" ca="1" si="13"/>
        <v>#N/A</v>
      </c>
      <c r="Y21" t="e">
        <f t="shared" ca="1" si="13"/>
        <v>#N/A</v>
      </c>
      <c r="Z21" t="e">
        <f t="shared" ca="1" si="13"/>
        <v>#N/A</v>
      </c>
      <c r="AA21" t="e">
        <f t="shared" ca="1" si="13"/>
        <v>#N/A</v>
      </c>
      <c r="AB21" t="e">
        <f t="shared" ca="1" si="13"/>
        <v>#N/A</v>
      </c>
      <c r="AC21" t="e">
        <f t="shared" ca="1" si="13"/>
        <v>#N/A</v>
      </c>
      <c r="AD21" t="e">
        <f t="shared" ca="1" si="13"/>
        <v>#N/A</v>
      </c>
      <c r="AE21" t="e">
        <f t="shared" ca="1" si="13"/>
        <v>#N/A</v>
      </c>
      <c r="AF21" t="e">
        <f t="shared" ca="1" si="13"/>
        <v>#N/A</v>
      </c>
      <c r="AG21" t="e">
        <f t="shared" ca="1" si="13"/>
        <v>#N/A</v>
      </c>
      <c r="AH21" t="e">
        <f t="shared" ca="1" si="13"/>
        <v>#N/A</v>
      </c>
      <c r="AI21" t="e">
        <f t="shared" ca="1" si="13"/>
        <v>#N/A</v>
      </c>
      <c r="AJ21" t="e">
        <f t="shared" ca="1" si="13"/>
        <v>#N/A</v>
      </c>
      <c r="AK21" t="e">
        <f t="shared" ca="1" si="13"/>
        <v>#N/A</v>
      </c>
      <c r="AL21" t="e">
        <f t="shared" ca="1" si="13"/>
        <v>#N/A</v>
      </c>
      <c r="AM21" t="e">
        <f t="shared" ca="1" si="13"/>
        <v>#N/A</v>
      </c>
      <c r="AN21" t="e">
        <f t="shared" ca="1" si="8"/>
        <v>#N/A</v>
      </c>
      <c r="AO21" t="e">
        <f t="shared" ca="1" si="8"/>
        <v>#N/A</v>
      </c>
      <c r="AP21" t="e">
        <f t="shared" ca="1" si="8"/>
        <v>#N/A</v>
      </c>
      <c r="AQ21" t="e">
        <f t="shared" ca="1" si="8"/>
        <v>#N/A</v>
      </c>
      <c r="AR21" t="e">
        <f t="shared" ca="1" si="8"/>
        <v>#N/A</v>
      </c>
      <c r="AS21" t="e">
        <f t="shared" ca="1" si="8"/>
        <v>#N/A</v>
      </c>
    </row>
    <row r="22" spans="1:45" x14ac:dyDescent="0.2">
      <c r="A22">
        <f>ROW()</f>
        <v>22</v>
      </c>
      <c r="B22" t="str">
        <f t="shared" si="9"/>
        <v>NSP</v>
      </c>
      <c r="D22" s="4" t="e">
        <f t="shared" ref="D22:AM22" ca="1" si="14">D11/D$4</f>
        <v>#N/A</v>
      </c>
      <c r="E22" s="4" t="e">
        <f t="shared" ca="1" si="14"/>
        <v>#N/A</v>
      </c>
      <c r="F22" s="4" t="e">
        <f t="shared" ca="1" si="14"/>
        <v>#N/A</v>
      </c>
      <c r="G22" s="4" t="e">
        <f t="shared" ca="1" si="14"/>
        <v>#N/A</v>
      </c>
      <c r="H22" s="4" t="e">
        <f t="shared" ca="1" si="14"/>
        <v>#N/A</v>
      </c>
      <c r="I22" s="4" t="e">
        <f t="shared" ca="1" si="14"/>
        <v>#N/A</v>
      </c>
      <c r="J22" t="e">
        <f t="shared" ca="1" si="14"/>
        <v>#N/A</v>
      </c>
      <c r="K22" t="e">
        <f t="shared" ca="1" si="14"/>
        <v>#N/A</v>
      </c>
      <c r="L22" t="e">
        <f t="shared" ca="1" si="14"/>
        <v>#N/A</v>
      </c>
      <c r="M22" t="e">
        <f t="shared" ca="1" si="14"/>
        <v>#N/A</v>
      </c>
      <c r="N22" t="e">
        <f t="shared" ca="1" si="14"/>
        <v>#N/A</v>
      </c>
      <c r="O22" t="e">
        <f t="shared" ca="1" si="14"/>
        <v>#N/A</v>
      </c>
      <c r="P22" t="e">
        <f t="shared" ca="1" si="14"/>
        <v>#N/A</v>
      </c>
      <c r="Q22" t="e">
        <f t="shared" ca="1" si="14"/>
        <v>#N/A</v>
      </c>
      <c r="R22" t="e">
        <f t="shared" ca="1" si="14"/>
        <v>#N/A</v>
      </c>
      <c r="S22" t="e">
        <f t="shared" ca="1" si="14"/>
        <v>#N/A</v>
      </c>
      <c r="T22" t="e">
        <f t="shared" ca="1" si="14"/>
        <v>#N/A</v>
      </c>
      <c r="U22" t="e">
        <f t="shared" ca="1" si="14"/>
        <v>#N/A</v>
      </c>
      <c r="V22" t="e">
        <f t="shared" ca="1" si="14"/>
        <v>#N/A</v>
      </c>
      <c r="W22" t="e">
        <f t="shared" ca="1" si="14"/>
        <v>#N/A</v>
      </c>
      <c r="X22" t="e">
        <f t="shared" ca="1" si="14"/>
        <v>#N/A</v>
      </c>
      <c r="Y22" t="e">
        <f t="shared" ca="1" si="14"/>
        <v>#N/A</v>
      </c>
      <c r="Z22" t="e">
        <f t="shared" ca="1" si="14"/>
        <v>#N/A</v>
      </c>
      <c r="AA22" t="e">
        <f t="shared" ca="1" si="14"/>
        <v>#N/A</v>
      </c>
      <c r="AB22" t="e">
        <f t="shared" ca="1" si="14"/>
        <v>#N/A</v>
      </c>
      <c r="AC22" t="e">
        <f t="shared" ca="1" si="14"/>
        <v>#N/A</v>
      </c>
      <c r="AD22" t="e">
        <f t="shared" ca="1" si="14"/>
        <v>#N/A</v>
      </c>
      <c r="AE22" t="e">
        <f t="shared" ca="1" si="14"/>
        <v>#N/A</v>
      </c>
      <c r="AF22" t="e">
        <f t="shared" ca="1" si="14"/>
        <v>#N/A</v>
      </c>
      <c r="AG22" t="e">
        <f t="shared" ca="1" si="14"/>
        <v>#N/A</v>
      </c>
      <c r="AH22" t="e">
        <f t="shared" ca="1" si="14"/>
        <v>#N/A</v>
      </c>
      <c r="AI22" t="e">
        <f t="shared" ca="1" si="14"/>
        <v>#N/A</v>
      </c>
      <c r="AJ22" t="e">
        <f t="shared" ca="1" si="14"/>
        <v>#N/A</v>
      </c>
      <c r="AK22" t="e">
        <f t="shared" ca="1" si="14"/>
        <v>#N/A</v>
      </c>
      <c r="AL22" t="e">
        <f t="shared" ca="1" si="14"/>
        <v>#N/A</v>
      </c>
      <c r="AM22" t="e">
        <f t="shared" ca="1" si="14"/>
        <v>#N/A</v>
      </c>
      <c r="AN22" t="e">
        <f t="shared" ca="1" si="8"/>
        <v>#N/A</v>
      </c>
      <c r="AO22" t="e">
        <f t="shared" ca="1" si="8"/>
        <v>#N/A</v>
      </c>
      <c r="AP22" t="e">
        <f t="shared" ca="1" si="8"/>
        <v>#N/A</v>
      </c>
      <c r="AQ22" t="e">
        <f t="shared" ca="1" si="8"/>
        <v>#N/A</v>
      </c>
      <c r="AR22" t="e">
        <f t="shared" ca="1" si="8"/>
        <v>#N/A</v>
      </c>
      <c r="AS22" t="e">
        <f t="shared" ca="1" si="8"/>
        <v>#N/A</v>
      </c>
    </row>
    <row r="23" spans="1:45" x14ac:dyDescent="0.2">
      <c r="A23">
        <f>ROW()</f>
        <v>23</v>
      </c>
      <c r="B23" t="str">
        <f t="shared" si="9"/>
        <v>NY EAST</v>
      </c>
      <c r="D23" s="4" t="e">
        <f t="shared" ref="D23:AM23" ca="1" si="15">D12/D$4</f>
        <v>#N/A</v>
      </c>
      <c r="E23" s="4" t="e">
        <f t="shared" ca="1" si="15"/>
        <v>#N/A</v>
      </c>
      <c r="F23" s="4" t="e">
        <f t="shared" ca="1" si="15"/>
        <v>#N/A</v>
      </c>
      <c r="G23" s="4" t="e">
        <f t="shared" ca="1" si="15"/>
        <v>#N/A</v>
      </c>
      <c r="H23" s="4" t="e">
        <f t="shared" ca="1" si="15"/>
        <v>#N/A</v>
      </c>
      <c r="I23" s="4" t="e">
        <f t="shared" ca="1" si="15"/>
        <v>#N/A</v>
      </c>
      <c r="J23" t="e">
        <f t="shared" ca="1" si="15"/>
        <v>#N/A</v>
      </c>
      <c r="K23" t="e">
        <f t="shared" ca="1" si="15"/>
        <v>#N/A</v>
      </c>
      <c r="L23" t="e">
        <f t="shared" ca="1" si="15"/>
        <v>#N/A</v>
      </c>
      <c r="M23" t="e">
        <f t="shared" ca="1" si="15"/>
        <v>#N/A</v>
      </c>
      <c r="N23" t="e">
        <f t="shared" ca="1" si="15"/>
        <v>#N/A</v>
      </c>
      <c r="O23" t="e">
        <f t="shared" ca="1" si="15"/>
        <v>#N/A</v>
      </c>
      <c r="P23" t="e">
        <f t="shared" ca="1" si="15"/>
        <v>#N/A</v>
      </c>
      <c r="Q23" t="e">
        <f t="shared" ca="1" si="15"/>
        <v>#N/A</v>
      </c>
      <c r="R23" t="e">
        <f t="shared" ca="1" si="15"/>
        <v>#N/A</v>
      </c>
      <c r="S23" t="e">
        <f t="shared" ca="1" si="15"/>
        <v>#N/A</v>
      </c>
      <c r="T23" t="e">
        <f t="shared" ca="1" si="15"/>
        <v>#N/A</v>
      </c>
      <c r="U23" t="e">
        <f t="shared" ca="1" si="15"/>
        <v>#N/A</v>
      </c>
      <c r="V23" t="e">
        <f t="shared" ca="1" si="15"/>
        <v>#N/A</v>
      </c>
      <c r="W23" t="e">
        <f t="shared" ca="1" si="15"/>
        <v>#N/A</v>
      </c>
      <c r="X23" t="e">
        <f t="shared" ca="1" si="15"/>
        <v>#N/A</v>
      </c>
      <c r="Y23" t="e">
        <f t="shared" ca="1" si="15"/>
        <v>#N/A</v>
      </c>
      <c r="Z23" t="e">
        <f t="shared" ca="1" si="15"/>
        <v>#N/A</v>
      </c>
      <c r="AA23" t="e">
        <f t="shared" ca="1" si="15"/>
        <v>#N/A</v>
      </c>
      <c r="AB23" t="e">
        <f t="shared" ca="1" si="15"/>
        <v>#N/A</v>
      </c>
      <c r="AC23" t="e">
        <f t="shared" ca="1" si="15"/>
        <v>#N/A</v>
      </c>
      <c r="AD23" t="e">
        <f t="shared" ca="1" si="15"/>
        <v>#N/A</v>
      </c>
      <c r="AE23" t="e">
        <f t="shared" ca="1" si="15"/>
        <v>#N/A</v>
      </c>
      <c r="AF23" t="e">
        <f t="shared" ca="1" si="15"/>
        <v>#N/A</v>
      </c>
      <c r="AG23" t="e">
        <f t="shared" ca="1" si="15"/>
        <v>#N/A</v>
      </c>
      <c r="AH23" t="e">
        <f t="shared" ca="1" si="15"/>
        <v>#N/A</v>
      </c>
      <c r="AI23" t="e">
        <f t="shared" ca="1" si="15"/>
        <v>#N/A</v>
      </c>
      <c r="AJ23" t="e">
        <f t="shared" ca="1" si="15"/>
        <v>#N/A</v>
      </c>
      <c r="AK23" t="e">
        <f t="shared" ca="1" si="15"/>
        <v>#N/A</v>
      </c>
      <c r="AL23" t="e">
        <f t="shared" ca="1" si="15"/>
        <v>#N/A</v>
      </c>
      <c r="AM23" t="e">
        <f t="shared" ca="1" si="15"/>
        <v>#N/A</v>
      </c>
      <c r="AN23" t="e">
        <f t="shared" ca="1" si="8"/>
        <v>#N/A</v>
      </c>
      <c r="AO23" t="e">
        <f t="shared" ca="1" si="8"/>
        <v>#N/A</v>
      </c>
      <c r="AP23" t="e">
        <f t="shared" ca="1" si="8"/>
        <v>#N/A</v>
      </c>
      <c r="AQ23" t="e">
        <f t="shared" ca="1" si="8"/>
        <v>#N/A</v>
      </c>
      <c r="AR23" t="e">
        <f t="shared" ca="1" si="8"/>
        <v>#N/A</v>
      </c>
      <c r="AS23" t="e">
        <f t="shared" ca="1" si="8"/>
        <v>#N/A</v>
      </c>
    </row>
    <row r="24" spans="1:45" x14ac:dyDescent="0.2">
      <c r="A24">
        <f>ROW()</f>
        <v>24</v>
      </c>
      <c r="B24" t="str">
        <f t="shared" si="9"/>
        <v>NY WEST</v>
      </c>
      <c r="D24" s="4" t="e">
        <f t="shared" ref="D24:AM24" ca="1" si="16">D13/D$4</f>
        <v>#N/A</v>
      </c>
      <c r="E24" s="4" t="e">
        <f t="shared" ca="1" si="16"/>
        <v>#N/A</v>
      </c>
      <c r="F24" s="4" t="e">
        <f t="shared" ca="1" si="16"/>
        <v>#N/A</v>
      </c>
      <c r="G24" s="4" t="e">
        <f t="shared" ca="1" si="16"/>
        <v>#N/A</v>
      </c>
      <c r="H24" s="4" t="e">
        <f t="shared" ca="1" si="16"/>
        <v>#N/A</v>
      </c>
      <c r="I24" s="4" t="e">
        <f t="shared" ca="1" si="16"/>
        <v>#N/A</v>
      </c>
      <c r="J24" t="e">
        <f t="shared" ca="1" si="16"/>
        <v>#N/A</v>
      </c>
      <c r="K24" t="e">
        <f t="shared" ca="1" si="16"/>
        <v>#N/A</v>
      </c>
      <c r="L24" t="e">
        <f t="shared" ca="1" si="16"/>
        <v>#N/A</v>
      </c>
      <c r="M24" t="e">
        <f t="shared" ca="1" si="16"/>
        <v>#N/A</v>
      </c>
      <c r="N24" t="e">
        <f t="shared" ca="1" si="16"/>
        <v>#N/A</v>
      </c>
      <c r="O24" t="e">
        <f t="shared" ca="1" si="16"/>
        <v>#N/A</v>
      </c>
      <c r="P24" t="e">
        <f t="shared" ca="1" si="16"/>
        <v>#N/A</v>
      </c>
      <c r="Q24" t="e">
        <f t="shared" ca="1" si="16"/>
        <v>#N/A</v>
      </c>
      <c r="R24" t="e">
        <f t="shared" ca="1" si="16"/>
        <v>#N/A</v>
      </c>
      <c r="S24" t="e">
        <f t="shared" ca="1" si="16"/>
        <v>#N/A</v>
      </c>
      <c r="T24" t="e">
        <f t="shared" ca="1" si="16"/>
        <v>#N/A</v>
      </c>
      <c r="U24" t="e">
        <f t="shared" ca="1" si="16"/>
        <v>#N/A</v>
      </c>
      <c r="V24" t="e">
        <f t="shared" ca="1" si="16"/>
        <v>#N/A</v>
      </c>
      <c r="W24" t="e">
        <f t="shared" ca="1" si="16"/>
        <v>#N/A</v>
      </c>
      <c r="X24" t="e">
        <f t="shared" ca="1" si="16"/>
        <v>#N/A</v>
      </c>
      <c r="Y24" t="e">
        <f t="shared" ca="1" si="16"/>
        <v>#N/A</v>
      </c>
      <c r="Z24" t="e">
        <f t="shared" ca="1" si="16"/>
        <v>#N/A</v>
      </c>
      <c r="AA24" t="e">
        <f t="shared" ca="1" si="16"/>
        <v>#N/A</v>
      </c>
      <c r="AB24" t="e">
        <f t="shared" ca="1" si="16"/>
        <v>#N/A</v>
      </c>
      <c r="AC24" t="e">
        <f t="shared" ca="1" si="16"/>
        <v>#N/A</v>
      </c>
      <c r="AD24" t="e">
        <f t="shared" ca="1" si="16"/>
        <v>#N/A</v>
      </c>
      <c r="AE24" t="e">
        <f t="shared" ca="1" si="16"/>
        <v>#N/A</v>
      </c>
      <c r="AF24" t="e">
        <f t="shared" ca="1" si="16"/>
        <v>#N/A</v>
      </c>
      <c r="AG24" t="e">
        <f t="shared" ca="1" si="16"/>
        <v>#N/A</v>
      </c>
      <c r="AH24" t="e">
        <f t="shared" ca="1" si="16"/>
        <v>#N/A</v>
      </c>
      <c r="AI24" t="e">
        <f t="shared" ca="1" si="16"/>
        <v>#N/A</v>
      </c>
      <c r="AJ24" t="e">
        <f t="shared" ca="1" si="16"/>
        <v>#N/A</v>
      </c>
      <c r="AK24" t="e">
        <f t="shared" ca="1" si="16"/>
        <v>#N/A</v>
      </c>
      <c r="AL24" t="e">
        <f t="shared" ca="1" si="16"/>
        <v>#N/A</v>
      </c>
      <c r="AM24" t="e">
        <f t="shared" ca="1" si="16"/>
        <v>#N/A</v>
      </c>
      <c r="AN24" t="e">
        <f t="shared" ca="1" si="8"/>
        <v>#N/A</v>
      </c>
      <c r="AO24" t="e">
        <f t="shared" ca="1" si="8"/>
        <v>#N/A</v>
      </c>
      <c r="AP24" t="e">
        <f t="shared" ca="1" si="8"/>
        <v>#N/A</v>
      </c>
      <c r="AQ24" t="e">
        <f t="shared" ca="1" si="8"/>
        <v>#N/A</v>
      </c>
      <c r="AR24" t="e">
        <f t="shared" ca="1" si="8"/>
        <v>#N/A</v>
      </c>
      <c r="AS24" t="e">
        <f t="shared" ca="1" si="8"/>
        <v>#N/A</v>
      </c>
    </row>
    <row r="25" spans="1:45" x14ac:dyDescent="0.2">
      <c r="A25">
        <f>ROW()</f>
        <v>25</v>
      </c>
      <c r="B25" t="str">
        <f t="shared" si="9"/>
        <v>SOCO</v>
      </c>
      <c r="D25" s="4" t="e">
        <f t="shared" ref="D25:AM25" ca="1" si="17">D14/D$4</f>
        <v>#N/A</v>
      </c>
      <c r="E25" s="4" t="e">
        <f t="shared" ca="1" si="17"/>
        <v>#N/A</v>
      </c>
      <c r="F25" s="4" t="e">
        <f t="shared" ca="1" si="17"/>
        <v>#N/A</v>
      </c>
      <c r="G25" s="4" t="e">
        <f t="shared" ca="1" si="17"/>
        <v>#N/A</v>
      </c>
      <c r="H25" s="4" t="e">
        <f t="shared" ca="1" si="17"/>
        <v>#N/A</v>
      </c>
      <c r="I25" s="4" t="e">
        <f t="shared" ca="1" si="17"/>
        <v>#N/A</v>
      </c>
      <c r="J25" t="e">
        <f t="shared" ca="1" si="17"/>
        <v>#N/A</v>
      </c>
      <c r="K25" t="e">
        <f t="shared" ca="1" si="17"/>
        <v>#N/A</v>
      </c>
      <c r="L25" t="e">
        <f t="shared" ca="1" si="17"/>
        <v>#N/A</v>
      </c>
      <c r="M25" t="e">
        <f t="shared" ca="1" si="17"/>
        <v>#N/A</v>
      </c>
      <c r="N25" t="e">
        <f t="shared" ca="1" si="17"/>
        <v>#N/A</v>
      </c>
      <c r="O25" t="e">
        <f t="shared" ca="1" si="17"/>
        <v>#N/A</v>
      </c>
      <c r="P25" t="e">
        <f t="shared" ca="1" si="17"/>
        <v>#N/A</v>
      </c>
      <c r="Q25" t="e">
        <f t="shared" ca="1" si="17"/>
        <v>#N/A</v>
      </c>
      <c r="R25" t="e">
        <f t="shared" ca="1" si="17"/>
        <v>#N/A</v>
      </c>
      <c r="S25" t="e">
        <f t="shared" ca="1" si="17"/>
        <v>#N/A</v>
      </c>
      <c r="T25" t="e">
        <f t="shared" ca="1" si="17"/>
        <v>#N/A</v>
      </c>
      <c r="U25" t="e">
        <f t="shared" ca="1" si="17"/>
        <v>#N/A</v>
      </c>
      <c r="V25" t="e">
        <f t="shared" ca="1" si="17"/>
        <v>#N/A</v>
      </c>
      <c r="W25" t="e">
        <f t="shared" ca="1" si="17"/>
        <v>#N/A</v>
      </c>
      <c r="X25" t="e">
        <f t="shared" ca="1" si="17"/>
        <v>#N/A</v>
      </c>
      <c r="Y25" t="e">
        <f t="shared" ca="1" si="17"/>
        <v>#N/A</v>
      </c>
      <c r="Z25" t="e">
        <f t="shared" ca="1" si="17"/>
        <v>#N/A</v>
      </c>
      <c r="AA25" t="e">
        <f t="shared" ca="1" si="17"/>
        <v>#N/A</v>
      </c>
      <c r="AB25" t="e">
        <f t="shared" ca="1" si="17"/>
        <v>#N/A</v>
      </c>
      <c r="AC25" t="e">
        <f t="shared" ca="1" si="17"/>
        <v>#N/A</v>
      </c>
      <c r="AD25" t="e">
        <f t="shared" ca="1" si="17"/>
        <v>#N/A</v>
      </c>
      <c r="AE25" t="e">
        <f t="shared" ca="1" si="17"/>
        <v>#N/A</v>
      </c>
      <c r="AF25" t="e">
        <f t="shared" ca="1" si="17"/>
        <v>#N/A</v>
      </c>
      <c r="AG25" t="e">
        <f t="shared" ca="1" si="17"/>
        <v>#N/A</v>
      </c>
      <c r="AH25" t="e">
        <f t="shared" ca="1" si="17"/>
        <v>#N/A</v>
      </c>
      <c r="AI25" t="e">
        <f t="shared" ca="1" si="17"/>
        <v>#N/A</v>
      </c>
      <c r="AJ25" t="e">
        <f t="shared" ca="1" si="17"/>
        <v>#N/A</v>
      </c>
      <c r="AK25" t="e">
        <f t="shared" ca="1" si="17"/>
        <v>#N/A</v>
      </c>
      <c r="AL25" t="e">
        <f t="shared" ca="1" si="17"/>
        <v>#N/A</v>
      </c>
      <c r="AM25" t="e">
        <f t="shared" ca="1" si="17"/>
        <v>#N/A</v>
      </c>
      <c r="AN25" t="e">
        <f t="shared" ca="1" si="8"/>
        <v>#N/A</v>
      </c>
      <c r="AO25" t="e">
        <f t="shared" ca="1" si="8"/>
        <v>#N/A</v>
      </c>
      <c r="AP25" t="e">
        <f t="shared" ca="1" si="8"/>
        <v>#N/A</v>
      </c>
      <c r="AQ25" t="e">
        <f t="shared" ca="1" si="8"/>
        <v>#N/A</v>
      </c>
      <c r="AR25" t="e">
        <f t="shared" ca="1" si="8"/>
        <v>#N/A</v>
      </c>
      <c r="AS25" t="e">
        <f t="shared" ca="1" si="8"/>
        <v>#N/A</v>
      </c>
    </row>
    <row r="26" spans="1:45" x14ac:dyDescent="0.2">
      <c r="A26">
        <f>ROW()</f>
        <v>26</v>
      </c>
      <c r="B26" t="str">
        <f t="shared" si="9"/>
        <v>WESTERN HUB</v>
      </c>
      <c r="D26" s="4" t="e">
        <f t="shared" ref="D26:AM26" ca="1" si="18">D15/D$4</f>
        <v>#N/A</v>
      </c>
      <c r="E26" s="4" t="e">
        <f t="shared" ca="1" si="18"/>
        <v>#N/A</v>
      </c>
      <c r="F26" s="4" t="e">
        <f t="shared" ca="1" si="18"/>
        <v>#N/A</v>
      </c>
      <c r="G26" s="4" t="e">
        <f t="shared" ca="1" si="18"/>
        <v>#N/A</v>
      </c>
      <c r="H26" s="4" t="e">
        <f t="shared" ca="1" si="18"/>
        <v>#N/A</v>
      </c>
      <c r="I26" s="4" t="e">
        <f t="shared" ca="1" si="18"/>
        <v>#N/A</v>
      </c>
      <c r="J26" t="e">
        <f t="shared" ca="1" si="18"/>
        <v>#N/A</v>
      </c>
      <c r="K26" t="e">
        <f t="shared" ca="1" si="18"/>
        <v>#N/A</v>
      </c>
      <c r="L26" t="e">
        <f t="shared" ca="1" si="18"/>
        <v>#N/A</v>
      </c>
      <c r="M26" t="e">
        <f t="shared" ca="1" si="18"/>
        <v>#N/A</v>
      </c>
      <c r="N26" t="e">
        <f t="shared" ca="1" si="18"/>
        <v>#N/A</v>
      </c>
      <c r="O26" t="e">
        <f t="shared" ca="1" si="18"/>
        <v>#N/A</v>
      </c>
      <c r="P26" t="e">
        <f t="shared" ca="1" si="18"/>
        <v>#N/A</v>
      </c>
      <c r="Q26" t="e">
        <f t="shared" ca="1" si="18"/>
        <v>#N/A</v>
      </c>
      <c r="R26" t="e">
        <f t="shared" ca="1" si="18"/>
        <v>#N/A</v>
      </c>
      <c r="S26" t="e">
        <f t="shared" ca="1" si="18"/>
        <v>#N/A</v>
      </c>
      <c r="T26" t="e">
        <f t="shared" ca="1" si="18"/>
        <v>#N/A</v>
      </c>
      <c r="U26" t="e">
        <f t="shared" ca="1" si="18"/>
        <v>#N/A</v>
      </c>
      <c r="V26" t="e">
        <f t="shared" ca="1" si="18"/>
        <v>#N/A</v>
      </c>
      <c r="W26" t="e">
        <f t="shared" ca="1" si="18"/>
        <v>#N/A</v>
      </c>
      <c r="X26" t="e">
        <f t="shared" ca="1" si="18"/>
        <v>#N/A</v>
      </c>
      <c r="Y26" t="e">
        <f t="shared" ca="1" si="18"/>
        <v>#N/A</v>
      </c>
      <c r="Z26" t="e">
        <f t="shared" ca="1" si="18"/>
        <v>#N/A</v>
      </c>
      <c r="AA26" t="e">
        <f t="shared" ca="1" si="18"/>
        <v>#N/A</v>
      </c>
      <c r="AB26" t="e">
        <f t="shared" ca="1" si="18"/>
        <v>#N/A</v>
      </c>
      <c r="AC26" t="e">
        <f t="shared" ca="1" si="18"/>
        <v>#N/A</v>
      </c>
      <c r="AD26" t="e">
        <f t="shared" ca="1" si="18"/>
        <v>#N/A</v>
      </c>
      <c r="AE26" t="e">
        <f t="shared" ca="1" si="18"/>
        <v>#N/A</v>
      </c>
      <c r="AF26" t="e">
        <f t="shared" ca="1" si="18"/>
        <v>#N/A</v>
      </c>
      <c r="AG26" t="e">
        <f t="shared" ca="1" si="18"/>
        <v>#N/A</v>
      </c>
      <c r="AH26" t="e">
        <f t="shared" ca="1" si="18"/>
        <v>#N/A</v>
      </c>
      <c r="AI26" t="e">
        <f t="shared" ca="1" si="18"/>
        <v>#N/A</v>
      </c>
      <c r="AJ26" t="e">
        <f t="shared" ca="1" si="18"/>
        <v>#N/A</v>
      </c>
      <c r="AK26" t="e">
        <f t="shared" ca="1" si="18"/>
        <v>#N/A</v>
      </c>
      <c r="AL26" t="e">
        <f t="shared" ca="1" si="18"/>
        <v>#N/A</v>
      </c>
      <c r="AM26" t="e">
        <f t="shared" ca="1" si="18"/>
        <v>#N/A</v>
      </c>
      <c r="AN26" t="e">
        <f t="shared" ca="1" si="8"/>
        <v>#N/A</v>
      </c>
      <c r="AO26" t="e">
        <f t="shared" ca="1" si="8"/>
        <v>#N/A</v>
      </c>
      <c r="AP26" t="e">
        <f t="shared" ca="1" si="8"/>
        <v>#N/A</v>
      </c>
      <c r="AQ26" t="e">
        <f t="shared" ca="1" si="8"/>
        <v>#N/A</v>
      </c>
      <c r="AR26" t="e">
        <f t="shared" ca="1" si="8"/>
        <v>#N/A</v>
      </c>
      <c r="AS26" t="e">
        <f t="shared" ca="1" si="8"/>
        <v>#N/A</v>
      </c>
    </row>
    <row r="27" spans="1:45" x14ac:dyDescent="0.2">
      <c r="A27">
        <f>ROW()</f>
        <v>27</v>
      </c>
    </row>
    <row r="28" spans="1:45" x14ac:dyDescent="0.2">
      <c r="A28">
        <f>ROW()</f>
        <v>28</v>
      </c>
      <c r="D28" s="4" t="s">
        <v>102</v>
      </c>
      <c r="M28" t="s">
        <v>103</v>
      </c>
    </row>
    <row r="29" spans="1:45" s="2" customFormat="1" x14ac:dyDescent="0.2">
      <c r="A29">
        <f>ROW()</f>
        <v>29</v>
      </c>
      <c r="B29" s="2" t="str">
        <f>B17</f>
        <v>CINERGY</v>
      </c>
      <c r="D29" s="210" t="e">
        <f t="shared" ref="D29:AM29" ca="1" si="19">D17</f>
        <v>#N/A</v>
      </c>
      <c r="E29" s="210" t="e">
        <f t="shared" ca="1" si="19"/>
        <v>#N/A</v>
      </c>
      <c r="F29" s="210" t="e">
        <f t="shared" ca="1" si="19"/>
        <v>#N/A</v>
      </c>
      <c r="G29" s="210" t="e">
        <f t="shared" ca="1" si="19"/>
        <v>#N/A</v>
      </c>
      <c r="H29" s="210" t="e">
        <f t="shared" ca="1" si="19"/>
        <v>#N/A</v>
      </c>
      <c r="I29" s="210" t="e">
        <f t="shared" ca="1" si="19"/>
        <v>#N/A</v>
      </c>
      <c r="J29" s="2" t="e">
        <f t="shared" ca="1" si="19"/>
        <v>#N/A</v>
      </c>
      <c r="K29" s="2" t="e">
        <f t="shared" ca="1" si="19"/>
        <v>#N/A</v>
      </c>
      <c r="L29" s="2" t="e">
        <f t="shared" ca="1" si="19"/>
        <v>#N/A</v>
      </c>
      <c r="M29" s="2" t="e">
        <f t="shared" ca="1" si="19"/>
        <v>#N/A</v>
      </c>
      <c r="N29" s="2" t="e">
        <f t="shared" ca="1" si="19"/>
        <v>#N/A</v>
      </c>
      <c r="O29" s="2" t="e">
        <f t="shared" ca="1" si="19"/>
        <v>#N/A</v>
      </c>
      <c r="P29" s="2" t="e">
        <f t="shared" ca="1" si="19"/>
        <v>#N/A</v>
      </c>
      <c r="Q29" s="2" t="e">
        <f t="shared" ca="1" si="19"/>
        <v>#N/A</v>
      </c>
      <c r="R29" s="2" t="e">
        <f t="shared" ca="1" si="19"/>
        <v>#N/A</v>
      </c>
      <c r="S29" s="2" t="e">
        <f t="shared" ca="1" si="19"/>
        <v>#N/A</v>
      </c>
      <c r="T29" s="2" t="e">
        <f t="shared" ca="1" si="19"/>
        <v>#N/A</v>
      </c>
      <c r="U29" s="2" t="e">
        <f t="shared" ca="1" si="19"/>
        <v>#N/A</v>
      </c>
      <c r="V29" s="2" t="e">
        <f t="shared" ca="1" si="19"/>
        <v>#N/A</v>
      </c>
      <c r="W29" s="2" t="e">
        <f t="shared" ca="1" si="19"/>
        <v>#N/A</v>
      </c>
      <c r="X29" s="2" t="e">
        <f t="shared" ca="1" si="19"/>
        <v>#N/A</v>
      </c>
      <c r="Y29" s="2" t="e">
        <f t="shared" ca="1" si="19"/>
        <v>#N/A</v>
      </c>
      <c r="Z29" s="2" t="e">
        <f t="shared" ca="1" si="19"/>
        <v>#N/A</v>
      </c>
      <c r="AA29" s="2" t="e">
        <f t="shared" ca="1" si="19"/>
        <v>#N/A</v>
      </c>
      <c r="AB29" s="2" t="e">
        <f t="shared" ca="1" si="19"/>
        <v>#N/A</v>
      </c>
      <c r="AC29" s="2" t="e">
        <f t="shared" ca="1" si="19"/>
        <v>#N/A</v>
      </c>
      <c r="AD29" s="2" t="e">
        <f t="shared" ca="1" si="19"/>
        <v>#N/A</v>
      </c>
      <c r="AE29" s="2" t="e">
        <f t="shared" ca="1" si="19"/>
        <v>#N/A</v>
      </c>
      <c r="AF29" s="2" t="e">
        <f t="shared" ca="1" si="19"/>
        <v>#N/A</v>
      </c>
      <c r="AG29" s="2" t="e">
        <f t="shared" ca="1" si="19"/>
        <v>#N/A</v>
      </c>
      <c r="AH29" s="2" t="e">
        <f t="shared" ca="1" si="19"/>
        <v>#N/A</v>
      </c>
      <c r="AI29" s="2" t="e">
        <f t="shared" ca="1" si="19"/>
        <v>#N/A</v>
      </c>
      <c r="AJ29" s="2" t="e">
        <f t="shared" ca="1" si="19"/>
        <v>#N/A</v>
      </c>
      <c r="AK29" s="2" t="e">
        <f t="shared" ca="1" si="19"/>
        <v>#N/A</v>
      </c>
      <c r="AL29" s="2" t="e">
        <f t="shared" ca="1" si="19"/>
        <v>#N/A</v>
      </c>
      <c r="AM29" s="2" t="e">
        <f t="shared" ca="1" si="19"/>
        <v>#N/A</v>
      </c>
      <c r="AN29" s="2" t="e">
        <f t="shared" ref="AN29:AS33" ca="1" si="20">AN17</f>
        <v>#N/A</v>
      </c>
      <c r="AO29" s="2" t="e">
        <f t="shared" ca="1" si="20"/>
        <v>#N/A</v>
      </c>
      <c r="AP29" s="2" t="e">
        <f t="shared" ca="1" si="20"/>
        <v>#N/A</v>
      </c>
      <c r="AQ29" s="2" t="e">
        <f t="shared" ca="1" si="20"/>
        <v>#N/A</v>
      </c>
      <c r="AR29" s="2" t="e">
        <f t="shared" ca="1" si="20"/>
        <v>#N/A</v>
      </c>
      <c r="AS29" s="2" t="e">
        <f t="shared" ca="1" si="20"/>
        <v>#N/A</v>
      </c>
    </row>
    <row r="30" spans="1:45" s="2" customFormat="1" x14ac:dyDescent="0.2">
      <c r="A30">
        <f>ROW()</f>
        <v>30</v>
      </c>
      <c r="B30" s="2" t="str">
        <f t="shared" ref="B30:B38" si="21">B18</f>
        <v>INTO AEP</v>
      </c>
      <c r="D30" s="210" t="e">
        <f t="shared" ref="D30:AM30" ca="1" si="22">D18</f>
        <v>#N/A</v>
      </c>
      <c r="E30" s="210" t="e">
        <f t="shared" ca="1" si="22"/>
        <v>#N/A</v>
      </c>
      <c r="F30" s="210" t="e">
        <f t="shared" ca="1" si="22"/>
        <v>#N/A</v>
      </c>
      <c r="G30" s="210" t="e">
        <f t="shared" ca="1" si="22"/>
        <v>#N/A</v>
      </c>
      <c r="H30" s="210" t="e">
        <f t="shared" ca="1" si="22"/>
        <v>#N/A</v>
      </c>
      <c r="I30" s="210" t="e">
        <f t="shared" ca="1" si="22"/>
        <v>#N/A</v>
      </c>
      <c r="J30" s="2" t="e">
        <f t="shared" ca="1" si="22"/>
        <v>#N/A</v>
      </c>
      <c r="K30" s="2" t="e">
        <f t="shared" ca="1" si="22"/>
        <v>#N/A</v>
      </c>
      <c r="L30" s="2" t="e">
        <f t="shared" ca="1" si="22"/>
        <v>#N/A</v>
      </c>
      <c r="M30" s="2" t="e">
        <f t="shared" ca="1" si="22"/>
        <v>#N/A</v>
      </c>
      <c r="N30" s="2" t="e">
        <f t="shared" ca="1" si="22"/>
        <v>#N/A</v>
      </c>
      <c r="O30" s="2" t="e">
        <f t="shared" ca="1" si="22"/>
        <v>#N/A</v>
      </c>
      <c r="P30" s="2" t="e">
        <f t="shared" ca="1" si="22"/>
        <v>#N/A</v>
      </c>
      <c r="Q30" s="2" t="e">
        <f t="shared" ca="1" si="22"/>
        <v>#N/A</v>
      </c>
      <c r="R30" s="2" t="e">
        <f t="shared" ca="1" si="22"/>
        <v>#N/A</v>
      </c>
      <c r="S30" s="2" t="e">
        <f t="shared" ca="1" si="22"/>
        <v>#N/A</v>
      </c>
      <c r="T30" s="2" t="e">
        <f t="shared" ca="1" si="22"/>
        <v>#N/A</v>
      </c>
      <c r="U30" s="2" t="e">
        <f t="shared" ca="1" si="22"/>
        <v>#N/A</v>
      </c>
      <c r="V30" s="2" t="e">
        <f t="shared" ca="1" si="22"/>
        <v>#N/A</v>
      </c>
      <c r="W30" s="2" t="e">
        <f t="shared" ca="1" si="22"/>
        <v>#N/A</v>
      </c>
      <c r="X30" s="2" t="e">
        <f t="shared" ca="1" si="22"/>
        <v>#N/A</v>
      </c>
      <c r="Y30" s="2" t="e">
        <f t="shared" ca="1" si="22"/>
        <v>#N/A</v>
      </c>
      <c r="Z30" s="2" t="e">
        <f t="shared" ca="1" si="22"/>
        <v>#N/A</v>
      </c>
      <c r="AA30" s="2" t="e">
        <f t="shared" ca="1" si="22"/>
        <v>#N/A</v>
      </c>
      <c r="AB30" s="2" t="e">
        <f t="shared" ca="1" si="22"/>
        <v>#N/A</v>
      </c>
      <c r="AC30" s="2" t="e">
        <f t="shared" ca="1" si="22"/>
        <v>#N/A</v>
      </c>
      <c r="AD30" s="2" t="e">
        <f t="shared" ca="1" si="22"/>
        <v>#N/A</v>
      </c>
      <c r="AE30" s="2" t="e">
        <f t="shared" ca="1" si="22"/>
        <v>#N/A</v>
      </c>
      <c r="AF30" s="2" t="e">
        <f t="shared" ca="1" si="22"/>
        <v>#N/A</v>
      </c>
      <c r="AG30" s="2" t="e">
        <f t="shared" ca="1" si="22"/>
        <v>#N/A</v>
      </c>
      <c r="AH30" s="2" t="e">
        <f t="shared" ca="1" si="22"/>
        <v>#N/A</v>
      </c>
      <c r="AI30" s="2" t="e">
        <f t="shared" ca="1" si="22"/>
        <v>#N/A</v>
      </c>
      <c r="AJ30" s="2" t="e">
        <f t="shared" ca="1" si="22"/>
        <v>#N/A</v>
      </c>
      <c r="AK30" s="2" t="e">
        <f t="shared" ca="1" si="22"/>
        <v>#N/A</v>
      </c>
      <c r="AL30" s="2" t="e">
        <f t="shared" ca="1" si="22"/>
        <v>#N/A</v>
      </c>
      <c r="AM30" s="2" t="e">
        <f t="shared" ca="1" si="22"/>
        <v>#N/A</v>
      </c>
      <c r="AN30" s="2" t="e">
        <f t="shared" ca="1" si="20"/>
        <v>#N/A</v>
      </c>
      <c r="AO30" s="2" t="e">
        <f t="shared" ca="1" si="20"/>
        <v>#N/A</v>
      </c>
      <c r="AP30" s="2" t="e">
        <f t="shared" ca="1" si="20"/>
        <v>#N/A</v>
      </c>
      <c r="AQ30" s="2" t="e">
        <f t="shared" ca="1" si="20"/>
        <v>#N/A</v>
      </c>
      <c r="AR30" s="2" t="e">
        <f t="shared" ca="1" si="20"/>
        <v>#N/A</v>
      </c>
      <c r="AS30" s="2" t="e">
        <f t="shared" ca="1" si="20"/>
        <v>#N/A</v>
      </c>
    </row>
    <row r="31" spans="1:45" s="2" customFormat="1" x14ac:dyDescent="0.2">
      <c r="A31">
        <f>ROW()</f>
        <v>31</v>
      </c>
      <c r="B31" s="2" t="str">
        <f t="shared" si="21"/>
        <v>INTO COMED</v>
      </c>
      <c r="D31" s="210" t="e">
        <f t="shared" ref="D31:AM31" ca="1" si="23">D19</f>
        <v>#N/A</v>
      </c>
      <c r="E31" s="210" t="e">
        <f t="shared" ca="1" si="23"/>
        <v>#N/A</v>
      </c>
      <c r="F31" s="210" t="e">
        <f t="shared" ca="1" si="23"/>
        <v>#N/A</v>
      </c>
      <c r="G31" s="210" t="e">
        <f t="shared" ca="1" si="23"/>
        <v>#N/A</v>
      </c>
      <c r="H31" s="210" t="e">
        <f t="shared" ca="1" si="23"/>
        <v>#N/A</v>
      </c>
      <c r="I31" s="210" t="e">
        <f t="shared" ca="1" si="23"/>
        <v>#N/A</v>
      </c>
      <c r="J31" s="2" t="e">
        <f t="shared" ca="1" si="23"/>
        <v>#N/A</v>
      </c>
      <c r="K31" s="2" t="e">
        <f t="shared" ca="1" si="23"/>
        <v>#N/A</v>
      </c>
      <c r="L31" s="2" t="e">
        <f t="shared" ca="1" si="23"/>
        <v>#N/A</v>
      </c>
      <c r="M31" s="2" t="e">
        <f t="shared" ca="1" si="23"/>
        <v>#N/A</v>
      </c>
      <c r="N31" s="2" t="e">
        <f t="shared" ca="1" si="23"/>
        <v>#N/A</v>
      </c>
      <c r="O31" s="2" t="e">
        <f t="shared" ca="1" si="23"/>
        <v>#N/A</v>
      </c>
      <c r="P31" s="2" t="e">
        <f t="shared" ca="1" si="23"/>
        <v>#N/A</v>
      </c>
      <c r="Q31" s="2" t="e">
        <f t="shared" ca="1" si="23"/>
        <v>#N/A</v>
      </c>
      <c r="R31" s="2" t="e">
        <f t="shared" ca="1" si="23"/>
        <v>#N/A</v>
      </c>
      <c r="S31" s="2" t="e">
        <f t="shared" ca="1" si="23"/>
        <v>#N/A</v>
      </c>
      <c r="T31" s="2" t="e">
        <f t="shared" ca="1" si="23"/>
        <v>#N/A</v>
      </c>
      <c r="U31" s="2" t="e">
        <f t="shared" ca="1" si="23"/>
        <v>#N/A</v>
      </c>
      <c r="V31" s="2" t="e">
        <f t="shared" ca="1" si="23"/>
        <v>#N/A</v>
      </c>
      <c r="W31" s="2" t="e">
        <f t="shared" ca="1" si="23"/>
        <v>#N/A</v>
      </c>
      <c r="X31" s="2" t="e">
        <f t="shared" ca="1" si="23"/>
        <v>#N/A</v>
      </c>
      <c r="Y31" s="2" t="e">
        <f t="shared" ca="1" si="23"/>
        <v>#N/A</v>
      </c>
      <c r="Z31" s="2" t="e">
        <f t="shared" ca="1" si="23"/>
        <v>#N/A</v>
      </c>
      <c r="AA31" s="2" t="e">
        <f t="shared" ca="1" si="23"/>
        <v>#N/A</v>
      </c>
      <c r="AB31" s="2" t="e">
        <f t="shared" ca="1" si="23"/>
        <v>#N/A</v>
      </c>
      <c r="AC31" s="2" t="e">
        <f t="shared" ca="1" si="23"/>
        <v>#N/A</v>
      </c>
      <c r="AD31" s="2" t="e">
        <f t="shared" ca="1" si="23"/>
        <v>#N/A</v>
      </c>
      <c r="AE31" s="2" t="e">
        <f t="shared" ca="1" si="23"/>
        <v>#N/A</v>
      </c>
      <c r="AF31" s="2" t="e">
        <f t="shared" ca="1" si="23"/>
        <v>#N/A</v>
      </c>
      <c r="AG31" s="2" t="e">
        <f t="shared" ca="1" si="23"/>
        <v>#N/A</v>
      </c>
      <c r="AH31" s="2" t="e">
        <f t="shared" ca="1" si="23"/>
        <v>#N/A</v>
      </c>
      <c r="AI31" s="2" t="e">
        <f t="shared" ca="1" si="23"/>
        <v>#N/A</v>
      </c>
      <c r="AJ31" s="2" t="e">
        <f t="shared" ca="1" si="23"/>
        <v>#N/A</v>
      </c>
      <c r="AK31" s="2" t="e">
        <f t="shared" ca="1" si="23"/>
        <v>#N/A</v>
      </c>
      <c r="AL31" s="2" t="e">
        <f t="shared" ca="1" si="23"/>
        <v>#N/A</v>
      </c>
      <c r="AM31" s="2" t="e">
        <f t="shared" ca="1" si="23"/>
        <v>#N/A</v>
      </c>
      <c r="AN31" s="2" t="e">
        <f t="shared" ca="1" si="20"/>
        <v>#N/A</v>
      </c>
      <c r="AO31" s="2" t="e">
        <f t="shared" ca="1" si="20"/>
        <v>#N/A</v>
      </c>
      <c r="AP31" s="2" t="e">
        <f t="shared" ca="1" si="20"/>
        <v>#N/A</v>
      </c>
      <c r="AQ31" s="2" t="e">
        <f t="shared" ca="1" si="20"/>
        <v>#N/A</v>
      </c>
      <c r="AR31" s="2" t="e">
        <f t="shared" ca="1" si="20"/>
        <v>#N/A</v>
      </c>
      <c r="AS31" s="2" t="e">
        <f t="shared" ca="1" si="20"/>
        <v>#N/A</v>
      </c>
    </row>
    <row r="32" spans="1:45" s="2" customFormat="1" x14ac:dyDescent="0.2">
      <c r="A32">
        <f>ROW()</f>
        <v>32</v>
      </c>
      <c r="B32" s="2" t="str">
        <f t="shared" si="21"/>
        <v>INTO TVA</v>
      </c>
      <c r="D32" s="210" t="e">
        <f t="shared" ref="D32:AM33" ca="1" si="24">D20</f>
        <v>#N/A</v>
      </c>
      <c r="E32" s="210" t="e">
        <f t="shared" ca="1" si="24"/>
        <v>#N/A</v>
      </c>
      <c r="F32" s="210" t="e">
        <f t="shared" ca="1" si="24"/>
        <v>#N/A</v>
      </c>
      <c r="G32" s="210" t="e">
        <f t="shared" ca="1" si="24"/>
        <v>#N/A</v>
      </c>
      <c r="H32" s="210" t="e">
        <f t="shared" ca="1" si="24"/>
        <v>#N/A</v>
      </c>
      <c r="I32" s="210" t="e">
        <f t="shared" ca="1" si="24"/>
        <v>#N/A</v>
      </c>
      <c r="J32" s="2" t="e">
        <f t="shared" ca="1" si="24"/>
        <v>#N/A</v>
      </c>
      <c r="K32" s="2" t="e">
        <f t="shared" ca="1" si="24"/>
        <v>#N/A</v>
      </c>
      <c r="L32" s="2" t="e">
        <f t="shared" ca="1" si="24"/>
        <v>#N/A</v>
      </c>
      <c r="M32" s="2" t="e">
        <f t="shared" ca="1" si="24"/>
        <v>#N/A</v>
      </c>
      <c r="N32" s="2" t="e">
        <f t="shared" ca="1" si="24"/>
        <v>#N/A</v>
      </c>
      <c r="O32" s="2" t="e">
        <f t="shared" ca="1" si="24"/>
        <v>#N/A</v>
      </c>
      <c r="P32" s="2" t="e">
        <f t="shared" ca="1" si="24"/>
        <v>#N/A</v>
      </c>
      <c r="Q32" s="2" t="e">
        <f t="shared" ca="1" si="24"/>
        <v>#N/A</v>
      </c>
      <c r="R32" s="2" t="e">
        <f t="shared" ca="1" si="24"/>
        <v>#N/A</v>
      </c>
      <c r="S32" s="2" t="e">
        <f t="shared" ca="1" si="24"/>
        <v>#N/A</v>
      </c>
      <c r="T32" s="2" t="e">
        <f t="shared" ca="1" si="24"/>
        <v>#N/A</v>
      </c>
      <c r="U32" s="2" t="e">
        <f t="shared" ca="1" si="24"/>
        <v>#N/A</v>
      </c>
      <c r="V32" s="2" t="e">
        <f t="shared" ca="1" si="24"/>
        <v>#N/A</v>
      </c>
      <c r="W32" s="2" t="e">
        <f t="shared" ca="1" si="24"/>
        <v>#N/A</v>
      </c>
      <c r="X32" s="2" t="e">
        <f t="shared" ca="1" si="24"/>
        <v>#N/A</v>
      </c>
      <c r="Y32" s="2" t="e">
        <f t="shared" ca="1" si="24"/>
        <v>#N/A</v>
      </c>
      <c r="Z32" s="2" t="e">
        <f t="shared" ca="1" si="24"/>
        <v>#N/A</v>
      </c>
      <c r="AA32" s="2" t="e">
        <f t="shared" ca="1" si="24"/>
        <v>#N/A</v>
      </c>
      <c r="AB32" s="2" t="e">
        <f t="shared" ca="1" si="24"/>
        <v>#N/A</v>
      </c>
      <c r="AC32" s="2" t="e">
        <f t="shared" ca="1" si="24"/>
        <v>#N/A</v>
      </c>
      <c r="AD32" s="2" t="e">
        <f t="shared" ca="1" si="24"/>
        <v>#N/A</v>
      </c>
      <c r="AE32" s="2" t="e">
        <f t="shared" ca="1" si="24"/>
        <v>#N/A</v>
      </c>
      <c r="AF32" s="2" t="e">
        <f t="shared" ca="1" si="24"/>
        <v>#N/A</v>
      </c>
      <c r="AG32" s="2" t="e">
        <f t="shared" ca="1" si="24"/>
        <v>#N/A</v>
      </c>
      <c r="AH32" s="2" t="e">
        <f t="shared" ca="1" si="24"/>
        <v>#N/A</v>
      </c>
      <c r="AI32" s="2" t="e">
        <f t="shared" ca="1" si="24"/>
        <v>#N/A</v>
      </c>
      <c r="AJ32" s="2" t="e">
        <f t="shared" ca="1" si="24"/>
        <v>#N/A</v>
      </c>
      <c r="AK32" s="2" t="e">
        <f t="shared" ca="1" si="24"/>
        <v>#N/A</v>
      </c>
      <c r="AL32" s="2" t="e">
        <f t="shared" ca="1" si="24"/>
        <v>#N/A</v>
      </c>
      <c r="AM32" s="2" t="e">
        <f t="shared" ca="1" si="24"/>
        <v>#N/A</v>
      </c>
      <c r="AN32" s="2" t="e">
        <f t="shared" ca="1" si="20"/>
        <v>#N/A</v>
      </c>
      <c r="AO32" s="2" t="e">
        <f t="shared" ca="1" si="20"/>
        <v>#N/A</v>
      </c>
      <c r="AP32" s="2" t="e">
        <f t="shared" ca="1" si="20"/>
        <v>#N/A</v>
      </c>
      <c r="AQ32" s="2" t="e">
        <f t="shared" ca="1" si="20"/>
        <v>#N/A</v>
      </c>
      <c r="AR32" s="2" t="e">
        <f t="shared" ca="1" si="20"/>
        <v>#N/A</v>
      </c>
      <c r="AS32" s="2" t="e">
        <f t="shared" ca="1" si="20"/>
        <v>#N/A</v>
      </c>
    </row>
    <row r="33" spans="1:45" s="2" customFormat="1" x14ac:dyDescent="0.2">
      <c r="A33">
        <f>ROW()</f>
        <v>33</v>
      </c>
      <c r="B33" s="2" t="str">
        <f t="shared" si="21"/>
        <v>NEPOOL</v>
      </c>
      <c r="D33" s="210" t="e">
        <f t="shared" ca="1" si="24"/>
        <v>#N/A</v>
      </c>
      <c r="E33" s="210" t="e">
        <f t="shared" ca="1" si="24"/>
        <v>#N/A</v>
      </c>
      <c r="F33" s="210" t="e">
        <f t="shared" ca="1" si="24"/>
        <v>#N/A</v>
      </c>
      <c r="G33" s="210" t="e">
        <f t="shared" ca="1" si="24"/>
        <v>#N/A</v>
      </c>
      <c r="H33" s="210" t="e">
        <f t="shared" ca="1" si="24"/>
        <v>#N/A</v>
      </c>
      <c r="I33" s="210" t="e">
        <f t="shared" ca="1" si="24"/>
        <v>#N/A</v>
      </c>
      <c r="J33" s="2" t="e">
        <f t="shared" ca="1" si="24"/>
        <v>#N/A</v>
      </c>
      <c r="K33" s="2" t="e">
        <f t="shared" ca="1" si="24"/>
        <v>#N/A</v>
      </c>
      <c r="L33" s="2" t="e">
        <f t="shared" ca="1" si="24"/>
        <v>#N/A</v>
      </c>
      <c r="M33" s="2" t="e">
        <f t="shared" ca="1" si="24"/>
        <v>#N/A</v>
      </c>
      <c r="N33" s="2" t="e">
        <f t="shared" ca="1" si="24"/>
        <v>#N/A</v>
      </c>
      <c r="O33" s="2" t="e">
        <f t="shared" ca="1" si="24"/>
        <v>#N/A</v>
      </c>
      <c r="P33" s="2" t="e">
        <f t="shared" ca="1" si="24"/>
        <v>#N/A</v>
      </c>
      <c r="Q33" s="2" t="e">
        <f t="shared" ca="1" si="24"/>
        <v>#N/A</v>
      </c>
      <c r="R33" s="2" t="e">
        <f t="shared" ca="1" si="24"/>
        <v>#N/A</v>
      </c>
      <c r="S33" s="2" t="e">
        <f t="shared" ca="1" si="24"/>
        <v>#N/A</v>
      </c>
      <c r="T33" s="2" t="e">
        <f t="shared" ca="1" si="24"/>
        <v>#N/A</v>
      </c>
      <c r="U33" s="2" t="e">
        <f t="shared" ca="1" si="24"/>
        <v>#N/A</v>
      </c>
      <c r="V33" s="2" t="e">
        <f t="shared" ca="1" si="24"/>
        <v>#N/A</v>
      </c>
      <c r="W33" s="2" t="e">
        <f t="shared" ca="1" si="24"/>
        <v>#N/A</v>
      </c>
      <c r="X33" s="2" t="e">
        <f t="shared" ca="1" si="24"/>
        <v>#N/A</v>
      </c>
      <c r="Y33" s="2" t="e">
        <f t="shared" ca="1" si="24"/>
        <v>#N/A</v>
      </c>
      <c r="Z33" s="2" t="e">
        <f t="shared" ca="1" si="24"/>
        <v>#N/A</v>
      </c>
      <c r="AA33" s="2" t="e">
        <f t="shared" ca="1" si="24"/>
        <v>#N/A</v>
      </c>
      <c r="AB33" s="2" t="e">
        <f t="shared" ca="1" si="24"/>
        <v>#N/A</v>
      </c>
      <c r="AC33" s="2" t="e">
        <f t="shared" ca="1" si="24"/>
        <v>#N/A</v>
      </c>
      <c r="AD33" s="2" t="e">
        <f t="shared" ca="1" si="24"/>
        <v>#N/A</v>
      </c>
      <c r="AE33" s="2" t="e">
        <f t="shared" ca="1" si="24"/>
        <v>#N/A</v>
      </c>
      <c r="AF33" s="2" t="e">
        <f t="shared" ca="1" si="24"/>
        <v>#N/A</v>
      </c>
      <c r="AG33" s="2" t="e">
        <f t="shared" ca="1" si="24"/>
        <v>#N/A</v>
      </c>
      <c r="AH33" s="2" t="e">
        <f t="shared" ca="1" si="24"/>
        <v>#N/A</v>
      </c>
      <c r="AI33" s="2" t="e">
        <f t="shared" ca="1" si="24"/>
        <v>#N/A</v>
      </c>
      <c r="AJ33" s="2" t="e">
        <f t="shared" ca="1" si="24"/>
        <v>#N/A</v>
      </c>
      <c r="AK33" s="2" t="e">
        <f t="shared" ca="1" si="24"/>
        <v>#N/A</v>
      </c>
      <c r="AL33" s="2" t="e">
        <f t="shared" ca="1" si="24"/>
        <v>#N/A</v>
      </c>
      <c r="AM33" s="2" t="e">
        <f t="shared" ca="1" si="24"/>
        <v>#N/A</v>
      </c>
      <c r="AN33" s="2" t="e">
        <f t="shared" ca="1" si="20"/>
        <v>#N/A</v>
      </c>
      <c r="AO33" s="2" t="e">
        <f t="shared" ca="1" si="20"/>
        <v>#N/A</v>
      </c>
      <c r="AP33" s="2" t="e">
        <f t="shared" ca="1" si="20"/>
        <v>#N/A</v>
      </c>
      <c r="AQ33" s="2" t="e">
        <f t="shared" ca="1" si="20"/>
        <v>#N/A</v>
      </c>
      <c r="AR33" s="2" t="e">
        <f t="shared" ca="1" si="20"/>
        <v>#N/A</v>
      </c>
      <c r="AS33" s="2" t="e">
        <f t="shared" ca="1" si="20"/>
        <v>#N/A</v>
      </c>
    </row>
    <row r="34" spans="1:45" s="2" customFormat="1" x14ac:dyDescent="0.2">
      <c r="A34">
        <f>ROW()</f>
        <v>34</v>
      </c>
      <c r="B34" s="2" t="str">
        <f t="shared" si="21"/>
        <v>NSP</v>
      </c>
      <c r="D34" s="210" t="e">
        <f t="shared" ref="D34:AM34" ca="1" si="25">D22</f>
        <v>#N/A</v>
      </c>
      <c r="E34" s="210" t="e">
        <f t="shared" ca="1" si="25"/>
        <v>#N/A</v>
      </c>
      <c r="F34" s="210" t="e">
        <f t="shared" ca="1" si="25"/>
        <v>#N/A</v>
      </c>
      <c r="G34" s="210" t="e">
        <f t="shared" ca="1" si="25"/>
        <v>#N/A</v>
      </c>
      <c r="H34" s="210" t="e">
        <f t="shared" ca="1" si="25"/>
        <v>#N/A</v>
      </c>
      <c r="I34" s="210" t="e">
        <f t="shared" ca="1" si="25"/>
        <v>#N/A</v>
      </c>
      <c r="J34" s="2" t="e">
        <f t="shared" ca="1" si="25"/>
        <v>#N/A</v>
      </c>
      <c r="K34" s="2" t="e">
        <f t="shared" ca="1" si="25"/>
        <v>#N/A</v>
      </c>
      <c r="L34" s="2" t="e">
        <f t="shared" ca="1" si="25"/>
        <v>#N/A</v>
      </c>
      <c r="M34" s="2" t="e">
        <f t="shared" ca="1" si="25"/>
        <v>#N/A</v>
      </c>
      <c r="N34" s="2" t="e">
        <f t="shared" ca="1" si="25"/>
        <v>#N/A</v>
      </c>
      <c r="O34" s="2" t="e">
        <f t="shared" ca="1" si="25"/>
        <v>#N/A</v>
      </c>
      <c r="P34" s="2" t="e">
        <f t="shared" ca="1" si="25"/>
        <v>#N/A</v>
      </c>
      <c r="Q34" s="2" t="e">
        <f t="shared" ca="1" si="25"/>
        <v>#N/A</v>
      </c>
      <c r="R34" s="2" t="e">
        <f t="shared" ca="1" si="25"/>
        <v>#N/A</v>
      </c>
      <c r="S34" s="2" t="e">
        <f t="shared" ca="1" si="25"/>
        <v>#N/A</v>
      </c>
      <c r="T34" s="2" t="e">
        <f t="shared" ca="1" si="25"/>
        <v>#N/A</v>
      </c>
      <c r="U34" s="2" t="e">
        <f t="shared" ca="1" si="25"/>
        <v>#N/A</v>
      </c>
      <c r="V34" s="2" t="e">
        <f t="shared" ca="1" si="25"/>
        <v>#N/A</v>
      </c>
      <c r="W34" s="2" t="e">
        <f t="shared" ca="1" si="25"/>
        <v>#N/A</v>
      </c>
      <c r="X34" s="2" t="e">
        <f t="shared" ca="1" si="25"/>
        <v>#N/A</v>
      </c>
      <c r="Y34" s="2" t="e">
        <f t="shared" ca="1" si="25"/>
        <v>#N/A</v>
      </c>
      <c r="Z34" s="2" t="e">
        <f t="shared" ca="1" si="25"/>
        <v>#N/A</v>
      </c>
      <c r="AA34" s="2" t="e">
        <f t="shared" ca="1" si="25"/>
        <v>#N/A</v>
      </c>
      <c r="AB34" s="2" t="e">
        <f t="shared" ca="1" si="25"/>
        <v>#N/A</v>
      </c>
      <c r="AC34" s="2" t="e">
        <f t="shared" ca="1" si="25"/>
        <v>#N/A</v>
      </c>
      <c r="AD34" s="2" t="e">
        <f t="shared" ca="1" si="25"/>
        <v>#N/A</v>
      </c>
      <c r="AE34" s="2" t="e">
        <f t="shared" ca="1" si="25"/>
        <v>#N/A</v>
      </c>
      <c r="AF34" s="2" t="e">
        <f t="shared" ca="1" si="25"/>
        <v>#N/A</v>
      </c>
      <c r="AG34" s="2" t="e">
        <f t="shared" ca="1" si="25"/>
        <v>#N/A</v>
      </c>
      <c r="AH34" s="2" t="e">
        <f t="shared" ca="1" si="25"/>
        <v>#N/A</v>
      </c>
      <c r="AI34" s="2" t="e">
        <f t="shared" ca="1" si="25"/>
        <v>#N/A</v>
      </c>
      <c r="AJ34" s="2" t="e">
        <f t="shared" ca="1" si="25"/>
        <v>#N/A</v>
      </c>
      <c r="AK34" s="2" t="e">
        <f t="shared" ca="1" si="25"/>
        <v>#N/A</v>
      </c>
      <c r="AL34" s="2" t="e">
        <f t="shared" ca="1" si="25"/>
        <v>#N/A</v>
      </c>
      <c r="AM34" s="2" t="e">
        <f t="shared" ca="1" si="25"/>
        <v>#N/A</v>
      </c>
      <c r="AN34" s="2" t="e">
        <f t="shared" ref="AN34:AS38" ca="1" si="26">AN22</f>
        <v>#N/A</v>
      </c>
      <c r="AO34" s="2" t="e">
        <f t="shared" ca="1" si="26"/>
        <v>#N/A</v>
      </c>
      <c r="AP34" s="2" t="e">
        <f t="shared" ca="1" si="26"/>
        <v>#N/A</v>
      </c>
      <c r="AQ34" s="2" t="e">
        <f t="shared" ca="1" si="26"/>
        <v>#N/A</v>
      </c>
      <c r="AR34" s="2" t="e">
        <f t="shared" ca="1" si="26"/>
        <v>#N/A</v>
      </c>
      <c r="AS34" s="2" t="e">
        <f t="shared" ca="1" si="26"/>
        <v>#N/A</v>
      </c>
    </row>
    <row r="35" spans="1:45" s="2" customFormat="1" x14ac:dyDescent="0.2">
      <c r="A35">
        <f>ROW()</f>
        <v>35</v>
      </c>
      <c r="B35" s="2" t="str">
        <f t="shared" si="21"/>
        <v>NY EAST</v>
      </c>
      <c r="D35" s="210" t="e">
        <f t="shared" ref="D35:AM35" ca="1" si="27">D23</f>
        <v>#N/A</v>
      </c>
      <c r="E35" s="210" t="e">
        <f t="shared" ca="1" si="27"/>
        <v>#N/A</v>
      </c>
      <c r="F35" s="210" t="e">
        <f t="shared" ca="1" si="27"/>
        <v>#N/A</v>
      </c>
      <c r="G35" s="210" t="e">
        <f t="shared" ca="1" si="27"/>
        <v>#N/A</v>
      </c>
      <c r="H35" s="210" t="e">
        <f t="shared" ca="1" si="27"/>
        <v>#N/A</v>
      </c>
      <c r="I35" s="210" t="e">
        <f t="shared" ca="1" si="27"/>
        <v>#N/A</v>
      </c>
      <c r="J35" s="2" t="e">
        <f t="shared" ca="1" si="27"/>
        <v>#N/A</v>
      </c>
      <c r="K35" s="2" t="e">
        <f t="shared" ca="1" si="27"/>
        <v>#N/A</v>
      </c>
      <c r="L35" s="2" t="e">
        <f t="shared" ca="1" si="27"/>
        <v>#N/A</v>
      </c>
      <c r="M35" s="2" t="e">
        <f t="shared" ca="1" si="27"/>
        <v>#N/A</v>
      </c>
      <c r="N35" s="2" t="e">
        <f t="shared" ca="1" si="27"/>
        <v>#N/A</v>
      </c>
      <c r="O35" s="2" t="e">
        <f t="shared" ca="1" si="27"/>
        <v>#N/A</v>
      </c>
      <c r="P35" s="2" t="e">
        <f t="shared" ca="1" si="27"/>
        <v>#N/A</v>
      </c>
      <c r="Q35" s="2" t="e">
        <f t="shared" ca="1" si="27"/>
        <v>#N/A</v>
      </c>
      <c r="R35" s="2" t="e">
        <f t="shared" ca="1" si="27"/>
        <v>#N/A</v>
      </c>
      <c r="S35" s="2" t="e">
        <f t="shared" ca="1" si="27"/>
        <v>#N/A</v>
      </c>
      <c r="T35" s="2" t="e">
        <f t="shared" ca="1" si="27"/>
        <v>#N/A</v>
      </c>
      <c r="U35" s="2" t="e">
        <f t="shared" ca="1" si="27"/>
        <v>#N/A</v>
      </c>
      <c r="V35" s="2" t="e">
        <f t="shared" ca="1" si="27"/>
        <v>#N/A</v>
      </c>
      <c r="W35" s="2" t="e">
        <f t="shared" ca="1" si="27"/>
        <v>#N/A</v>
      </c>
      <c r="X35" s="2" t="e">
        <f t="shared" ca="1" si="27"/>
        <v>#N/A</v>
      </c>
      <c r="Y35" s="2" t="e">
        <f t="shared" ca="1" si="27"/>
        <v>#N/A</v>
      </c>
      <c r="Z35" s="2" t="e">
        <f t="shared" ca="1" si="27"/>
        <v>#N/A</v>
      </c>
      <c r="AA35" s="2" t="e">
        <f t="shared" ca="1" si="27"/>
        <v>#N/A</v>
      </c>
      <c r="AB35" s="2" t="e">
        <f t="shared" ca="1" si="27"/>
        <v>#N/A</v>
      </c>
      <c r="AC35" s="2" t="e">
        <f t="shared" ca="1" si="27"/>
        <v>#N/A</v>
      </c>
      <c r="AD35" s="2" t="e">
        <f t="shared" ca="1" si="27"/>
        <v>#N/A</v>
      </c>
      <c r="AE35" s="2" t="e">
        <f t="shared" ca="1" si="27"/>
        <v>#N/A</v>
      </c>
      <c r="AF35" s="2" t="e">
        <f t="shared" ca="1" si="27"/>
        <v>#N/A</v>
      </c>
      <c r="AG35" s="2" t="e">
        <f t="shared" ca="1" si="27"/>
        <v>#N/A</v>
      </c>
      <c r="AH35" s="2" t="e">
        <f t="shared" ca="1" si="27"/>
        <v>#N/A</v>
      </c>
      <c r="AI35" s="2" t="e">
        <f t="shared" ca="1" si="27"/>
        <v>#N/A</v>
      </c>
      <c r="AJ35" s="2" t="e">
        <f t="shared" ca="1" si="27"/>
        <v>#N/A</v>
      </c>
      <c r="AK35" s="2" t="e">
        <f t="shared" ca="1" si="27"/>
        <v>#N/A</v>
      </c>
      <c r="AL35" s="2" t="e">
        <f t="shared" ca="1" si="27"/>
        <v>#N/A</v>
      </c>
      <c r="AM35" s="2" t="e">
        <f t="shared" ca="1" si="27"/>
        <v>#N/A</v>
      </c>
      <c r="AN35" s="2" t="e">
        <f t="shared" ca="1" si="26"/>
        <v>#N/A</v>
      </c>
      <c r="AO35" s="2" t="e">
        <f t="shared" ca="1" si="26"/>
        <v>#N/A</v>
      </c>
      <c r="AP35" s="2" t="e">
        <f t="shared" ca="1" si="26"/>
        <v>#N/A</v>
      </c>
      <c r="AQ35" s="2" t="e">
        <f t="shared" ca="1" si="26"/>
        <v>#N/A</v>
      </c>
      <c r="AR35" s="2" t="e">
        <f t="shared" ca="1" si="26"/>
        <v>#N/A</v>
      </c>
      <c r="AS35" s="2" t="e">
        <f t="shared" ca="1" si="26"/>
        <v>#N/A</v>
      </c>
    </row>
    <row r="36" spans="1:45" s="2" customFormat="1" x14ac:dyDescent="0.2">
      <c r="A36">
        <f>ROW()</f>
        <v>36</v>
      </c>
      <c r="B36" s="2" t="str">
        <f t="shared" si="21"/>
        <v>NY WEST</v>
      </c>
      <c r="D36" s="210" t="e">
        <f t="shared" ref="D36:AM36" ca="1" si="28">D24</f>
        <v>#N/A</v>
      </c>
      <c r="E36" s="210" t="e">
        <f t="shared" ca="1" si="28"/>
        <v>#N/A</v>
      </c>
      <c r="F36" s="210" t="e">
        <f t="shared" ca="1" si="28"/>
        <v>#N/A</v>
      </c>
      <c r="G36" s="210" t="e">
        <f t="shared" ca="1" si="28"/>
        <v>#N/A</v>
      </c>
      <c r="H36" s="210" t="e">
        <f t="shared" ca="1" si="28"/>
        <v>#N/A</v>
      </c>
      <c r="I36" s="210" t="e">
        <f t="shared" ca="1" si="28"/>
        <v>#N/A</v>
      </c>
      <c r="J36" s="2" t="e">
        <f t="shared" ca="1" si="28"/>
        <v>#N/A</v>
      </c>
      <c r="K36" s="2" t="e">
        <f t="shared" ca="1" si="28"/>
        <v>#N/A</v>
      </c>
      <c r="L36" s="2" t="e">
        <f t="shared" ca="1" si="28"/>
        <v>#N/A</v>
      </c>
      <c r="M36" s="2" t="e">
        <f t="shared" ca="1" si="28"/>
        <v>#N/A</v>
      </c>
      <c r="N36" s="2" t="e">
        <f t="shared" ca="1" si="28"/>
        <v>#N/A</v>
      </c>
      <c r="O36" s="2" t="e">
        <f t="shared" ca="1" si="28"/>
        <v>#N/A</v>
      </c>
      <c r="P36" s="2" t="e">
        <f t="shared" ca="1" si="28"/>
        <v>#N/A</v>
      </c>
      <c r="Q36" s="2" t="e">
        <f t="shared" ca="1" si="28"/>
        <v>#N/A</v>
      </c>
      <c r="R36" s="2" t="e">
        <f t="shared" ca="1" si="28"/>
        <v>#N/A</v>
      </c>
      <c r="S36" s="2" t="e">
        <f t="shared" ca="1" si="28"/>
        <v>#N/A</v>
      </c>
      <c r="T36" s="2" t="e">
        <f t="shared" ca="1" si="28"/>
        <v>#N/A</v>
      </c>
      <c r="U36" s="2" t="e">
        <f t="shared" ca="1" si="28"/>
        <v>#N/A</v>
      </c>
      <c r="V36" s="2" t="e">
        <f t="shared" ca="1" si="28"/>
        <v>#N/A</v>
      </c>
      <c r="W36" s="2" t="e">
        <f t="shared" ca="1" si="28"/>
        <v>#N/A</v>
      </c>
      <c r="X36" s="2" t="e">
        <f t="shared" ca="1" si="28"/>
        <v>#N/A</v>
      </c>
      <c r="Y36" s="2" t="e">
        <f t="shared" ca="1" si="28"/>
        <v>#N/A</v>
      </c>
      <c r="Z36" s="2" t="e">
        <f t="shared" ca="1" si="28"/>
        <v>#N/A</v>
      </c>
      <c r="AA36" s="2" t="e">
        <f t="shared" ca="1" si="28"/>
        <v>#N/A</v>
      </c>
      <c r="AB36" s="2" t="e">
        <f t="shared" ca="1" si="28"/>
        <v>#N/A</v>
      </c>
      <c r="AC36" s="2" t="e">
        <f t="shared" ca="1" si="28"/>
        <v>#N/A</v>
      </c>
      <c r="AD36" s="2" t="e">
        <f t="shared" ca="1" si="28"/>
        <v>#N/A</v>
      </c>
      <c r="AE36" s="2" t="e">
        <f t="shared" ca="1" si="28"/>
        <v>#N/A</v>
      </c>
      <c r="AF36" s="2" t="e">
        <f t="shared" ca="1" si="28"/>
        <v>#N/A</v>
      </c>
      <c r="AG36" s="2" t="e">
        <f t="shared" ca="1" si="28"/>
        <v>#N/A</v>
      </c>
      <c r="AH36" s="2" t="e">
        <f t="shared" ca="1" si="28"/>
        <v>#N/A</v>
      </c>
      <c r="AI36" s="2" t="e">
        <f t="shared" ca="1" si="28"/>
        <v>#N/A</v>
      </c>
      <c r="AJ36" s="2" t="e">
        <f t="shared" ca="1" si="28"/>
        <v>#N/A</v>
      </c>
      <c r="AK36" s="2" t="e">
        <f t="shared" ca="1" si="28"/>
        <v>#N/A</v>
      </c>
      <c r="AL36" s="2" t="e">
        <f t="shared" ca="1" si="28"/>
        <v>#N/A</v>
      </c>
      <c r="AM36" s="2" t="e">
        <f t="shared" ca="1" si="28"/>
        <v>#N/A</v>
      </c>
      <c r="AN36" s="2" t="e">
        <f t="shared" ca="1" si="26"/>
        <v>#N/A</v>
      </c>
      <c r="AO36" s="2" t="e">
        <f t="shared" ca="1" si="26"/>
        <v>#N/A</v>
      </c>
      <c r="AP36" s="2" t="e">
        <f t="shared" ca="1" si="26"/>
        <v>#N/A</v>
      </c>
      <c r="AQ36" s="2" t="e">
        <f t="shared" ca="1" si="26"/>
        <v>#N/A</v>
      </c>
      <c r="AR36" s="2" t="e">
        <f t="shared" ca="1" si="26"/>
        <v>#N/A</v>
      </c>
      <c r="AS36" s="2" t="e">
        <f t="shared" ca="1" si="26"/>
        <v>#N/A</v>
      </c>
    </row>
    <row r="37" spans="1:45" s="2" customFormat="1" x14ac:dyDescent="0.2">
      <c r="A37">
        <f>ROW()</f>
        <v>37</v>
      </c>
      <c r="B37" s="2" t="str">
        <f t="shared" si="21"/>
        <v>SOCO</v>
      </c>
      <c r="D37" s="210" t="e">
        <f t="shared" ref="D37:AM37" ca="1" si="29">D25</f>
        <v>#N/A</v>
      </c>
      <c r="E37" s="210" t="e">
        <f t="shared" ca="1" si="29"/>
        <v>#N/A</v>
      </c>
      <c r="F37" s="210" t="e">
        <f t="shared" ca="1" si="29"/>
        <v>#N/A</v>
      </c>
      <c r="G37" s="210" t="e">
        <f t="shared" ca="1" si="29"/>
        <v>#N/A</v>
      </c>
      <c r="H37" s="210" t="e">
        <f t="shared" ca="1" si="29"/>
        <v>#N/A</v>
      </c>
      <c r="I37" s="210" t="e">
        <f t="shared" ca="1" si="29"/>
        <v>#N/A</v>
      </c>
      <c r="J37" s="2" t="e">
        <f t="shared" ca="1" si="29"/>
        <v>#N/A</v>
      </c>
      <c r="K37" s="2" t="e">
        <f t="shared" ca="1" si="29"/>
        <v>#N/A</v>
      </c>
      <c r="L37" s="2" t="e">
        <f t="shared" ca="1" si="29"/>
        <v>#N/A</v>
      </c>
      <c r="M37" s="2" t="e">
        <f t="shared" ca="1" si="29"/>
        <v>#N/A</v>
      </c>
      <c r="N37" s="2" t="e">
        <f t="shared" ca="1" si="29"/>
        <v>#N/A</v>
      </c>
      <c r="O37" s="2" t="e">
        <f t="shared" ca="1" si="29"/>
        <v>#N/A</v>
      </c>
      <c r="P37" s="2" t="e">
        <f t="shared" ca="1" si="29"/>
        <v>#N/A</v>
      </c>
      <c r="Q37" s="2" t="e">
        <f t="shared" ca="1" si="29"/>
        <v>#N/A</v>
      </c>
      <c r="R37" s="2" t="e">
        <f t="shared" ca="1" si="29"/>
        <v>#N/A</v>
      </c>
      <c r="S37" s="2" t="e">
        <f t="shared" ca="1" si="29"/>
        <v>#N/A</v>
      </c>
      <c r="T37" s="2" t="e">
        <f t="shared" ca="1" si="29"/>
        <v>#N/A</v>
      </c>
      <c r="U37" s="2" t="e">
        <f t="shared" ca="1" si="29"/>
        <v>#N/A</v>
      </c>
      <c r="V37" s="2" t="e">
        <f t="shared" ca="1" si="29"/>
        <v>#N/A</v>
      </c>
      <c r="W37" s="2" t="e">
        <f t="shared" ca="1" si="29"/>
        <v>#N/A</v>
      </c>
      <c r="X37" s="2" t="e">
        <f t="shared" ca="1" si="29"/>
        <v>#N/A</v>
      </c>
      <c r="Y37" s="2" t="e">
        <f t="shared" ca="1" si="29"/>
        <v>#N/A</v>
      </c>
      <c r="Z37" s="2" t="e">
        <f t="shared" ca="1" si="29"/>
        <v>#N/A</v>
      </c>
      <c r="AA37" s="2" t="e">
        <f t="shared" ca="1" si="29"/>
        <v>#N/A</v>
      </c>
      <c r="AB37" s="2" t="e">
        <f t="shared" ca="1" si="29"/>
        <v>#N/A</v>
      </c>
      <c r="AC37" s="2" t="e">
        <f t="shared" ca="1" si="29"/>
        <v>#N/A</v>
      </c>
      <c r="AD37" s="2" t="e">
        <f t="shared" ca="1" si="29"/>
        <v>#N/A</v>
      </c>
      <c r="AE37" s="2" t="e">
        <f t="shared" ca="1" si="29"/>
        <v>#N/A</v>
      </c>
      <c r="AF37" s="2" t="e">
        <f t="shared" ca="1" si="29"/>
        <v>#N/A</v>
      </c>
      <c r="AG37" s="2" t="e">
        <f t="shared" ca="1" si="29"/>
        <v>#N/A</v>
      </c>
      <c r="AH37" s="2" t="e">
        <f t="shared" ca="1" si="29"/>
        <v>#N/A</v>
      </c>
      <c r="AI37" s="2" t="e">
        <f t="shared" ca="1" si="29"/>
        <v>#N/A</v>
      </c>
      <c r="AJ37" s="2" t="e">
        <f t="shared" ca="1" si="29"/>
        <v>#N/A</v>
      </c>
      <c r="AK37" s="2" t="e">
        <f t="shared" ca="1" si="29"/>
        <v>#N/A</v>
      </c>
      <c r="AL37" s="2" t="e">
        <f t="shared" ca="1" si="29"/>
        <v>#N/A</v>
      </c>
      <c r="AM37" s="2" t="e">
        <f t="shared" ca="1" si="29"/>
        <v>#N/A</v>
      </c>
      <c r="AN37" s="2" t="e">
        <f t="shared" ca="1" si="26"/>
        <v>#N/A</v>
      </c>
      <c r="AO37" s="2" t="e">
        <f t="shared" ca="1" si="26"/>
        <v>#N/A</v>
      </c>
      <c r="AP37" s="2" t="e">
        <f t="shared" ca="1" si="26"/>
        <v>#N/A</v>
      </c>
      <c r="AQ37" s="2" t="e">
        <f t="shared" ca="1" si="26"/>
        <v>#N/A</v>
      </c>
      <c r="AR37" s="2" t="e">
        <f t="shared" ca="1" si="26"/>
        <v>#N/A</v>
      </c>
      <c r="AS37" s="2" t="e">
        <f t="shared" ca="1" si="26"/>
        <v>#N/A</v>
      </c>
    </row>
    <row r="38" spans="1:45" s="2" customFormat="1" x14ac:dyDescent="0.2">
      <c r="A38">
        <f>ROW()</f>
        <v>38</v>
      </c>
      <c r="B38" s="2" t="str">
        <f t="shared" si="21"/>
        <v>WESTERN HUB</v>
      </c>
      <c r="D38" s="210" t="e">
        <f t="shared" ref="D38:AM38" ca="1" si="30">D26</f>
        <v>#N/A</v>
      </c>
      <c r="E38" s="210" t="e">
        <f t="shared" ca="1" si="30"/>
        <v>#N/A</v>
      </c>
      <c r="F38" s="210" t="e">
        <f t="shared" ca="1" si="30"/>
        <v>#N/A</v>
      </c>
      <c r="G38" s="210" t="e">
        <f t="shared" ca="1" si="30"/>
        <v>#N/A</v>
      </c>
      <c r="H38" s="210" t="e">
        <f t="shared" ca="1" si="30"/>
        <v>#N/A</v>
      </c>
      <c r="I38" s="210" t="e">
        <f t="shared" ca="1" si="30"/>
        <v>#N/A</v>
      </c>
      <c r="J38" s="2" t="e">
        <f t="shared" ca="1" si="30"/>
        <v>#N/A</v>
      </c>
      <c r="K38" s="2" t="e">
        <f t="shared" ca="1" si="30"/>
        <v>#N/A</v>
      </c>
      <c r="L38" s="2" t="e">
        <f t="shared" ca="1" si="30"/>
        <v>#N/A</v>
      </c>
      <c r="M38" s="2" t="e">
        <f t="shared" ca="1" si="30"/>
        <v>#N/A</v>
      </c>
      <c r="N38" s="2" t="e">
        <f t="shared" ca="1" si="30"/>
        <v>#N/A</v>
      </c>
      <c r="O38" s="2" t="e">
        <f t="shared" ca="1" si="30"/>
        <v>#N/A</v>
      </c>
      <c r="P38" s="2" t="e">
        <f t="shared" ca="1" si="30"/>
        <v>#N/A</v>
      </c>
      <c r="Q38" s="2" t="e">
        <f t="shared" ca="1" si="30"/>
        <v>#N/A</v>
      </c>
      <c r="R38" s="2" t="e">
        <f t="shared" ca="1" si="30"/>
        <v>#N/A</v>
      </c>
      <c r="S38" s="2" t="e">
        <f t="shared" ca="1" si="30"/>
        <v>#N/A</v>
      </c>
      <c r="T38" s="2" t="e">
        <f t="shared" ca="1" si="30"/>
        <v>#N/A</v>
      </c>
      <c r="U38" s="2" t="e">
        <f t="shared" ca="1" si="30"/>
        <v>#N/A</v>
      </c>
      <c r="V38" s="2" t="e">
        <f t="shared" ca="1" si="30"/>
        <v>#N/A</v>
      </c>
      <c r="W38" s="2" t="e">
        <f t="shared" ca="1" si="30"/>
        <v>#N/A</v>
      </c>
      <c r="X38" s="2" t="e">
        <f t="shared" ca="1" si="30"/>
        <v>#N/A</v>
      </c>
      <c r="Y38" s="2" t="e">
        <f t="shared" ca="1" si="30"/>
        <v>#N/A</v>
      </c>
      <c r="Z38" s="2" t="e">
        <f t="shared" ca="1" si="30"/>
        <v>#N/A</v>
      </c>
      <c r="AA38" s="2" t="e">
        <f t="shared" ca="1" si="30"/>
        <v>#N/A</v>
      </c>
      <c r="AB38" s="2" t="e">
        <f t="shared" ca="1" si="30"/>
        <v>#N/A</v>
      </c>
      <c r="AC38" s="2" t="e">
        <f t="shared" ca="1" si="30"/>
        <v>#N/A</v>
      </c>
      <c r="AD38" s="2" t="e">
        <f t="shared" ca="1" si="30"/>
        <v>#N/A</v>
      </c>
      <c r="AE38" s="2" t="e">
        <f t="shared" ca="1" si="30"/>
        <v>#N/A</v>
      </c>
      <c r="AF38" s="2" t="e">
        <f t="shared" ca="1" si="30"/>
        <v>#N/A</v>
      </c>
      <c r="AG38" s="2" t="e">
        <f t="shared" ca="1" si="30"/>
        <v>#N/A</v>
      </c>
      <c r="AH38" s="2" t="e">
        <f t="shared" ca="1" si="30"/>
        <v>#N/A</v>
      </c>
      <c r="AI38" s="2" t="e">
        <f t="shared" ca="1" si="30"/>
        <v>#N/A</v>
      </c>
      <c r="AJ38" s="2" t="e">
        <f t="shared" ca="1" si="30"/>
        <v>#N/A</v>
      </c>
      <c r="AK38" s="2" t="e">
        <f t="shared" ca="1" si="30"/>
        <v>#N/A</v>
      </c>
      <c r="AL38" s="2" t="e">
        <f t="shared" ca="1" si="30"/>
        <v>#N/A</v>
      </c>
      <c r="AM38" s="2" t="e">
        <f t="shared" ca="1" si="30"/>
        <v>#N/A</v>
      </c>
      <c r="AN38" s="2" t="e">
        <f t="shared" ca="1" si="26"/>
        <v>#N/A</v>
      </c>
      <c r="AO38" s="2" t="e">
        <f t="shared" ca="1" si="26"/>
        <v>#N/A</v>
      </c>
      <c r="AP38" s="2" t="e">
        <f t="shared" ca="1" si="26"/>
        <v>#N/A</v>
      </c>
      <c r="AQ38" s="2" t="e">
        <f t="shared" ca="1" si="26"/>
        <v>#N/A</v>
      </c>
      <c r="AR38" s="2" t="e">
        <f t="shared" ca="1" si="26"/>
        <v>#N/A</v>
      </c>
      <c r="AS38" s="2" t="e">
        <f t="shared" ca="1" si="26"/>
        <v>#N/A</v>
      </c>
    </row>
    <row r="39" spans="1:45" s="2" customFormat="1" x14ac:dyDescent="0.2">
      <c r="A39">
        <f>ROW()</f>
        <v>39</v>
      </c>
      <c r="D39" s="213">
        <f ca="1">D1</f>
        <v>41885</v>
      </c>
      <c r="E39" s="213">
        <f t="shared" ref="E39:AM39" ca="1" si="31">E1</f>
        <v>41886</v>
      </c>
      <c r="F39" s="213">
        <f t="shared" ca="1" si="31"/>
        <v>41887</v>
      </c>
      <c r="G39" s="213">
        <f t="shared" ca="1" si="31"/>
        <v>41888</v>
      </c>
      <c r="H39" s="213">
        <f t="shared" ca="1" si="31"/>
        <v>41889</v>
      </c>
      <c r="I39" s="213">
        <f t="shared" ca="1" si="31"/>
        <v>41890</v>
      </c>
      <c r="J39" s="213">
        <f t="shared" ca="1" si="31"/>
        <v>41891</v>
      </c>
      <c r="K39" s="213">
        <f t="shared" ca="1" si="31"/>
        <v>41892</v>
      </c>
      <c r="L39" s="213">
        <f t="shared" ca="1" si="31"/>
        <v>41893</v>
      </c>
      <c r="M39" s="213">
        <f t="shared" ca="1" si="31"/>
        <v>41894</v>
      </c>
      <c r="N39" s="213">
        <f t="shared" ca="1" si="31"/>
        <v>41895</v>
      </c>
      <c r="O39" s="213">
        <f t="shared" ca="1" si="31"/>
        <v>41896</v>
      </c>
      <c r="P39" s="213">
        <f t="shared" ca="1" si="31"/>
        <v>41897</v>
      </c>
      <c r="Q39" s="213">
        <f t="shared" ca="1" si="31"/>
        <v>41898</v>
      </c>
      <c r="R39" s="213">
        <f t="shared" ca="1" si="31"/>
        <v>41899</v>
      </c>
      <c r="S39" s="213">
        <f t="shared" ca="1" si="31"/>
        <v>41900</v>
      </c>
      <c r="T39" s="213">
        <f t="shared" ca="1" si="31"/>
        <v>41901</v>
      </c>
      <c r="U39" s="213">
        <f t="shared" ca="1" si="31"/>
        <v>41902</v>
      </c>
      <c r="V39" s="213">
        <f t="shared" ca="1" si="31"/>
        <v>41903</v>
      </c>
      <c r="W39" s="213">
        <f t="shared" ca="1" si="31"/>
        <v>41904</v>
      </c>
      <c r="X39" s="213">
        <f t="shared" ca="1" si="31"/>
        <v>41905</v>
      </c>
      <c r="Y39" s="213">
        <f t="shared" ca="1" si="31"/>
        <v>41906</v>
      </c>
      <c r="Z39" s="213">
        <f t="shared" ca="1" si="31"/>
        <v>41907</v>
      </c>
      <c r="AA39" s="213">
        <f t="shared" ca="1" si="31"/>
        <v>41908</v>
      </c>
      <c r="AB39" s="213">
        <f t="shared" ca="1" si="31"/>
        <v>41909</v>
      </c>
      <c r="AC39" s="213">
        <f t="shared" ca="1" si="31"/>
        <v>41910</v>
      </c>
      <c r="AD39" s="213">
        <f t="shared" ca="1" si="31"/>
        <v>41911</v>
      </c>
      <c r="AE39" s="213">
        <f t="shared" ca="1" si="31"/>
        <v>41912</v>
      </c>
      <c r="AF39" s="213">
        <f t="shared" ca="1" si="31"/>
        <v>41913</v>
      </c>
      <c r="AG39" s="213">
        <f t="shared" ca="1" si="31"/>
        <v>41914</v>
      </c>
      <c r="AH39" s="213">
        <f t="shared" ca="1" si="31"/>
        <v>41915</v>
      </c>
      <c r="AI39" s="213">
        <f t="shared" ca="1" si="31"/>
        <v>41916</v>
      </c>
      <c r="AJ39" s="213">
        <f t="shared" ca="1" si="31"/>
        <v>41917</v>
      </c>
      <c r="AK39" s="213">
        <f t="shared" ca="1" si="31"/>
        <v>41918</v>
      </c>
      <c r="AL39" s="213">
        <f t="shared" ca="1" si="31"/>
        <v>41919</v>
      </c>
      <c r="AM39" s="213">
        <f t="shared" ca="1" si="31"/>
        <v>41920</v>
      </c>
      <c r="AN39" s="213">
        <f t="shared" ref="AN39:AS39" ca="1" si="32">AN1</f>
        <v>41921</v>
      </c>
      <c r="AO39" s="213">
        <f t="shared" ca="1" si="32"/>
        <v>41922</v>
      </c>
      <c r="AP39" s="213">
        <f t="shared" ca="1" si="32"/>
        <v>41923</v>
      </c>
      <c r="AQ39" s="213">
        <f t="shared" ca="1" si="32"/>
        <v>41924</v>
      </c>
      <c r="AR39" s="213">
        <f t="shared" ca="1" si="32"/>
        <v>41925</v>
      </c>
      <c r="AS39" s="213">
        <f t="shared" ca="1" si="32"/>
        <v>41926</v>
      </c>
    </row>
    <row r="40" spans="1:45" s="211" customFormat="1" ht="36.950000000000003" customHeight="1" x14ac:dyDescent="0.2"/>
    <row r="41" spans="1:45" s="211" customFormat="1" ht="36.950000000000003" customHeight="1" x14ac:dyDescent="0.2"/>
    <row r="42" spans="1:45" s="212" customFormat="1" ht="36.950000000000003" customHeight="1" x14ac:dyDescent="0.2"/>
    <row r="43" spans="1:45" s="212" customFormat="1" ht="36.950000000000003" customHeight="1" x14ac:dyDescent="0.2"/>
    <row r="44" spans="1:45" s="212" customFormat="1" ht="36.950000000000003" customHeight="1" x14ac:dyDescent="0.2"/>
    <row r="45" spans="1:45" s="212" customFormat="1" ht="36.950000000000003" customHeight="1" x14ac:dyDescent="0.2"/>
    <row r="46" spans="1:45" s="212" customFormat="1" ht="36.950000000000003" customHeight="1" x14ac:dyDescent="0.2"/>
    <row r="47" spans="1:45" s="212" customFormat="1" ht="36.950000000000003" customHeight="1" x14ac:dyDescent="0.2"/>
    <row r="48" spans="1:45" s="212" customFormat="1" ht="36.950000000000003" customHeight="1" x14ac:dyDescent="0.2"/>
    <row r="49" spans="2:2" s="212" customFormat="1" ht="36.950000000000003" customHeight="1" x14ac:dyDescent="0.2"/>
    <row r="50" spans="2:2" s="212" customFormat="1" ht="36.950000000000003" customHeight="1" x14ac:dyDescent="0.2"/>
    <row r="51" spans="2:2" x14ac:dyDescent="0.2">
      <c r="B51" s="2"/>
    </row>
  </sheetData>
  <phoneticPr fontId="0" type="noConversion"/>
  <printOptions horizontalCentered="1" verticalCentered="1"/>
  <pageMargins left="0.75" right="0.75" top="1" bottom="1" header="0.5" footer="0.5"/>
  <pageSetup scale="25" orientation="landscape" r:id="rId1"/>
  <headerFooter alignWithMargins="0">
    <oddFooter>&amp;C&amp;"Arial,Bold"EAST POWER FUNDAMENTALS&amp;11
&amp;"Arial,Italic"&amp;9Copyright © 2001 East Power Fundamentals.  All rights reserved.&amp;R&amp;D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M13"/>
  <sheetViews>
    <sheetView workbookViewId="0">
      <selection activeCell="H1" sqref="H1"/>
    </sheetView>
  </sheetViews>
  <sheetFormatPr defaultRowHeight="12.75" x14ac:dyDescent="0.2"/>
  <cols>
    <col min="1" max="1" width="14.85546875" bestFit="1" customWidth="1"/>
    <col min="8" max="8" width="9.85546875" customWidth="1"/>
    <col min="10" max="11" width="8.140625" bestFit="1" customWidth="1"/>
    <col min="36" max="38" width="10.140625" bestFit="1" customWidth="1"/>
    <col min="53" max="53" width="8.140625" bestFit="1" customWidth="1"/>
    <col min="57" max="57" width="8.140625" bestFit="1" customWidth="1"/>
    <col min="65" max="65" width="10.5703125" bestFit="1" customWidth="1"/>
  </cols>
  <sheetData>
    <row r="1" spans="1:65" x14ac:dyDescent="0.2">
      <c r="B1" s="1">
        <v>37229</v>
      </c>
      <c r="C1" s="1">
        <v>37230</v>
      </c>
      <c r="D1" s="1">
        <v>37231</v>
      </c>
      <c r="E1" s="1">
        <v>37232</v>
      </c>
      <c r="F1" s="1">
        <v>37233</v>
      </c>
      <c r="G1" s="1">
        <v>37234</v>
      </c>
      <c r="H1" s="1">
        <v>37235</v>
      </c>
      <c r="I1" s="1">
        <v>37236</v>
      </c>
      <c r="J1" s="1">
        <v>37237</v>
      </c>
      <c r="K1" s="1">
        <v>37238</v>
      </c>
      <c r="L1" s="1">
        <v>37239</v>
      </c>
      <c r="M1" s="1">
        <v>37240</v>
      </c>
      <c r="N1" s="1">
        <v>37241</v>
      </c>
      <c r="O1" s="1">
        <v>37242</v>
      </c>
      <c r="P1" s="1">
        <v>37243</v>
      </c>
      <c r="Q1" s="1">
        <v>37244</v>
      </c>
      <c r="R1" s="1">
        <v>37245</v>
      </c>
      <c r="S1" s="1">
        <v>37246</v>
      </c>
      <c r="T1" s="1">
        <v>37247</v>
      </c>
      <c r="U1" s="1">
        <v>37248</v>
      </c>
      <c r="V1" s="1">
        <v>37249</v>
      </c>
      <c r="W1" s="1">
        <v>37250</v>
      </c>
      <c r="X1" s="1">
        <v>37251</v>
      </c>
      <c r="Y1" s="1">
        <v>37252</v>
      </c>
      <c r="Z1" s="1">
        <v>37253</v>
      </c>
      <c r="AA1" s="1">
        <v>37254</v>
      </c>
      <c r="AB1" s="1">
        <v>37255</v>
      </c>
      <c r="AC1" s="1">
        <v>37256</v>
      </c>
      <c r="AD1" s="1">
        <v>37257</v>
      </c>
      <c r="AE1" s="1">
        <v>37258</v>
      </c>
      <c r="AF1" s="1">
        <v>37259</v>
      </c>
      <c r="AG1" s="1">
        <v>37260</v>
      </c>
      <c r="AH1" s="1">
        <v>37261</v>
      </c>
      <c r="AI1" s="1">
        <v>37262</v>
      </c>
      <c r="AJ1" s="1">
        <v>37263</v>
      </c>
      <c r="AK1" s="1">
        <v>37264</v>
      </c>
      <c r="AL1" s="1">
        <v>37265</v>
      </c>
      <c r="AN1" s="1"/>
      <c r="AO1" s="1"/>
      <c r="AP1" s="1"/>
      <c r="AQ1" s="1"/>
      <c r="AR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M1" t="s">
        <v>107</v>
      </c>
    </row>
    <row r="2" spans="1:65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2</v>
      </c>
    </row>
    <row r="3" spans="1:65" x14ac:dyDescent="0.2">
      <c r="A3" t="s">
        <v>3</v>
      </c>
      <c r="C3" s="2">
        <v>24640</v>
      </c>
      <c r="D3" s="2">
        <v>19840</v>
      </c>
      <c r="E3" s="2">
        <v>19840</v>
      </c>
      <c r="H3" s="2">
        <v>19840</v>
      </c>
      <c r="I3" s="2">
        <v>19840</v>
      </c>
      <c r="J3" s="2">
        <v>19840</v>
      </c>
      <c r="K3" s="2">
        <v>19840</v>
      </c>
      <c r="L3" s="2">
        <v>19840</v>
      </c>
      <c r="O3" s="2">
        <v>19840</v>
      </c>
      <c r="P3" s="2">
        <v>19840</v>
      </c>
      <c r="Q3" s="2">
        <v>19840</v>
      </c>
      <c r="R3" s="2">
        <v>19840</v>
      </c>
      <c r="S3" s="2">
        <v>19840</v>
      </c>
      <c r="V3" s="2">
        <v>19840</v>
      </c>
      <c r="X3" s="2">
        <v>19840</v>
      </c>
      <c r="Y3" s="2">
        <v>19840</v>
      </c>
      <c r="Z3" s="2">
        <v>19840</v>
      </c>
      <c r="AC3" s="2">
        <v>19840</v>
      </c>
      <c r="AE3" s="2">
        <v>-39632</v>
      </c>
      <c r="AF3" s="2">
        <v>-39632</v>
      </c>
      <c r="AG3" s="2">
        <v>-39632</v>
      </c>
      <c r="AJ3" s="2">
        <v>-39632</v>
      </c>
      <c r="AK3" s="2">
        <v>-39632</v>
      </c>
      <c r="AL3" s="2">
        <v>-39632</v>
      </c>
      <c r="AM3" s="2">
        <v>124128</v>
      </c>
      <c r="AN3" s="2"/>
      <c r="AO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M3" s="2">
        <v>3</v>
      </c>
    </row>
    <row r="4" spans="1:65" x14ac:dyDescent="0.2">
      <c r="A4" t="s">
        <v>26</v>
      </c>
      <c r="AE4">
        <v>432</v>
      </c>
      <c r="AF4">
        <v>432</v>
      </c>
      <c r="AG4">
        <v>432</v>
      </c>
      <c r="AJ4">
        <v>432</v>
      </c>
      <c r="AK4">
        <v>432</v>
      </c>
      <c r="AL4">
        <v>432</v>
      </c>
      <c r="AM4" s="2">
        <v>2592</v>
      </c>
      <c r="AS4" s="2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M4" s="2">
        <f>BM3+1</f>
        <v>4</v>
      </c>
    </row>
    <row r="5" spans="1:65" x14ac:dyDescent="0.2">
      <c r="A5" t="s">
        <v>6</v>
      </c>
      <c r="C5" s="2">
        <v>3200</v>
      </c>
      <c r="D5" s="2">
        <v>3200</v>
      </c>
      <c r="E5" s="2">
        <v>3200</v>
      </c>
      <c r="H5" s="2">
        <v>3200</v>
      </c>
      <c r="I5" s="2">
        <v>3200</v>
      </c>
      <c r="J5" s="2">
        <v>3200</v>
      </c>
      <c r="K5" s="2">
        <v>3200</v>
      </c>
      <c r="L5" s="2">
        <v>3200</v>
      </c>
      <c r="O5" s="2">
        <v>3200</v>
      </c>
      <c r="P5" s="2">
        <v>3200</v>
      </c>
      <c r="Q5" s="2">
        <v>3200</v>
      </c>
      <c r="R5" s="2">
        <v>3200</v>
      </c>
      <c r="S5" s="2">
        <v>3200</v>
      </c>
      <c r="V5" s="2">
        <v>3200</v>
      </c>
      <c r="X5" s="2">
        <v>3200</v>
      </c>
      <c r="Y5" s="2">
        <v>3200</v>
      </c>
      <c r="Z5" s="2">
        <v>3200</v>
      </c>
      <c r="AC5" s="2">
        <v>2400</v>
      </c>
      <c r="AE5" s="2">
        <v>-15520</v>
      </c>
      <c r="AF5" s="2">
        <v>-15520</v>
      </c>
      <c r="AG5" s="2">
        <v>-15520</v>
      </c>
      <c r="AJ5" s="2">
        <v>-15520</v>
      </c>
      <c r="AK5" s="2">
        <v>-15520</v>
      </c>
      <c r="AL5" s="2">
        <v>-15520</v>
      </c>
      <c r="AM5" s="2">
        <v>-36320</v>
      </c>
      <c r="AN5" s="2"/>
      <c r="AO5" s="2"/>
      <c r="AR5" s="2"/>
      <c r="AS5" s="2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M5" s="2">
        <f t="shared" ref="BM5:BM13" si="0">BM4+1</f>
        <v>5</v>
      </c>
    </row>
    <row r="6" spans="1:65" x14ac:dyDescent="0.2">
      <c r="A6" t="s">
        <v>7</v>
      </c>
      <c r="C6">
        <v>800</v>
      </c>
      <c r="D6">
        <v>800</v>
      </c>
      <c r="E6">
        <v>800</v>
      </c>
      <c r="H6">
        <v>800</v>
      </c>
      <c r="I6">
        <v>800</v>
      </c>
      <c r="J6">
        <v>800</v>
      </c>
      <c r="K6">
        <v>800</v>
      </c>
      <c r="L6">
        <v>800</v>
      </c>
      <c r="O6">
        <v>800</v>
      </c>
      <c r="P6">
        <v>800</v>
      </c>
      <c r="Q6">
        <v>800</v>
      </c>
      <c r="R6">
        <v>800</v>
      </c>
      <c r="S6">
        <v>800</v>
      </c>
      <c r="V6">
        <v>800</v>
      </c>
      <c r="X6">
        <v>800</v>
      </c>
      <c r="Y6">
        <v>800</v>
      </c>
      <c r="Z6">
        <v>800</v>
      </c>
      <c r="AC6">
        <v>800</v>
      </c>
      <c r="AE6" s="2">
        <v>-8800</v>
      </c>
      <c r="AF6" s="2">
        <v>-8800</v>
      </c>
      <c r="AG6" s="2">
        <v>-8800</v>
      </c>
      <c r="AJ6" s="2">
        <v>-8800</v>
      </c>
      <c r="AK6" s="2">
        <v>-8800</v>
      </c>
      <c r="AL6" s="2">
        <v>-8800</v>
      </c>
      <c r="AM6" s="2">
        <v>-38400</v>
      </c>
      <c r="AN6" s="2"/>
      <c r="AO6" s="2"/>
      <c r="AR6" s="2"/>
      <c r="AS6" s="2"/>
      <c r="AT6" s="3"/>
      <c r="BM6" s="2">
        <f t="shared" si="0"/>
        <v>6</v>
      </c>
    </row>
    <row r="7" spans="1:65" x14ac:dyDescent="0.2">
      <c r="A7" t="s">
        <v>9</v>
      </c>
      <c r="C7" s="2">
        <v>4000</v>
      </c>
      <c r="D7" s="2">
        <v>4000</v>
      </c>
      <c r="E7" s="2">
        <v>4000</v>
      </c>
      <c r="H7" s="2">
        <v>4000</v>
      </c>
      <c r="I7" s="2">
        <v>4000</v>
      </c>
      <c r="J7" s="2">
        <v>4000</v>
      </c>
      <c r="K7" s="2">
        <v>4000</v>
      </c>
      <c r="L7" s="2">
        <v>4000</v>
      </c>
      <c r="O7" s="2">
        <v>4000</v>
      </c>
      <c r="P7" s="2">
        <v>4000</v>
      </c>
      <c r="Q7" s="2">
        <v>4000</v>
      </c>
      <c r="R7" s="2">
        <v>4000</v>
      </c>
      <c r="S7" s="2">
        <v>4000</v>
      </c>
      <c r="V7" s="2">
        <v>4000</v>
      </c>
      <c r="X7" s="2">
        <v>4000</v>
      </c>
      <c r="Y7" s="2">
        <v>4000</v>
      </c>
      <c r="Z7" s="2">
        <v>4000</v>
      </c>
      <c r="AC7" s="2">
        <v>4000</v>
      </c>
      <c r="AE7" s="2">
        <v>16000</v>
      </c>
      <c r="AF7" s="2">
        <v>16000</v>
      </c>
      <c r="AG7" s="2">
        <v>16000</v>
      </c>
      <c r="AJ7" s="2">
        <v>16000</v>
      </c>
      <c r="AK7" s="2">
        <v>16000</v>
      </c>
      <c r="AL7" s="2">
        <v>16000</v>
      </c>
      <c r="AM7" s="2">
        <v>168000</v>
      </c>
      <c r="AN7" s="2"/>
      <c r="AO7" s="2"/>
      <c r="AR7" s="2"/>
      <c r="AS7" s="2"/>
      <c r="AT7" s="3"/>
      <c r="BM7" s="2">
        <f t="shared" si="0"/>
        <v>7</v>
      </c>
    </row>
    <row r="8" spans="1:65" x14ac:dyDescent="0.2">
      <c r="A8" t="s">
        <v>113</v>
      </c>
      <c r="AE8">
        <v>800</v>
      </c>
      <c r="AF8">
        <v>800</v>
      </c>
      <c r="AG8">
        <v>800</v>
      </c>
      <c r="AJ8">
        <v>800</v>
      </c>
      <c r="AK8">
        <v>800</v>
      </c>
      <c r="AL8">
        <v>800</v>
      </c>
      <c r="AM8" s="2">
        <v>4800</v>
      </c>
      <c r="AS8" s="2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M8" s="2">
        <f t="shared" si="0"/>
        <v>8</v>
      </c>
    </row>
    <row r="9" spans="1:65" x14ac:dyDescent="0.2">
      <c r="A9" t="s">
        <v>10</v>
      </c>
      <c r="C9" s="2">
        <v>8000</v>
      </c>
      <c r="D9" s="2">
        <v>8000</v>
      </c>
      <c r="E9" s="2">
        <v>8000</v>
      </c>
      <c r="H9" s="2">
        <v>8000</v>
      </c>
      <c r="I9" s="2">
        <v>8000</v>
      </c>
      <c r="J9" s="2">
        <v>8000</v>
      </c>
      <c r="K9" s="2">
        <v>8000</v>
      </c>
      <c r="L9" s="2">
        <v>8000</v>
      </c>
      <c r="O9" s="2">
        <v>8000</v>
      </c>
      <c r="P9" s="2">
        <v>8000</v>
      </c>
      <c r="Q9" s="2">
        <v>8000</v>
      </c>
      <c r="R9" s="2">
        <v>8000</v>
      </c>
      <c r="S9" s="2">
        <v>8000</v>
      </c>
      <c r="V9" s="2">
        <v>8000</v>
      </c>
      <c r="X9" s="2">
        <v>8000</v>
      </c>
      <c r="Y9" s="2">
        <v>8000</v>
      </c>
      <c r="Z9" s="2">
        <v>8000</v>
      </c>
      <c r="AC9" s="2">
        <v>8000</v>
      </c>
      <c r="AE9" s="2">
        <v>16800</v>
      </c>
      <c r="AF9" s="2">
        <v>16800</v>
      </c>
      <c r="AG9" s="2">
        <v>16800</v>
      </c>
      <c r="AJ9" s="2">
        <v>16800</v>
      </c>
      <c r="AK9" s="2">
        <v>16800</v>
      </c>
      <c r="AL9" s="2">
        <v>16800</v>
      </c>
      <c r="AM9" s="2">
        <v>244800</v>
      </c>
      <c r="AN9" s="2"/>
      <c r="AO9" s="2"/>
      <c r="AR9" s="2"/>
      <c r="AS9" s="2"/>
      <c r="AT9" s="3"/>
      <c r="BM9" s="2">
        <f t="shared" si="0"/>
        <v>9</v>
      </c>
    </row>
    <row r="10" spans="1:65" x14ac:dyDescent="0.2">
      <c r="A10" t="s">
        <v>121</v>
      </c>
      <c r="C10" s="2">
        <v>8000</v>
      </c>
      <c r="D10" s="2">
        <v>8000</v>
      </c>
      <c r="E10" s="2">
        <v>8000</v>
      </c>
      <c r="H10" s="2">
        <v>8000</v>
      </c>
      <c r="I10" s="2">
        <v>8000</v>
      </c>
      <c r="J10" s="2">
        <v>8000</v>
      </c>
      <c r="K10" s="2">
        <v>8000</v>
      </c>
      <c r="L10" s="2">
        <v>8000</v>
      </c>
      <c r="O10" s="2">
        <v>8000</v>
      </c>
      <c r="P10" s="2">
        <v>8000</v>
      </c>
      <c r="Q10" s="2">
        <v>8000</v>
      </c>
      <c r="R10" s="2">
        <v>8000</v>
      </c>
      <c r="S10" s="2">
        <v>8000</v>
      </c>
      <c r="V10" s="2">
        <v>8000</v>
      </c>
      <c r="X10" s="2">
        <v>8000</v>
      </c>
      <c r="Y10" s="2">
        <v>8000</v>
      </c>
      <c r="Z10" s="2">
        <v>8000</v>
      </c>
      <c r="AC10" s="2">
        <v>8000</v>
      </c>
      <c r="AE10" s="2">
        <v>16000</v>
      </c>
      <c r="AF10" s="2">
        <v>16000</v>
      </c>
      <c r="AG10" s="2">
        <v>16000</v>
      </c>
      <c r="AJ10" s="2">
        <v>16000</v>
      </c>
      <c r="AK10" s="2">
        <v>16000</v>
      </c>
      <c r="AL10" s="2">
        <v>16000</v>
      </c>
      <c r="AM10" s="2">
        <v>240000</v>
      </c>
      <c r="AN10" s="2"/>
      <c r="AO10" s="2"/>
      <c r="AR10" s="2"/>
      <c r="AS10" s="2"/>
      <c r="AT10" s="2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M10" s="2">
        <f t="shared" si="0"/>
        <v>10</v>
      </c>
    </row>
    <row r="11" spans="1:65" x14ac:dyDescent="0.2">
      <c r="A11" t="s">
        <v>78</v>
      </c>
      <c r="C11">
        <v>800</v>
      </c>
      <c r="D11">
        <v>800</v>
      </c>
      <c r="E11">
        <v>800</v>
      </c>
      <c r="H11">
        <v>800</v>
      </c>
      <c r="I11">
        <v>800</v>
      </c>
      <c r="J11">
        <v>800</v>
      </c>
      <c r="K11">
        <v>800</v>
      </c>
      <c r="L11">
        <v>800</v>
      </c>
      <c r="O11">
        <v>800</v>
      </c>
      <c r="P11">
        <v>800</v>
      </c>
      <c r="Q11">
        <v>800</v>
      </c>
      <c r="R11">
        <v>800</v>
      </c>
      <c r="S11">
        <v>800</v>
      </c>
      <c r="V11">
        <v>800</v>
      </c>
      <c r="X11">
        <v>800</v>
      </c>
      <c r="Y11">
        <v>800</v>
      </c>
      <c r="Z11">
        <v>800</v>
      </c>
      <c r="AC11">
        <v>800</v>
      </c>
      <c r="AM11" s="2">
        <v>14400</v>
      </c>
      <c r="AS11" s="2"/>
      <c r="AT11" s="3"/>
      <c r="AU11" s="2"/>
      <c r="AV11" s="2"/>
      <c r="AY11" s="2"/>
      <c r="AZ11" s="2"/>
      <c r="BA11" s="2"/>
      <c r="BC11" s="2"/>
      <c r="BD11" s="2"/>
      <c r="BE11" s="2"/>
      <c r="BM11" s="2">
        <f t="shared" si="0"/>
        <v>11</v>
      </c>
    </row>
    <row r="12" spans="1:65" x14ac:dyDescent="0.2">
      <c r="A12" t="s">
        <v>14</v>
      </c>
      <c r="C12" s="2">
        <v>1600</v>
      </c>
      <c r="D12" s="2">
        <v>1600</v>
      </c>
      <c r="E12" s="2">
        <v>1600</v>
      </c>
      <c r="H12" s="2">
        <v>1600</v>
      </c>
      <c r="I12" s="2">
        <v>1600</v>
      </c>
      <c r="J12" s="2">
        <v>1600</v>
      </c>
      <c r="K12" s="2">
        <v>1600</v>
      </c>
      <c r="L12" s="2">
        <v>1600</v>
      </c>
      <c r="O12" s="2">
        <v>1600</v>
      </c>
      <c r="P12" s="2">
        <v>1600</v>
      </c>
      <c r="Q12" s="2">
        <v>1600</v>
      </c>
      <c r="R12" s="2">
        <v>1600</v>
      </c>
      <c r="S12" s="2">
        <v>1600</v>
      </c>
      <c r="V12" s="2">
        <v>1600</v>
      </c>
      <c r="X12" s="2">
        <v>1600</v>
      </c>
      <c r="Y12" s="2">
        <v>1600</v>
      </c>
      <c r="Z12" s="2">
        <v>1600</v>
      </c>
      <c r="AC12" s="2">
        <v>1600</v>
      </c>
      <c r="AE12" s="2">
        <v>18400</v>
      </c>
      <c r="AF12" s="2">
        <v>18400</v>
      </c>
      <c r="AG12" s="2">
        <v>18400</v>
      </c>
      <c r="AJ12" s="2">
        <v>18400</v>
      </c>
      <c r="AK12" s="2">
        <v>18400</v>
      </c>
      <c r="AL12" s="2">
        <v>18400</v>
      </c>
      <c r="AM12" s="2">
        <v>139200</v>
      </c>
      <c r="AN12" s="2"/>
      <c r="AO12" s="2"/>
      <c r="AR12" s="2"/>
      <c r="AS12" s="2"/>
      <c r="AT12" s="2"/>
      <c r="AU12" s="2"/>
      <c r="AV12" s="2"/>
      <c r="AY12" s="2"/>
      <c r="AZ12" s="2"/>
      <c r="BA12" s="2"/>
      <c r="BC12" s="2"/>
      <c r="BD12" s="2"/>
      <c r="BE12" s="2"/>
      <c r="BM12" s="2">
        <f t="shared" si="0"/>
        <v>12</v>
      </c>
    </row>
    <row r="13" spans="1:65" x14ac:dyDescent="0.2">
      <c r="A13" t="s">
        <v>15</v>
      </c>
      <c r="C13" s="2">
        <v>51040</v>
      </c>
      <c r="D13" s="2">
        <v>46240</v>
      </c>
      <c r="E13" s="2">
        <v>46240</v>
      </c>
      <c r="H13" s="2">
        <v>46240</v>
      </c>
      <c r="I13" s="2">
        <v>46240</v>
      </c>
      <c r="J13" s="2">
        <v>46240</v>
      </c>
      <c r="K13" s="2">
        <v>46240</v>
      </c>
      <c r="L13" s="2">
        <v>46240</v>
      </c>
      <c r="O13" s="2">
        <v>46240</v>
      </c>
      <c r="P13" s="2">
        <v>46240</v>
      </c>
      <c r="Q13" s="2">
        <v>46240</v>
      </c>
      <c r="R13" s="2">
        <v>46240</v>
      </c>
      <c r="S13" s="2">
        <v>46240</v>
      </c>
      <c r="V13" s="2">
        <v>46240</v>
      </c>
      <c r="X13" s="2">
        <v>46240</v>
      </c>
      <c r="Y13" s="2">
        <v>46240</v>
      </c>
      <c r="Z13" s="2">
        <v>46240</v>
      </c>
      <c r="AC13" s="2">
        <v>45440</v>
      </c>
      <c r="AE13" s="2">
        <v>4480</v>
      </c>
      <c r="AF13" s="2">
        <v>4480</v>
      </c>
      <c r="AG13" s="2">
        <v>4480</v>
      </c>
      <c r="AJ13" s="2">
        <v>4480</v>
      </c>
      <c r="AK13" s="2">
        <v>4480</v>
      </c>
      <c r="AL13" s="2">
        <v>4480</v>
      </c>
      <c r="AM13" s="2">
        <v>863200</v>
      </c>
      <c r="AN13" s="2"/>
      <c r="AO13" s="2"/>
      <c r="AR13" s="2"/>
      <c r="AS13" s="2"/>
      <c r="AV13" s="2"/>
      <c r="AW13" s="2"/>
      <c r="AX13" s="2"/>
      <c r="AY13" s="2"/>
      <c r="AZ13" s="2"/>
      <c r="BC13" s="2"/>
      <c r="BD13" s="2"/>
      <c r="BE13" s="2"/>
      <c r="BM13" s="2">
        <f t="shared" si="0"/>
        <v>13</v>
      </c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&amp;C&amp;"Arial,Bold"EAST POWER FUNDAMENTALS&amp;"Arial,Regular"
&amp;"Arial,Italic"&amp;9Copyright © 2001 East Power Fundamentals.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</vt:i4>
      </vt:variant>
    </vt:vector>
  </HeadingPairs>
  <TitlesOfParts>
    <vt:vector size="25" baseType="lpstr">
      <vt:lpstr>Output</vt:lpstr>
      <vt:lpstr>Filter-new</vt:lpstr>
      <vt:lpstr>peak-new</vt:lpstr>
      <vt:lpstr>offpeak-new</vt:lpstr>
      <vt:lpstr>delta-new</vt:lpstr>
      <vt:lpstr>gas-new</vt:lpstr>
      <vt:lpstr>price-new</vt:lpstr>
      <vt:lpstr>Cash</vt:lpstr>
      <vt:lpstr>cash adhoc</vt:lpstr>
      <vt:lpstr>calendar</vt:lpstr>
      <vt:lpstr>nymex-new</vt:lpstr>
      <vt:lpstr>price-old</vt:lpstr>
      <vt:lpstr>nymex-old</vt:lpstr>
      <vt:lpstr>peak-old</vt:lpstr>
      <vt:lpstr>delta-old</vt:lpstr>
      <vt:lpstr>offpeak-old</vt:lpstr>
      <vt:lpstr>gas-old</vt:lpstr>
      <vt:lpstr>Filter-old</vt:lpstr>
      <vt:lpstr>Swap Positions</vt:lpstr>
      <vt:lpstr>adhoc_directory</vt:lpstr>
      <vt:lpstr>Cash!Print_Area</vt:lpstr>
      <vt:lpstr>Output!Print_Area</vt:lpstr>
      <vt:lpstr>'peak-new'!Print_Area</vt:lpstr>
      <vt:lpstr>Output!Print_Titles</vt:lpstr>
      <vt:lpstr>'peak-new'!Print_Titles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Gim</dc:creator>
  <cp:lastModifiedBy>Felienne</cp:lastModifiedBy>
  <cp:lastPrinted>2001-12-04T12:46:02Z</cp:lastPrinted>
  <dcterms:created xsi:type="dcterms:W3CDTF">2001-05-29T18:54:21Z</dcterms:created>
  <dcterms:modified xsi:type="dcterms:W3CDTF">2014-09-03T16:32:46Z</dcterms:modified>
</cp:coreProperties>
</file>